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filterPrivacy="1" codeName="ThisWorkbook" defaultThemeVersion="166925"/>
  <xr:revisionPtr revIDLastSave="0" documentId="13_ncr:1_{C3D64CDD-D03B-40FD-9DC1-9D0FD787BD6F}" xr6:coauthVersionLast="47" xr6:coauthVersionMax="47" xr10:uidLastSave="{00000000-0000-0000-0000-000000000000}"/>
  <bookViews>
    <workbookView xWindow="-28920" yWindow="-120" windowWidth="29040" windowHeight="15840" activeTab="1" xr2:uid="{00000000-000D-0000-FFFF-FFFF00000000}"/>
  </bookViews>
  <sheets>
    <sheet name="RESUMO" sheetId="2" r:id="rId1"/>
    <sheet name="PLANILHA ORCAMENTARIA" sheetId="1" r:id="rId2"/>
    <sheet name="Memória de Cálculo" sheetId="9" r:id="rId3"/>
    <sheet name="COMPOSICOES PROPRIAS" sheetId="3" r:id="rId4"/>
    <sheet name="CURVA ABC SERVICOS" sheetId="8" r:id="rId5"/>
    <sheet name="CURVA ABC ADM" sheetId="11" r:id="rId6"/>
    <sheet name="CURVA ABC INSUMOS" sheetId="5" r:id="rId7"/>
    <sheet name="CRONOGRAMA" sheetId="6" r:id="rId8"/>
    <sheet name="mapa cotação" sheetId="10" r:id="rId9"/>
    <sheet name="BDI" sheetId="7" r:id="rId10"/>
  </sheets>
  <externalReferences>
    <externalReference r:id="rId11"/>
    <externalReference r:id="rId12"/>
    <externalReference r:id="rId13"/>
  </externalReferences>
  <definedNames>
    <definedName name="_Order1" hidden="1">255</definedName>
    <definedName name="_xlnm.Print_Area" localSheetId="9">BDI!$A$1:$D$48</definedName>
    <definedName name="_xlnm.Print_Area" localSheetId="3">'COMPOSICOES PROPRIAS'!$A$1:$I$415</definedName>
    <definedName name="_xlnm.Print_Area" localSheetId="7">CRONOGRAMA!$A$1:$AC$194</definedName>
    <definedName name="_xlnm.Print_Area" localSheetId="6">'CURVA ABC INSUMOS'!$A$1:$K$254</definedName>
    <definedName name="_xlnm.Print_Area" localSheetId="4">'CURVA ABC SERVICOS'!$A$1:$K$87</definedName>
    <definedName name="_xlnm.Print_Area" localSheetId="2">'Memória de Cálculo'!$A$1:$J$2337</definedName>
    <definedName name="_xlnm.Print_Area" localSheetId="1">'PLANILHA ORCAMENTARIA'!$A$1:$J$587</definedName>
    <definedName name="_xlnm.Print_Area" localSheetId="0">RESUMO!$A$1:$E$18</definedName>
    <definedName name="BDI.Opcao" hidden="1">[1]DADOS!$F$18</definedName>
    <definedName name="BDI.TipoObra" hidden="1">[1]BDI!$A$138:$A$146</definedName>
    <definedName name="DESONERACAO" localSheetId="2" hidden="1">IF(OR(Import.Desoneracao="DESONERADO",Import.Desoneracao="SIM"),"SIM","NÃO")</definedName>
    <definedName name="DESONERACAO" hidden="1">IF(OR(Import.Desoneracao="DESONERADO",Import.Desoneracao="SIM"),"SIM","NÃO")</definedName>
    <definedName name="Import.Apelido" hidden="1">[1]DADOS!$F$16</definedName>
    <definedName name="Import.CR" hidden="1">[1]DADOS!$F$7</definedName>
    <definedName name="Import.DescLote" hidden="1">[1]DADOS!$F$17</definedName>
    <definedName name="Import.Desoneracao" hidden="1">OFFSET([1]DADOS!$G$18,0,-1)</definedName>
    <definedName name="Import.Município" hidden="1">[1]DADOS!$F$6</definedName>
    <definedName name="Import.Proponente" hidden="1">[1]DADOS!$F$5</definedName>
    <definedName name="Import.RespOrçamento" hidden="1">[1]DADOS!$F$22:$F$24</definedName>
    <definedName name="Import.SICONV" hidden="1">[1]DADOS!$F$8</definedName>
    <definedName name="JR_PAGE_ANCHOR_0_1" localSheetId="4">'CURVA ABC SERVICOS'!$A$1</definedName>
    <definedName name="JR_PAGE_ANCHOR_0_1">'PLANILHA ORCAMENTARIA'!$A$1</definedName>
    <definedName name="JR_PAGE_ANCHOR_1_1">RESUMO!$A$1</definedName>
    <definedName name="JR_PAGE_ANCHOR_2_1">'COMPOSICOES PROPRIAS'!$A$1</definedName>
    <definedName name="JR_PAGE_ANCHOR_3_1">#REF!</definedName>
    <definedName name="JR_PAGE_ANCHOR_4_1">'CURVA ABC INSUMOS'!$A$1</definedName>
    <definedName name="JR_PAGE_ANCHOR_5_1">CRONOGRAMA!$A$1</definedName>
    <definedName name="JR_PAGE_ANCHOR_6_1">BDI!$A$1</definedName>
    <definedName name="medidas" localSheetId="2">#REF!</definedName>
    <definedName name="medidas">#REF!</definedName>
    <definedName name="Print_Area" localSheetId="2">'Memória de Cálculo'!$A$1:$J$9</definedName>
    <definedName name="TABELA">'[2]PLANILHA FONTE'!$B$2:$G$290</definedName>
    <definedName name="_xlnm.Print_Titles" localSheetId="9">BDI!$1:$1</definedName>
    <definedName name="_xlnm.Print_Titles" localSheetId="3">'COMPOSICOES PROPRIAS'!$1:$1</definedName>
    <definedName name="_xlnm.Print_Titles" localSheetId="7">CRONOGRAMA!$1:$2</definedName>
    <definedName name="_xlnm.Print_Titles" localSheetId="6">'CURVA ABC INSUMOS'!$1:$3</definedName>
    <definedName name="_xlnm.Print_Titles" localSheetId="4">'CURVA ABC SERVICOS'!$1:$3</definedName>
    <definedName name="_xlnm.Print_Titles" localSheetId="2">'Memória de Cálculo'!$1:$9</definedName>
    <definedName name="_xlnm.Print_Titles" localSheetId="1">'PLANILHA ORCAMENTARIA'!$1:$2</definedName>
    <definedName name="_xlnm.Print_Titles" localSheetId="0">RESUMO!$1:$3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8" l="1"/>
  <c r="J7" i="8" s="1"/>
  <c r="J8" i="8" s="1"/>
  <c r="J9" i="8" s="1"/>
  <c r="J10" i="8" s="1"/>
  <c r="J11" i="8" s="1"/>
  <c r="J12" i="8" s="1"/>
  <c r="J13" i="8" s="1"/>
  <c r="J14" i="8" s="1"/>
  <c r="J15" i="8" s="1"/>
  <c r="J16" i="8" s="1"/>
  <c r="J17" i="8" s="1"/>
  <c r="J18" i="8" s="1"/>
  <c r="J19" i="8" s="1"/>
  <c r="J20" i="8" s="1"/>
  <c r="J21" i="8" s="1"/>
  <c r="J22" i="8" s="1"/>
  <c r="J23" i="8" s="1"/>
  <c r="J24" i="8" s="1"/>
  <c r="J25" i="8" s="1"/>
  <c r="J26" i="8" s="1"/>
  <c r="J27" i="8" s="1"/>
  <c r="J28" i="8" s="1"/>
  <c r="J29" i="8" s="1"/>
  <c r="J30" i="8" s="1"/>
  <c r="J31" i="8" s="1"/>
  <c r="J32" i="8" s="1"/>
  <c r="J33" i="8" s="1"/>
  <c r="J34" i="8" s="1"/>
  <c r="J35" i="8" s="1"/>
  <c r="J36" i="8" s="1"/>
  <c r="J37" i="8" s="1"/>
  <c r="J38" i="8" s="1"/>
  <c r="J39" i="8" s="1"/>
  <c r="J40" i="8" s="1"/>
  <c r="J41" i="8" s="1"/>
  <c r="J42" i="8" s="1"/>
  <c r="J43" i="8" s="1"/>
  <c r="J44" i="8" s="1"/>
  <c r="J45" i="8" s="1"/>
  <c r="J46" i="8" s="1"/>
  <c r="J47" i="8" s="1"/>
  <c r="J48" i="8" s="1"/>
  <c r="J49" i="8" s="1"/>
  <c r="J50" i="8" s="1"/>
  <c r="J51" i="8" s="1"/>
  <c r="J52" i="8" s="1"/>
  <c r="J53" i="8" s="1"/>
  <c r="J54" i="8" s="1"/>
  <c r="J55" i="8" s="1"/>
  <c r="J56" i="8" s="1"/>
  <c r="J57" i="8" s="1"/>
  <c r="J58" i="8" s="1"/>
  <c r="J59" i="8" s="1"/>
  <c r="J60" i="8" s="1"/>
  <c r="J61" i="8" s="1"/>
  <c r="J62" i="8" s="1"/>
  <c r="J63" i="8" s="1"/>
  <c r="J64" i="8" s="1"/>
  <c r="J65" i="8" s="1"/>
  <c r="J66" i="8" s="1"/>
  <c r="J67" i="8" s="1"/>
  <c r="J68" i="8" s="1"/>
  <c r="J69" i="8" s="1"/>
  <c r="J70" i="8" s="1"/>
  <c r="J71" i="8" s="1"/>
  <c r="J72" i="8" s="1"/>
  <c r="J73" i="8" s="1"/>
  <c r="J74" i="8" s="1"/>
  <c r="J75" i="8" s="1"/>
  <c r="J76" i="8" s="1"/>
  <c r="J77" i="8" s="1"/>
  <c r="J78" i="8" s="1"/>
  <c r="J79" i="8" s="1"/>
  <c r="J80" i="8" s="1"/>
  <c r="J81" i="8" s="1"/>
  <c r="J82" i="8" s="1"/>
  <c r="J83" i="8" s="1"/>
  <c r="J84" i="8" s="1"/>
  <c r="J85" i="8" s="1"/>
  <c r="J5" i="8"/>
  <c r="J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4" i="8"/>
  <c r="I87" i="8"/>
  <c r="I13" i="11"/>
  <c r="I10" i="11" s="1"/>
  <c r="I9" i="11" l="1"/>
  <c r="J9" i="11" s="1"/>
  <c r="J10" i="11" s="1"/>
  <c r="F58" i="10" l="1"/>
  <c r="H56" i="10"/>
  <c r="H58" i="10" s="1"/>
  <c r="G56" i="10"/>
  <c r="G58" i="10" s="1"/>
  <c r="D51" i="10" s="1"/>
  <c r="G50" i="10"/>
  <c r="F50" i="10"/>
  <c r="H48" i="10"/>
  <c r="H50" i="10" s="1"/>
  <c r="D43" i="10" s="1"/>
  <c r="G48" i="10"/>
  <c r="F48" i="10"/>
  <c r="H42" i="10"/>
  <c r="D35" i="10" s="1"/>
  <c r="G42" i="10"/>
  <c r="F42" i="10"/>
  <c r="H39" i="10"/>
  <c r="F39" i="10"/>
  <c r="H37" i="10"/>
  <c r="G37" i="10"/>
  <c r="H36" i="10"/>
  <c r="F36" i="10"/>
  <c r="H35" i="10"/>
  <c r="F35" i="10"/>
  <c r="C28" i="10"/>
  <c r="E27" i="10"/>
  <c r="H24" i="10"/>
  <c r="G24" i="10"/>
  <c r="H23" i="10"/>
  <c r="G23" i="10"/>
  <c r="F23" i="10"/>
  <c r="F24" i="10" s="1"/>
  <c r="H21" i="10"/>
  <c r="G21" i="10"/>
  <c r="F21" i="10"/>
  <c r="H19" i="10"/>
  <c r="G19" i="10"/>
  <c r="F19" i="10"/>
  <c r="H18" i="10"/>
  <c r="G18" i="10"/>
  <c r="F18" i="10"/>
  <c r="H17" i="10"/>
  <c r="G17" i="10"/>
  <c r="F17" i="10"/>
  <c r="A2334" i="9"/>
  <c r="J2332" i="9"/>
  <c r="I2332" i="9"/>
  <c r="I2331" i="9"/>
  <c r="J2331" i="9" s="1"/>
  <c r="I2329" i="9"/>
  <c r="J2329" i="9" s="1"/>
  <c r="A2327" i="9"/>
  <c r="D2327" i="9" s="1"/>
  <c r="A2322" i="9"/>
  <c r="B2322" i="9" s="1"/>
  <c r="I2320" i="9"/>
  <c r="J2320" i="9" s="1"/>
  <c r="J2318" i="9" s="1"/>
  <c r="A2318" i="9"/>
  <c r="D2318" i="9" s="1"/>
  <c r="J2316" i="9"/>
  <c r="I2316" i="9"/>
  <c r="J2314" i="9"/>
  <c r="A2314" i="9"/>
  <c r="C2314" i="9" s="1"/>
  <c r="A2313" i="9"/>
  <c r="C2313" i="9" s="1"/>
  <c r="I2311" i="9"/>
  <c r="J2311" i="9" s="1"/>
  <c r="J2309" i="9"/>
  <c r="A2309" i="9"/>
  <c r="D2309" i="9" s="1"/>
  <c r="J2307" i="9"/>
  <c r="I2307" i="9"/>
  <c r="J2305" i="9"/>
  <c r="A2305" i="9"/>
  <c r="C2305" i="9" s="1"/>
  <c r="J2304" i="9"/>
  <c r="J2303" i="9"/>
  <c r="J2301" i="9" s="1"/>
  <c r="A2301" i="9"/>
  <c r="B2301" i="9" s="1"/>
  <c r="A2300" i="9"/>
  <c r="C2300" i="9" s="1"/>
  <c r="J2298" i="9"/>
  <c r="J2297" i="9"/>
  <c r="J2296" i="9"/>
  <c r="J2295" i="9"/>
  <c r="J2293" i="9" s="1"/>
  <c r="A2293" i="9"/>
  <c r="D2293" i="9" s="1"/>
  <c r="A2289" i="9"/>
  <c r="D2289" i="9" s="1"/>
  <c r="J2287" i="9"/>
  <c r="I2287" i="9"/>
  <c r="J2286" i="9"/>
  <c r="J2284" i="9" s="1"/>
  <c r="I2286" i="9"/>
  <c r="I2291" i="9" s="1"/>
  <c r="J2291" i="9" s="1"/>
  <c r="J2289" i="9" s="1"/>
  <c r="I2337" i="9" s="1"/>
  <c r="J2337" i="9" s="1"/>
  <c r="J2334" i="9" s="1"/>
  <c r="A2284" i="9"/>
  <c r="B2284" i="9" s="1"/>
  <c r="J2282" i="9"/>
  <c r="J2281" i="9"/>
  <c r="J2280" i="9"/>
  <c r="J2279" i="9"/>
  <c r="J2278" i="9"/>
  <c r="I2325" i="9" s="1"/>
  <c r="J2325" i="9" s="1"/>
  <c r="J2277" i="9"/>
  <c r="I2324" i="9" s="1"/>
  <c r="J2324" i="9" s="1"/>
  <c r="J2322" i="9" s="1"/>
  <c r="A2275" i="9"/>
  <c r="B2275" i="9" s="1"/>
  <c r="A2271" i="9"/>
  <c r="D2271" i="9" s="1"/>
  <c r="A2270" i="9"/>
  <c r="C2270" i="9" s="1"/>
  <c r="A2266" i="9"/>
  <c r="B2266" i="9" s="1"/>
  <c r="A2260" i="9"/>
  <c r="D2260" i="9" s="1"/>
  <c r="J2258" i="9"/>
  <c r="J2255" i="9" s="1"/>
  <c r="F2264" i="9" s="1"/>
  <c r="J2264" i="9" s="1"/>
  <c r="J2257" i="9"/>
  <c r="A2255" i="9"/>
  <c r="B2255" i="9" s="1"/>
  <c r="I2253" i="9"/>
  <c r="J2253" i="9" s="1"/>
  <c r="I2252" i="9"/>
  <c r="J2252" i="9" s="1"/>
  <c r="J2250" i="9" s="1"/>
  <c r="I2262" i="9" s="1"/>
  <c r="J2262" i="9" s="1"/>
  <c r="J2260" i="9" s="1"/>
  <c r="I2268" i="9" s="1"/>
  <c r="J2268" i="9" s="1"/>
  <c r="J2266" i="9" s="1"/>
  <c r="A2250" i="9"/>
  <c r="D2250" i="9" s="1"/>
  <c r="A2249" i="9"/>
  <c r="C2249" i="9" s="1"/>
  <c r="J2247" i="9"/>
  <c r="I2247" i="9"/>
  <c r="E2247" i="9"/>
  <c r="J2244" i="9"/>
  <c r="A2244" i="9"/>
  <c r="C2244" i="9" s="1"/>
  <c r="J2242" i="9"/>
  <c r="I2242" i="9"/>
  <c r="E2242" i="9"/>
  <c r="J2239" i="9"/>
  <c r="A2239" i="9"/>
  <c r="C2239" i="9" s="1"/>
  <c r="A2238" i="9"/>
  <c r="C2238" i="9" s="1"/>
  <c r="J2236" i="9"/>
  <c r="J2234" i="9"/>
  <c r="D2234" i="9"/>
  <c r="A2234" i="9"/>
  <c r="C2234" i="9" s="1"/>
  <c r="J2232" i="9"/>
  <c r="J2230" i="9" s="1"/>
  <c r="A2230" i="9"/>
  <c r="D2230" i="9" s="1"/>
  <c r="A2229" i="9"/>
  <c r="C2229" i="9" s="1"/>
  <c r="A2228" i="9"/>
  <c r="B2228" i="9" s="1"/>
  <c r="B2227" i="9"/>
  <c r="A2227" i="9"/>
  <c r="A2223" i="9"/>
  <c r="B2223" i="9" s="1"/>
  <c r="A2219" i="9"/>
  <c r="C2219" i="9" s="1"/>
  <c r="I2216" i="9"/>
  <c r="J2216" i="9" s="1"/>
  <c r="J2214" i="9"/>
  <c r="A2214" i="9"/>
  <c r="D2214" i="9" s="1"/>
  <c r="A2210" i="9"/>
  <c r="A2206" i="9"/>
  <c r="B2206" i="9" s="1"/>
  <c r="D2202" i="9"/>
  <c r="A2202" i="9"/>
  <c r="C2202" i="9" s="1"/>
  <c r="I2200" i="9"/>
  <c r="J2200" i="9" s="1"/>
  <c r="J2198" i="9" s="1"/>
  <c r="A2198" i="9"/>
  <c r="B2198" i="9" s="1"/>
  <c r="A2197" i="9"/>
  <c r="C2197" i="9" s="1"/>
  <c r="J2195" i="9"/>
  <c r="J2193" i="9" s="1"/>
  <c r="A2193" i="9"/>
  <c r="A2192" i="9"/>
  <c r="C2192" i="9" s="1"/>
  <c r="I2190" i="9"/>
  <c r="I2189" i="9"/>
  <c r="A2187" i="9"/>
  <c r="D2187" i="9" s="1"/>
  <c r="F2185" i="9"/>
  <c r="A2183" i="9"/>
  <c r="C2183" i="9" s="1"/>
  <c r="G2181" i="9"/>
  <c r="G2180" i="9"/>
  <c r="A2178" i="9"/>
  <c r="D2178" i="9" s="1"/>
  <c r="A2173" i="9"/>
  <c r="B2173" i="9" s="1"/>
  <c r="G2171" i="9"/>
  <c r="G2170" i="9"/>
  <c r="A2168" i="9"/>
  <c r="D2168" i="9" s="1"/>
  <c r="A2164" i="9"/>
  <c r="H2161" i="9"/>
  <c r="H2162" i="9" s="1"/>
  <c r="A2159" i="9"/>
  <c r="J2157" i="9"/>
  <c r="F2157" i="9"/>
  <c r="F2162" i="9" s="1"/>
  <c r="F2156" i="9"/>
  <c r="A2154" i="9"/>
  <c r="C2154" i="9" s="1"/>
  <c r="A2150" i="9"/>
  <c r="B2150" i="9" s="1"/>
  <c r="J2148" i="9"/>
  <c r="J2147" i="9"/>
  <c r="J2145" i="9" s="1"/>
  <c r="I2185" i="9" s="1"/>
  <c r="B2145" i="9"/>
  <c r="A2145" i="9"/>
  <c r="D2145" i="9" s="1"/>
  <c r="I2143" i="9"/>
  <c r="A2141" i="9"/>
  <c r="F2137" i="9"/>
  <c r="A2135" i="9"/>
  <c r="C2135" i="9" s="1"/>
  <c r="C2134" i="9"/>
  <c r="A2134" i="9"/>
  <c r="A2129" i="9"/>
  <c r="A2125" i="9"/>
  <c r="F2123" i="9"/>
  <c r="B2121" i="9"/>
  <c r="A2121" i="9"/>
  <c r="C2121" i="9" s="1"/>
  <c r="J2119" i="9"/>
  <c r="J2116" i="9" s="1"/>
  <c r="J2118" i="9"/>
  <c r="A2116" i="9"/>
  <c r="B2116" i="9" s="1"/>
  <c r="A2115" i="9"/>
  <c r="C2115" i="9" s="1"/>
  <c r="A2114" i="9"/>
  <c r="C2114" i="9" s="1"/>
  <c r="J2112" i="9"/>
  <c r="J2110" i="9" s="1"/>
  <c r="A2110" i="9"/>
  <c r="D2110" i="9" s="1"/>
  <c r="J2108" i="9"/>
  <c r="J2106" i="9"/>
  <c r="C2106" i="9"/>
  <c r="A2106" i="9"/>
  <c r="B2106" i="9" s="1"/>
  <c r="J2104" i="9"/>
  <c r="J2102" i="9"/>
  <c r="A2102" i="9"/>
  <c r="H2100" i="9"/>
  <c r="J2100" i="9" s="1"/>
  <c r="J2099" i="9"/>
  <c r="J2097" i="9" s="1"/>
  <c r="A2097" i="9"/>
  <c r="A2096" i="9"/>
  <c r="C2096" i="9" s="1"/>
  <c r="F2094" i="9"/>
  <c r="D2092" i="9"/>
  <c r="A2092" i="9"/>
  <c r="C2092" i="9" s="1"/>
  <c r="A2088" i="9"/>
  <c r="F2086" i="9"/>
  <c r="A2084" i="9"/>
  <c r="C2084" i="9" s="1"/>
  <c r="I2082" i="9"/>
  <c r="J2082" i="9" s="1"/>
  <c r="J2080" i="9" s="1"/>
  <c r="A2080" i="9"/>
  <c r="B2080" i="9" s="1"/>
  <c r="J2078" i="9"/>
  <c r="J2076" i="9" s="1"/>
  <c r="A2076" i="9"/>
  <c r="B2076" i="9" s="1"/>
  <c r="A2072" i="9"/>
  <c r="D2072" i="9" s="1"/>
  <c r="A2068" i="9"/>
  <c r="B2068" i="9" s="1"/>
  <c r="I2066" i="9"/>
  <c r="I2078" i="9" s="1"/>
  <c r="I2086" i="9" s="1"/>
  <c r="I2090" i="9" s="1"/>
  <c r="J2090" i="9" s="1"/>
  <c r="J2088" i="9" s="1"/>
  <c r="A2063" i="9"/>
  <c r="C2063" i="9" s="1"/>
  <c r="J2061" i="9"/>
  <c r="I2061" i="9"/>
  <c r="F2061" i="9"/>
  <c r="A2058" i="9"/>
  <c r="C2058" i="9" s="1"/>
  <c r="K2056" i="9"/>
  <c r="H2055" i="9"/>
  <c r="J2055" i="9" s="1"/>
  <c r="J2052" i="9" s="1"/>
  <c r="I2065" i="9" s="1"/>
  <c r="J2065" i="9" s="1"/>
  <c r="G2055" i="9"/>
  <c r="F2055" i="9"/>
  <c r="C2052" i="9"/>
  <c r="A2052" i="9"/>
  <c r="B2052" i="9" s="1"/>
  <c r="K2050" i="9"/>
  <c r="J2049" i="9"/>
  <c r="J2046" i="9" s="1"/>
  <c r="H2049" i="9"/>
  <c r="G2049" i="9"/>
  <c r="D2046" i="9"/>
  <c r="A2046" i="9"/>
  <c r="C2046" i="9" s="1"/>
  <c r="J2044" i="9"/>
  <c r="J2042" i="9" s="1"/>
  <c r="F2044" i="9"/>
  <c r="A2042" i="9"/>
  <c r="C2042" i="9" s="1"/>
  <c r="D2038" i="9"/>
  <c r="C2038" i="9"/>
  <c r="B2038" i="9"/>
  <c r="A2038" i="9"/>
  <c r="I2036" i="9"/>
  <c r="G2036" i="9"/>
  <c r="J2036" i="9" s="1"/>
  <c r="F2036" i="9"/>
  <c r="H2035" i="9"/>
  <c r="J2035" i="9" s="1"/>
  <c r="F2035" i="9"/>
  <c r="A2033" i="9"/>
  <c r="D2033" i="9" s="1"/>
  <c r="F2031" i="9"/>
  <c r="J2031" i="9" s="1"/>
  <c r="J2029" i="9" s="1"/>
  <c r="A2029" i="9"/>
  <c r="H2027" i="9"/>
  <c r="J2027" i="9" s="1"/>
  <c r="J2025" i="9"/>
  <c r="A2025" i="9"/>
  <c r="A2024" i="9"/>
  <c r="C2024" i="9" s="1"/>
  <c r="J2022" i="9"/>
  <c r="J2021" i="9"/>
  <c r="J2020" i="9" s="1"/>
  <c r="A2020" i="9"/>
  <c r="I2018" i="9"/>
  <c r="J2018" i="9" s="1"/>
  <c r="A2015" i="9"/>
  <c r="A2011" i="9"/>
  <c r="D2011" i="9" s="1"/>
  <c r="D2007" i="9"/>
  <c r="A2007" i="9"/>
  <c r="C2007" i="9" s="1"/>
  <c r="J2005" i="9"/>
  <c r="I2005" i="9"/>
  <c r="J2004" i="9"/>
  <c r="I2004" i="9"/>
  <c r="J2002" i="9"/>
  <c r="A2002" i="9"/>
  <c r="D2002" i="9" s="1"/>
  <c r="J2000" i="9"/>
  <c r="J1999" i="9"/>
  <c r="J1997" i="9" s="1"/>
  <c r="A1997" i="9"/>
  <c r="B1997" i="9" s="1"/>
  <c r="A1996" i="9"/>
  <c r="C1996" i="9" s="1"/>
  <c r="J1994" i="9"/>
  <c r="J1992" i="9"/>
  <c r="A1992" i="9"/>
  <c r="D1992" i="9" s="1"/>
  <c r="J1990" i="9"/>
  <c r="J1988" i="9" s="1"/>
  <c r="A1988" i="9"/>
  <c r="A1984" i="9"/>
  <c r="J1982" i="9"/>
  <c r="J1980" i="9" s="1"/>
  <c r="I1986" i="9" s="1"/>
  <c r="J1986" i="9" s="1"/>
  <c r="J1984" i="9" s="1"/>
  <c r="I1990" i="9" s="1"/>
  <c r="A1980" i="9"/>
  <c r="D1980" i="9" s="1"/>
  <c r="A1979" i="9"/>
  <c r="C1979" i="9" s="1"/>
  <c r="A1975" i="9"/>
  <c r="C1975" i="9" s="1"/>
  <c r="L1973" i="9"/>
  <c r="K1973" i="9"/>
  <c r="I1973" i="9"/>
  <c r="A1969" i="9"/>
  <c r="J1967" i="9"/>
  <c r="J1965" i="9"/>
  <c r="F1973" i="9" s="1"/>
  <c r="D1965" i="9"/>
  <c r="A1965" i="9"/>
  <c r="J1963" i="9"/>
  <c r="J1961" i="9" s="1"/>
  <c r="I1971" i="9" s="1"/>
  <c r="J1971" i="9" s="1"/>
  <c r="A1961" i="9"/>
  <c r="F1959" i="9"/>
  <c r="J1959" i="9" s="1"/>
  <c r="J1957" i="9"/>
  <c r="A1957" i="9"/>
  <c r="A1956" i="9"/>
  <c r="C1956" i="9" s="1"/>
  <c r="J1952" i="9"/>
  <c r="J1950" i="9" s="1"/>
  <c r="I1952" i="9"/>
  <c r="E1952" i="9"/>
  <c r="A1950" i="9"/>
  <c r="C1950" i="9" s="1"/>
  <c r="I1946" i="9"/>
  <c r="E1946" i="9"/>
  <c r="J1946" i="9" s="1"/>
  <c r="J1944" i="9" s="1"/>
  <c r="C1944" i="9"/>
  <c r="A1944" i="9"/>
  <c r="D1944" i="9" s="1"/>
  <c r="A1943" i="9"/>
  <c r="C1943" i="9" s="1"/>
  <c r="J1941" i="9"/>
  <c r="J1939" i="9" s="1"/>
  <c r="C1939" i="9"/>
  <c r="B1939" i="9"/>
  <c r="A1939" i="9"/>
  <c r="D1939" i="9" s="1"/>
  <c r="J1937" i="9"/>
  <c r="J1935" i="9"/>
  <c r="A1935" i="9"/>
  <c r="B1935" i="9" s="1"/>
  <c r="A1934" i="9"/>
  <c r="C1934" i="9" s="1"/>
  <c r="A1933" i="9"/>
  <c r="B1933" i="9" s="1"/>
  <c r="A1929" i="9"/>
  <c r="C1929" i="9" s="1"/>
  <c r="A1925" i="9"/>
  <c r="J1923" i="9"/>
  <c r="J1921" i="9"/>
  <c r="A1921" i="9"/>
  <c r="J1917" i="9"/>
  <c r="A1917" i="9"/>
  <c r="A1913" i="9"/>
  <c r="J1911" i="9"/>
  <c r="J1909" i="9" s="1"/>
  <c r="I1911" i="9"/>
  <c r="A1909" i="9"/>
  <c r="C1909" i="9" s="1"/>
  <c r="I1907" i="9"/>
  <c r="J1907" i="9" s="1"/>
  <c r="J1905" i="9"/>
  <c r="A1905" i="9"/>
  <c r="A1904" i="9"/>
  <c r="C1904" i="9" s="1"/>
  <c r="J1902" i="9"/>
  <c r="J1900" i="9" s="1"/>
  <c r="A1900" i="9"/>
  <c r="J1898" i="9"/>
  <c r="J1896" i="9"/>
  <c r="D1896" i="9"/>
  <c r="A1896" i="9"/>
  <c r="J1894" i="9"/>
  <c r="J1892" i="9"/>
  <c r="A1892" i="9"/>
  <c r="D1892" i="9" s="1"/>
  <c r="H1890" i="9"/>
  <c r="J1890" i="9" s="1"/>
  <c r="J1889" i="9"/>
  <c r="C1887" i="9"/>
  <c r="A1887" i="9"/>
  <c r="D1887" i="9" s="1"/>
  <c r="A1886" i="9"/>
  <c r="C1886" i="9" s="1"/>
  <c r="F1884" i="9"/>
  <c r="F1923" i="9" s="1"/>
  <c r="D1882" i="9"/>
  <c r="C1882" i="9"/>
  <c r="B1882" i="9"/>
  <c r="A1882" i="9"/>
  <c r="J1880" i="9"/>
  <c r="J1878" i="9"/>
  <c r="A1878" i="9"/>
  <c r="C1878" i="9" s="1"/>
  <c r="A1874" i="9"/>
  <c r="E1872" i="9"/>
  <c r="E1870" i="9"/>
  <c r="A1868" i="9"/>
  <c r="D1868" i="9" s="1"/>
  <c r="A1864" i="9"/>
  <c r="A1860" i="9"/>
  <c r="J1858" i="9"/>
  <c r="J1856" i="9" s="1"/>
  <c r="A1856" i="9"/>
  <c r="B1856" i="9" s="1"/>
  <c r="F1854" i="9"/>
  <c r="H1852" i="9"/>
  <c r="F1858" i="9" s="1"/>
  <c r="F1852" i="9"/>
  <c r="J1852" i="9" s="1"/>
  <c r="A1850" i="9"/>
  <c r="J1846" i="9"/>
  <c r="A1844" i="9"/>
  <c r="C1844" i="9" s="1"/>
  <c r="D1840" i="9"/>
  <c r="A1840" i="9"/>
  <c r="J1837" i="9"/>
  <c r="F1837" i="9"/>
  <c r="J1836" i="9"/>
  <c r="F1836" i="9"/>
  <c r="F1846" i="9" s="1"/>
  <c r="A1834" i="9"/>
  <c r="F1832" i="9"/>
  <c r="J1832" i="9" s="1"/>
  <c r="J1830" i="9"/>
  <c r="A1830" i="9"/>
  <c r="F1823" i="9"/>
  <c r="G1824" i="9" s="1"/>
  <c r="J1824" i="9" s="1"/>
  <c r="J1821" i="9"/>
  <c r="H1821" i="9"/>
  <c r="F1821" i="9"/>
  <c r="A1819" i="9"/>
  <c r="C1815" i="9"/>
  <c r="A1815" i="9"/>
  <c r="A1811" i="9"/>
  <c r="B1811" i="9" s="1"/>
  <c r="I1808" i="9"/>
  <c r="F1808" i="9"/>
  <c r="J1808" i="9" s="1"/>
  <c r="A1805" i="9"/>
  <c r="B1805" i="9" s="1"/>
  <c r="I1803" i="9"/>
  <c r="H1803" i="9"/>
  <c r="F1800" i="9"/>
  <c r="J1800" i="9" s="1"/>
  <c r="B1797" i="9"/>
  <c r="A1797" i="9"/>
  <c r="G1795" i="9"/>
  <c r="J1795" i="9" s="1"/>
  <c r="J1792" i="9" s="1"/>
  <c r="I1807" i="9" s="1"/>
  <c r="J1807" i="9" s="1"/>
  <c r="J1805" i="9" s="1"/>
  <c r="A1792" i="9"/>
  <c r="G1790" i="9"/>
  <c r="F1790" i="9"/>
  <c r="J1790" i="9" s="1"/>
  <c r="I1802" i="9" s="1"/>
  <c r="J1802" i="9" s="1"/>
  <c r="J1788" i="9"/>
  <c r="H1788" i="9"/>
  <c r="H1800" i="9" s="1"/>
  <c r="G1788" i="9"/>
  <c r="B1786" i="9"/>
  <c r="A1786" i="9"/>
  <c r="H1784" i="9"/>
  <c r="J1784" i="9" s="1"/>
  <c r="J1782" i="9" s="1"/>
  <c r="D1782" i="9"/>
  <c r="A1782" i="9"/>
  <c r="B1782" i="9" s="1"/>
  <c r="A1781" i="9"/>
  <c r="C1781" i="9" s="1"/>
  <c r="J1779" i="9"/>
  <c r="J1777" i="9" s="1"/>
  <c r="F1779" i="9"/>
  <c r="A1777" i="9"/>
  <c r="J1775" i="9"/>
  <c r="J1774" i="9"/>
  <c r="F1774" i="9"/>
  <c r="A1772" i="9"/>
  <c r="J1770" i="9"/>
  <c r="I1919" i="9" s="1"/>
  <c r="J1919" i="9" s="1"/>
  <c r="J1769" i="9"/>
  <c r="J1767" i="9"/>
  <c r="A1765" i="9"/>
  <c r="A1761" i="9"/>
  <c r="D1757" i="9"/>
  <c r="A1757" i="9"/>
  <c r="J1755" i="9"/>
  <c r="I1753" i="9"/>
  <c r="J1753" i="9" s="1"/>
  <c r="A1750" i="9"/>
  <c r="J1748" i="9"/>
  <c r="J1747" i="9"/>
  <c r="A1745" i="9"/>
  <c r="A1744" i="9"/>
  <c r="C1744" i="9" s="1"/>
  <c r="J1742" i="9"/>
  <c r="J1740" i="9"/>
  <c r="A1740" i="9"/>
  <c r="B1736" i="9"/>
  <c r="A1736" i="9"/>
  <c r="A1732" i="9"/>
  <c r="J1730" i="9"/>
  <c r="J1728" i="9"/>
  <c r="I1734" i="9" s="1"/>
  <c r="J1734" i="9" s="1"/>
  <c r="J1732" i="9" s="1"/>
  <c r="I1738" i="9" s="1"/>
  <c r="J1738" i="9" s="1"/>
  <c r="J1736" i="9" s="1"/>
  <c r="A1728" i="9"/>
  <c r="C1727" i="9"/>
  <c r="A1727" i="9"/>
  <c r="A1723" i="9"/>
  <c r="C1719" i="9"/>
  <c r="A1719" i="9"/>
  <c r="D1719" i="9" s="1"/>
  <c r="J1717" i="9"/>
  <c r="J1715" i="9" s="1"/>
  <c r="I1721" i="9" s="1"/>
  <c r="J1721" i="9" s="1"/>
  <c r="J1719" i="9" s="1"/>
  <c r="I1725" i="9" s="1"/>
  <c r="J1725" i="9" s="1"/>
  <c r="J1723" i="9" s="1"/>
  <c r="A1715" i="9"/>
  <c r="F1713" i="9"/>
  <c r="J1713" i="9" s="1"/>
  <c r="J1711" i="9" s="1"/>
  <c r="A1711" i="9"/>
  <c r="A1710" i="9"/>
  <c r="C1710" i="9" s="1"/>
  <c r="I1706" i="9"/>
  <c r="E1706" i="9"/>
  <c r="A1704" i="9"/>
  <c r="C1704" i="9" s="1"/>
  <c r="I1700" i="9"/>
  <c r="E1700" i="9"/>
  <c r="J1700" i="9" s="1"/>
  <c r="J1698" i="9" s="1"/>
  <c r="A1698" i="9"/>
  <c r="A1697" i="9"/>
  <c r="C1697" i="9" s="1"/>
  <c r="J1695" i="9"/>
  <c r="J1693" i="9" s="1"/>
  <c r="A1693" i="9"/>
  <c r="J1691" i="9"/>
  <c r="J1689" i="9" s="1"/>
  <c r="A1689" i="9"/>
  <c r="A1688" i="9"/>
  <c r="C1688" i="9" s="1"/>
  <c r="A1687" i="9"/>
  <c r="B1687" i="9" s="1"/>
  <c r="A1683" i="9"/>
  <c r="B1683" i="9" s="1"/>
  <c r="A1679" i="9"/>
  <c r="J1676" i="9"/>
  <c r="J1674" i="9" s="1"/>
  <c r="A1674" i="9"/>
  <c r="D1674" i="9" s="1"/>
  <c r="A1670" i="9"/>
  <c r="C1670" i="9" s="1"/>
  <c r="A1666" i="9"/>
  <c r="B1666" i="9" s="1"/>
  <c r="I1664" i="9"/>
  <c r="I1668" i="9" s="1"/>
  <c r="J1668" i="9" s="1"/>
  <c r="J1666" i="9" s="1"/>
  <c r="B1662" i="9"/>
  <c r="A1662" i="9"/>
  <c r="A1661" i="9"/>
  <c r="C1661" i="9" s="1"/>
  <c r="J1659" i="9"/>
  <c r="J1657" i="9" s="1"/>
  <c r="A1657" i="9"/>
  <c r="C1657" i="9" s="1"/>
  <c r="J1655" i="9"/>
  <c r="J1653" i="9"/>
  <c r="A1653" i="9"/>
  <c r="J1651" i="9"/>
  <c r="J1649" i="9" s="1"/>
  <c r="A1649" i="9"/>
  <c r="C1649" i="9" s="1"/>
  <c r="H1647" i="9"/>
  <c r="J1647" i="9" s="1"/>
  <c r="J1646" i="9"/>
  <c r="J1644" i="9" s="1"/>
  <c r="A1644" i="9"/>
  <c r="D1644" i="9" s="1"/>
  <c r="A1643" i="9"/>
  <c r="C1643" i="9" s="1"/>
  <c r="B1639" i="9"/>
  <c r="A1639" i="9"/>
  <c r="E1637" i="9"/>
  <c r="A1635" i="9"/>
  <c r="B1631" i="9"/>
  <c r="A1631" i="9"/>
  <c r="A1627" i="9"/>
  <c r="J1625" i="9"/>
  <c r="J1623" i="9"/>
  <c r="H1637" i="9" s="1"/>
  <c r="J1637" i="9" s="1"/>
  <c r="J1635" i="9" s="1"/>
  <c r="A1623" i="9"/>
  <c r="F1621" i="9"/>
  <c r="A1619" i="9"/>
  <c r="F1617" i="9"/>
  <c r="J1617" i="9" s="1"/>
  <c r="J1615" i="9"/>
  <c r="A1615" i="9"/>
  <c r="B1615" i="9" s="1"/>
  <c r="J1613" i="9"/>
  <c r="J1611" i="9" s="1"/>
  <c r="F1613" i="9"/>
  <c r="A1611" i="9"/>
  <c r="A1607" i="9"/>
  <c r="A1603" i="9"/>
  <c r="B1603" i="9" s="1"/>
  <c r="F1601" i="9"/>
  <c r="D1597" i="9"/>
  <c r="A1597" i="9"/>
  <c r="H1594" i="9"/>
  <c r="J1594" i="9" s="1"/>
  <c r="J1591" i="9" s="1"/>
  <c r="G1594" i="9"/>
  <c r="F1594" i="9"/>
  <c r="A1591" i="9"/>
  <c r="J1589" i="9"/>
  <c r="G1589" i="9"/>
  <c r="J1588" i="9"/>
  <c r="G1586" i="9"/>
  <c r="J1586" i="9" s="1"/>
  <c r="J1585" i="9"/>
  <c r="A1582" i="9"/>
  <c r="A1581" i="9"/>
  <c r="C1581" i="9" s="1"/>
  <c r="J1579" i="9"/>
  <c r="J1578" i="9"/>
  <c r="A1576" i="9"/>
  <c r="I1574" i="9"/>
  <c r="J1574" i="9" s="1"/>
  <c r="I1676" i="9" s="1"/>
  <c r="F1573" i="9"/>
  <c r="J1573" i="9" s="1"/>
  <c r="J1572" i="9"/>
  <c r="J1568" i="9" s="1"/>
  <c r="F1572" i="9"/>
  <c r="I1570" i="9"/>
  <c r="J1570" i="9" s="1"/>
  <c r="A1568" i="9"/>
  <c r="A1564" i="9"/>
  <c r="D1560" i="9"/>
  <c r="B1560" i="9"/>
  <c r="A1560" i="9"/>
  <c r="C1560" i="9" s="1"/>
  <c r="J1558" i="9"/>
  <c r="J1557" i="9"/>
  <c r="B1552" i="9"/>
  <c r="A1552" i="9"/>
  <c r="J1550" i="9"/>
  <c r="I1555" i="9" s="1"/>
  <c r="J1555" i="9" s="1"/>
  <c r="J1549" i="9"/>
  <c r="I1554" i="9" s="1"/>
  <c r="J1554" i="9" s="1"/>
  <c r="A1547" i="9"/>
  <c r="D1547" i="9" s="1"/>
  <c r="A1546" i="9"/>
  <c r="C1546" i="9" s="1"/>
  <c r="J1544" i="9"/>
  <c r="J1542" i="9" s="1"/>
  <c r="A1542" i="9"/>
  <c r="B1542" i="9" s="1"/>
  <c r="A1538" i="9"/>
  <c r="D1538" i="9" s="1"/>
  <c r="A1534" i="9"/>
  <c r="B1534" i="9" s="1"/>
  <c r="J1532" i="9"/>
  <c r="J1530" i="9" s="1"/>
  <c r="A1530" i="9"/>
  <c r="A1529" i="9"/>
  <c r="C1529" i="9" s="1"/>
  <c r="A1525" i="9"/>
  <c r="D1525" i="9" s="1"/>
  <c r="I1523" i="9"/>
  <c r="J1523" i="9" s="1"/>
  <c r="J1521" i="9"/>
  <c r="I1527" i="9" s="1"/>
  <c r="J1527" i="9" s="1"/>
  <c r="J1525" i="9" s="1"/>
  <c r="A1521" i="9"/>
  <c r="B1521" i="9" s="1"/>
  <c r="J1519" i="9"/>
  <c r="J1517" i="9" s="1"/>
  <c r="A1517" i="9"/>
  <c r="J1515" i="9"/>
  <c r="J1513" i="9" s="1"/>
  <c r="F1515" i="9"/>
  <c r="A1513" i="9"/>
  <c r="D1513" i="9" s="1"/>
  <c r="A1512" i="9"/>
  <c r="C1512" i="9" s="1"/>
  <c r="J1508" i="9"/>
  <c r="I1508" i="9"/>
  <c r="E1508" i="9"/>
  <c r="J1506" i="9"/>
  <c r="A1506" i="9"/>
  <c r="I1502" i="9"/>
  <c r="E1502" i="9"/>
  <c r="J1502" i="9" s="1"/>
  <c r="J1500" i="9" s="1"/>
  <c r="A1500" i="9"/>
  <c r="A1499" i="9"/>
  <c r="C1499" i="9" s="1"/>
  <c r="J1497" i="9"/>
  <c r="J1495" i="9"/>
  <c r="A1495" i="9"/>
  <c r="D1495" i="9" s="1"/>
  <c r="J1493" i="9"/>
  <c r="J1491" i="9"/>
  <c r="A1491" i="9"/>
  <c r="A1490" i="9"/>
  <c r="C1490" i="9" s="1"/>
  <c r="A1489" i="9"/>
  <c r="B1489" i="9" s="1"/>
  <c r="A1485" i="9"/>
  <c r="A1481" i="9"/>
  <c r="D1481" i="9" s="1"/>
  <c r="A1477" i="9"/>
  <c r="B1477" i="9" s="1"/>
  <c r="A1473" i="9"/>
  <c r="C1473" i="9" s="1"/>
  <c r="A1469" i="9"/>
  <c r="I1467" i="9"/>
  <c r="J1467" i="9" s="1"/>
  <c r="J1465" i="9" s="1"/>
  <c r="A1465" i="9"/>
  <c r="D1465" i="9" s="1"/>
  <c r="J1463" i="9"/>
  <c r="J1461" i="9" s="1"/>
  <c r="I1463" i="9"/>
  <c r="A1461" i="9"/>
  <c r="D1461" i="9" s="1"/>
  <c r="A1460" i="9"/>
  <c r="C1460" i="9" s="1"/>
  <c r="J1458" i="9"/>
  <c r="J1456" i="9"/>
  <c r="A1456" i="9"/>
  <c r="J1454" i="9"/>
  <c r="J1452" i="9"/>
  <c r="A1452" i="9"/>
  <c r="J1450" i="9"/>
  <c r="J1448" i="9" s="1"/>
  <c r="A1448" i="9"/>
  <c r="B1448" i="9" s="1"/>
  <c r="H1446" i="9"/>
  <c r="J1446" i="9" s="1"/>
  <c r="J1445" i="9"/>
  <c r="J1443" i="9"/>
  <c r="A1443" i="9"/>
  <c r="A1442" i="9"/>
  <c r="C1442" i="9" s="1"/>
  <c r="F1440" i="9"/>
  <c r="J1440" i="9" s="1"/>
  <c r="J1438" i="9" s="1"/>
  <c r="A1438" i="9"/>
  <c r="A1434" i="9"/>
  <c r="C1434" i="9" s="1"/>
  <c r="H1432" i="9"/>
  <c r="J1432" i="9" s="1"/>
  <c r="J1430" i="9" s="1"/>
  <c r="F1432" i="9"/>
  <c r="A1430" i="9"/>
  <c r="C1430" i="9" s="1"/>
  <c r="F1428" i="9"/>
  <c r="J1428" i="9" s="1"/>
  <c r="J1426" i="9"/>
  <c r="D1426" i="9"/>
  <c r="B1426" i="9"/>
  <c r="A1426" i="9"/>
  <c r="C1426" i="9" s="1"/>
  <c r="J1424" i="9"/>
  <c r="J1422" i="9" s="1"/>
  <c r="H1424" i="9"/>
  <c r="A1422" i="9"/>
  <c r="A1421" i="9"/>
  <c r="C1421" i="9" s="1"/>
  <c r="F1419" i="9"/>
  <c r="J1419" i="9" s="1"/>
  <c r="F1418" i="9"/>
  <c r="J1418" i="9" s="1"/>
  <c r="A1416" i="9"/>
  <c r="I1414" i="9"/>
  <c r="J1414" i="9" s="1"/>
  <c r="I1475" i="9" s="1"/>
  <c r="J1475" i="9" s="1"/>
  <c r="J1473" i="9" s="1"/>
  <c r="I1413" i="9"/>
  <c r="J1413" i="9" s="1"/>
  <c r="A1411" i="9"/>
  <c r="D1407" i="9"/>
  <c r="A1407" i="9"/>
  <c r="C1407" i="9" s="1"/>
  <c r="A1403" i="9"/>
  <c r="I1401" i="9"/>
  <c r="J1401" i="9" s="1"/>
  <c r="J1398" i="9" s="1"/>
  <c r="I1400" i="9"/>
  <c r="J1400" i="9" s="1"/>
  <c r="A1398" i="9"/>
  <c r="I1396" i="9"/>
  <c r="J1396" i="9" s="1"/>
  <c r="I1395" i="9"/>
  <c r="J1395" i="9" s="1"/>
  <c r="J1393" i="9" s="1"/>
  <c r="I1483" i="9" s="1"/>
  <c r="A1393" i="9"/>
  <c r="J1391" i="9"/>
  <c r="J1390" i="9"/>
  <c r="J1388" i="9"/>
  <c r="D1388" i="9"/>
  <c r="A1388" i="9"/>
  <c r="C1388" i="9" s="1"/>
  <c r="A1387" i="9"/>
  <c r="C1387" i="9" s="1"/>
  <c r="I1385" i="9"/>
  <c r="J1385" i="9" s="1"/>
  <c r="J1383" i="9" s="1"/>
  <c r="C1383" i="9"/>
  <c r="A1383" i="9"/>
  <c r="D1383" i="9" s="1"/>
  <c r="A1379" i="9"/>
  <c r="I1377" i="9"/>
  <c r="J1377" i="9" s="1"/>
  <c r="J1375" i="9"/>
  <c r="I1381" i="9" s="1"/>
  <c r="J1381" i="9" s="1"/>
  <c r="J1379" i="9" s="1"/>
  <c r="A1375" i="9"/>
  <c r="B1375" i="9" s="1"/>
  <c r="I1373" i="9"/>
  <c r="J1373" i="9" s="1"/>
  <c r="J1371" i="9" s="1"/>
  <c r="A1371" i="9"/>
  <c r="A1370" i="9"/>
  <c r="C1370" i="9" s="1"/>
  <c r="A1366" i="9"/>
  <c r="B1366" i="9" s="1"/>
  <c r="J1362" i="9"/>
  <c r="I1368" i="9" s="1"/>
  <c r="J1368" i="9" s="1"/>
  <c r="J1366" i="9" s="1"/>
  <c r="A1362" i="9"/>
  <c r="J1360" i="9"/>
  <c r="J1358" i="9" s="1"/>
  <c r="I1364" i="9" s="1"/>
  <c r="J1364" i="9" s="1"/>
  <c r="A1358" i="9"/>
  <c r="D1358" i="9" s="1"/>
  <c r="F1356" i="9"/>
  <c r="J1356" i="9" s="1"/>
  <c r="J1354" i="9" s="1"/>
  <c r="A1354" i="9"/>
  <c r="A1353" i="9"/>
  <c r="C1353" i="9" s="1"/>
  <c r="I1349" i="9"/>
  <c r="E1349" i="9"/>
  <c r="J1349" i="9" s="1"/>
  <c r="J1347" i="9" s="1"/>
  <c r="A1347" i="9"/>
  <c r="J1343" i="9"/>
  <c r="J1341" i="9" s="1"/>
  <c r="I1343" i="9"/>
  <c r="E1343" i="9"/>
  <c r="C1341" i="9"/>
  <c r="A1341" i="9"/>
  <c r="A1340" i="9"/>
  <c r="C1340" i="9" s="1"/>
  <c r="J1338" i="9"/>
  <c r="J1336" i="9" s="1"/>
  <c r="A1336" i="9"/>
  <c r="C1336" i="9" s="1"/>
  <c r="J1334" i="9"/>
  <c r="J1332" i="9"/>
  <c r="A1332" i="9"/>
  <c r="A1331" i="9"/>
  <c r="C1331" i="9" s="1"/>
  <c r="A1330" i="9"/>
  <c r="B1330" i="9" s="1"/>
  <c r="D1326" i="9"/>
  <c r="A1326" i="9"/>
  <c r="A1322" i="9"/>
  <c r="D1322" i="9" s="1"/>
  <c r="A1318" i="9"/>
  <c r="D1318" i="9" s="1"/>
  <c r="A1314" i="9"/>
  <c r="A1310" i="9"/>
  <c r="A1306" i="9"/>
  <c r="D1306" i="9" s="1"/>
  <c r="A1301" i="9"/>
  <c r="D1301" i="9" s="1"/>
  <c r="A1297" i="9"/>
  <c r="J1295" i="9"/>
  <c r="J1293" i="9" s="1"/>
  <c r="A1293" i="9"/>
  <c r="D1293" i="9" s="1"/>
  <c r="I1291" i="9"/>
  <c r="I1295" i="9" s="1"/>
  <c r="A1289" i="9"/>
  <c r="A1288" i="9"/>
  <c r="C1288" i="9" s="1"/>
  <c r="J1286" i="9"/>
  <c r="J1284" i="9" s="1"/>
  <c r="I1163" i="9" s="1"/>
  <c r="A1284" i="9"/>
  <c r="A1283" i="9"/>
  <c r="C1283" i="9" s="1"/>
  <c r="J1281" i="9"/>
  <c r="J1279" i="9" s="1"/>
  <c r="A1279" i="9"/>
  <c r="D1279" i="9" s="1"/>
  <c r="J1277" i="9"/>
  <c r="J1275" i="9" s="1"/>
  <c r="A1275" i="9"/>
  <c r="J1273" i="9"/>
  <c r="J1271" i="9" s="1"/>
  <c r="A1271" i="9"/>
  <c r="D1271" i="9" s="1"/>
  <c r="J1269" i="9"/>
  <c r="J1267" i="9"/>
  <c r="A1267" i="9"/>
  <c r="J1265" i="9"/>
  <c r="H1265" i="9"/>
  <c r="J1264" i="9"/>
  <c r="H1264" i="9"/>
  <c r="J1263" i="9"/>
  <c r="H1263" i="9"/>
  <c r="J1262" i="9"/>
  <c r="J1260" i="9"/>
  <c r="A1260" i="9"/>
  <c r="C1259" i="9"/>
  <c r="A1259" i="9"/>
  <c r="J1258" i="9"/>
  <c r="F1258" i="9"/>
  <c r="F1312" i="9" s="1"/>
  <c r="J1312" i="9" s="1"/>
  <c r="J1310" i="9" s="1"/>
  <c r="J1256" i="9"/>
  <c r="B1256" i="9"/>
  <c r="A1256" i="9"/>
  <c r="D1256" i="9" s="1"/>
  <c r="D1252" i="9"/>
  <c r="B1252" i="9"/>
  <c r="A1252" i="9"/>
  <c r="C1252" i="9" s="1"/>
  <c r="A1248" i="9"/>
  <c r="B1248" i="9" s="1"/>
  <c r="J1246" i="9"/>
  <c r="J1244" i="9" s="1"/>
  <c r="I1246" i="9"/>
  <c r="I1250" i="9" s="1"/>
  <c r="J1250" i="9" s="1"/>
  <c r="J1248" i="9" s="1"/>
  <c r="F1246" i="9"/>
  <c r="A1244" i="9"/>
  <c r="D1244" i="9" s="1"/>
  <c r="J1241" i="9"/>
  <c r="J1239" i="9" s="1"/>
  <c r="I1241" i="9"/>
  <c r="A1239" i="9"/>
  <c r="F1237" i="9"/>
  <c r="J1237" i="9" s="1"/>
  <c r="I1236" i="9"/>
  <c r="G1236" i="9"/>
  <c r="F1236" i="9"/>
  <c r="J1236" i="9" s="1"/>
  <c r="J1234" i="9"/>
  <c r="A1234" i="9"/>
  <c r="D1234" i="9" s="1"/>
  <c r="A1230" i="9"/>
  <c r="C1230" i="9" s="1"/>
  <c r="B1226" i="9"/>
  <c r="A1226" i="9"/>
  <c r="D1226" i="9" s="1"/>
  <c r="J1223" i="9"/>
  <c r="I1223" i="9"/>
  <c r="B1220" i="9"/>
  <c r="A1220" i="9"/>
  <c r="I1218" i="9"/>
  <c r="F1218" i="9"/>
  <c r="J1218" i="9" s="1"/>
  <c r="A1215" i="9"/>
  <c r="K1213" i="9"/>
  <c r="H1212" i="9"/>
  <c r="H1223" i="9" s="1"/>
  <c r="G1212" i="9"/>
  <c r="F1212" i="9"/>
  <c r="J1212" i="9" s="1"/>
  <c r="J1209" i="9" s="1"/>
  <c r="I1222" i="9" s="1"/>
  <c r="J1222" i="9" s="1"/>
  <c r="J1220" i="9" s="1"/>
  <c r="A1209" i="9"/>
  <c r="K1206" i="9"/>
  <c r="H1206" i="9"/>
  <c r="J1206" i="9" s="1"/>
  <c r="A1203" i="9"/>
  <c r="F1201" i="9"/>
  <c r="J1201" i="9" s="1"/>
  <c r="J1199" i="9" s="1"/>
  <c r="K1200" i="9"/>
  <c r="A1199" i="9"/>
  <c r="D1199" i="9" s="1"/>
  <c r="I1197" i="9"/>
  <c r="J1197" i="9" s="1"/>
  <c r="J1195" i="9"/>
  <c r="H1193" i="9"/>
  <c r="F1193" i="9"/>
  <c r="J1193" i="9" s="1"/>
  <c r="A1191" i="9"/>
  <c r="J1189" i="9"/>
  <c r="H1189" i="9"/>
  <c r="J1187" i="9"/>
  <c r="A1187" i="9"/>
  <c r="C1187" i="9" s="1"/>
  <c r="C1186" i="9"/>
  <c r="A1186" i="9"/>
  <c r="F1184" i="9"/>
  <c r="J1184" i="9" s="1"/>
  <c r="J1182" i="9" s="1"/>
  <c r="A1182" i="9"/>
  <c r="B1182" i="9" s="1"/>
  <c r="K1180" i="9"/>
  <c r="F1180" i="9"/>
  <c r="J1180" i="9" s="1"/>
  <c r="J1178" i="9" s="1"/>
  <c r="A1178" i="9"/>
  <c r="D1178" i="9" s="1"/>
  <c r="J1176" i="9"/>
  <c r="J1174" i="9" s="1"/>
  <c r="F1176" i="9"/>
  <c r="A1174" i="9"/>
  <c r="B1174" i="9" s="1"/>
  <c r="F1172" i="9"/>
  <c r="F1167" i="9" s="1"/>
  <c r="J1167" i="9" s="1"/>
  <c r="A1170" i="9"/>
  <c r="F1168" i="9"/>
  <c r="J1168" i="9" s="1"/>
  <c r="A1165" i="9"/>
  <c r="J1163" i="9"/>
  <c r="A1160" i="9"/>
  <c r="I1158" i="9"/>
  <c r="J1158" i="9" s="1"/>
  <c r="J1156" i="9" s="1"/>
  <c r="I1162" i="9" s="1"/>
  <c r="J1162" i="9" s="1"/>
  <c r="J1160" i="9" s="1"/>
  <c r="I1328" i="9" s="1"/>
  <c r="J1328" i="9" s="1"/>
  <c r="J1326" i="9" s="1"/>
  <c r="A1156" i="9"/>
  <c r="B1156" i="9" s="1"/>
  <c r="A1152" i="9"/>
  <c r="B1152" i="9" s="1"/>
  <c r="A1148" i="9"/>
  <c r="C1148" i="9" s="1"/>
  <c r="A1144" i="9"/>
  <c r="I1142" i="9"/>
  <c r="J1142" i="9" s="1"/>
  <c r="J1139" i="9" s="1"/>
  <c r="I1146" i="9" s="1"/>
  <c r="J1146" i="9" s="1"/>
  <c r="J1144" i="9" s="1"/>
  <c r="I1308" i="9" s="1"/>
  <c r="J1308" i="9" s="1"/>
  <c r="J1306" i="9" s="1"/>
  <c r="A1139" i="9"/>
  <c r="I1137" i="9"/>
  <c r="J1137" i="9" s="1"/>
  <c r="I1303" i="9" s="1"/>
  <c r="J1303" i="9" s="1"/>
  <c r="J1301" i="9" s="1"/>
  <c r="I1136" i="9"/>
  <c r="J1136" i="9" s="1"/>
  <c r="A1134" i="9"/>
  <c r="D1130" i="9"/>
  <c r="A1130" i="9"/>
  <c r="A1126" i="9"/>
  <c r="B1126" i="9" s="1"/>
  <c r="I1122" i="9"/>
  <c r="J1122" i="9" s="1"/>
  <c r="I1121" i="9"/>
  <c r="J1121" i="9" s="1"/>
  <c r="A1118" i="9"/>
  <c r="G1116" i="9"/>
  <c r="A1113" i="9"/>
  <c r="J1111" i="9"/>
  <c r="J1105" i="9" s="1"/>
  <c r="G1111" i="9"/>
  <c r="F1111" i="9"/>
  <c r="F1116" i="9" s="1"/>
  <c r="J1109" i="9"/>
  <c r="J1108" i="9"/>
  <c r="A1105" i="9"/>
  <c r="D1105" i="9" s="1"/>
  <c r="A1104" i="9"/>
  <c r="C1104" i="9" s="1"/>
  <c r="I1102" i="9"/>
  <c r="J1102" i="9" s="1"/>
  <c r="J1100" i="9" s="1"/>
  <c r="A1100" i="9"/>
  <c r="B1096" i="9"/>
  <c r="A1096" i="9"/>
  <c r="C1096" i="9" s="1"/>
  <c r="I1094" i="9"/>
  <c r="J1094" i="9" s="1"/>
  <c r="J1092" i="9" s="1"/>
  <c r="I1098" i="9" s="1"/>
  <c r="J1098" i="9" s="1"/>
  <c r="J1096" i="9" s="1"/>
  <c r="A1092" i="9"/>
  <c r="D1092" i="9" s="1"/>
  <c r="I1090" i="9"/>
  <c r="J1090" i="9" s="1"/>
  <c r="J1088" i="9" s="1"/>
  <c r="A1088" i="9"/>
  <c r="A1087" i="9"/>
  <c r="C1087" i="9" s="1"/>
  <c r="A1083" i="9"/>
  <c r="D1083" i="9" s="1"/>
  <c r="I1081" i="9"/>
  <c r="J1081" i="9" s="1"/>
  <c r="J1079" i="9" s="1"/>
  <c r="I1085" i="9" s="1"/>
  <c r="J1085" i="9" s="1"/>
  <c r="J1083" i="9" s="1"/>
  <c r="A1079" i="9"/>
  <c r="K1077" i="9"/>
  <c r="J1077" i="9"/>
  <c r="J1075" i="9"/>
  <c r="A1075" i="9"/>
  <c r="J1073" i="9"/>
  <c r="F1073" i="9"/>
  <c r="F1072" i="9"/>
  <c r="J1072" i="9" s="1"/>
  <c r="A1070" i="9"/>
  <c r="D1070" i="9" s="1"/>
  <c r="A1069" i="9"/>
  <c r="C1069" i="9" s="1"/>
  <c r="J1065" i="9"/>
  <c r="J1063" i="9" s="1"/>
  <c r="I1065" i="9"/>
  <c r="E1065" i="9"/>
  <c r="A1063" i="9"/>
  <c r="D1063" i="9" s="1"/>
  <c r="J1059" i="9"/>
  <c r="J1057" i="9" s="1"/>
  <c r="I1059" i="9"/>
  <c r="E1059" i="9"/>
  <c r="B1057" i="9"/>
  <c r="A1057" i="9"/>
  <c r="A1056" i="9"/>
  <c r="C1056" i="9" s="1"/>
  <c r="J1054" i="9"/>
  <c r="J1052" i="9"/>
  <c r="D1052" i="9"/>
  <c r="A1052" i="9"/>
  <c r="C1052" i="9" s="1"/>
  <c r="J1050" i="9"/>
  <c r="J1048" i="9" s="1"/>
  <c r="A1048" i="9"/>
  <c r="C1047" i="9"/>
  <c r="A1047" i="9"/>
  <c r="A1046" i="9"/>
  <c r="B1046" i="9" s="1"/>
  <c r="A1042" i="9"/>
  <c r="A1038" i="9"/>
  <c r="D1038" i="9" s="1"/>
  <c r="A1034" i="9"/>
  <c r="D1034" i="9" s="1"/>
  <c r="A1030" i="9"/>
  <c r="D1030" i="9" s="1"/>
  <c r="A1025" i="9"/>
  <c r="A1021" i="9"/>
  <c r="A1017" i="9"/>
  <c r="C1017" i="9" s="1"/>
  <c r="I1015" i="9"/>
  <c r="J1015" i="9" s="1"/>
  <c r="J1013" i="9" s="1"/>
  <c r="A1013" i="9"/>
  <c r="D1013" i="9" s="1"/>
  <c r="A1012" i="9"/>
  <c r="C1012" i="9" s="1"/>
  <c r="J1010" i="9"/>
  <c r="J1008" i="9"/>
  <c r="A1008" i="9"/>
  <c r="J1006" i="9"/>
  <c r="J1004" i="9"/>
  <c r="A1004" i="9"/>
  <c r="J1002" i="9"/>
  <c r="J1000" i="9" s="1"/>
  <c r="A1000" i="9"/>
  <c r="H998" i="9"/>
  <c r="J998" i="9" s="1"/>
  <c r="J997" i="9"/>
  <c r="A995" i="9"/>
  <c r="D995" i="9" s="1"/>
  <c r="A994" i="9"/>
  <c r="C994" i="9" s="1"/>
  <c r="A990" i="9"/>
  <c r="B990" i="9" s="1"/>
  <c r="E986" i="9"/>
  <c r="B984" i="9"/>
  <c r="A984" i="9"/>
  <c r="A980" i="9"/>
  <c r="D980" i="9" s="1"/>
  <c r="A976" i="9"/>
  <c r="F974" i="9"/>
  <c r="J974" i="9" s="1"/>
  <c r="A971" i="9"/>
  <c r="H969" i="9"/>
  <c r="F969" i="9"/>
  <c r="J969" i="9" s="1"/>
  <c r="F968" i="9"/>
  <c r="A966" i="9"/>
  <c r="D966" i="9" s="1"/>
  <c r="F964" i="9"/>
  <c r="J964" i="9" s="1"/>
  <c r="A961" i="9"/>
  <c r="D961" i="9" s="1"/>
  <c r="F959" i="9"/>
  <c r="J959" i="9" s="1"/>
  <c r="J957" i="9"/>
  <c r="F957" i="9"/>
  <c r="F963" i="9" s="1"/>
  <c r="H968" i="9" s="1"/>
  <c r="F973" i="9" s="1"/>
  <c r="J973" i="9" s="1"/>
  <c r="A955" i="9"/>
  <c r="B955" i="9" s="1"/>
  <c r="J953" i="9"/>
  <c r="J951" i="9" s="1"/>
  <c r="F953" i="9"/>
  <c r="D951" i="9"/>
  <c r="A951" i="9"/>
  <c r="G948" i="9"/>
  <c r="F948" i="9"/>
  <c r="F946" i="9"/>
  <c r="G947" i="9" s="1"/>
  <c r="J947" i="9" s="1"/>
  <c r="J944" i="9"/>
  <c r="H944" i="9"/>
  <c r="F944" i="9"/>
  <c r="A942" i="9"/>
  <c r="A938" i="9"/>
  <c r="A934" i="9"/>
  <c r="H932" i="9"/>
  <c r="F932" i="9"/>
  <c r="F958" i="9" s="1"/>
  <c r="J958" i="9" s="1"/>
  <c r="J931" i="9"/>
  <c r="H931" i="9"/>
  <c r="F931" i="9"/>
  <c r="A928" i="9"/>
  <c r="D928" i="9" s="1"/>
  <c r="J926" i="9"/>
  <c r="H926" i="9"/>
  <c r="G926" i="9"/>
  <c r="J925" i="9"/>
  <c r="H925" i="9"/>
  <c r="G925" i="9"/>
  <c r="A923" i="9"/>
  <c r="B923" i="9" s="1"/>
  <c r="H921" i="9"/>
  <c r="J921" i="9" s="1"/>
  <c r="J919" i="9" s="1"/>
  <c r="C919" i="9"/>
  <c r="B919" i="9"/>
  <c r="A919" i="9"/>
  <c r="D919" i="9" s="1"/>
  <c r="A918" i="9"/>
  <c r="C918" i="9" s="1"/>
  <c r="J916" i="9"/>
  <c r="F915" i="9"/>
  <c r="J915" i="9" s="1"/>
  <c r="J913" i="9" s="1"/>
  <c r="A913" i="9"/>
  <c r="J910" i="9"/>
  <c r="J909" i="9"/>
  <c r="A905" i="9"/>
  <c r="B901" i="9"/>
  <c r="A901" i="9"/>
  <c r="A897" i="9"/>
  <c r="B897" i="9" s="1"/>
  <c r="J895" i="9"/>
  <c r="F895" i="9"/>
  <c r="F894" i="9"/>
  <c r="J894" i="9" s="1"/>
  <c r="D890" i="9"/>
  <c r="A890" i="9"/>
  <c r="C890" i="9" s="1"/>
  <c r="J888" i="9"/>
  <c r="J887" i="9"/>
  <c r="A883" i="9"/>
  <c r="J881" i="9"/>
  <c r="I893" i="9" s="1"/>
  <c r="J893" i="9" s="1"/>
  <c r="J880" i="9"/>
  <c r="A878" i="9"/>
  <c r="A877" i="9"/>
  <c r="C877" i="9" s="1"/>
  <c r="I875" i="9"/>
  <c r="J875" i="9" s="1"/>
  <c r="J873" i="9" s="1"/>
  <c r="A873" i="9"/>
  <c r="B873" i="9" s="1"/>
  <c r="A869" i="9"/>
  <c r="I867" i="9"/>
  <c r="J867" i="9" s="1"/>
  <c r="J865" i="9" s="1"/>
  <c r="I871" i="9" s="1"/>
  <c r="J871" i="9" s="1"/>
  <c r="J869" i="9" s="1"/>
  <c r="A865" i="9"/>
  <c r="B865" i="9" s="1"/>
  <c r="I863" i="9"/>
  <c r="J863" i="9" s="1"/>
  <c r="J861" i="9" s="1"/>
  <c r="A861" i="9"/>
  <c r="D861" i="9" s="1"/>
  <c r="A860" i="9"/>
  <c r="C860" i="9" s="1"/>
  <c r="A856" i="9"/>
  <c r="C856" i="9" s="1"/>
  <c r="C852" i="9"/>
  <c r="A852" i="9"/>
  <c r="B852" i="9" s="1"/>
  <c r="J850" i="9"/>
  <c r="J848" i="9"/>
  <c r="I854" i="9" s="1"/>
  <c r="J854" i="9" s="1"/>
  <c r="J852" i="9" s="1"/>
  <c r="I858" i="9" s="1"/>
  <c r="J858" i="9" s="1"/>
  <c r="J856" i="9" s="1"/>
  <c r="B848" i="9"/>
  <c r="A848" i="9"/>
  <c r="J846" i="9"/>
  <c r="J844" i="9" s="1"/>
  <c r="F846" i="9"/>
  <c r="A844" i="9"/>
  <c r="C844" i="9" s="1"/>
  <c r="A843" i="9"/>
  <c r="C843" i="9" s="1"/>
  <c r="I839" i="9"/>
  <c r="E839" i="9"/>
  <c r="J839" i="9" s="1"/>
  <c r="J837" i="9"/>
  <c r="A837" i="9"/>
  <c r="I833" i="9"/>
  <c r="E833" i="9"/>
  <c r="J833" i="9" s="1"/>
  <c r="J831" i="9" s="1"/>
  <c r="A831" i="9"/>
  <c r="C831" i="9" s="1"/>
  <c r="A830" i="9"/>
  <c r="C830" i="9" s="1"/>
  <c r="J828" i="9"/>
  <c r="J826" i="9"/>
  <c r="B826" i="9"/>
  <c r="A826" i="9"/>
  <c r="D826" i="9" s="1"/>
  <c r="J824" i="9"/>
  <c r="J822" i="9"/>
  <c r="A822" i="9"/>
  <c r="B822" i="9" s="1"/>
  <c r="A821" i="9"/>
  <c r="C821" i="9" s="1"/>
  <c r="A820" i="9"/>
  <c r="B820" i="9" s="1"/>
  <c r="A816" i="9"/>
  <c r="D816" i="9" s="1"/>
  <c r="A812" i="9"/>
  <c r="A808" i="9"/>
  <c r="A804" i="9"/>
  <c r="D804" i="9" s="1"/>
  <c r="A800" i="9"/>
  <c r="A796" i="9"/>
  <c r="A791" i="9"/>
  <c r="D791" i="9" s="1"/>
  <c r="A787" i="9"/>
  <c r="C787" i="9" s="1"/>
  <c r="J785" i="9"/>
  <c r="J783" i="9" s="1"/>
  <c r="I785" i="9"/>
  <c r="A783" i="9"/>
  <c r="C783" i="9" s="1"/>
  <c r="I781" i="9"/>
  <c r="J781" i="9" s="1"/>
  <c r="J779" i="9"/>
  <c r="A779" i="9"/>
  <c r="A778" i="9"/>
  <c r="C778" i="9" s="1"/>
  <c r="J776" i="9"/>
  <c r="J773" i="9" s="1"/>
  <c r="J775" i="9"/>
  <c r="A773" i="9"/>
  <c r="D773" i="9" s="1"/>
  <c r="A772" i="9"/>
  <c r="C772" i="9" s="1"/>
  <c r="J770" i="9"/>
  <c r="J768" i="9" s="1"/>
  <c r="B768" i="9"/>
  <c r="A768" i="9"/>
  <c r="D768" i="9" s="1"/>
  <c r="J766" i="9"/>
  <c r="J764" i="9"/>
  <c r="A764" i="9"/>
  <c r="J762" i="9"/>
  <c r="J760" i="9" s="1"/>
  <c r="B760" i="9"/>
  <c r="A760" i="9"/>
  <c r="J758" i="9"/>
  <c r="J756" i="9" s="1"/>
  <c r="B756" i="9"/>
  <c r="A756" i="9"/>
  <c r="J754" i="9"/>
  <c r="J752" i="9"/>
  <c r="A752" i="9"/>
  <c r="C752" i="9" s="1"/>
  <c r="J750" i="9"/>
  <c r="H750" i="9"/>
  <c r="H749" i="9"/>
  <c r="J749" i="9" s="1"/>
  <c r="J746" i="9" s="1"/>
  <c r="J748" i="9"/>
  <c r="A746" i="9"/>
  <c r="C746" i="9" s="1"/>
  <c r="H744" i="9"/>
  <c r="J744" i="9" s="1"/>
  <c r="J742" i="9"/>
  <c r="A742" i="9"/>
  <c r="D742" i="9" s="1"/>
  <c r="A741" i="9"/>
  <c r="C741" i="9" s="1"/>
  <c r="E739" i="9"/>
  <c r="A736" i="9"/>
  <c r="B736" i="9" s="1"/>
  <c r="A732" i="9"/>
  <c r="D732" i="9" s="1"/>
  <c r="A728" i="9"/>
  <c r="A724" i="9"/>
  <c r="B724" i="9" s="1"/>
  <c r="F722" i="9"/>
  <c r="A720" i="9"/>
  <c r="A716" i="9"/>
  <c r="C716" i="9" s="1"/>
  <c r="J714" i="9"/>
  <c r="J712" i="9" s="1"/>
  <c r="F714" i="9"/>
  <c r="A712" i="9"/>
  <c r="D712" i="9" s="1"/>
  <c r="A708" i="9"/>
  <c r="H703" i="9"/>
  <c r="F703" i="9"/>
  <c r="J703" i="9" s="1"/>
  <c r="A700" i="9"/>
  <c r="C700" i="9" s="1"/>
  <c r="H697" i="9"/>
  <c r="F697" i="9"/>
  <c r="J697" i="9" s="1"/>
  <c r="A695" i="9"/>
  <c r="D695" i="9" s="1"/>
  <c r="A691" i="9"/>
  <c r="D691" i="9" s="1"/>
  <c r="A687" i="9"/>
  <c r="C687" i="9" s="1"/>
  <c r="F685" i="9"/>
  <c r="A681" i="9"/>
  <c r="H678" i="9"/>
  <c r="H685" i="9" s="1"/>
  <c r="G678" i="9"/>
  <c r="J678" i="9" s="1"/>
  <c r="J676" i="9" s="1"/>
  <c r="B676" i="9"/>
  <c r="A676" i="9"/>
  <c r="C676" i="9" s="1"/>
  <c r="J674" i="9"/>
  <c r="H674" i="9"/>
  <c r="J672" i="9"/>
  <c r="A672" i="9"/>
  <c r="D672" i="9" s="1"/>
  <c r="A671" i="9"/>
  <c r="C671" i="9" s="1"/>
  <c r="F669" i="9"/>
  <c r="J669" i="9" s="1"/>
  <c r="J667" i="9" s="1"/>
  <c r="A667" i="9"/>
  <c r="D667" i="9" s="1"/>
  <c r="A663" i="9"/>
  <c r="D663" i="9" s="1"/>
  <c r="F661" i="9"/>
  <c r="J661" i="9" s="1"/>
  <c r="J659" i="9" s="1"/>
  <c r="A659" i="9"/>
  <c r="C659" i="9" s="1"/>
  <c r="F657" i="9"/>
  <c r="J657" i="9" s="1"/>
  <c r="A654" i="9"/>
  <c r="D654" i="9" s="1"/>
  <c r="I652" i="9"/>
  <c r="J652" i="9" s="1"/>
  <c r="A649" i="9"/>
  <c r="C649" i="9" s="1"/>
  <c r="I647" i="9"/>
  <c r="J647" i="9" s="1"/>
  <c r="J645" i="9" s="1"/>
  <c r="I651" i="9" s="1"/>
  <c r="J651" i="9" s="1"/>
  <c r="J649" i="9" s="1"/>
  <c r="I814" i="9" s="1"/>
  <c r="J814" i="9" s="1"/>
  <c r="J812" i="9" s="1"/>
  <c r="A645" i="9"/>
  <c r="D645" i="9" s="1"/>
  <c r="A641" i="9"/>
  <c r="C641" i="9" s="1"/>
  <c r="A637" i="9"/>
  <c r="B637" i="9" s="1"/>
  <c r="A633" i="9"/>
  <c r="D633" i="9" s="1"/>
  <c r="I631" i="9"/>
  <c r="J631" i="9" s="1"/>
  <c r="J628" i="9" s="1"/>
  <c r="I635" i="9" s="1"/>
  <c r="J635" i="9" s="1"/>
  <c r="J633" i="9" s="1"/>
  <c r="A628" i="9"/>
  <c r="D628" i="9" s="1"/>
  <c r="I626" i="9"/>
  <c r="J626" i="9" s="1"/>
  <c r="I793" i="9" s="1"/>
  <c r="J793" i="9" s="1"/>
  <c r="J791" i="9" s="1"/>
  <c r="I625" i="9"/>
  <c r="J625" i="9" s="1"/>
  <c r="I789" i="9" s="1"/>
  <c r="J789" i="9" s="1"/>
  <c r="J787" i="9" s="1"/>
  <c r="A623" i="9"/>
  <c r="D623" i="9" s="1"/>
  <c r="A619" i="9"/>
  <c r="A615" i="9"/>
  <c r="B615" i="9" s="1"/>
  <c r="J611" i="9"/>
  <c r="A606" i="9"/>
  <c r="C606" i="9" s="1"/>
  <c r="G604" i="9"/>
  <c r="F604" i="9"/>
  <c r="J604" i="9" s="1"/>
  <c r="J601" i="9" s="1"/>
  <c r="I806" i="9" s="1"/>
  <c r="A601" i="9"/>
  <c r="C601" i="9" s="1"/>
  <c r="G599" i="9"/>
  <c r="F599" i="9"/>
  <c r="J597" i="9"/>
  <c r="I610" i="9" s="1"/>
  <c r="J610" i="9" s="1"/>
  <c r="J596" i="9"/>
  <c r="A593" i="9"/>
  <c r="D593" i="9" s="1"/>
  <c r="A592" i="9"/>
  <c r="C592" i="9" s="1"/>
  <c r="I590" i="9"/>
  <c r="J590" i="9" s="1"/>
  <c r="J588" i="9" s="1"/>
  <c r="A588" i="9"/>
  <c r="A584" i="9"/>
  <c r="D584" i="9" s="1"/>
  <c r="A580" i="9"/>
  <c r="C580" i="9" s="1"/>
  <c r="I578" i="9"/>
  <c r="J578" i="9" s="1"/>
  <c r="J576" i="9" s="1"/>
  <c r="A576" i="9"/>
  <c r="C576" i="9" s="1"/>
  <c r="A575" i="9"/>
  <c r="C575" i="9" s="1"/>
  <c r="A571" i="9"/>
  <c r="G569" i="9"/>
  <c r="D562" i="9"/>
  <c r="A562" i="9"/>
  <c r="B562" i="9" s="1"/>
  <c r="J560" i="9"/>
  <c r="J558" i="9" s="1"/>
  <c r="F567" i="9" s="1"/>
  <c r="J567" i="9" s="1"/>
  <c r="A558" i="9"/>
  <c r="J556" i="9"/>
  <c r="J554" i="9"/>
  <c r="I564" i="9" s="1"/>
  <c r="J564" i="9" s="1"/>
  <c r="A554" i="9"/>
  <c r="J552" i="9"/>
  <c r="J550" i="9"/>
  <c r="I565" i="9" s="1"/>
  <c r="J565" i="9" s="1"/>
  <c r="C550" i="9"/>
  <c r="A550" i="9"/>
  <c r="D550" i="9" s="1"/>
  <c r="J548" i="9"/>
  <c r="J546" i="9"/>
  <c r="I569" i="9" s="1"/>
  <c r="A546" i="9"/>
  <c r="F544" i="9"/>
  <c r="J544" i="9" s="1"/>
  <c r="F543" i="9"/>
  <c r="J543" i="9" s="1"/>
  <c r="F542" i="9"/>
  <c r="J542" i="9" s="1"/>
  <c r="F541" i="9"/>
  <c r="J541" i="9" s="1"/>
  <c r="A539" i="9"/>
  <c r="A538" i="9"/>
  <c r="C538" i="9" s="1"/>
  <c r="J534" i="9"/>
  <c r="J532" i="9" s="1"/>
  <c r="I534" i="9"/>
  <c r="E534" i="9"/>
  <c r="A532" i="9"/>
  <c r="J528" i="9"/>
  <c r="J526" i="9" s="1"/>
  <c r="I528" i="9"/>
  <c r="E528" i="9"/>
  <c r="A526" i="9"/>
  <c r="D526" i="9" s="1"/>
  <c r="A525" i="9"/>
  <c r="C525" i="9" s="1"/>
  <c r="J523" i="9"/>
  <c r="J520" i="9" s="1"/>
  <c r="A520" i="9"/>
  <c r="D520" i="9" s="1"/>
  <c r="J518" i="9"/>
  <c r="J516" i="9" s="1"/>
  <c r="A516" i="9"/>
  <c r="C515" i="9"/>
  <c r="A515" i="9"/>
  <c r="A514" i="9"/>
  <c r="B514" i="9" s="1"/>
  <c r="A510" i="9"/>
  <c r="B510" i="9" s="1"/>
  <c r="A506" i="9"/>
  <c r="C502" i="9"/>
  <c r="A502" i="9"/>
  <c r="D502" i="9" s="1"/>
  <c r="A498" i="9"/>
  <c r="B498" i="9" s="1"/>
  <c r="A494" i="9"/>
  <c r="D489" i="9"/>
  <c r="C489" i="9"/>
  <c r="B489" i="9"/>
  <c r="A489" i="9"/>
  <c r="A485" i="9"/>
  <c r="D485" i="9" s="1"/>
  <c r="I483" i="9"/>
  <c r="J483" i="9" s="1"/>
  <c r="J481" i="9" s="1"/>
  <c r="A481" i="9"/>
  <c r="C481" i="9" s="1"/>
  <c r="J479" i="9"/>
  <c r="I479" i="9"/>
  <c r="J477" i="9"/>
  <c r="A477" i="9"/>
  <c r="B477" i="9" s="1"/>
  <c r="A476" i="9"/>
  <c r="C476" i="9" s="1"/>
  <c r="J474" i="9"/>
  <c r="J473" i="9"/>
  <c r="J471" i="9" s="1"/>
  <c r="I390" i="9" s="1"/>
  <c r="J390" i="9" s="1"/>
  <c r="A471" i="9"/>
  <c r="C470" i="9"/>
  <c r="A470" i="9"/>
  <c r="J468" i="9"/>
  <c r="J466" i="9"/>
  <c r="A466" i="9"/>
  <c r="C466" i="9" s="1"/>
  <c r="J464" i="9"/>
  <c r="J462" i="9" s="1"/>
  <c r="B462" i="9"/>
  <c r="A462" i="9"/>
  <c r="D462" i="9" s="1"/>
  <c r="J460" i="9"/>
  <c r="J458" i="9" s="1"/>
  <c r="A458" i="9"/>
  <c r="B458" i="9" s="1"/>
  <c r="J456" i="9"/>
  <c r="J454" i="9" s="1"/>
  <c r="C454" i="9"/>
  <c r="A454" i="9"/>
  <c r="D454" i="9" s="1"/>
  <c r="J452" i="9"/>
  <c r="J450" i="9"/>
  <c r="A450" i="9"/>
  <c r="C450" i="9" s="1"/>
  <c r="J448" i="9"/>
  <c r="H447" i="9"/>
  <c r="J447" i="9" s="1"/>
  <c r="J446" i="9"/>
  <c r="J443" i="9" s="1"/>
  <c r="H446" i="9"/>
  <c r="J445" i="9"/>
  <c r="A443" i="9"/>
  <c r="A442" i="9"/>
  <c r="C442" i="9" s="1"/>
  <c r="A438" i="9"/>
  <c r="B438" i="9" s="1"/>
  <c r="J436" i="9"/>
  <c r="J434" i="9" s="1"/>
  <c r="F436" i="9"/>
  <c r="A434" i="9"/>
  <c r="J432" i="9"/>
  <c r="J430" i="9" s="1"/>
  <c r="F432" i="9"/>
  <c r="A430" i="9"/>
  <c r="D430" i="9" s="1"/>
  <c r="H428" i="9"/>
  <c r="F428" i="9"/>
  <c r="J428" i="9" s="1"/>
  <c r="J426" i="9" s="1"/>
  <c r="A426" i="9"/>
  <c r="D426" i="9" s="1"/>
  <c r="J424" i="9"/>
  <c r="H424" i="9"/>
  <c r="J422" i="9"/>
  <c r="A422" i="9"/>
  <c r="D422" i="9" s="1"/>
  <c r="A421" i="9"/>
  <c r="C421" i="9" s="1"/>
  <c r="J419" i="9"/>
  <c r="J417" i="9"/>
  <c r="A417" i="9"/>
  <c r="D417" i="9" s="1"/>
  <c r="J415" i="9"/>
  <c r="J413" i="9"/>
  <c r="A413" i="9"/>
  <c r="F411" i="9"/>
  <c r="F407" i="9" s="1"/>
  <c r="J407" i="9" s="1"/>
  <c r="J405" i="9" s="1"/>
  <c r="A409" i="9"/>
  <c r="D409" i="9" s="1"/>
  <c r="A405" i="9"/>
  <c r="D405" i="9" s="1"/>
  <c r="F403" i="9"/>
  <c r="J403" i="9" s="1"/>
  <c r="J401" i="9" s="1"/>
  <c r="A401" i="9"/>
  <c r="B401" i="9" s="1"/>
  <c r="F399" i="9"/>
  <c r="F394" i="9" s="1"/>
  <c r="J394" i="9" s="1"/>
  <c r="A397" i="9"/>
  <c r="F395" i="9"/>
  <c r="J395" i="9" s="1"/>
  <c r="A392" i="9"/>
  <c r="B392" i="9" s="1"/>
  <c r="A387" i="9"/>
  <c r="D387" i="9" s="1"/>
  <c r="I385" i="9"/>
  <c r="J385" i="9" s="1"/>
  <c r="J383" i="9" s="1"/>
  <c r="I389" i="9" s="1"/>
  <c r="J389" i="9" s="1"/>
  <c r="A383" i="9"/>
  <c r="A379" i="9"/>
  <c r="A375" i="9"/>
  <c r="D375" i="9" s="1"/>
  <c r="A371" i="9"/>
  <c r="D371" i="9" s="1"/>
  <c r="I369" i="9"/>
  <c r="J369" i="9" s="1"/>
  <c r="J366" i="9" s="1"/>
  <c r="I373" i="9" s="1"/>
  <c r="J373" i="9" s="1"/>
  <c r="J371" i="9" s="1"/>
  <c r="D366" i="9"/>
  <c r="A366" i="9"/>
  <c r="C366" i="9" s="1"/>
  <c r="I364" i="9"/>
  <c r="J364" i="9" s="1"/>
  <c r="I491" i="9" s="1"/>
  <c r="J491" i="9" s="1"/>
  <c r="J489" i="9" s="1"/>
  <c r="I363" i="9"/>
  <c r="J363" i="9" s="1"/>
  <c r="A361" i="9"/>
  <c r="D361" i="9" s="1"/>
  <c r="D357" i="9"/>
  <c r="B357" i="9"/>
  <c r="A357" i="9"/>
  <c r="C357" i="9" s="1"/>
  <c r="A353" i="9"/>
  <c r="B353" i="9" s="1"/>
  <c r="I349" i="9"/>
  <c r="J349" i="9" s="1"/>
  <c r="D345" i="9"/>
  <c r="C345" i="9"/>
  <c r="B345" i="9"/>
  <c r="A345" i="9"/>
  <c r="G342" i="9"/>
  <c r="F342" i="9"/>
  <c r="J342" i="9" s="1"/>
  <c r="I340" i="9"/>
  <c r="J340" i="9" s="1"/>
  <c r="J339" i="9"/>
  <c r="I339" i="9"/>
  <c r="A336" i="9"/>
  <c r="D336" i="9" s="1"/>
  <c r="G334" i="9"/>
  <c r="A331" i="9"/>
  <c r="D331" i="9" s="1"/>
  <c r="J329" i="9"/>
  <c r="G329" i="9"/>
  <c r="F329" i="9"/>
  <c r="F351" i="9" s="1"/>
  <c r="J351" i="9" s="1"/>
  <c r="J327" i="9"/>
  <c r="J326" i="9"/>
  <c r="I348" i="9" s="1"/>
  <c r="J348" i="9" s="1"/>
  <c r="J345" i="9" s="1"/>
  <c r="J323" i="9"/>
  <c r="D323" i="9"/>
  <c r="B323" i="9"/>
  <c r="A323" i="9"/>
  <c r="C323" i="9" s="1"/>
  <c r="A322" i="9"/>
  <c r="C322" i="9" s="1"/>
  <c r="A317" i="9"/>
  <c r="D317" i="9" s="1"/>
  <c r="I315" i="9"/>
  <c r="J315" i="9" s="1"/>
  <c r="J312" i="9" s="1"/>
  <c r="I320" i="9" s="1"/>
  <c r="J320" i="9" s="1"/>
  <c r="J317" i="9" s="1"/>
  <c r="A312" i="9"/>
  <c r="C312" i="9" s="1"/>
  <c r="I310" i="9"/>
  <c r="J310" i="9" s="1"/>
  <c r="J308" i="9" s="1"/>
  <c r="A308" i="9"/>
  <c r="B308" i="9" s="1"/>
  <c r="A307" i="9"/>
  <c r="C307" i="9" s="1"/>
  <c r="B303" i="9"/>
  <c r="A303" i="9"/>
  <c r="C303" i="9" s="1"/>
  <c r="A297" i="9"/>
  <c r="D297" i="9" s="1"/>
  <c r="J295" i="9"/>
  <c r="J293" i="9"/>
  <c r="F301" i="9" s="1"/>
  <c r="J301" i="9" s="1"/>
  <c r="A293" i="9"/>
  <c r="D293" i="9" s="1"/>
  <c r="J291" i="9"/>
  <c r="J289" i="9" s="1"/>
  <c r="I299" i="9" s="1"/>
  <c r="J299" i="9" s="1"/>
  <c r="J297" i="9" s="1"/>
  <c r="I305" i="9" s="1"/>
  <c r="J305" i="9" s="1"/>
  <c r="J303" i="9" s="1"/>
  <c r="B289" i="9"/>
  <c r="A289" i="9"/>
  <c r="D289" i="9" s="1"/>
  <c r="F287" i="9"/>
  <c r="J287" i="9" s="1"/>
  <c r="F286" i="9"/>
  <c r="J286" i="9" s="1"/>
  <c r="J284" i="9" s="1"/>
  <c r="A284" i="9"/>
  <c r="D284" i="9" s="1"/>
  <c r="A283" i="9"/>
  <c r="C283" i="9" s="1"/>
  <c r="I279" i="9"/>
  <c r="E279" i="9"/>
  <c r="J279" i="9" s="1"/>
  <c r="J277" i="9"/>
  <c r="A277" i="9"/>
  <c r="C277" i="9" s="1"/>
  <c r="I273" i="9"/>
  <c r="E273" i="9"/>
  <c r="J273" i="9" s="1"/>
  <c r="J271" i="9"/>
  <c r="B271" i="9"/>
  <c r="A271" i="9"/>
  <c r="C271" i="9" s="1"/>
  <c r="A270" i="9"/>
  <c r="C270" i="9" s="1"/>
  <c r="J268" i="9"/>
  <c r="J266" i="9"/>
  <c r="A266" i="9"/>
  <c r="J264" i="9"/>
  <c r="J262" i="9" s="1"/>
  <c r="A262" i="9"/>
  <c r="D262" i="9" s="1"/>
  <c r="A261" i="9"/>
  <c r="C261" i="9" s="1"/>
  <c r="A260" i="9"/>
  <c r="B260" i="9" s="1"/>
  <c r="A255" i="9"/>
  <c r="D255" i="9" s="1"/>
  <c r="A251" i="9"/>
  <c r="C251" i="9" s="1"/>
  <c r="A247" i="9"/>
  <c r="B247" i="9" s="1"/>
  <c r="A243" i="9"/>
  <c r="D243" i="9" s="1"/>
  <c r="A239" i="9"/>
  <c r="A234" i="9"/>
  <c r="A230" i="9"/>
  <c r="D226" i="9"/>
  <c r="A226" i="9"/>
  <c r="B226" i="9" s="1"/>
  <c r="I224" i="9"/>
  <c r="J224" i="9" s="1"/>
  <c r="J222" i="9" s="1"/>
  <c r="A222" i="9"/>
  <c r="D222" i="9" s="1"/>
  <c r="A221" i="9"/>
  <c r="C221" i="9" s="1"/>
  <c r="J219" i="9"/>
  <c r="J217" i="9" s="1"/>
  <c r="I139" i="9" s="1"/>
  <c r="J139" i="9" s="1"/>
  <c r="A217" i="9"/>
  <c r="D217" i="9" s="1"/>
  <c r="A216" i="9"/>
  <c r="C216" i="9" s="1"/>
  <c r="J214" i="9"/>
  <c r="J212" i="9"/>
  <c r="A212" i="9"/>
  <c r="D212" i="9" s="1"/>
  <c r="J210" i="9"/>
  <c r="J208" i="9"/>
  <c r="A208" i="9"/>
  <c r="B208" i="9" s="1"/>
  <c r="J206" i="9"/>
  <c r="J204" i="9" s="1"/>
  <c r="A204" i="9"/>
  <c r="D204" i="9" s="1"/>
  <c r="J202" i="9"/>
  <c r="J200" i="9"/>
  <c r="A200" i="9"/>
  <c r="J198" i="9"/>
  <c r="J196" i="9"/>
  <c r="A196" i="9"/>
  <c r="H194" i="9"/>
  <c r="J194" i="9" s="1"/>
  <c r="J193" i="9"/>
  <c r="H193" i="9"/>
  <c r="H192" i="9"/>
  <c r="J192" i="9" s="1"/>
  <c r="J188" i="9" s="1"/>
  <c r="J191" i="9"/>
  <c r="H191" i="9"/>
  <c r="J190" i="9"/>
  <c r="A188" i="9"/>
  <c r="B188" i="9" s="1"/>
  <c r="J186" i="9"/>
  <c r="J184" i="9" s="1"/>
  <c r="H186" i="9"/>
  <c r="D184" i="9"/>
  <c r="C184" i="9"/>
  <c r="A184" i="9"/>
  <c r="B184" i="9" s="1"/>
  <c r="A183" i="9"/>
  <c r="C183" i="9" s="1"/>
  <c r="J181" i="9"/>
  <c r="F181" i="9"/>
  <c r="J179" i="9"/>
  <c r="A179" i="9"/>
  <c r="B179" i="9" s="1"/>
  <c r="A175" i="9"/>
  <c r="D175" i="9" s="1"/>
  <c r="J173" i="9"/>
  <c r="J171" i="9" s="1"/>
  <c r="H173" i="9"/>
  <c r="F173" i="9"/>
  <c r="A171" i="9"/>
  <c r="B171" i="9" s="1"/>
  <c r="J169" i="9"/>
  <c r="J167" i="9" s="1"/>
  <c r="F169" i="9"/>
  <c r="C167" i="9"/>
  <c r="A167" i="9"/>
  <c r="D167" i="9" s="1"/>
  <c r="H165" i="9"/>
  <c r="J165" i="9" s="1"/>
  <c r="J163" i="9" s="1"/>
  <c r="A163" i="9"/>
  <c r="B163" i="9" s="1"/>
  <c r="A162" i="9"/>
  <c r="C162" i="9" s="1"/>
  <c r="J160" i="9"/>
  <c r="J158" i="9" s="1"/>
  <c r="A158" i="9"/>
  <c r="J156" i="9"/>
  <c r="J154" i="9" s="1"/>
  <c r="A154" i="9"/>
  <c r="D154" i="9" s="1"/>
  <c r="J152" i="9"/>
  <c r="J150" i="9" s="1"/>
  <c r="F152" i="9"/>
  <c r="A150" i="9"/>
  <c r="D150" i="9" s="1"/>
  <c r="F148" i="9"/>
  <c r="J148" i="9" s="1"/>
  <c r="J146" i="9" s="1"/>
  <c r="D146" i="9"/>
  <c r="B146" i="9"/>
  <c r="A146" i="9"/>
  <c r="C146" i="9" s="1"/>
  <c r="F144" i="9"/>
  <c r="J144" i="9" s="1"/>
  <c r="F143" i="9"/>
  <c r="J143" i="9" s="1"/>
  <c r="A141" i="9"/>
  <c r="D141" i="9" s="1"/>
  <c r="C136" i="9"/>
  <c r="B136" i="9"/>
  <c r="A136" i="9"/>
  <c r="D136" i="9" s="1"/>
  <c r="I134" i="9"/>
  <c r="J134" i="9" s="1"/>
  <c r="J132" i="9" s="1"/>
  <c r="I138" i="9" s="1"/>
  <c r="J138" i="9" s="1"/>
  <c r="J136" i="9" s="1"/>
  <c r="I257" i="9" s="1"/>
  <c r="J257" i="9" s="1"/>
  <c r="J255" i="9" s="1"/>
  <c r="A132" i="9"/>
  <c r="D132" i="9" s="1"/>
  <c r="A128" i="9"/>
  <c r="C128" i="9" s="1"/>
  <c r="A124" i="9"/>
  <c r="B124" i="9" s="1"/>
  <c r="A120" i="9"/>
  <c r="B120" i="9" s="1"/>
  <c r="I118" i="9"/>
  <c r="J118" i="9" s="1"/>
  <c r="J115" i="9" s="1"/>
  <c r="I122" i="9" s="1"/>
  <c r="J122" i="9" s="1"/>
  <c r="J120" i="9" s="1"/>
  <c r="A115" i="9"/>
  <c r="I113" i="9"/>
  <c r="J113" i="9" s="1"/>
  <c r="I236" i="9" s="1"/>
  <c r="J236" i="9" s="1"/>
  <c r="J234" i="9" s="1"/>
  <c r="I112" i="9"/>
  <c r="J112" i="9" s="1"/>
  <c r="I232" i="9" s="1"/>
  <c r="J232" i="9" s="1"/>
  <c r="J230" i="9" s="1"/>
  <c r="D110" i="9"/>
  <c r="A110" i="9"/>
  <c r="C110" i="9" s="1"/>
  <c r="A106" i="9"/>
  <c r="D106" i="9" s="1"/>
  <c r="A102" i="9"/>
  <c r="B102" i="9" s="1"/>
  <c r="J98" i="9"/>
  <c r="I98" i="9"/>
  <c r="J97" i="9"/>
  <c r="I97" i="9"/>
  <c r="A94" i="9"/>
  <c r="B94" i="9" s="1"/>
  <c r="G92" i="9"/>
  <c r="J90" i="9"/>
  <c r="I90" i="9"/>
  <c r="A86" i="9"/>
  <c r="G84" i="9"/>
  <c r="A81" i="9"/>
  <c r="G79" i="9"/>
  <c r="J79" i="9" s="1"/>
  <c r="F79" i="9"/>
  <c r="F84" i="9" s="1"/>
  <c r="J84" i="9" s="1"/>
  <c r="J81" i="9" s="1"/>
  <c r="J77" i="9"/>
  <c r="J76" i="9"/>
  <c r="I89" i="9" s="1"/>
  <c r="J89" i="9" s="1"/>
  <c r="A73" i="9"/>
  <c r="D73" i="9" s="1"/>
  <c r="A72" i="9"/>
  <c r="C72" i="9" s="1"/>
  <c r="A67" i="9"/>
  <c r="D67" i="9" s="1"/>
  <c r="I65" i="9"/>
  <c r="J65" i="9" s="1"/>
  <c r="J62" i="9" s="1"/>
  <c r="I70" i="9" s="1"/>
  <c r="J70" i="9" s="1"/>
  <c r="J67" i="9" s="1"/>
  <c r="C62" i="9"/>
  <c r="A62" i="9"/>
  <c r="D62" i="9" s="1"/>
  <c r="I60" i="9"/>
  <c r="J60" i="9" s="1"/>
  <c r="J58" i="9" s="1"/>
  <c r="A58" i="9"/>
  <c r="B58" i="9" s="1"/>
  <c r="A57" i="9"/>
  <c r="C57" i="9" s="1"/>
  <c r="C53" i="9"/>
  <c r="A53" i="9"/>
  <c r="D53" i="9" s="1"/>
  <c r="A47" i="9"/>
  <c r="D47" i="9" s="1"/>
  <c r="J45" i="9"/>
  <c r="J43" i="9" s="1"/>
  <c r="F51" i="9" s="1"/>
  <c r="J51" i="9" s="1"/>
  <c r="A43" i="9"/>
  <c r="B43" i="9" s="1"/>
  <c r="J41" i="9"/>
  <c r="J39" i="9" s="1"/>
  <c r="I49" i="9" s="1"/>
  <c r="J49" i="9" s="1"/>
  <c r="A39" i="9"/>
  <c r="B39" i="9" s="1"/>
  <c r="F37" i="9"/>
  <c r="J37" i="9" s="1"/>
  <c r="J36" i="9"/>
  <c r="F36" i="9"/>
  <c r="F35" i="9"/>
  <c r="J35" i="9" s="1"/>
  <c r="A33" i="9"/>
  <c r="D33" i="9" s="1"/>
  <c r="A32" i="9"/>
  <c r="C32" i="9" s="1"/>
  <c r="J30" i="9"/>
  <c r="I30" i="9"/>
  <c r="E30" i="9"/>
  <c r="J27" i="9"/>
  <c r="A27" i="9"/>
  <c r="B27" i="9" s="1"/>
  <c r="J25" i="9"/>
  <c r="I25" i="9"/>
  <c r="E25" i="9"/>
  <c r="J22" i="9"/>
  <c r="A22" i="9"/>
  <c r="B22" i="9" s="1"/>
  <c r="A21" i="9"/>
  <c r="C21" i="9" s="1"/>
  <c r="J19" i="9"/>
  <c r="J17" i="9"/>
  <c r="A17" i="9"/>
  <c r="B17" i="9" s="1"/>
  <c r="J15" i="9"/>
  <c r="J13" i="9" s="1"/>
  <c r="A13" i="9"/>
  <c r="D13" i="9" s="1"/>
  <c r="A11" i="9"/>
  <c r="C11" i="9" s="1"/>
  <c r="A10" i="9"/>
  <c r="B10" i="9" s="1"/>
  <c r="J8" i="9" a="1"/>
  <c r="J8" i="9" s="1"/>
  <c r="A6" i="9"/>
  <c r="C2178" i="9" l="1"/>
  <c r="B2187" i="9"/>
  <c r="D128" i="9"/>
  <c r="C204" i="9"/>
  <c r="C39" i="9"/>
  <c r="D94" i="9"/>
  <c r="D303" i="9"/>
  <c r="B672" i="9"/>
  <c r="D676" i="9"/>
  <c r="C768" i="9"/>
  <c r="C923" i="9"/>
  <c r="B1038" i="9"/>
  <c r="D1096" i="9"/>
  <c r="D1126" i="9"/>
  <c r="B1301" i="9"/>
  <c r="C1615" i="9"/>
  <c r="D39" i="9"/>
  <c r="C47" i="9"/>
  <c r="C175" i="9"/>
  <c r="D188" i="9"/>
  <c r="D601" i="9"/>
  <c r="D649" i="9"/>
  <c r="D716" i="9"/>
  <c r="B732" i="9"/>
  <c r="B804" i="9"/>
  <c r="B861" i="9"/>
  <c r="C1038" i="9"/>
  <c r="B1178" i="9"/>
  <c r="B1199" i="9"/>
  <c r="C1301" i="9"/>
  <c r="C1448" i="9"/>
  <c r="C1477" i="9"/>
  <c r="C1534" i="9"/>
  <c r="D1615" i="9"/>
  <c r="C1856" i="9"/>
  <c r="B1868" i="9"/>
  <c r="B1944" i="9"/>
  <c r="B2033" i="9"/>
  <c r="C2076" i="9"/>
  <c r="C2187" i="9"/>
  <c r="C2284" i="9"/>
  <c r="B47" i="9"/>
  <c r="B601" i="9"/>
  <c r="B716" i="9"/>
  <c r="B1105" i="9"/>
  <c r="C1256" i="9"/>
  <c r="C861" i="9"/>
  <c r="C1178" i="9"/>
  <c r="C1199" i="9"/>
  <c r="D1448" i="9"/>
  <c r="D1477" i="9"/>
  <c r="D1856" i="9"/>
  <c r="C1868" i="9"/>
  <c r="D2076" i="9"/>
  <c r="D2284" i="9"/>
  <c r="D2121" i="9"/>
  <c r="C2293" i="9"/>
  <c r="B128" i="9"/>
  <c r="B204" i="9"/>
  <c r="C255" i="9"/>
  <c r="I582" i="9"/>
  <c r="J582" i="9" s="1"/>
  <c r="J580" i="9" s="1"/>
  <c r="I586" i="9" s="1"/>
  <c r="J586" i="9" s="1"/>
  <c r="J584" i="9" s="1"/>
  <c r="B752" i="9"/>
  <c r="C773" i="9"/>
  <c r="D831" i="9"/>
  <c r="B1649" i="9"/>
  <c r="B1657" i="9"/>
  <c r="B262" i="9"/>
  <c r="C297" i="9"/>
  <c r="D506" i="9"/>
  <c r="C506" i="9"/>
  <c r="D619" i="9"/>
  <c r="B619" i="9"/>
  <c r="C94" i="9"/>
  <c r="C120" i="9"/>
  <c r="C141" i="9"/>
  <c r="C171" i="9"/>
  <c r="B175" i="9"/>
  <c r="D196" i="9"/>
  <c r="C196" i="9"/>
  <c r="C226" i="9"/>
  <c r="B255" i="9"/>
  <c r="B277" i="9"/>
  <c r="B293" i="9"/>
  <c r="C293" i="9"/>
  <c r="B409" i="9"/>
  <c r="B454" i="9"/>
  <c r="B506" i="9"/>
  <c r="D580" i="9"/>
  <c r="B580" i="9"/>
  <c r="B633" i="9"/>
  <c r="B645" i="9"/>
  <c r="B667" i="9"/>
  <c r="B691" i="9"/>
  <c r="C742" i="9"/>
  <c r="B742" i="9"/>
  <c r="D752" i="9"/>
  <c r="B773" i="9"/>
  <c r="D852" i="9"/>
  <c r="B961" i="9"/>
  <c r="B980" i="9"/>
  <c r="C1105" i="9"/>
  <c r="C1126" i="9"/>
  <c r="C1220" i="9"/>
  <c r="D1220" i="9"/>
  <c r="C1354" i="9"/>
  <c r="D1354" i="9"/>
  <c r="B1383" i="9"/>
  <c r="B1388" i="9"/>
  <c r="B1473" i="9"/>
  <c r="C1525" i="9"/>
  <c r="D1534" i="9"/>
  <c r="C1547" i="9"/>
  <c r="B1547" i="9"/>
  <c r="B1644" i="9"/>
  <c r="C1644" i="9"/>
  <c r="D1649" i="9"/>
  <c r="B1704" i="9"/>
  <c r="D1736" i="9"/>
  <c r="C1736" i="9"/>
  <c r="D1815" i="9"/>
  <c r="B1815" i="9"/>
  <c r="D558" i="9"/>
  <c r="C558" i="9"/>
  <c r="D571" i="9"/>
  <c r="B571" i="9"/>
  <c r="C633" i="9"/>
  <c r="C667" i="9"/>
  <c r="C691" i="9"/>
  <c r="C961" i="9"/>
  <c r="C980" i="9"/>
  <c r="C1332" i="9"/>
  <c r="D1332" i="9"/>
  <c r="D1473" i="9"/>
  <c r="D1607" i="9"/>
  <c r="B1607" i="9"/>
  <c r="D1704" i="9"/>
  <c r="C1830" i="9"/>
  <c r="D1830" i="9"/>
  <c r="B1830" i="9"/>
  <c r="B1850" i="9"/>
  <c r="D1850" i="9"/>
  <c r="D115" i="9"/>
  <c r="C115" i="9"/>
  <c r="D120" i="9"/>
  <c r="C266" i="9"/>
  <c r="D266" i="9"/>
  <c r="J411" i="9"/>
  <c r="J409" i="9" s="1"/>
  <c r="C471" i="9"/>
  <c r="B471" i="9"/>
  <c r="B546" i="9"/>
  <c r="D546" i="9"/>
  <c r="B558" i="9"/>
  <c r="B593" i="9"/>
  <c r="C681" i="9"/>
  <c r="B681" i="9"/>
  <c r="B844" i="9"/>
  <c r="D971" i="9"/>
  <c r="C971" i="9"/>
  <c r="C1070" i="9"/>
  <c r="D1118" i="9"/>
  <c r="B1118" i="9"/>
  <c r="B1234" i="9"/>
  <c r="B1306" i="9"/>
  <c r="C1607" i="9"/>
  <c r="C1850" i="9"/>
  <c r="D2015" i="9"/>
  <c r="C2015" i="9"/>
  <c r="B2015" i="9"/>
  <c r="D171" i="9"/>
  <c r="B13" i="9"/>
  <c r="B115" i="9"/>
  <c r="C247" i="9"/>
  <c r="B266" i="9"/>
  <c r="C13" i="9"/>
  <c r="B110" i="9"/>
  <c r="D179" i="9"/>
  <c r="C188" i="9"/>
  <c r="B222" i="9"/>
  <c r="D247" i="9"/>
  <c r="B317" i="9"/>
  <c r="B331" i="9"/>
  <c r="B371" i="9"/>
  <c r="B413" i="9"/>
  <c r="C413" i="9"/>
  <c r="D471" i="9"/>
  <c r="B502" i="9"/>
  <c r="B520" i="9"/>
  <c r="C546" i="9"/>
  <c r="C593" i="9"/>
  <c r="C637" i="9"/>
  <c r="B649" i="9"/>
  <c r="C756" i="9"/>
  <c r="D756" i="9"/>
  <c r="C764" i="9"/>
  <c r="B764" i="9"/>
  <c r="B783" i="9"/>
  <c r="B816" i="9"/>
  <c r="B831" i="9"/>
  <c r="D844" i="9"/>
  <c r="B890" i="9"/>
  <c r="B1052" i="9"/>
  <c r="C1234" i="9"/>
  <c r="C1306" i="9"/>
  <c r="C1422" i="9"/>
  <c r="D1422" i="9"/>
  <c r="D1639" i="9"/>
  <c r="C1639" i="9"/>
  <c r="C1662" i="9"/>
  <c r="D1662" i="9"/>
  <c r="C1674" i="9"/>
  <c r="C1750" i="9"/>
  <c r="D1750" i="9"/>
  <c r="D1797" i="9"/>
  <c r="C1797" i="9"/>
  <c r="C1840" i="9"/>
  <c r="B1840" i="9"/>
  <c r="D239" i="9"/>
  <c r="B239" i="9"/>
  <c r="D532" i="9"/>
  <c r="B532" i="9"/>
  <c r="B1279" i="9"/>
  <c r="C1279" i="9"/>
  <c r="D1379" i="9"/>
  <c r="C1379" i="9"/>
  <c r="C1552" i="9"/>
  <c r="D1552" i="9"/>
  <c r="B1896" i="9"/>
  <c r="C1896" i="9"/>
  <c r="B154" i="9"/>
  <c r="C239" i="9"/>
  <c r="C1092" i="9"/>
  <c r="B1092" i="9"/>
  <c r="C1260" i="9"/>
  <c r="D1260" i="9"/>
  <c r="B1619" i="9"/>
  <c r="D1619" i="9"/>
  <c r="C1723" i="9"/>
  <c r="D1723" i="9"/>
  <c r="C1777" i="9"/>
  <c r="D1777" i="9"/>
  <c r="B1874" i="9"/>
  <c r="D1874" i="9"/>
  <c r="C1925" i="9"/>
  <c r="D1925" i="9"/>
  <c r="B1925" i="9"/>
  <c r="D1950" i="9"/>
  <c r="B1950" i="9"/>
  <c r="B2002" i="9"/>
  <c r="C2072" i="9"/>
  <c r="C2173" i="9"/>
  <c r="D2223" i="9"/>
  <c r="D2301" i="9"/>
  <c r="C2322" i="9"/>
  <c r="C2002" i="9"/>
  <c r="D2173" i="9"/>
  <c r="D2183" i="9"/>
  <c r="D2239" i="9"/>
  <c r="D2322" i="9"/>
  <c r="B2327" i="9"/>
  <c r="J361" i="9"/>
  <c r="I487" i="9"/>
  <c r="J487" i="9" s="1"/>
  <c r="J485" i="9" s="1"/>
  <c r="C17" i="9"/>
  <c r="C22" i="9"/>
  <c r="B67" i="9"/>
  <c r="B106" i="9"/>
  <c r="C124" i="9"/>
  <c r="B132" i="9"/>
  <c r="B150" i="9"/>
  <c r="C154" i="9"/>
  <c r="B212" i="9"/>
  <c r="B217" i="9"/>
  <c r="C222" i="9"/>
  <c r="B243" i="9"/>
  <c r="C262" i="9"/>
  <c r="D271" i="9"/>
  <c r="D277" i="9"/>
  <c r="C308" i="9"/>
  <c r="B312" i="9"/>
  <c r="C317" i="9"/>
  <c r="B336" i="9"/>
  <c r="B375" i="9"/>
  <c r="J399" i="9"/>
  <c r="J397" i="9" s="1"/>
  <c r="B417" i="9"/>
  <c r="B422" i="9"/>
  <c r="B426" i="9"/>
  <c r="B430" i="9"/>
  <c r="B450" i="9"/>
  <c r="B466" i="9"/>
  <c r="B485" i="9"/>
  <c r="C520" i="9"/>
  <c r="B526" i="9"/>
  <c r="B576" i="9"/>
  <c r="B606" i="9"/>
  <c r="C619" i="9"/>
  <c r="D637" i="9"/>
  <c r="C645" i="9"/>
  <c r="B663" i="9"/>
  <c r="C672" i="9"/>
  <c r="D681" i="9"/>
  <c r="C724" i="9"/>
  <c r="C732" i="9"/>
  <c r="D746" i="9"/>
  <c r="B746" i="9"/>
  <c r="D783" i="9"/>
  <c r="C804" i="9"/>
  <c r="C816" i="9"/>
  <c r="C822" i="9"/>
  <c r="C826" i="9"/>
  <c r="B856" i="9"/>
  <c r="D856" i="9"/>
  <c r="D923" i="9"/>
  <c r="C1013" i="9"/>
  <c r="B1013" i="9"/>
  <c r="D1057" i="9"/>
  <c r="C1057" i="9"/>
  <c r="C1118" i="9"/>
  <c r="C1152" i="9"/>
  <c r="J1165" i="9"/>
  <c r="C1182" i="9"/>
  <c r="D1248" i="9"/>
  <c r="B1322" i="9"/>
  <c r="C1322" i="9"/>
  <c r="D1732" i="9"/>
  <c r="B1732" i="9"/>
  <c r="C1772" i="9"/>
  <c r="D1772" i="9"/>
  <c r="D1969" i="9"/>
  <c r="C1969" i="9"/>
  <c r="D1984" i="9"/>
  <c r="B1984" i="9"/>
  <c r="D2102" i="9"/>
  <c r="C2102" i="9"/>
  <c r="B2102" i="9"/>
  <c r="D22" i="9"/>
  <c r="C67" i="9"/>
  <c r="D124" i="9"/>
  <c r="C132" i="9"/>
  <c r="C150" i="9"/>
  <c r="C179" i="9"/>
  <c r="B196" i="9"/>
  <c r="C208" i="9"/>
  <c r="C212" i="9"/>
  <c r="C217" i="9"/>
  <c r="C243" i="9"/>
  <c r="B251" i="9"/>
  <c r="B284" i="9"/>
  <c r="D308" i="9"/>
  <c r="D312" i="9"/>
  <c r="C336" i="9"/>
  <c r="C375" i="9"/>
  <c r="C417" i="9"/>
  <c r="C422" i="9"/>
  <c r="C426" i="9"/>
  <c r="C430" i="9"/>
  <c r="D450" i="9"/>
  <c r="D466" i="9"/>
  <c r="C485" i="9"/>
  <c r="C526" i="9"/>
  <c r="D576" i="9"/>
  <c r="D606" i="9"/>
  <c r="C663" i="9"/>
  <c r="D724" i="9"/>
  <c r="D822" i="9"/>
  <c r="B934" i="9"/>
  <c r="D934" i="9"/>
  <c r="C934" i="9"/>
  <c r="D1008" i="9"/>
  <c r="C1008" i="9"/>
  <c r="D1152" i="9"/>
  <c r="D1160" i="9"/>
  <c r="C1160" i="9"/>
  <c r="B1160" i="9"/>
  <c r="J1172" i="9"/>
  <c r="J1170" i="9" s="1"/>
  <c r="D1182" i="9"/>
  <c r="C1244" i="9"/>
  <c r="C1271" i="9"/>
  <c r="B1271" i="9"/>
  <c r="B1465" i="9"/>
  <c r="C1465" i="9"/>
  <c r="B1517" i="9"/>
  <c r="D1517" i="9"/>
  <c r="C1517" i="9"/>
  <c r="B1698" i="9"/>
  <c r="D1698" i="9"/>
  <c r="C1698" i="9"/>
  <c r="D1715" i="9"/>
  <c r="C1715" i="9"/>
  <c r="C1732" i="9"/>
  <c r="B1772" i="9"/>
  <c r="B1969" i="9"/>
  <c r="C1984" i="9"/>
  <c r="C2141" i="9"/>
  <c r="B2141" i="9"/>
  <c r="D2141" i="9"/>
  <c r="B141" i="9"/>
  <c r="D208" i="9"/>
  <c r="D251" i="9"/>
  <c r="C284" i="9"/>
  <c r="C331" i="9"/>
  <c r="C353" i="9"/>
  <c r="B361" i="9"/>
  <c r="C409" i="9"/>
  <c r="D413" i="9"/>
  <c r="C462" i="9"/>
  <c r="C477" i="9"/>
  <c r="B481" i="9"/>
  <c r="C510" i="9"/>
  <c r="C532" i="9"/>
  <c r="C571" i="9"/>
  <c r="B584" i="9"/>
  <c r="B623" i="9"/>
  <c r="B641" i="9"/>
  <c r="B659" i="9"/>
  <c r="F665" i="9"/>
  <c r="J665" i="9" s="1"/>
  <c r="J663" i="9" s="1"/>
  <c r="B700" i="9"/>
  <c r="B720" i="9"/>
  <c r="D720" i="9"/>
  <c r="C728" i="9"/>
  <c r="B728" i="9"/>
  <c r="C736" i="9"/>
  <c r="D800" i="9"/>
  <c r="C800" i="9"/>
  <c r="B812" i="9"/>
  <c r="C812" i="9"/>
  <c r="C990" i="9"/>
  <c r="B1008" i="9"/>
  <c r="C1030" i="9"/>
  <c r="B1042" i="9"/>
  <c r="D1042" i="9"/>
  <c r="D1048" i="9"/>
  <c r="B1048" i="9"/>
  <c r="B1239" i="9"/>
  <c r="D1239" i="9"/>
  <c r="B1289" i="9"/>
  <c r="D1289" i="9"/>
  <c r="C1289" i="9"/>
  <c r="B1347" i="9"/>
  <c r="D1347" i="9"/>
  <c r="B1434" i="9"/>
  <c r="D1434" i="9"/>
  <c r="D1657" i="9"/>
  <c r="C1917" i="9"/>
  <c r="B1917" i="9"/>
  <c r="B1965" i="9"/>
  <c r="C1965" i="9"/>
  <c r="D353" i="9"/>
  <c r="C361" i="9"/>
  <c r="D477" i="9"/>
  <c r="D481" i="9"/>
  <c r="D510" i="9"/>
  <c r="B550" i="9"/>
  <c r="C562" i="9"/>
  <c r="C584" i="9"/>
  <c r="C623" i="9"/>
  <c r="B628" i="9"/>
  <c r="D641" i="9"/>
  <c r="B654" i="9"/>
  <c r="D659" i="9"/>
  <c r="B687" i="9"/>
  <c r="B695" i="9"/>
  <c r="D700" i="9"/>
  <c r="C720" i="9"/>
  <c r="D728" i="9"/>
  <c r="D736" i="9"/>
  <c r="D764" i="9"/>
  <c r="B787" i="9"/>
  <c r="D787" i="9"/>
  <c r="B800" i="9"/>
  <c r="D812" i="9"/>
  <c r="C865" i="9"/>
  <c r="D901" i="9"/>
  <c r="C901" i="9"/>
  <c r="D990" i="9"/>
  <c r="B1017" i="9"/>
  <c r="D1017" i="9"/>
  <c r="C1042" i="9"/>
  <c r="D1079" i="9"/>
  <c r="C1079" i="9"/>
  <c r="D1174" i="9"/>
  <c r="B1230" i="9"/>
  <c r="D1230" i="9"/>
  <c r="C1239" i="9"/>
  <c r="C1314" i="9"/>
  <c r="D1314" i="9"/>
  <c r="B1341" i="9"/>
  <c r="D1341" i="9"/>
  <c r="C1347" i="9"/>
  <c r="C1513" i="9"/>
  <c r="B1513" i="9"/>
  <c r="B1538" i="9"/>
  <c r="C1538" i="9"/>
  <c r="C1597" i="9"/>
  <c r="B1597" i="9"/>
  <c r="D1631" i="9"/>
  <c r="C1631" i="9"/>
  <c r="B1909" i="9"/>
  <c r="D1917" i="9"/>
  <c r="J141" i="9"/>
  <c r="B297" i="9"/>
  <c r="B366" i="9"/>
  <c r="C371" i="9"/>
  <c r="C654" i="9"/>
  <c r="D687" i="9"/>
  <c r="C695" i="9"/>
  <c r="D865" i="9"/>
  <c r="D984" i="9"/>
  <c r="C984" i="9"/>
  <c r="D1004" i="9"/>
  <c r="C1004" i="9"/>
  <c r="B1004" i="9"/>
  <c r="C1318" i="9"/>
  <c r="B1318" i="9"/>
  <c r="B1336" i="9"/>
  <c r="D1336" i="9"/>
  <c r="C1358" i="9"/>
  <c r="B1358" i="9"/>
  <c r="D1491" i="9"/>
  <c r="B1491" i="9"/>
  <c r="D1564" i="9"/>
  <c r="C1564" i="9"/>
  <c r="B1582" i="9"/>
  <c r="C1582" i="9"/>
  <c r="D1905" i="9"/>
  <c r="B1905" i="9"/>
  <c r="D1909" i="9"/>
  <c r="D2088" i="9"/>
  <c r="C2088" i="9"/>
  <c r="B2088" i="9"/>
  <c r="C1063" i="9"/>
  <c r="B1063" i="9"/>
  <c r="C1170" i="9"/>
  <c r="D1170" i="9"/>
  <c r="B1170" i="9"/>
  <c r="B1187" i="9"/>
  <c r="D1187" i="9"/>
  <c r="D1209" i="9"/>
  <c r="C1209" i="9"/>
  <c r="B1284" i="9"/>
  <c r="D1284" i="9"/>
  <c r="C1284" i="9"/>
  <c r="C1491" i="9"/>
  <c r="B1564" i="9"/>
  <c r="D1582" i="9"/>
  <c r="B1591" i="9"/>
  <c r="D1591" i="9"/>
  <c r="C1591" i="9"/>
  <c r="B1623" i="9"/>
  <c r="D1623" i="9"/>
  <c r="D1670" i="9"/>
  <c r="D1683" i="9"/>
  <c r="C1711" i="9"/>
  <c r="D1711" i="9"/>
  <c r="B1711" i="9"/>
  <c r="C1757" i="9"/>
  <c r="B1757" i="9"/>
  <c r="C1819" i="9"/>
  <c r="D1819" i="9"/>
  <c r="B1819" i="9"/>
  <c r="B1844" i="9"/>
  <c r="D1844" i="9"/>
  <c r="C1905" i="9"/>
  <c r="B1929" i="9"/>
  <c r="D1929" i="9"/>
  <c r="D2219" i="9"/>
  <c r="B2092" i="9"/>
  <c r="C2168" i="9"/>
  <c r="B2183" i="9"/>
  <c r="B2202" i="9"/>
  <c r="B2260" i="9"/>
  <c r="B2318" i="9"/>
  <c r="B2007" i="9"/>
  <c r="B2046" i="9"/>
  <c r="B2072" i="9"/>
  <c r="B2110" i="9"/>
  <c r="C2116" i="9"/>
  <c r="C2223" i="9"/>
  <c r="B2234" i="9"/>
  <c r="C2260" i="9"/>
  <c r="B2293" i="9"/>
  <c r="C2318" i="9"/>
  <c r="C2033" i="9"/>
  <c r="D2052" i="9"/>
  <c r="D2106" i="9"/>
  <c r="C2145" i="9"/>
  <c r="B2154" i="9"/>
  <c r="B2219" i="9"/>
  <c r="B2230" i="9"/>
  <c r="B2250" i="9"/>
  <c r="B2305" i="9"/>
  <c r="C2327" i="9"/>
  <c r="D2154" i="9"/>
  <c r="C2230" i="9"/>
  <c r="C2250" i="9"/>
  <c r="C2301" i="9"/>
  <c r="D2305" i="9"/>
  <c r="I496" i="9"/>
  <c r="J496" i="9" s="1"/>
  <c r="J494" i="9" s="1"/>
  <c r="I377" i="9"/>
  <c r="J377" i="9" s="1"/>
  <c r="J375" i="9" s="1"/>
  <c r="I381" i="9" s="1"/>
  <c r="J381" i="9" s="1"/>
  <c r="J379" i="9" s="1"/>
  <c r="I683" i="9"/>
  <c r="J683" i="9" s="1"/>
  <c r="I810" i="9"/>
  <c r="J810" i="9" s="1"/>
  <c r="J808" i="9" s="1"/>
  <c r="J806" i="9"/>
  <c r="J804" i="9" s="1"/>
  <c r="J562" i="9"/>
  <c r="I573" i="9" s="1"/>
  <c r="J573" i="9" s="1"/>
  <c r="J571" i="9" s="1"/>
  <c r="I500" i="9"/>
  <c r="J500" i="9" s="1"/>
  <c r="J498" i="9" s="1"/>
  <c r="D234" i="9"/>
  <c r="C234" i="9"/>
  <c r="J539" i="9"/>
  <c r="D554" i="9"/>
  <c r="C554" i="9"/>
  <c r="B554" i="9"/>
  <c r="D1075" i="9"/>
  <c r="C1075" i="9"/>
  <c r="B1075" i="9"/>
  <c r="B234" i="9"/>
  <c r="D383" i="9"/>
  <c r="C383" i="9"/>
  <c r="D494" i="9"/>
  <c r="C494" i="9"/>
  <c r="B494" i="9"/>
  <c r="I798" i="9"/>
  <c r="J798" i="9" s="1"/>
  <c r="J796" i="9" s="1"/>
  <c r="I639" i="9"/>
  <c r="J639" i="9" s="1"/>
  <c r="J637" i="9" s="1"/>
  <c r="I643" i="9" s="1"/>
  <c r="J643" i="9" s="1"/>
  <c r="J641" i="9" s="1"/>
  <c r="J685" i="9"/>
  <c r="F698" i="9"/>
  <c r="D808" i="9"/>
  <c r="C808" i="9"/>
  <c r="J1116" i="9"/>
  <c r="J1113" i="9" s="1"/>
  <c r="I1320" i="9" s="1"/>
  <c r="F1124" i="9"/>
  <c r="J1124" i="9" s="1"/>
  <c r="D1203" i="9"/>
  <c r="C1203" i="9"/>
  <c r="B1203" i="9"/>
  <c r="I1915" i="9"/>
  <c r="J1915" i="9" s="1"/>
  <c r="J1913" i="9" s="1"/>
  <c r="J1765" i="9"/>
  <c r="J1803" i="9"/>
  <c r="I1838" i="9"/>
  <c r="C27" i="9"/>
  <c r="B33" i="9"/>
  <c r="C73" i="9"/>
  <c r="D200" i="9"/>
  <c r="C200" i="9"/>
  <c r="B200" i="9"/>
  <c r="B383" i="9"/>
  <c r="J392" i="9"/>
  <c r="F613" i="9"/>
  <c r="J613" i="9" s="1"/>
  <c r="J599" i="9"/>
  <c r="D760" i="9"/>
  <c r="C760" i="9"/>
  <c r="B808" i="9"/>
  <c r="D837" i="9"/>
  <c r="C837" i="9"/>
  <c r="B837" i="9"/>
  <c r="J971" i="9"/>
  <c r="J963" i="9"/>
  <c r="J961" i="9" s="1"/>
  <c r="D1088" i="9"/>
  <c r="C1088" i="9"/>
  <c r="B1088" i="9"/>
  <c r="I1150" i="9"/>
  <c r="J1150" i="9" s="1"/>
  <c r="J1148" i="9" s="1"/>
  <c r="I1154" i="9" s="1"/>
  <c r="J1154" i="9" s="1"/>
  <c r="J1152" i="9" s="1"/>
  <c r="J1203" i="9"/>
  <c r="I1228" i="9" s="1"/>
  <c r="J1228" i="9" s="1"/>
  <c r="J1226" i="9" s="1"/>
  <c r="I1232" i="9" s="1"/>
  <c r="J1232" i="9" s="1"/>
  <c r="J1230" i="9" s="1"/>
  <c r="I1217" i="9"/>
  <c r="J1217" i="9" s="1"/>
  <c r="J1215" i="9" s="1"/>
  <c r="D81" i="9"/>
  <c r="C81" i="9"/>
  <c r="B81" i="9"/>
  <c r="D401" i="9"/>
  <c r="C401" i="9"/>
  <c r="D27" i="9"/>
  <c r="C33" i="9"/>
  <c r="D58" i="9"/>
  <c r="C58" i="9"/>
  <c r="D86" i="9"/>
  <c r="C86" i="9"/>
  <c r="B86" i="9"/>
  <c r="J387" i="9"/>
  <c r="I512" i="9" s="1"/>
  <c r="J512" i="9" s="1"/>
  <c r="J510" i="9" s="1"/>
  <c r="D443" i="9"/>
  <c r="C443" i="9"/>
  <c r="B443" i="9"/>
  <c r="D458" i="9"/>
  <c r="C458" i="9"/>
  <c r="D498" i="9"/>
  <c r="C498" i="9"/>
  <c r="D708" i="9"/>
  <c r="C708" i="9"/>
  <c r="I886" i="9"/>
  <c r="J886" i="9" s="1"/>
  <c r="G949" i="9"/>
  <c r="J949" i="9" s="1"/>
  <c r="J948" i="9"/>
  <c r="J955" i="9"/>
  <c r="I1479" i="9"/>
  <c r="J1479" i="9" s="1"/>
  <c r="J1477" i="9" s="1"/>
  <c r="I1405" i="9"/>
  <c r="J1405" i="9" s="1"/>
  <c r="J1403" i="9" s="1"/>
  <c r="I1409" i="9" s="1"/>
  <c r="J1409" i="9" s="1"/>
  <c r="J1407" i="9" s="1"/>
  <c r="D392" i="9"/>
  <c r="C392" i="9"/>
  <c r="J593" i="9"/>
  <c r="D796" i="9"/>
  <c r="C796" i="9"/>
  <c r="B796" i="9"/>
  <c r="I907" i="9"/>
  <c r="J907" i="9" s="1"/>
  <c r="I885" i="9"/>
  <c r="J885" i="9" s="1"/>
  <c r="J883" i="9" s="1"/>
  <c r="I1036" i="9" s="1"/>
  <c r="B73" i="9"/>
  <c r="J336" i="9"/>
  <c r="I504" i="9" s="1"/>
  <c r="D905" i="9"/>
  <c r="C905" i="9"/>
  <c r="B905" i="9"/>
  <c r="C1134" i="9"/>
  <c r="D1134" i="9"/>
  <c r="B1134" i="9"/>
  <c r="D158" i="9"/>
  <c r="C158" i="9"/>
  <c r="I228" i="9"/>
  <c r="J228" i="9" s="1"/>
  <c r="J226" i="9" s="1"/>
  <c r="B405" i="9"/>
  <c r="D434" i="9"/>
  <c r="C434" i="9"/>
  <c r="B434" i="9"/>
  <c r="D516" i="9"/>
  <c r="C516" i="9"/>
  <c r="J569" i="9"/>
  <c r="B708" i="9"/>
  <c r="I892" i="9"/>
  <c r="J892" i="9" s="1"/>
  <c r="J890" i="9" s="1"/>
  <c r="I911" i="9"/>
  <c r="J911" i="9" s="1"/>
  <c r="I1027" i="9" s="1"/>
  <c r="J1027" i="9" s="1"/>
  <c r="J1025" i="9" s="1"/>
  <c r="D1113" i="9"/>
  <c r="C1113" i="9"/>
  <c r="B1113" i="9"/>
  <c r="D102" i="9"/>
  <c r="C102" i="9"/>
  <c r="D17" i="9"/>
  <c r="J33" i="9"/>
  <c r="C106" i="9"/>
  <c r="B158" i="9"/>
  <c r="B167" i="9"/>
  <c r="B387" i="9"/>
  <c r="D397" i="9"/>
  <c r="C397" i="9"/>
  <c r="B397" i="9"/>
  <c r="C405" i="9"/>
  <c r="B516" i="9"/>
  <c r="J923" i="9"/>
  <c r="D942" i="9"/>
  <c r="C942" i="9"/>
  <c r="D1000" i="9"/>
  <c r="C1000" i="9"/>
  <c r="B1100" i="9"/>
  <c r="D1100" i="9"/>
  <c r="F656" i="9"/>
  <c r="J656" i="9" s="1"/>
  <c r="J654" i="9" s="1"/>
  <c r="D1165" i="9"/>
  <c r="C1165" i="9"/>
  <c r="B1165" i="9"/>
  <c r="J47" i="9"/>
  <c r="I55" i="9" s="1"/>
  <c r="J55" i="9" s="1"/>
  <c r="J53" i="9" s="1"/>
  <c r="D230" i="9"/>
  <c r="C230" i="9"/>
  <c r="B230" i="9"/>
  <c r="C387" i="9"/>
  <c r="I440" i="9"/>
  <c r="J440" i="9" s="1"/>
  <c r="J438" i="9" s="1"/>
  <c r="D539" i="9"/>
  <c r="C539" i="9"/>
  <c r="I609" i="9"/>
  <c r="J609" i="9" s="1"/>
  <c r="B712" i="9"/>
  <c r="D848" i="9"/>
  <c r="C848" i="9"/>
  <c r="B942" i="9"/>
  <c r="B1000" i="9"/>
  <c r="C1100" i="9"/>
  <c r="I241" i="9"/>
  <c r="J241" i="9" s="1"/>
  <c r="J239" i="9" s="1"/>
  <c r="I126" i="9"/>
  <c r="J126" i="9" s="1"/>
  <c r="J124" i="9" s="1"/>
  <c r="I130" i="9" s="1"/>
  <c r="J130" i="9" s="1"/>
  <c r="J128" i="9" s="1"/>
  <c r="D163" i="9"/>
  <c r="C163" i="9"/>
  <c r="D615" i="9"/>
  <c r="C615" i="9"/>
  <c r="D43" i="9"/>
  <c r="C43" i="9"/>
  <c r="B53" i="9"/>
  <c r="B62" i="9"/>
  <c r="I177" i="9"/>
  <c r="J177" i="9" s="1"/>
  <c r="J175" i="9" s="1"/>
  <c r="C289" i="9"/>
  <c r="D379" i="9"/>
  <c r="C379" i="9"/>
  <c r="B379" i="9"/>
  <c r="D438" i="9"/>
  <c r="C438" i="9"/>
  <c r="B539" i="9"/>
  <c r="D588" i="9"/>
  <c r="C588" i="9"/>
  <c r="B588" i="9"/>
  <c r="C628" i="9"/>
  <c r="C712" i="9"/>
  <c r="D779" i="9"/>
  <c r="C779" i="9"/>
  <c r="B779" i="9"/>
  <c r="C869" i="9"/>
  <c r="B869" i="9"/>
  <c r="D869" i="9"/>
  <c r="J878" i="9"/>
  <c r="C1144" i="9"/>
  <c r="D1144" i="9"/>
  <c r="B1144" i="9"/>
  <c r="C913" i="9"/>
  <c r="B913" i="9"/>
  <c r="D976" i="9"/>
  <c r="C976" i="9"/>
  <c r="D1025" i="9"/>
  <c r="C1025" i="9"/>
  <c r="J1118" i="9"/>
  <c r="C1215" i="9"/>
  <c r="B1215" i="9"/>
  <c r="D1267" i="9"/>
  <c r="C1267" i="9"/>
  <c r="F92" i="9"/>
  <c r="J110" i="9"/>
  <c r="J623" i="9"/>
  <c r="D883" i="9"/>
  <c r="C883" i="9"/>
  <c r="D913" i="9"/>
  <c r="B928" i="9"/>
  <c r="C938" i="9"/>
  <c r="B938" i="9"/>
  <c r="B966" i="9"/>
  <c r="B976" i="9"/>
  <c r="B995" i="9"/>
  <c r="B1025" i="9"/>
  <c r="B1034" i="9"/>
  <c r="B1083" i="9"/>
  <c r="I1299" i="9"/>
  <c r="J1299" i="9" s="1"/>
  <c r="J1297" i="9" s="1"/>
  <c r="J1134" i="9"/>
  <c r="D1215" i="9"/>
  <c r="B1267" i="9"/>
  <c r="C1275" i="9"/>
  <c r="D1275" i="9"/>
  <c r="B1310" i="9"/>
  <c r="D1310" i="9"/>
  <c r="I1487" i="9"/>
  <c r="J1487" i="9" s="1"/>
  <c r="J1485" i="9" s="1"/>
  <c r="J1483" i="9"/>
  <c r="J1481" i="9" s="1"/>
  <c r="D955" i="9"/>
  <c r="C955" i="9"/>
  <c r="J73" i="9"/>
  <c r="F334" i="9"/>
  <c r="J334" i="9" s="1"/>
  <c r="J331" i="9" s="1"/>
  <c r="B883" i="9"/>
  <c r="C928" i="9"/>
  <c r="J932" i="9"/>
  <c r="D938" i="9"/>
  <c r="C966" i="9"/>
  <c r="B971" i="9"/>
  <c r="C995" i="9"/>
  <c r="I1019" i="9"/>
  <c r="J1019" i="9" s="1"/>
  <c r="J1017" i="9" s="1"/>
  <c r="C1034" i="9"/>
  <c r="B1070" i="9"/>
  <c r="C1083" i="9"/>
  <c r="C1174" i="9"/>
  <c r="B1209" i="9"/>
  <c r="B1275" i="9"/>
  <c r="C1310" i="9"/>
  <c r="D1728" i="9"/>
  <c r="C1728" i="9"/>
  <c r="B1728" i="9"/>
  <c r="J1969" i="9"/>
  <c r="I1977" i="9" s="1"/>
  <c r="J1977" i="9" s="1"/>
  <c r="J1975" i="9" s="1"/>
  <c r="C791" i="9"/>
  <c r="B791" i="9"/>
  <c r="C951" i="9"/>
  <c r="B951" i="9"/>
  <c r="J995" i="9"/>
  <c r="C1130" i="9"/>
  <c r="B1130" i="9"/>
  <c r="D1148" i="9"/>
  <c r="B1148" i="9"/>
  <c r="D1191" i="9"/>
  <c r="C1191" i="9"/>
  <c r="B1191" i="9"/>
  <c r="C1371" i="9"/>
  <c r="B1371" i="9"/>
  <c r="D1371" i="9"/>
  <c r="D1411" i="9"/>
  <c r="C1411" i="9"/>
  <c r="B1411" i="9"/>
  <c r="B1456" i="9"/>
  <c r="C1456" i="9"/>
  <c r="D1456" i="9"/>
  <c r="C878" i="9"/>
  <c r="B878" i="9"/>
  <c r="C1021" i="9"/>
  <c r="B1021" i="9"/>
  <c r="J1070" i="9"/>
  <c r="B1139" i="9"/>
  <c r="D1139" i="9"/>
  <c r="J1191" i="9"/>
  <c r="I1254" i="9" s="1"/>
  <c r="J1254" i="9" s="1"/>
  <c r="J1252" i="9" s="1"/>
  <c r="C1362" i="9"/>
  <c r="B1362" i="9"/>
  <c r="I1471" i="9"/>
  <c r="J1471" i="9" s="1"/>
  <c r="J1469" i="9" s="1"/>
  <c r="J1411" i="9"/>
  <c r="I1672" i="9"/>
  <c r="J1672" i="9" s="1"/>
  <c r="J1670" i="9" s="1"/>
  <c r="I1862" i="9"/>
  <c r="J1862" i="9" s="1"/>
  <c r="J1860" i="9" s="1"/>
  <c r="I1866" i="9" s="1"/>
  <c r="J1866" i="9" s="1"/>
  <c r="J1864" i="9" s="1"/>
  <c r="H1870" i="9"/>
  <c r="D873" i="9"/>
  <c r="C873" i="9"/>
  <c r="D878" i="9"/>
  <c r="D897" i="9"/>
  <c r="C897" i="9"/>
  <c r="J946" i="9"/>
  <c r="J968" i="9"/>
  <c r="J966" i="9" s="1"/>
  <c r="I1044" i="9" s="1"/>
  <c r="J1044" i="9" s="1"/>
  <c r="J1042" i="9" s="1"/>
  <c r="D1021" i="9"/>
  <c r="B1030" i="9"/>
  <c r="C1048" i="9"/>
  <c r="B1079" i="9"/>
  <c r="C1139" i="9"/>
  <c r="D1156" i="9"/>
  <c r="C1156" i="9"/>
  <c r="C1226" i="9"/>
  <c r="D1362" i="9"/>
  <c r="C1860" i="9"/>
  <c r="B1860" i="9"/>
  <c r="D1860" i="9"/>
  <c r="D1635" i="9"/>
  <c r="C1635" i="9"/>
  <c r="D1693" i="9"/>
  <c r="C1693" i="9"/>
  <c r="C1957" i="9"/>
  <c r="D1957" i="9"/>
  <c r="B1957" i="9"/>
  <c r="D1297" i="9"/>
  <c r="C1297" i="9"/>
  <c r="D1393" i="9"/>
  <c r="B1393" i="9"/>
  <c r="C1393" i="9"/>
  <c r="B1403" i="9"/>
  <c r="C1403" i="9"/>
  <c r="D1403" i="9"/>
  <c r="C1438" i="9"/>
  <c r="B1438" i="9"/>
  <c r="D1438" i="9"/>
  <c r="I1641" i="9"/>
  <c r="J1641" i="9" s="1"/>
  <c r="J1639" i="9" s="1"/>
  <c r="B1635" i="9"/>
  <c r="J1664" i="9"/>
  <c r="J1662" i="9" s="1"/>
  <c r="D1679" i="9"/>
  <c r="C1679" i="9"/>
  <c r="B1679" i="9"/>
  <c r="B1693" i="9"/>
  <c r="D1921" i="9"/>
  <c r="C1921" i="9"/>
  <c r="B1921" i="9"/>
  <c r="B1244" i="9"/>
  <c r="C1248" i="9"/>
  <c r="B1297" i="9"/>
  <c r="D1366" i="9"/>
  <c r="C1366" i="9"/>
  <c r="B1379" i="9"/>
  <c r="B1430" i="9"/>
  <c r="D1430" i="9"/>
  <c r="C1500" i="9"/>
  <c r="B1500" i="9"/>
  <c r="D1500" i="9"/>
  <c r="J1582" i="9"/>
  <c r="H1601" i="9"/>
  <c r="J1601" i="9" s="1"/>
  <c r="D1611" i="9"/>
  <c r="C1611" i="9"/>
  <c r="B1611" i="9"/>
  <c r="D1811" i="9"/>
  <c r="C1811" i="9"/>
  <c r="B2042" i="9"/>
  <c r="D2042" i="9"/>
  <c r="C1416" i="9"/>
  <c r="D1416" i="9"/>
  <c r="B1416" i="9"/>
  <c r="D1485" i="9"/>
  <c r="C1485" i="9"/>
  <c r="B1485" i="9"/>
  <c r="C1576" i="9"/>
  <c r="B1576" i="9"/>
  <c r="D1576" i="9"/>
  <c r="D1627" i="9"/>
  <c r="C1627" i="9"/>
  <c r="B1627" i="9"/>
  <c r="C1653" i="9"/>
  <c r="B1653" i="9"/>
  <c r="D1653" i="9"/>
  <c r="I1799" i="9"/>
  <c r="J1799" i="9" s="1"/>
  <c r="J1797" i="9" s="1"/>
  <c r="J1786" i="9"/>
  <c r="I1813" i="9" s="1"/>
  <c r="J1813" i="9" s="1"/>
  <c r="J1811" i="9" s="1"/>
  <c r="I1817" i="9" s="1"/>
  <c r="J1817" i="9" s="1"/>
  <c r="J1815" i="9" s="1"/>
  <c r="I2060" i="9"/>
  <c r="J2060" i="9" s="1"/>
  <c r="J2058" i="9" s="1"/>
  <c r="I2123" i="9"/>
  <c r="I2127" i="9"/>
  <c r="J2127" i="9" s="1"/>
  <c r="J2125" i="9" s="1"/>
  <c r="I2131" i="9" s="1"/>
  <c r="J2131" i="9" s="1"/>
  <c r="J2129" i="9" s="1"/>
  <c r="B1260" i="9"/>
  <c r="J1291" i="9"/>
  <c r="J1289" i="9" s="1"/>
  <c r="B1314" i="9"/>
  <c r="C1326" i="9"/>
  <c r="B1326" i="9"/>
  <c r="B1332" i="9"/>
  <c r="B1354" i="9"/>
  <c r="J1416" i="9"/>
  <c r="D1542" i="9"/>
  <c r="C1542" i="9"/>
  <c r="J1552" i="9"/>
  <c r="D1568" i="9"/>
  <c r="C1568" i="9"/>
  <c r="B1568" i="9"/>
  <c r="J1576" i="9"/>
  <c r="I1600" i="9"/>
  <c r="J1600" i="9" s="1"/>
  <c r="J1597" i="9" s="1"/>
  <c r="I1605" i="9" s="1"/>
  <c r="J1605" i="9" s="1"/>
  <c r="J1603" i="9" s="1"/>
  <c r="I1609" i="9" s="1"/>
  <c r="J1609" i="9" s="1"/>
  <c r="J1607" i="9" s="1"/>
  <c r="B1761" i="9"/>
  <c r="D1761" i="9"/>
  <c r="C1761" i="9"/>
  <c r="C1293" i="9"/>
  <c r="B1293" i="9"/>
  <c r="D1375" i="9"/>
  <c r="C1375" i="9"/>
  <c r="C1398" i="9"/>
  <c r="B1398" i="9"/>
  <c r="D1398" i="9"/>
  <c r="I1436" i="9"/>
  <c r="J1436" i="9" s="1"/>
  <c r="J1434" i="9" s="1"/>
  <c r="B1443" i="9"/>
  <c r="C1443" i="9"/>
  <c r="D1443" i="9"/>
  <c r="D1452" i="9"/>
  <c r="C1452" i="9"/>
  <c r="B1452" i="9"/>
  <c r="B1461" i="9"/>
  <c r="C1461" i="9"/>
  <c r="D1469" i="9"/>
  <c r="C1469" i="9"/>
  <c r="B1469" i="9"/>
  <c r="I1536" i="9"/>
  <c r="J1536" i="9" s="1"/>
  <c r="J1534" i="9" s="1"/>
  <c r="I1540" i="9" s="1"/>
  <c r="J1540" i="9" s="1"/>
  <c r="J1538" i="9" s="1"/>
  <c r="J1706" i="9"/>
  <c r="J1704" i="9" s="1"/>
  <c r="J1772" i="9"/>
  <c r="D1834" i="9"/>
  <c r="B1834" i="9"/>
  <c r="C1834" i="9"/>
  <c r="C1495" i="9"/>
  <c r="B1495" i="9"/>
  <c r="D1603" i="9"/>
  <c r="C1603" i="9"/>
  <c r="C1619" i="9"/>
  <c r="B1670" i="9"/>
  <c r="C1683" i="9"/>
  <c r="B1719" i="9"/>
  <c r="B1750" i="9"/>
  <c r="C2011" i="9"/>
  <c r="D2029" i="9"/>
  <c r="B2029" i="9"/>
  <c r="C2029" i="9"/>
  <c r="D2129" i="9"/>
  <c r="B2129" i="9"/>
  <c r="C2129" i="9"/>
  <c r="F2190" i="9"/>
  <c r="J2190" i="9" s="1"/>
  <c r="F2181" i="9"/>
  <c r="J2181" i="9" s="1"/>
  <c r="F2171" i="9"/>
  <c r="J2162" i="9"/>
  <c r="D1530" i="9"/>
  <c r="C1530" i="9"/>
  <c r="I1629" i="9"/>
  <c r="J1629" i="9" s="1"/>
  <c r="J1627" i="9" s="1"/>
  <c r="I1633" i="9" s="1"/>
  <c r="J1633" i="9" s="1"/>
  <c r="J1631" i="9" s="1"/>
  <c r="B1745" i="9"/>
  <c r="D1745" i="9"/>
  <c r="B1913" i="9"/>
  <c r="C1913" i="9"/>
  <c r="D1913" i="9"/>
  <c r="D2097" i="9"/>
  <c r="C2097" i="9"/>
  <c r="B1422" i="9"/>
  <c r="C1506" i="9"/>
  <c r="B1506" i="9"/>
  <c r="B1530" i="9"/>
  <c r="J1547" i="9"/>
  <c r="C1666" i="9"/>
  <c r="B1723" i="9"/>
  <c r="C1745" i="9"/>
  <c r="C1792" i="9"/>
  <c r="B1792" i="9"/>
  <c r="C1805" i="9"/>
  <c r="D1864" i="9"/>
  <c r="B1864" i="9"/>
  <c r="B1878" i="9"/>
  <c r="B1892" i="9"/>
  <c r="B1988" i="9"/>
  <c r="D1988" i="9"/>
  <c r="C1988" i="9"/>
  <c r="C2025" i="9"/>
  <c r="D2025" i="9"/>
  <c r="B2097" i="9"/>
  <c r="B1407" i="9"/>
  <c r="C1481" i="9"/>
  <c r="B1481" i="9"/>
  <c r="D1506" i="9"/>
  <c r="B1525" i="9"/>
  <c r="C1623" i="9"/>
  <c r="D1666" i="9"/>
  <c r="J1745" i="9"/>
  <c r="I1752" i="9"/>
  <c r="J1752" i="9" s="1"/>
  <c r="J1750" i="9" s="1"/>
  <c r="C1786" i="9"/>
  <c r="D1786" i="9"/>
  <c r="D1792" i="9"/>
  <c r="D1805" i="9"/>
  <c r="C1864" i="9"/>
  <c r="D1878" i="9"/>
  <c r="J1884" i="9"/>
  <c r="J1882" i="9" s="1"/>
  <c r="C1892" i="9"/>
  <c r="D1900" i="9"/>
  <c r="C1900" i="9"/>
  <c r="B1900" i="9"/>
  <c r="C1997" i="9"/>
  <c r="D1997" i="9"/>
  <c r="I2225" i="9"/>
  <c r="J2225" i="9" s="1"/>
  <c r="J2223" i="9" s="1"/>
  <c r="I2009" i="9"/>
  <c r="J2009" i="9" s="1"/>
  <c r="J2007" i="9" s="1"/>
  <c r="I2013" i="9" s="1"/>
  <c r="J2013" i="9" s="1"/>
  <c r="J2011" i="9" s="1"/>
  <c r="I2017" i="9"/>
  <c r="J2017" i="9" s="1"/>
  <c r="B2025" i="9"/>
  <c r="D2058" i="9"/>
  <c r="B2058" i="9"/>
  <c r="H2066" i="9"/>
  <c r="J2066" i="9" s="1"/>
  <c r="J2063" i="9" s="1"/>
  <c r="I2070" i="9" s="1"/>
  <c r="J2070" i="9" s="1"/>
  <c r="J2068" i="9" s="1"/>
  <c r="I2074" i="9" s="1"/>
  <c r="J2074" i="9" s="1"/>
  <c r="J2072" i="9" s="1"/>
  <c r="D2084" i="9"/>
  <c r="B2084" i="9"/>
  <c r="C1689" i="9"/>
  <c r="D1689" i="9"/>
  <c r="B1740" i="9"/>
  <c r="D1740" i="9"/>
  <c r="C1740" i="9"/>
  <c r="C1765" i="9"/>
  <c r="B1765" i="9"/>
  <c r="D1521" i="9"/>
  <c r="C1521" i="9"/>
  <c r="B1689" i="9"/>
  <c r="D1765" i="9"/>
  <c r="D1961" i="9"/>
  <c r="B1961" i="9"/>
  <c r="C1961" i="9"/>
  <c r="C1992" i="9"/>
  <c r="B1992" i="9"/>
  <c r="B2011" i="9"/>
  <c r="D2020" i="9"/>
  <c r="C2020" i="9"/>
  <c r="B2020" i="9"/>
  <c r="J2033" i="9"/>
  <c r="I2040" i="9" s="1"/>
  <c r="J2040" i="9" s="1"/>
  <c r="J2038" i="9" s="1"/>
  <c r="D2068" i="9"/>
  <c r="C2068" i="9"/>
  <c r="C2125" i="9"/>
  <c r="D2125" i="9"/>
  <c r="B2125" i="9"/>
  <c r="H1621" i="9"/>
  <c r="J1621" i="9" s="1"/>
  <c r="J1619" i="9" s="1"/>
  <c r="I1685" i="9" s="1"/>
  <c r="J1685" i="9" s="1"/>
  <c r="J1683" i="9" s="1"/>
  <c r="I2208" i="9"/>
  <c r="J2208" i="9" s="1"/>
  <c r="J2206" i="9" s="1"/>
  <c r="B2159" i="9"/>
  <c r="D2159" i="9"/>
  <c r="C2159" i="9"/>
  <c r="B1674" i="9"/>
  <c r="B1715" i="9"/>
  <c r="B1777" i="9"/>
  <c r="C1782" i="9"/>
  <c r="J1823" i="9"/>
  <c r="C1874" i="9"/>
  <c r="B1887" i="9"/>
  <c r="J1973" i="9"/>
  <c r="C1980" i="9"/>
  <c r="B1980" i="9"/>
  <c r="B2063" i="9"/>
  <c r="D2063" i="9"/>
  <c r="J2086" i="9"/>
  <c r="J2084" i="9" s="1"/>
  <c r="J2123" i="9"/>
  <c r="J2121" i="9" s="1"/>
  <c r="J1870" i="9"/>
  <c r="J1887" i="9"/>
  <c r="C1935" i="9"/>
  <c r="D1935" i="9"/>
  <c r="D1975" i="9"/>
  <c r="B1975" i="9"/>
  <c r="C2080" i="9"/>
  <c r="D2080" i="9"/>
  <c r="F2221" i="9"/>
  <c r="J2221" i="9" s="1"/>
  <c r="J2219" i="9" s="1"/>
  <c r="J2094" i="9"/>
  <c r="J2092" i="9" s="1"/>
  <c r="F2138" i="9"/>
  <c r="C2164" i="9"/>
  <c r="D2164" i="9"/>
  <c r="B2164" i="9"/>
  <c r="C2210" i="9"/>
  <c r="D2210" i="9"/>
  <c r="B2210" i="9"/>
  <c r="D17" i="10"/>
  <c r="I2330" i="9"/>
  <c r="J2330" i="9" s="1"/>
  <c r="J2327" i="9" s="1"/>
  <c r="J2275" i="9"/>
  <c r="I2273" i="9" s="1"/>
  <c r="J2273" i="9" s="1"/>
  <c r="J2271" i="9" s="1"/>
  <c r="D2135" i="9"/>
  <c r="D2150" i="9"/>
  <c r="B2168" i="9"/>
  <c r="B2178" i="9"/>
  <c r="D2206" i="9"/>
  <c r="C2214" i="9"/>
  <c r="B2239" i="9"/>
  <c r="D2244" i="9"/>
  <c r="D2266" i="9"/>
  <c r="C2266" i="9"/>
  <c r="C2309" i="9"/>
  <c r="J2185" i="9"/>
  <c r="J2183" i="9" s="1"/>
  <c r="D2198" i="9"/>
  <c r="C2198" i="9"/>
  <c r="D2275" i="9"/>
  <c r="C2275" i="9"/>
  <c r="I2204" i="9"/>
  <c r="J2204" i="9" s="1"/>
  <c r="J2202" i="9" s="1"/>
  <c r="D2255" i="9"/>
  <c r="C2255" i="9"/>
  <c r="B2289" i="9"/>
  <c r="D2193" i="9"/>
  <c r="C2193" i="9"/>
  <c r="C2289" i="9"/>
  <c r="B2314" i="9"/>
  <c r="D2334" i="9"/>
  <c r="C2334" i="9"/>
  <c r="B2334" i="9"/>
  <c r="C2110" i="9"/>
  <c r="D2116" i="9"/>
  <c r="B2135" i="9"/>
  <c r="C2150" i="9"/>
  <c r="F2161" i="9"/>
  <c r="J2156" i="9"/>
  <c r="J2154" i="9" s="1"/>
  <c r="B2193" i="9"/>
  <c r="C2206" i="9"/>
  <c r="B2214" i="9"/>
  <c r="B2244" i="9"/>
  <c r="C2271" i="9"/>
  <c r="B2271" i="9"/>
  <c r="B2309" i="9"/>
  <c r="D2314" i="9"/>
  <c r="J942" i="9" l="1"/>
  <c r="I930" i="9"/>
  <c r="J930" i="9" s="1"/>
  <c r="J928" i="9" s="1"/>
  <c r="I936" i="9" s="1"/>
  <c r="J936" i="9" s="1"/>
  <c r="J934" i="9" s="1"/>
  <c r="I940" i="9" s="1"/>
  <c r="J940" i="9" s="1"/>
  <c r="J938" i="9" s="1"/>
  <c r="J905" i="9"/>
  <c r="I1023" i="9"/>
  <c r="J1023" i="9" s="1"/>
  <c r="J1021" i="9" s="1"/>
  <c r="I1128" i="9"/>
  <c r="J1128" i="9" s="1"/>
  <c r="J1126" i="9" s="1"/>
  <c r="I1132" i="9" s="1"/>
  <c r="J1132" i="9" s="1"/>
  <c r="J1130" i="9" s="1"/>
  <c r="I1316" i="9"/>
  <c r="J1316" i="9" s="1"/>
  <c r="J1314" i="9" s="1"/>
  <c r="I2137" i="9"/>
  <c r="J2137" i="9" s="1"/>
  <c r="I2152" i="9"/>
  <c r="J2152" i="9" s="1"/>
  <c r="J2150" i="9" s="1"/>
  <c r="J2161" i="9"/>
  <c r="J2159" i="9" s="1"/>
  <c r="I2138" i="9" s="1"/>
  <c r="F2180" i="9"/>
  <c r="J2180" i="9" s="1"/>
  <c r="J2178" i="9" s="1"/>
  <c r="I2139" i="9" s="1"/>
  <c r="F2170" i="9"/>
  <c r="F2189" i="9"/>
  <c r="J2189" i="9" s="1"/>
  <c r="J2187" i="9" s="1"/>
  <c r="I1562" i="9"/>
  <c r="J1562" i="9" s="1"/>
  <c r="J1560" i="9" s="1"/>
  <c r="I1566" i="9" s="1"/>
  <c r="J1566" i="9" s="1"/>
  <c r="J1564" i="9" s="1"/>
  <c r="I1681" i="9"/>
  <c r="J1681" i="9" s="1"/>
  <c r="J1679" i="9" s="1"/>
  <c r="I1040" i="9"/>
  <c r="J1040" i="9" s="1"/>
  <c r="J1038" i="9" s="1"/>
  <c r="J1036" i="9"/>
  <c r="J1034" i="9" s="1"/>
  <c r="J2138" i="9"/>
  <c r="F2139" i="9"/>
  <c r="I899" i="9"/>
  <c r="J899" i="9" s="1"/>
  <c r="J897" i="9" s="1"/>
  <c r="I903" i="9" s="1"/>
  <c r="J903" i="9" s="1"/>
  <c r="J901" i="9" s="1"/>
  <c r="I1032" i="9"/>
  <c r="J1032" i="9" s="1"/>
  <c r="J1030" i="9" s="1"/>
  <c r="J2171" i="9"/>
  <c r="F2176" i="9"/>
  <c r="J2176" i="9" s="1"/>
  <c r="J1838" i="9"/>
  <c r="J1834" i="9" s="1"/>
  <c r="I1842" i="9"/>
  <c r="J1842" i="9" s="1"/>
  <c r="J1840" i="9" s="1"/>
  <c r="I1848" i="9"/>
  <c r="I1826" i="9"/>
  <c r="I1324" i="9"/>
  <c r="J1324" i="9" s="1"/>
  <c r="J1322" i="9" s="1"/>
  <c r="J1320" i="9"/>
  <c r="J1318" i="9" s="1"/>
  <c r="J681" i="9"/>
  <c r="I689" i="9" s="1"/>
  <c r="J689" i="9" s="1"/>
  <c r="J687" i="9" s="1"/>
  <c r="I693" i="9" s="1"/>
  <c r="J693" i="9" s="1"/>
  <c r="J691" i="9" s="1"/>
  <c r="F705" i="9"/>
  <c r="F718" i="9"/>
  <c r="J698" i="9"/>
  <c r="J695" i="9" s="1"/>
  <c r="F100" i="9"/>
  <c r="J100" i="9" s="1"/>
  <c r="J94" i="9" s="1"/>
  <c r="J92" i="9"/>
  <c r="J86" i="9" s="1"/>
  <c r="J606" i="9"/>
  <c r="J504" i="9"/>
  <c r="J502" i="9" s="1"/>
  <c r="I508" i="9"/>
  <c r="J508" i="9" s="1"/>
  <c r="J506" i="9" s="1"/>
  <c r="I355" i="9"/>
  <c r="J355" i="9" s="1"/>
  <c r="J353" i="9" s="1"/>
  <c r="I359" i="9" s="1"/>
  <c r="J359" i="9" s="1"/>
  <c r="J357" i="9" s="1"/>
  <c r="I2212" i="9"/>
  <c r="J2212" i="9" s="1"/>
  <c r="J2210" i="9" s="1"/>
  <c r="J2015" i="9"/>
  <c r="I1927" i="9"/>
  <c r="J1927" i="9" s="1"/>
  <c r="J1925" i="9" s="1"/>
  <c r="I1759" i="9"/>
  <c r="J1759" i="9" s="1"/>
  <c r="J1757" i="9" s="1"/>
  <c r="I1763" i="9" s="1"/>
  <c r="J1763" i="9" s="1"/>
  <c r="J1761" i="9" s="1"/>
  <c r="I978" i="9"/>
  <c r="J978" i="9" s="1"/>
  <c r="J976" i="9" s="1"/>
  <c r="I982" i="9" s="1"/>
  <c r="J982" i="9" s="1"/>
  <c r="J980" i="9" s="1"/>
  <c r="H986" i="9"/>
  <c r="J986" i="9" s="1"/>
  <c r="J984" i="9" s="1"/>
  <c r="I992" i="9" s="1"/>
  <c r="J992" i="9" s="1"/>
  <c r="J990" i="9" s="1"/>
  <c r="G706" i="9" l="1"/>
  <c r="J706" i="9" s="1"/>
  <c r="J705" i="9"/>
  <c r="J700" i="9" s="1"/>
  <c r="I617" i="9"/>
  <c r="J617" i="9" s="1"/>
  <c r="J615" i="9" s="1"/>
  <c r="I621" i="9" s="1"/>
  <c r="J621" i="9" s="1"/>
  <c r="J619" i="9" s="1"/>
  <c r="I802" i="9"/>
  <c r="J802" i="9" s="1"/>
  <c r="J800" i="9" s="1"/>
  <c r="J2170" i="9"/>
  <c r="J2168" i="9" s="1"/>
  <c r="F2175" i="9"/>
  <c r="J2175" i="9" s="1"/>
  <c r="J2173" i="9" s="1"/>
  <c r="I2166" i="9" s="1"/>
  <c r="J2166" i="9" s="1"/>
  <c r="J2164" i="9" s="1"/>
  <c r="I249" i="9"/>
  <c r="J249" i="9" s="1"/>
  <c r="J247" i="9" s="1"/>
  <c r="I253" i="9"/>
  <c r="J253" i="9" s="1"/>
  <c r="J251" i="9" s="1"/>
  <c r="I1828" i="9"/>
  <c r="J1828" i="9" s="1"/>
  <c r="J1826" i="9"/>
  <c r="J1819" i="9" s="1"/>
  <c r="F2143" i="9"/>
  <c r="J2143" i="9" s="1"/>
  <c r="J2141" i="9" s="1"/>
  <c r="J2139" i="9"/>
  <c r="I104" i="9"/>
  <c r="J104" i="9" s="1"/>
  <c r="J102" i="9" s="1"/>
  <c r="I108" i="9" s="1"/>
  <c r="J108" i="9" s="1"/>
  <c r="J106" i="9" s="1"/>
  <c r="I245" i="9"/>
  <c r="J245" i="9" s="1"/>
  <c r="J243" i="9" s="1"/>
  <c r="I1854" i="9"/>
  <c r="J1848" i="9"/>
  <c r="J1844" i="9" s="1"/>
  <c r="J718" i="9"/>
  <c r="J716" i="9" s="1"/>
  <c r="H722" i="9"/>
  <c r="J2135" i="9"/>
  <c r="J1854" i="9" l="1"/>
  <c r="J1850" i="9" s="1"/>
  <c r="I1931" i="9" s="1"/>
  <c r="J1931" i="9" s="1"/>
  <c r="J1929" i="9" s="1"/>
  <c r="I1872" i="9"/>
  <c r="J1872" i="9" s="1"/>
  <c r="J1868" i="9" s="1"/>
  <c r="I1876" i="9" s="1"/>
  <c r="J1876" i="9" s="1"/>
  <c r="J1874" i="9" s="1"/>
  <c r="J722" i="9"/>
  <c r="J720" i="9" s="1"/>
  <c r="I818" i="9" s="1"/>
  <c r="J818" i="9" s="1"/>
  <c r="J816" i="9" s="1"/>
  <c r="F726" i="9"/>
  <c r="J726" i="9" s="1"/>
  <c r="J724" i="9" s="1"/>
  <c r="H739" i="9" l="1"/>
  <c r="J739" i="9" s="1"/>
  <c r="J736" i="9" s="1"/>
  <c r="I710" i="9" s="1"/>
  <c r="J710" i="9" s="1"/>
  <c r="J708" i="9" s="1"/>
  <c r="I730" i="9"/>
  <c r="J730" i="9" s="1"/>
  <c r="J728" i="9" s="1"/>
  <c r="I734" i="9" s="1"/>
  <c r="J734" i="9" s="1"/>
  <c r="J73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K2284" authorId="0" shapeId="0" xr:uid="{33AE4EF6-BB32-4E97-B85C-076B5982E3D2}">
      <text>
        <r>
          <rPr>
            <b/>
            <sz val="9"/>
            <color indexed="81"/>
            <rFont val="Segoe UI"/>
            <charset val="1"/>
          </rPr>
          <t>Autor:</t>
        </r>
        <r>
          <rPr>
            <sz val="9"/>
            <color indexed="81"/>
            <rFont val="Segoe UI"/>
            <charset val="1"/>
          </rPr>
          <t xml:space="preserve">
Analisar Quantitativos dos itens em amarelo (MODEL-DWG)</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<sst xmlns="http://schemas.openxmlformats.org/spreadsheetml/2006/main" count="8194" uniqueCount="2079">
  <si>
    <t>ITEM</t>
  </si>
  <si>
    <t>CÓDIGO</t>
  </si>
  <si>
    <t>REF.</t>
  </si>
  <si>
    <t>DESCRIÇÃO</t>
  </si>
  <si>
    <t>UNID.</t>
  </si>
  <si>
    <t>QUANT.</t>
  </si>
  <si>
    <t>CUSTO UNITÁRIO</t>
  </si>
  <si>
    <t>BDI (%)</t>
  </si>
  <si>
    <t>PREÇO UNITÁRIO</t>
  </si>
  <si>
    <t>PREÇO DO SERVIÇO</t>
  </si>
  <si>
    <t>1</t>
  </si>
  <si>
    <t>PAVIMENTAÇÃO</t>
  </si>
  <si>
    <t>1.1</t>
  </si>
  <si>
    <t>RUA MANOEL BENÍCIO - PIEDADE</t>
  </si>
  <si>
    <t>1.1.1</t>
  </si>
  <si>
    <t>INSTALAÇÕES PROVISÓRIAS</t>
  </si>
  <si>
    <t>1.1.1.1</t>
  </si>
  <si>
    <t>CP-74209/001-15055090</t>
  </si>
  <si>
    <t>Composições Próprias</t>
  </si>
  <si>
    <t>PLACA DE OBRA EM CHAPA DE ACO GALVANIZADO</t>
  </si>
  <si>
    <t>M2</t>
  </si>
  <si>
    <t>1.1.1.2</t>
  </si>
  <si>
    <t>COMP-07440249</t>
  </si>
  <si>
    <t>BANHEIRO QUÍMICO, COM LOCAÇÃO, TRANSPORTE E LIMPEZA</t>
  </si>
  <si>
    <t>MÊS</t>
  </si>
  <si>
    <t>1.1.2</t>
  </si>
  <si>
    <t>ADMINISTRAÇÃO LOCAL</t>
  </si>
  <si>
    <t>1.1.2.1</t>
  </si>
  <si>
    <t>93565</t>
  </si>
  <si>
    <t>SINAPI</t>
  </si>
  <si>
    <t>ENGENHEIRO CIVIL DE OBRA JUNIOR COM ENCARGOS COMPLEMENTARES</t>
  </si>
  <si>
    <t>MES</t>
  </si>
  <si>
    <t>1.1.2.2</t>
  </si>
  <si>
    <t>93572</t>
  </si>
  <si>
    <t>ENCARREGADO GERAL DE OBRAS COM ENCARGOS COMPLEMENTARES</t>
  </si>
  <si>
    <t>1.1.3</t>
  </si>
  <si>
    <t>SERVIÇOS PRELIMINARES</t>
  </si>
  <si>
    <t>1.1.3.1</t>
  </si>
  <si>
    <t>99064</t>
  </si>
  <si>
    <t>LOCAÇÃO DE PAVIMENTAÇÃO. AF_10/2018</t>
  </si>
  <si>
    <t>M</t>
  </si>
  <si>
    <t>1.1.3.2</t>
  </si>
  <si>
    <t>COMP-17562084</t>
  </si>
  <si>
    <t>DEMOLIÇÃO MANUAL DE CONCRETO SIMPLES</t>
  </si>
  <si>
    <t>M³</t>
  </si>
  <si>
    <t>1.1.3.3</t>
  </si>
  <si>
    <t>COMP-01471766</t>
  </si>
  <si>
    <t>DEMOLIÇÃO DE MEIO-FIO</t>
  </si>
  <si>
    <t>1.1.3.4</t>
  </si>
  <si>
    <t>COMP-35145154</t>
  </si>
  <si>
    <t>CARGA E DESCARGA MECANICA DE SOLO UTILIZANDO CAMINHAO BASCULANTE 14,0M3/36T E PA CARREGADEIRA SOBRE PNEUS 128 HP, CAPACIDADE DA CAÇAMBA 1,7 A 2,8 M3, PESO OPERACIONAL 11632 KH</t>
  </si>
  <si>
    <t>1.1.3.5</t>
  </si>
  <si>
    <t>95876</t>
  </si>
  <si>
    <t>TRANSPORTE COM CAMINHÃO BASCULANTE DE 14 M³, EM VIA URBANA PAVIMENTADA, DMT ATÉ 30 KM (UNIDADE: M3XKM). AF_07/2020</t>
  </si>
  <si>
    <t>M3XKM</t>
  </si>
  <si>
    <t>1.1.4</t>
  </si>
  <si>
    <t>TERRAPLANAGEM</t>
  </si>
  <si>
    <t>1.1.4.1</t>
  </si>
  <si>
    <t>CP-74205/001-17324935</t>
  </si>
  <si>
    <t>ESCAVAÇÃO MECÂNICA DE MATERIAL 1A. CATEGORIA, PROVENIENTE DE CORTE DE SUBLEITO (C/TRATOR ESTEIRAS 160HP)</t>
  </si>
  <si>
    <t>M3</t>
  </si>
  <si>
    <t>1.1.4.2</t>
  </si>
  <si>
    <t>1.1.4.3</t>
  </si>
  <si>
    <t>1.1.5</t>
  </si>
  <si>
    <t>1.1.5.1</t>
  </si>
  <si>
    <t>100576</t>
  </si>
  <si>
    <t>REGULARIZAÇÃO E COMPACTAÇÃO DE SUBLEITO DE SOLO PREDOMINANTEMENTE ARGILOSO. AF_11/2019</t>
  </si>
  <si>
    <t>1.1.5.2</t>
  </si>
  <si>
    <t>COMP-47176600</t>
  </si>
  <si>
    <t>EXEC. DE ATERRO COM AREIA COM ADENSAMENTO HIDRAULICO</t>
  </si>
  <si>
    <t>1.1.5.3</t>
  </si>
  <si>
    <t>COMP-28881239</t>
  </si>
  <si>
    <t>Base ou sub-base de macadame hidráulico com brita comercial - EXCLUSIVE MATERIAL, CARGA E TRANSPORTE - NÃO DESONERADO</t>
  </si>
  <si>
    <t>m³</t>
  </si>
  <si>
    <t>1.1.5.4</t>
  </si>
  <si>
    <t>CP-96396-26507981</t>
  </si>
  <si>
    <t>EXECUÇÃO E COMPACTAÇÃO DE BASE E OU SUB BASE PARA PAVIMENTAÇÃO DE BRITA GRADUADA SIMPLES - EXCLUSIVE MATERIAL, CARGA E TRANSPORTE</t>
  </si>
  <si>
    <t>1.1.5.5</t>
  </si>
  <si>
    <t>1.1.5.6</t>
  </si>
  <si>
    <t>COMP-83526730</t>
  </si>
  <si>
    <t>TRANSPORTE COMERCIAL DE BRITA</t>
  </si>
  <si>
    <t>M³XKM</t>
  </si>
  <si>
    <t>1.1.5.7</t>
  </si>
  <si>
    <t>CP-92399-27762594</t>
  </si>
  <si>
    <t>EXECUÇÃO DE VIA EM PISO INTERTRAVADO, COM BLOCO RETANGULAR COR NATURAL/COLORIDO DE 20 X 10 CM, ESPESSURA 8 CM - (SEM O MATERIAL BLOQUETE/PISO INTERTRAVADO)</t>
  </si>
  <si>
    <t>1.1.5.8</t>
  </si>
  <si>
    <t>COMP-62038505</t>
  </si>
  <si>
    <t>EXECUÇÃO DE IMPRIMAÇÃO COM ASFALTO DILUÍDO CM-30 - SERVIÇO UTILIZADO NOS LOTES</t>
  </si>
  <si>
    <t>1.1.5.9</t>
  </si>
  <si>
    <t>CP-95995-51339760</t>
  </si>
  <si>
    <t>EXECUÇÃO DE PAVIMENTO COM APLICAÇÃO DE CONCRETO ASFÁLTICO, CAMADA DE ROLAMENTO - EXCLUSIVE CARGA E TRANSPORTE E CONCRETO BETUMINOSO</t>
  </si>
  <si>
    <t>1.1.5.10</t>
  </si>
  <si>
    <t>COMP-10034101</t>
  </si>
  <si>
    <t>CARGA, MANOBRAS E DESCARGA DE MISTURA BETUMINOSA A QUENTE, COM CAMINHAO BASCULANTE 6 M3, DESCARGA EM VIBRO-ACABADORA</t>
  </si>
  <si>
    <t>1.1.5.11</t>
  </si>
  <si>
    <t>CP-95303-56931542</t>
  </si>
  <si>
    <t>TRANSPORTE COM CAMINHÃO BASCULANTE 10 M3 DE MASSA ASFALTICA PARA PAVIMENTAÇÃO URBANA</t>
  </si>
  <si>
    <t>1.1.5.12</t>
  </si>
  <si>
    <t>CP-97084-89637704</t>
  </si>
  <si>
    <t>REGULARIZACAO E COMPACTAÇÃO MANUAL DE TERRENO COM PLACA VIBRATÓRIA</t>
  </si>
  <si>
    <t>1.1.5.13</t>
  </si>
  <si>
    <t>CP-94991-12549457</t>
  </si>
  <si>
    <t>EXECUÇÃO DE PASSEIO (CALÇADA) OU PISO DE CONCRETO COM CONCRETO MOLDADO IN LOCO, USINADO, ACABAMENTO CONVENCIONAL, NÃO ARMADO - EXCLUINDO O CONCRETO USINADO 20MPA</t>
  </si>
  <si>
    <t>1.1.5.14</t>
  </si>
  <si>
    <t>94273</t>
  </si>
  <si>
    <t>ASSENTAMENTO DE GUIA (MEIO-FIO) EM TRECHO RETO, CONFECCIONADA EM CONCRETO PRÉ-FABRICADO, DIMENSÕES 100X15X13X30 CM (COMPRIMENTO X BASE INFERIOR X BASE SUPERIOR X ALTURA), PARA VIAS URBANAS (USO VIÁRIO). AF_06/2016</t>
  </si>
  <si>
    <t>1.1.5.15</t>
  </si>
  <si>
    <t>94275</t>
  </si>
  <si>
    <t>ASSENTAMENTO DE GUIA (MEIO-FIO) EM TRECHO RETO, CONFECCIONADA EM CONCRETO PRÉ-FABRICADO, DIMENSÕES 100X15X13X20 CM (COMPRIMENTO X BASE INFERIOR X BASE SUPERIOR X ALTURA), PARA URBANIZAÇÃO INTERNA DE EMPREENDIMENTOS. AF_06/2016_P</t>
  </si>
  <si>
    <t>1.1.5.16</t>
  </si>
  <si>
    <t>94287</t>
  </si>
  <si>
    <t>EXECUÇÃO DE SARJETA DE CONCRETO USINADO, MOLDADA IN LOCO EM TRECHO RETO, 30 CM BASE X 10 CM ALTURA. AF_06/2016</t>
  </si>
  <si>
    <t>1.1.5.17</t>
  </si>
  <si>
    <t>98511</t>
  </si>
  <si>
    <t>PLANTIO DE ÁRVORE ORNAMENTAL COM ALTURA DE MUDA MAIOR QUE 2,00 M E MENOR OU IGUAL A 4,00 M. AF_05/2018</t>
  </si>
  <si>
    <t>UN</t>
  </si>
  <si>
    <t>1.1.5.18</t>
  </si>
  <si>
    <t>98504</t>
  </si>
  <si>
    <t>PLANTIO DE GRAMA BATATAIS EM PLACAS. AF_05/2018</t>
  </si>
  <si>
    <t>1.1.6</t>
  </si>
  <si>
    <t>DRENAGEM</t>
  </si>
  <si>
    <t>1.1.6.1</t>
  </si>
  <si>
    <t>93358</t>
  </si>
  <si>
    <t>ESCAVAÇÃO MANUAL DE VALA COM PROFUNDIDADE MENOR OU IGUAL A 1,30 M. AF_02/2021</t>
  </si>
  <si>
    <t>1.1.6.2</t>
  </si>
  <si>
    <t>94974</t>
  </si>
  <si>
    <t>CONCRETO MAGRO PARA LASTRO, TRAÇO 1:4,5:4,5 (EM MASSA SECA DE CIMENTO/ AREIA MÉDIA/ BRITA 1) - PREPARO MANUAL. AF_05/2021</t>
  </si>
  <si>
    <t>1.1.6.3</t>
  </si>
  <si>
    <t>94971</t>
  </si>
  <si>
    <t>CONCRETO FCK = 25MPA, TRAÇO 1:2,3:2,7 (EM MASSA SECA DE CIMENTO/ AREIA MÉDIA/ BRITA 1) - PREPARO MECÂNICO COM BETONEIRA 600 L. AF_05/2021</t>
  </si>
  <si>
    <t>1.1.6.4</t>
  </si>
  <si>
    <t>CP-74157/004-48264518</t>
  </si>
  <si>
    <t>LANCAMENTO/APLICACAO MANUAL DE CONCRETO EM FUNDACOES (concreto magro)</t>
  </si>
  <si>
    <t>1.1.6.5</t>
  </si>
  <si>
    <t>CP-S03639-45770834</t>
  </si>
  <si>
    <t>Fornecimento e instalação de tela aço soldada nervurada CA-60, Q-283, malha 10x10cm, ferro 6.02mm (4,48 kg/m2), painel 2,45x6,0m, Telcon ou similar</t>
  </si>
  <si>
    <t>m2</t>
  </si>
  <si>
    <t>1.1.7</t>
  </si>
  <si>
    <t>SINALIZAÇÃO</t>
  </si>
  <si>
    <t>1.1.7.1</t>
  </si>
  <si>
    <t>5213416</t>
  </si>
  <si>
    <t>SICRO NOVO</t>
  </si>
  <si>
    <t>Confecção de placa em aço nº 16 galvanizado, com película tipo I + I</t>
  </si>
  <si>
    <t>m²</t>
  </si>
  <si>
    <t>1.1.7.2</t>
  </si>
  <si>
    <t>5213421</t>
  </si>
  <si>
    <t>Confecção de placa em aço nº 16 galvanizado, com película tipo I + IV</t>
  </si>
  <si>
    <t>1.1.7.3</t>
  </si>
  <si>
    <t>5216111</t>
  </si>
  <si>
    <t>FORNECIMENTO E IMPLANTAÇÃO DE SUPORTE E TRAVESSA PARA PLACA DE SINALIZAÇÃO EM MADEIRA DE LEI TRATADA 8 X 8 CM</t>
  </si>
  <si>
    <t>un</t>
  </si>
  <si>
    <t>1.1.7.4</t>
  </si>
  <si>
    <t>COMP-58084869</t>
  </si>
  <si>
    <t>PLACA ESMALTADA PARA IDENTIFICAÇÃO NR DE RUA, DIMENSÕES 45X25CM</t>
  </si>
  <si>
    <t>UND</t>
  </si>
  <si>
    <t>1.1.7.5</t>
  </si>
  <si>
    <t>CP-72947-21572945</t>
  </si>
  <si>
    <t>SINALIZACAO HORIZONTAL COM TINTA RETRORREFLETIVA A BASE DE RESINA ACRILICA COM MICROESFERAS DE VIDRO</t>
  </si>
  <si>
    <t>1.1.7.6</t>
  </si>
  <si>
    <t>102512</t>
  </si>
  <si>
    <t>PINTURA DE EIXO VIÁRIO SOBRE ASFALTO COM TINTA RETRORREFLETIVA A BASE DE RESINA ACRÍLICA COM MICROESFERAS DE VIDRO, APLICAÇÃO MECÂNICA COM DEMARCADORA AUTOPROPELIDA. AF_05/2021</t>
  </si>
  <si>
    <t>1.1.7.7</t>
  </si>
  <si>
    <t>102509</t>
  </si>
  <si>
    <t>PINTURA DE FAIXA DE PEDESTRE OU ZEBRADA TINTA RETRORREFLETIVA A BASE DE RESINA ACRÍLICA COM MICROESFERAS DE VIDRO, E = 30 CM, APLICAÇÃO MANUAL. AF_05/2021</t>
  </si>
  <si>
    <t>1.1.8</t>
  </si>
  <si>
    <t>ACESSIBILIDADE</t>
  </si>
  <si>
    <t>1.1.8.1</t>
  </si>
  <si>
    <t>CP-S12039-81921471</t>
  </si>
  <si>
    <t>Piso tátil direcional e/ou alerta, de concreto, na cor natural, p/deficientes visuais, dimensões 40x40cm, aplicado com argamassa industrializada ac-ii, rejuntado, exclusive regularização de base</t>
  </si>
  <si>
    <t>1.1.9</t>
  </si>
  <si>
    <t>MATERIAIS</t>
  </si>
  <si>
    <t>1.1.9.1</t>
  </si>
  <si>
    <t>00010775</t>
  </si>
  <si>
    <t>LOCACAO DE CONTAINER 2,30 X 6,00 M, ALT. 2,50 M, COM 1 SANITARIO, PARA ESCRITORIO, COMPLETO, SEM DIVISORIAS INTERNAS (NAO INCLUI MOBILIZACAO/DESMOBILIZACAO) - BDI = 10,07</t>
  </si>
  <si>
    <t>1.1.9.2</t>
  </si>
  <si>
    <t>00010776</t>
  </si>
  <si>
    <t>LOCACAO DE CONTAINER 2,30 X 6,00 M, ALT. 2,50 M, PARA ESCRITORIO, SEM DIVISORIAS INTERNAS E SEM SANITARIO (NAO INCLUI MOBILIZACAO/DESMOBILIZACAO) - BDI = 10,07</t>
  </si>
  <si>
    <t>1.1.9.3</t>
  </si>
  <si>
    <t>00036170</t>
  </si>
  <si>
    <t>BLOQUETE/PISO INTERTRAVADO DE CONCRETO - MODELO ONDA/16 FACES/RETANGULAR/TIJOLINHO/PAVER/HOLANDES/PARALELEPIPEDO, *22 CM X 11* CM, E = 8 CM, RESISTENCIA DE 35 MPA (NBR 9781), COR NATURAL - BDI = 10,07</t>
  </si>
  <si>
    <t>1.1.9.4</t>
  </si>
  <si>
    <t>00036154</t>
  </si>
  <si>
    <t>BLOQUETE/PISO INTERTRAVADO DE CONCRETO - MODELO ONDA/16 FACES/RETANGULAR/TIJOLINHO/PAVER/HOLANDES/PARALELEPIPEDO, 20 CM X 10 CM, E = 8 CM, RESISTENCIA DE 35 MPA (NBR 9781), COLORIDO - BDI = 10,07</t>
  </si>
  <si>
    <t>1.1.9.5</t>
  </si>
  <si>
    <t>00001518</t>
  </si>
  <si>
    <t>CONCRETO BETUMINOSO USINADO A QUENTE (CBUQ) PARA PAVIMENTACAO ASFALTICA, PADRAO DNIT, FAIXA C, COM CAP 50/70 - AQUISICAO POSTO USINA - BDI = 10,07</t>
  </si>
  <si>
    <t>T</t>
  </si>
  <si>
    <t>1.1.9.6</t>
  </si>
  <si>
    <t>INS-185032</t>
  </si>
  <si>
    <t>BRITA GRADUADA SIMPLES (BGS) - BDI = 10,07</t>
  </si>
  <si>
    <t>1.1.9.7</t>
  </si>
  <si>
    <t>M0808</t>
  </si>
  <si>
    <t>Brita 4 - BDI = 10,07</t>
  </si>
  <si>
    <t>1.1.9.8</t>
  </si>
  <si>
    <t>M1135</t>
  </si>
  <si>
    <t>Pó de pedra - BDI = 10,07</t>
  </si>
  <si>
    <t>1.1.9.9</t>
  </si>
  <si>
    <t>00034492</t>
  </si>
  <si>
    <t>CONCRETO USINADO BOMBEAVEL, CLASSE DE RESISTENCIA C20, COM BRITA 0 E 1, SLUMP = 100 +/- 20 MM, EXCLUI SERVICO DE BOMBEAMENTO (NBR 8953) - BDI = 10,07</t>
  </si>
  <si>
    <t>1.2</t>
  </si>
  <si>
    <t>RUA GOIANINHA - JARDIM JORDÃO</t>
  </si>
  <si>
    <t>1.2.1</t>
  </si>
  <si>
    <t>1.2.1.1</t>
  </si>
  <si>
    <t>1.2.1.2</t>
  </si>
  <si>
    <t>1.2.2</t>
  </si>
  <si>
    <t>1.2.2.1</t>
  </si>
  <si>
    <t>1.2.2.2</t>
  </si>
  <si>
    <t>1.2.3</t>
  </si>
  <si>
    <t>1.2.3.1</t>
  </si>
  <si>
    <t>1.2.3.2</t>
  </si>
  <si>
    <t>1.2.3.3</t>
  </si>
  <si>
    <t>1.2.3.4</t>
  </si>
  <si>
    <t>1.2.3.5</t>
  </si>
  <si>
    <t>1.2.4</t>
  </si>
  <si>
    <t>1.2.4.1</t>
  </si>
  <si>
    <t>1.2.4.2</t>
  </si>
  <si>
    <t>1.2.4.3</t>
  </si>
  <si>
    <t>1.2.5</t>
  </si>
  <si>
    <t>1.2.5.1</t>
  </si>
  <si>
    <t>1.2.5.2</t>
  </si>
  <si>
    <t>1.2.5.3</t>
  </si>
  <si>
    <t>1.2.5.4</t>
  </si>
  <si>
    <t>1.2.5.5</t>
  </si>
  <si>
    <t>1.2.5.6</t>
  </si>
  <si>
    <t>1.2.5.7</t>
  </si>
  <si>
    <t>1.2.5.8</t>
  </si>
  <si>
    <t>1.2.5.9</t>
  </si>
  <si>
    <t>1.2.5.10</t>
  </si>
  <si>
    <t>1.2.5.11</t>
  </si>
  <si>
    <t>1.2.5.12</t>
  </si>
  <si>
    <t>1.2.5.13</t>
  </si>
  <si>
    <t>1.2.5.14</t>
  </si>
  <si>
    <t>1.2.5.15</t>
  </si>
  <si>
    <t>94274</t>
  </si>
  <si>
    <t>ASSENTAMENTO DE GUIA (MEIO-FIO) EM TRECHO CURVO, CONFECCIONADA EM CONCRETO PRÉ-FABRICADO, DIMENSÕES 100X15X13X30 CM (COMPRIMENTO X BASE INFERIOR X BASE SUPERIOR X ALTURA), PARA VIAS URBANAS (USO VIÁRIO). AF_06/2016</t>
  </si>
  <si>
    <t>1.2.5.16</t>
  </si>
  <si>
    <t>1.2.5.17</t>
  </si>
  <si>
    <t>1.2.5.18</t>
  </si>
  <si>
    <t>94288</t>
  </si>
  <si>
    <t>EXECUÇÃO DE SARJETA DE CONCRETO USINADO, MOLDADA IN LOCO EM TRECHO CURVO, 30 CM BASE X 10 CM ALTURA. AF_06/2016</t>
  </si>
  <si>
    <t>1.2.5.19</t>
  </si>
  <si>
    <t>1.2.5.20</t>
  </si>
  <si>
    <t>1.2.6</t>
  </si>
  <si>
    <t>1.2.6.1</t>
  </si>
  <si>
    <t>1.2.6.2</t>
  </si>
  <si>
    <t>1.2.6.3</t>
  </si>
  <si>
    <t>1.2.6.4</t>
  </si>
  <si>
    <t>1.2.6.5</t>
  </si>
  <si>
    <t>1.2.7</t>
  </si>
  <si>
    <t>1.2.7.1</t>
  </si>
  <si>
    <t>1.2.7.2</t>
  </si>
  <si>
    <t>1.2.7.3</t>
  </si>
  <si>
    <t>1.2.7.4</t>
  </si>
  <si>
    <t>1.2.7.5</t>
  </si>
  <si>
    <t>1.2.7.6</t>
  </si>
  <si>
    <t>1.2.8</t>
  </si>
  <si>
    <t>1.2.8.1</t>
  </si>
  <si>
    <t>1.2.9</t>
  </si>
  <si>
    <t>1.2.9.1</t>
  </si>
  <si>
    <t>1.2.9.2</t>
  </si>
  <si>
    <t>1.2.9.3</t>
  </si>
  <si>
    <t>1.2.9.4</t>
  </si>
  <si>
    <t>1.2.9.5</t>
  </si>
  <si>
    <t>1.2.9.6</t>
  </si>
  <si>
    <t>1.2.9.7</t>
  </si>
  <si>
    <t>1.2.9.8</t>
  </si>
  <si>
    <t>1.2.9.9</t>
  </si>
  <si>
    <t>1.3</t>
  </si>
  <si>
    <t>RUA RENASCENÇA - CAJUEIRO SECO</t>
  </si>
  <si>
    <t>1.3.1</t>
  </si>
  <si>
    <t>1.3.1.1</t>
  </si>
  <si>
    <t>1.3.1.2</t>
  </si>
  <si>
    <t>1.3.2</t>
  </si>
  <si>
    <t>1.3.2.1</t>
  </si>
  <si>
    <t>1.3.2.2</t>
  </si>
  <si>
    <t>1.3.3</t>
  </si>
  <si>
    <t>1.3.3.1</t>
  </si>
  <si>
    <t>1.3.3.2</t>
  </si>
  <si>
    <t>98529</t>
  </si>
  <si>
    <t>CORTE RASO E RECORTE DE ÁRVORE COM DIÂMETRO DE TRONCO MAIOR OU IGUAL A 0,20 M E MENOR QUE 0,40 M.AF_05/2018</t>
  </si>
  <si>
    <t>1.3.3.3</t>
  </si>
  <si>
    <t>97625</t>
  </si>
  <si>
    <t>DEMOLIÇÃO DE ALVENARIA PARA QUALQUER TIPO DE BLOCO, DE FORMA MECANIZADA, SEM REAPROVEITAMENTO. AF_12/2017</t>
  </si>
  <si>
    <t>1.3.3.4</t>
  </si>
  <si>
    <t>1.3.3.5</t>
  </si>
  <si>
    <t>1.3.3.6</t>
  </si>
  <si>
    <t>1.3.3.7</t>
  </si>
  <si>
    <t>1.3.4</t>
  </si>
  <si>
    <t>1.3.4.1</t>
  </si>
  <si>
    <t>1.3.4.2</t>
  </si>
  <si>
    <t>1.3.4.3</t>
  </si>
  <si>
    <t>1.3.4.4</t>
  </si>
  <si>
    <t>96385</t>
  </si>
  <si>
    <t>EXECUÇÃO E COMPACTAÇÃO DE ATERRO COM SOLO PREDOMINANTEMENTE ARGILOSO - EXCLUSIVE SOLO, ESCAVAÇÃO, CARGA E TRANSPORTE. AF_11/2019</t>
  </si>
  <si>
    <t>1.3.5</t>
  </si>
  <si>
    <t>1.3.5.1</t>
  </si>
  <si>
    <t>1.3.5.2</t>
  </si>
  <si>
    <t>1.3.5.3</t>
  </si>
  <si>
    <t>1.3.5.4</t>
  </si>
  <si>
    <t>1.3.5.5</t>
  </si>
  <si>
    <t>1.3.5.6</t>
  </si>
  <si>
    <t>1.3.5.7</t>
  </si>
  <si>
    <t>1.3.5.8</t>
  </si>
  <si>
    <t>1.3.5.9</t>
  </si>
  <si>
    <t>1.3.5.10</t>
  </si>
  <si>
    <t>1.3.5.11</t>
  </si>
  <si>
    <t>1.3.5.12</t>
  </si>
  <si>
    <t>1.3.5.13</t>
  </si>
  <si>
    <t>1.3.5.14</t>
  </si>
  <si>
    <t>1.3.5.15</t>
  </si>
  <si>
    <t>1.3.5.16</t>
  </si>
  <si>
    <t>1.3.6</t>
  </si>
  <si>
    <t>1.3.6.1</t>
  </si>
  <si>
    <t>1.3.6.2</t>
  </si>
  <si>
    <t>90091</t>
  </si>
  <si>
    <t>ESCAVAÇÃO MECANIZADA DE VALA COM PROF. ATÉ 1,5 M (MÉDIA MONTANTE E JUSANTE/UMA COMPOSIÇÃO POR TRECHO), ESCAVADEIRA (0,8 M3), LARG. DE 1,5 M A 2,5 M, EM SOLO DE 1A CATEGORIA, LOCAIS COM BAIXO NÍVEL DE INTERFERÊNCIA. AF_02/2021</t>
  </si>
  <si>
    <t>1.3.6.3</t>
  </si>
  <si>
    <t>93367</t>
  </si>
  <si>
    <t>REATERRO MECANIZADO DE VALA COM ESCAVADEIRA HIDRÁULICA (CAPACIDADE DA CAÇAMBA: 0,8 M³ / POTÊNCIA: 111 HP), LARGURA DE 1,5 A 2,5 M, PROFUNDIDADE ATÉ 1,5 M, COM SOLO DE 1ª CATEGORIA EM LOCAIS COM BAIXO NÍVEL DE INTERFERÊNCIA. AF_04/2016</t>
  </si>
  <si>
    <t>1.3.6.4</t>
  </si>
  <si>
    <t>1.3.6.5</t>
  </si>
  <si>
    <t>1.3.6.6</t>
  </si>
  <si>
    <t>1.3.6.7</t>
  </si>
  <si>
    <t>1.3.6.8</t>
  </si>
  <si>
    <t>1.3.6.9</t>
  </si>
  <si>
    <t>1.3.6.10</t>
  </si>
  <si>
    <t>92771</t>
  </si>
  <si>
    <t>ARMAÇÃO DE LAJE DE ESTRUTURA CONVENCIONAL DE CONCRETO ARMADO UTILIZANDO AÇO CA-50 DE 10,0 MM - MONTAGEM. AF_06/2022</t>
  </si>
  <si>
    <t>KG</t>
  </si>
  <si>
    <t>1.3.6.11</t>
  </si>
  <si>
    <t>CP-92268-29291149</t>
  </si>
  <si>
    <t>FABRICAÇÃO DE FÔRMA PARA LAJES, EM CHAPA DE MADEIRA COMPENSADA PLASTIFICADA, E = 18 MM - EXCLUINDO O PAINEL DE MADEIRA COMPENSADA PLASTIFICADA DE 2200 x 1100 MM, E = *17* MM</t>
  </si>
  <si>
    <t>1.3.6.12</t>
  </si>
  <si>
    <t>103320</t>
  </si>
  <si>
    <t>ALVENARIA DE VEDAÇÃO DE BLOCOS VAZADOS DE CONCRETO DE 19X19X39 CM (ESPESSURA 19 CM) E ARGAMASSA DE ASSENTAMENTO COM PREPARO EM BETONEIRA. AF_12/2021</t>
  </si>
  <si>
    <t>1.3.6.13</t>
  </si>
  <si>
    <t>87879</t>
  </si>
  <si>
    <t>CHAPISCO APLICADO EM ALVENARIAS E ESTRUTURAS DE CONCRETO INTERNAS, COM COLHER DE PEDREIRO. ARGAMASSA TRAÇO 1:3 COM PREPARO EM BETONEIRA 400L. AF_06/2014</t>
  </si>
  <si>
    <t>1.3.6.14</t>
  </si>
  <si>
    <t>87547</t>
  </si>
  <si>
    <t>MASSA ÚNICA, PARA RECEBIMENTO DE PINTURA, EM ARGAMASSA TRAÇO 1:2:8, PREPARO MECÂNICO COM BETONEIRA 400L, APLICADA MANUALMENTE EM FACES INTERNAS DE PAREDES, ESPESSURA DE 10MM, COM EXECUÇÃO DE TALISCAS. AF_06/2014</t>
  </si>
  <si>
    <t>1.3.6.15</t>
  </si>
  <si>
    <t>94975</t>
  </si>
  <si>
    <t>CONCRETO FCK = 15MPA, TRAÇO 1:3,4:3,5 (EM MASSA SECA DE CIMENTO/ AREIA MÉDIA/ BRITA 1) - PREPARO MANUAL. AF_05/2021</t>
  </si>
  <si>
    <t>1.3.7</t>
  </si>
  <si>
    <t>1.3.7.1</t>
  </si>
  <si>
    <t>1.3.7.2</t>
  </si>
  <si>
    <t>1.3.7.3</t>
  </si>
  <si>
    <t>1.3.7.4</t>
  </si>
  <si>
    <t>1.3.7.5</t>
  </si>
  <si>
    <t>1.3.7.6</t>
  </si>
  <si>
    <t>1.3.7.7</t>
  </si>
  <si>
    <t>1.3.8</t>
  </si>
  <si>
    <t>1.3.8.1</t>
  </si>
  <si>
    <t>1.3.9</t>
  </si>
  <si>
    <t>1.3.9.1</t>
  </si>
  <si>
    <t>1.3.9.2</t>
  </si>
  <si>
    <t>1.3.9.3</t>
  </si>
  <si>
    <t>1.3.9.4</t>
  </si>
  <si>
    <t>1.3.9.5</t>
  </si>
  <si>
    <t>1.3.9.6</t>
  </si>
  <si>
    <t>1.3.9.7</t>
  </si>
  <si>
    <t>1.3.9.8</t>
  </si>
  <si>
    <t>1.3.9.9</t>
  </si>
  <si>
    <t>1.3.9.10</t>
  </si>
  <si>
    <t>00001345</t>
  </si>
  <si>
    <t>CHAPA/PAINEL DE MADEIRA COMPENSADA PLASTIFICADA (MADEIRITE PLASTIFICADO) PARA FORMA DE CONCRETO, DE 2200 x 1100 MM, E = *17* MM - BDI = 10,07</t>
  </si>
  <si>
    <t>1.4</t>
  </si>
  <si>
    <t>RUA MARACANÃ - SOTAVE</t>
  </si>
  <si>
    <t>1.4.1</t>
  </si>
  <si>
    <t>1.4.1.1</t>
  </si>
  <si>
    <t>1.4.1.2</t>
  </si>
  <si>
    <t>1.4.2</t>
  </si>
  <si>
    <t>1.4.2.1</t>
  </si>
  <si>
    <t>1.4.2.2</t>
  </si>
  <si>
    <t>1.4.3</t>
  </si>
  <si>
    <t>1.4.3.1</t>
  </si>
  <si>
    <t>1.4.3.2</t>
  </si>
  <si>
    <t>1.4.3.3</t>
  </si>
  <si>
    <t>1.4.3.4</t>
  </si>
  <si>
    <t>1.4.4</t>
  </si>
  <si>
    <t>TERRAPLENAGEM</t>
  </si>
  <si>
    <t>1.4.4.1</t>
  </si>
  <si>
    <t>1.4.4.2</t>
  </si>
  <si>
    <t>1.4.4.3</t>
  </si>
  <si>
    <t>1.4.4.4</t>
  </si>
  <si>
    <t>1.4.5</t>
  </si>
  <si>
    <t>1.4.5.1</t>
  </si>
  <si>
    <t>1.4.5.2</t>
  </si>
  <si>
    <t>1.4.5.3</t>
  </si>
  <si>
    <t>1.4.5.4</t>
  </si>
  <si>
    <t>1.4.5.5</t>
  </si>
  <si>
    <t>1.4.5.6</t>
  </si>
  <si>
    <t>1.4.5.7</t>
  </si>
  <si>
    <t>1.4.6</t>
  </si>
  <si>
    <t>1.4.6.1</t>
  </si>
  <si>
    <t>1.4.6.2</t>
  </si>
  <si>
    <t>1.4.6.3</t>
  </si>
  <si>
    <t>1.4.6.4</t>
  </si>
  <si>
    <t>1.4.6.5</t>
  </si>
  <si>
    <t>1.4.6.6</t>
  </si>
  <si>
    <t>1.4.6.7</t>
  </si>
  <si>
    <t>1.4.6.8</t>
  </si>
  <si>
    <t>1.4.6.9</t>
  </si>
  <si>
    <t>1.4.6.10</t>
  </si>
  <si>
    <t>1.4.6.11</t>
  </si>
  <si>
    <t>1.4.6.12</t>
  </si>
  <si>
    <t>1.4.6.13</t>
  </si>
  <si>
    <t>1.4.6.14</t>
  </si>
  <si>
    <t>1.4.6.15</t>
  </si>
  <si>
    <t>1.4.7</t>
  </si>
  <si>
    <t>1.4.7.1</t>
  </si>
  <si>
    <t>1.4.7.2</t>
  </si>
  <si>
    <t>1.4.7.3</t>
  </si>
  <si>
    <t>1.4.7.4</t>
  </si>
  <si>
    <t>1.4.8</t>
  </si>
  <si>
    <t>1.4.8.1</t>
  </si>
  <si>
    <t>1.4.8.2</t>
  </si>
  <si>
    <t>1.4.8.3</t>
  </si>
  <si>
    <t>1.4.8.4</t>
  </si>
  <si>
    <t>1.4.8.5</t>
  </si>
  <si>
    <t>1.4.8.6</t>
  </si>
  <si>
    <t>1.4.8.7</t>
  </si>
  <si>
    <t>1.4.8.8</t>
  </si>
  <si>
    <t>1.5</t>
  </si>
  <si>
    <t>RUA MARANDANE - SOTAVE</t>
  </si>
  <si>
    <t>1.5.1</t>
  </si>
  <si>
    <t>1.5.1.1</t>
  </si>
  <si>
    <t>1.5.1.2</t>
  </si>
  <si>
    <t>1.5.2</t>
  </si>
  <si>
    <t>1.5.2.1</t>
  </si>
  <si>
    <t>1.5.2.2</t>
  </si>
  <si>
    <t>1.5.3</t>
  </si>
  <si>
    <t>1.5.3.1</t>
  </si>
  <si>
    <t>1.5.3.2</t>
  </si>
  <si>
    <t>1.5.3.3</t>
  </si>
  <si>
    <t>1.5.3.4</t>
  </si>
  <si>
    <t>1.5.4</t>
  </si>
  <si>
    <t>1.5.4.1</t>
  </si>
  <si>
    <t>1.5.4.2</t>
  </si>
  <si>
    <t>1.5.4.3</t>
  </si>
  <si>
    <t>1.5.4.4</t>
  </si>
  <si>
    <t>1.5.5</t>
  </si>
  <si>
    <t>1.5.5.1</t>
  </si>
  <si>
    <t>1.5.5.2</t>
  </si>
  <si>
    <t>1.5.5.3</t>
  </si>
  <si>
    <t>1.5.5.4</t>
  </si>
  <si>
    <t>1.5.5.5</t>
  </si>
  <si>
    <t>1.5.5.6</t>
  </si>
  <si>
    <t>1.5.5.7</t>
  </si>
  <si>
    <t>1.5.5.8</t>
  </si>
  <si>
    <t>1.5.5.9</t>
  </si>
  <si>
    <t>1.5.5.10</t>
  </si>
  <si>
    <t>1.5.5.11</t>
  </si>
  <si>
    <t>1.5.5.12</t>
  </si>
  <si>
    <t>1.5.5.13</t>
  </si>
  <si>
    <t>1.5.5.14</t>
  </si>
  <si>
    <t>1.5.5.15</t>
  </si>
  <si>
    <t>1.5.5.16</t>
  </si>
  <si>
    <t>1.5.5.17</t>
  </si>
  <si>
    <t>1.5.6</t>
  </si>
  <si>
    <t>1.5.6.1</t>
  </si>
  <si>
    <t>1.5.6.2</t>
  </si>
  <si>
    <t>1.5.6.3</t>
  </si>
  <si>
    <t>1.5.6.4</t>
  </si>
  <si>
    <t>90105</t>
  </si>
  <si>
    <t>ESCAVAÇÃO MECANIZADA DE VALA COM PROFUNDIDADE ATÉ 1,5 M (MÉDIA MONTANTE E JUSANTE/UMA COMPOSIÇÃO POR TRECHO), RETROESCAV. (0,26 M3), LARGURA MENOR QUE 0,8 M, EM SOLO DE 1A CATEGORIA, LOCAIS COM BAIXO NÍVEL DE INTERFERÊNCIA. AF_02/2021</t>
  </si>
  <si>
    <t>1.5.6.5</t>
  </si>
  <si>
    <t>93378</t>
  </si>
  <si>
    <t>REATERRO MECANIZADO DE VALA COM RETROESCAVADEIRA (CAPACIDADE DA CAÇAMBA DA RETRO: 0,26 M³ / POTÊNCIA: 88 HP), LARGURA ATÉ 0,8 M, PROFUNDIDADE ATÉ 1,5 M, COM SOLO DE 1ª CATEGORIA EM LOCAIS COM BAIXO NÍVEL DE INTERFERÊNCIA. AF_04/2016</t>
  </si>
  <si>
    <t>1.5.6.6</t>
  </si>
  <si>
    <t>93379</t>
  </si>
  <si>
    <t>REATERRO MECANIZADO DE VALA COM RETROESCAVADEIRA (CAPACIDADE DA CAÇAMBA DA RETRO: 0,26 M³ / POTÊNCIA: 88 HP), LARGURA DE 0,8 A 1,5 M, PROFUNDIDADE ATÉ 1,5 M, COM SOLO DE 1ª CATEGORIA EM LOCAIS COM BAIXO NÍVEL DE INTERFERÊNCIA. AF_04/2016</t>
  </si>
  <si>
    <t>1.5.6.7</t>
  </si>
  <si>
    <t>1.5.6.8</t>
  </si>
  <si>
    <t>1.5.6.9</t>
  </si>
  <si>
    <t>1.5.6.10</t>
  </si>
  <si>
    <t>97994</t>
  </si>
  <si>
    <t>BASE PARA POÇO DE VISITA RETANGULAR PARA ESGOTO, EM ALVENARIA COM BLOCOS DE CONCRETO, DIMENSÕES INTERNAS = 1X1 M, PROFUNDIDADE = 1,40 M, EXCLUINDO TAMPÃO. AF_12/2020</t>
  </si>
  <si>
    <t>1.5.6.11</t>
  </si>
  <si>
    <t>92522</t>
  </si>
  <si>
    <t>MONTAGEM E DESMONTAGEM DE FÔRMA DE LAJE MACIÇA, PÉ-DIREITO SIMPLES, EM CHAPA DE MADEIRA COMPENSADA RESINADA, 8 UTILIZAÇÕES. AF_09/2020</t>
  </si>
  <si>
    <t>1.5.6.12</t>
  </si>
  <si>
    <t>1.5.6.13</t>
  </si>
  <si>
    <t>1.5.6.14</t>
  </si>
  <si>
    <t>90746</t>
  </si>
  <si>
    <t>ASSENTAMENTO DE TUBO DE PEAD CORRUGADO DE DUPLA PAREDE PARA REDE COLETORA DE ESGOTO, DN 450 MM, JUNTA ELÁSTICA INTEGRADA (NÃO INCLUI FORNECIMENTO). AF_01/2021</t>
  </si>
  <si>
    <t>1.5.7</t>
  </si>
  <si>
    <t>1.5.7.1</t>
  </si>
  <si>
    <t>1.5.7.2</t>
  </si>
  <si>
    <t>1.5.7.3</t>
  </si>
  <si>
    <t>1.5.7.4</t>
  </si>
  <si>
    <t>1.5.7.5</t>
  </si>
  <si>
    <t>1.5.8</t>
  </si>
  <si>
    <t>1.5.8.1</t>
  </si>
  <si>
    <t>1.5.9</t>
  </si>
  <si>
    <t>1.5.9.1</t>
  </si>
  <si>
    <t>1.5.9.2</t>
  </si>
  <si>
    <t>1.5.9.3</t>
  </si>
  <si>
    <t>1.5.9.4</t>
  </si>
  <si>
    <t>1.5.9.5</t>
  </si>
  <si>
    <t>1.5.9.6</t>
  </si>
  <si>
    <t>M0132</t>
  </si>
  <si>
    <t>Tubo PEAD corrugado com paredes estruturadas para drenagem - D = 450 mm - BDI = 10,07</t>
  </si>
  <si>
    <t>m</t>
  </si>
  <si>
    <t>1.5.9.7</t>
  </si>
  <si>
    <t>1.5.9.8</t>
  </si>
  <si>
    <t>1.5.9.9</t>
  </si>
  <si>
    <t>1.5.9.10</t>
  </si>
  <si>
    <t>1.6</t>
  </si>
  <si>
    <t>RUA NOVA VIDA - GUARARAPES</t>
  </si>
  <si>
    <t>1.6.1</t>
  </si>
  <si>
    <t>1.6.1.1</t>
  </si>
  <si>
    <t>1.6.1.2</t>
  </si>
  <si>
    <t>1.6.2</t>
  </si>
  <si>
    <t>1.6.2.1</t>
  </si>
  <si>
    <t>1.6.2.2</t>
  </si>
  <si>
    <t>1.6.3</t>
  </si>
  <si>
    <t>1.6.3.1</t>
  </si>
  <si>
    <t>1.6.3.2</t>
  </si>
  <si>
    <t>CP-97636-91696385</t>
  </si>
  <si>
    <t>DEMOLIÇÃO DE PAVIMENTOS DIVERSOS, DE FORMA MECANIZADA, SEM REAPROVEITAMENTO.</t>
  </si>
  <si>
    <t>1.6.3.3</t>
  </si>
  <si>
    <t>1.6.3.4</t>
  </si>
  <si>
    <t>1.6.4</t>
  </si>
  <si>
    <t>1.6.4.1</t>
  </si>
  <si>
    <t>1.6.4.2</t>
  </si>
  <si>
    <t>1.6.4.3</t>
  </si>
  <si>
    <t>1.6.4.4</t>
  </si>
  <si>
    <t>1.6.5</t>
  </si>
  <si>
    <t>1.6.5.1</t>
  </si>
  <si>
    <t>1.6.5.2</t>
  </si>
  <si>
    <t>1.6.5.3</t>
  </si>
  <si>
    <t>1.6.5.4</t>
  </si>
  <si>
    <t>1.6.5.5</t>
  </si>
  <si>
    <t>1.6.5.6</t>
  </si>
  <si>
    <t>1.6.5.7</t>
  </si>
  <si>
    <t>1.6.6</t>
  </si>
  <si>
    <t>1.6.6.1</t>
  </si>
  <si>
    <t>1.6.6.2</t>
  </si>
  <si>
    <t>1.6.6.3</t>
  </si>
  <si>
    <t>1.6.6.4</t>
  </si>
  <si>
    <t>1.6.6.5</t>
  </si>
  <si>
    <t>1.6.7</t>
  </si>
  <si>
    <t>1.6.7.1</t>
  </si>
  <si>
    <t>1.6.7.2</t>
  </si>
  <si>
    <t>1.6.7.3</t>
  </si>
  <si>
    <t>1.6.7.4</t>
  </si>
  <si>
    <t>1.6.8</t>
  </si>
  <si>
    <t>1.6.8.1</t>
  </si>
  <si>
    <t>1.6.8.2</t>
  </si>
  <si>
    <t>1.6.8.3</t>
  </si>
  <si>
    <t>1.6.8.4</t>
  </si>
  <si>
    <t>1.6.8.5</t>
  </si>
  <si>
    <t>1.6.8.6</t>
  </si>
  <si>
    <t>1.6.8.7</t>
  </si>
  <si>
    <t>1.7</t>
  </si>
  <si>
    <t>RUA VALMIRO PAULO DA SILVA - BARRA DE JANGADA</t>
  </si>
  <si>
    <t>1.7.1</t>
  </si>
  <si>
    <t>1.7.1.1</t>
  </si>
  <si>
    <t>1.7.1.2</t>
  </si>
  <si>
    <t>1.7.2</t>
  </si>
  <si>
    <t>1.7.2.1</t>
  </si>
  <si>
    <t>1.7.2.2</t>
  </si>
  <si>
    <t>1.7.3</t>
  </si>
  <si>
    <t>1.7.3.1</t>
  </si>
  <si>
    <t>1.7.3.2</t>
  </si>
  <si>
    <t>1.7.3.3</t>
  </si>
  <si>
    <t>1.7.3.4</t>
  </si>
  <si>
    <t>1.7.4</t>
  </si>
  <si>
    <t>1.7.4.1</t>
  </si>
  <si>
    <t>1.7.4.2</t>
  </si>
  <si>
    <t>1.7.4.3</t>
  </si>
  <si>
    <t>1.7.4.4</t>
  </si>
  <si>
    <t>1.7.5</t>
  </si>
  <si>
    <t>1.7.5.1</t>
  </si>
  <si>
    <t>1.7.5.2</t>
  </si>
  <si>
    <t>1.7.5.3</t>
  </si>
  <si>
    <t>1.7.5.4</t>
  </si>
  <si>
    <t>1.7.5.5</t>
  </si>
  <si>
    <t>1.7.5.6</t>
  </si>
  <si>
    <t>1.7.6</t>
  </si>
  <si>
    <t>1.7.6.1</t>
  </si>
  <si>
    <t>1.7.6.2</t>
  </si>
  <si>
    <t>1.7.6.3</t>
  </si>
  <si>
    <t>1.7.6.4</t>
  </si>
  <si>
    <t>1.7.6.5</t>
  </si>
  <si>
    <t>1.7.6.6</t>
  </si>
  <si>
    <t>1.7.6.7</t>
  </si>
  <si>
    <t>1.7.6.8</t>
  </si>
  <si>
    <t>1.7.6.9</t>
  </si>
  <si>
    <t>1.7.6.10</t>
  </si>
  <si>
    <t>1.7.6.11</t>
  </si>
  <si>
    <t>1.7.6.12</t>
  </si>
  <si>
    <t>1.7.6.13</t>
  </si>
  <si>
    <t>1.7.7</t>
  </si>
  <si>
    <t>1.7.7.1</t>
  </si>
  <si>
    <t>1.7.7.2</t>
  </si>
  <si>
    <t>1.7.7.3</t>
  </si>
  <si>
    <t>1.7.7.4</t>
  </si>
  <si>
    <t>1.7.8</t>
  </si>
  <si>
    <t>1.7.8.1</t>
  </si>
  <si>
    <t>1.7.8.2</t>
  </si>
  <si>
    <t>1.7.8.3</t>
  </si>
  <si>
    <t>1.7.8.4</t>
  </si>
  <si>
    <t>1.7.8.5</t>
  </si>
  <si>
    <t>1.7.8.6</t>
  </si>
  <si>
    <t>1.8</t>
  </si>
  <si>
    <t>RUA MOEDA DE BRONZE - JABOATÃO CENTRO</t>
  </si>
  <si>
    <t>1.8.1</t>
  </si>
  <si>
    <t>1.8.1.1</t>
  </si>
  <si>
    <t>1.8.1.2</t>
  </si>
  <si>
    <t>1.8.2</t>
  </si>
  <si>
    <t>1.8.2.1</t>
  </si>
  <si>
    <t>1.8.2.2</t>
  </si>
  <si>
    <t>1.8.3</t>
  </si>
  <si>
    <t>1.8.3.1</t>
  </si>
  <si>
    <t>1.8.3.2</t>
  </si>
  <si>
    <t>1.8.3.3</t>
  </si>
  <si>
    <t>1.8.3.4</t>
  </si>
  <si>
    <t>1.8.4</t>
  </si>
  <si>
    <t>1.8.4.1</t>
  </si>
  <si>
    <t>1.8.4.2</t>
  </si>
  <si>
    <t>1.8.4.3</t>
  </si>
  <si>
    <t>1.8.4.4</t>
  </si>
  <si>
    <t>1.8.5</t>
  </si>
  <si>
    <t>1.8.5.1</t>
  </si>
  <si>
    <t>1.8.5.2</t>
  </si>
  <si>
    <t>1.8.5.3</t>
  </si>
  <si>
    <t>1.8.5.4</t>
  </si>
  <si>
    <t>1.8.5.5</t>
  </si>
  <si>
    <t>1.8.5.6</t>
  </si>
  <si>
    <t>1.8.5.7</t>
  </si>
  <si>
    <t>1.8.6</t>
  </si>
  <si>
    <t>1.8.6.1</t>
  </si>
  <si>
    <t>1.8.6.2</t>
  </si>
  <si>
    <t>1.8.6.3</t>
  </si>
  <si>
    <t>90106</t>
  </si>
  <si>
    <t>ESCAVAÇÃO MECANIZADA DE VALA COM PROFUNDIDADE ATÉ 1,5 M (MÉDIA MONTANTE E JUSANTE/UMA COMPOSIÇÃO POR TRECHO), RETROESCAV. (0,26 M3), LARGURA DE 0,8 M A 1,5 M, EM SOLO DE 1A CATEGORIA, LOCAIS COM BAIXO NÍVEL DE INTERFERÊNCIA. AF_02/2021</t>
  </si>
  <si>
    <t>1.8.6.4</t>
  </si>
  <si>
    <t>1.8.6.5</t>
  </si>
  <si>
    <t>1.8.6.6</t>
  </si>
  <si>
    <t>CARGA E DESCARGA MECANICA DE SOLO UTILIZANDO CAMINHAO BASCULANTE 14,0M3 E PA CARREGADEIRA SOBRE PNEUS 128 HP, CAPACIDADE DA CAÇAMBA 1,7 A 2,8 M3, PESO OPERACIONAL 11632 KG</t>
  </si>
  <si>
    <t>1.8.6.7</t>
  </si>
  <si>
    <t>1.8.6.8</t>
  </si>
  <si>
    <t>1.8.6.9</t>
  </si>
  <si>
    <t>1.8.6.10</t>
  </si>
  <si>
    <t>1.8.6.11</t>
  </si>
  <si>
    <t>1.8.6.12</t>
  </si>
  <si>
    <t>1.8.6.13</t>
  </si>
  <si>
    <t>1.8.6.14</t>
  </si>
  <si>
    <t>1.8.6.15</t>
  </si>
  <si>
    <t>1.8.6.16</t>
  </si>
  <si>
    <t>1.8.6.17</t>
  </si>
  <si>
    <t>1.8.6.18</t>
  </si>
  <si>
    <t>1.8.6.19</t>
  </si>
  <si>
    <t>102738</t>
  </si>
  <si>
    <t>BOCA PARA BUEIRO SIMPLES TUBULAR D = 60 CM EM CONCRETO, ALAS COM ESCONSIDADE DE 0°, INCLUINDO FÔRMAS E MATERIAIS. AF_07/2021</t>
  </si>
  <si>
    <t>1.8.6.20</t>
  </si>
  <si>
    <t>90747</t>
  </si>
  <si>
    <t>ASSENTAMENTO DE TUBO DE PEAD CORRUGADO DE DUPLA PAREDE PARA REDE COLETORA DE ESGOTO, DN 600 MM, JUNTA ELÁSTICA INTEGRADA (NÃO INCLUI FORNECIMENTO). AF_01/2021</t>
  </si>
  <si>
    <t>1.8.7</t>
  </si>
  <si>
    <t>1.8.7.1</t>
  </si>
  <si>
    <t>1.8.7.2</t>
  </si>
  <si>
    <t>1.8.7.3</t>
  </si>
  <si>
    <t>1.8.7.4</t>
  </si>
  <si>
    <t>1.8.8</t>
  </si>
  <si>
    <t>1.8.8.1</t>
  </si>
  <si>
    <t>1.8.8.2</t>
  </si>
  <si>
    <t>1.8.8.3</t>
  </si>
  <si>
    <t>1.8.8.4</t>
  </si>
  <si>
    <t>1.8.8.5</t>
  </si>
  <si>
    <t>M0134</t>
  </si>
  <si>
    <t>Tubo PEAD corrugado com paredes estruturadas para drenagem - D = 600 mm - BDI = 10,07</t>
  </si>
  <si>
    <t>1.8.8.6</t>
  </si>
  <si>
    <t>1.8.8.7</t>
  </si>
  <si>
    <t>1.9</t>
  </si>
  <si>
    <t>RUA RECIFE - SOCORRO</t>
  </si>
  <si>
    <t>1.9.1</t>
  </si>
  <si>
    <t>1.9.1.1</t>
  </si>
  <si>
    <t>1.9.1.2</t>
  </si>
  <si>
    <t>1.9.2</t>
  </si>
  <si>
    <t>1.9.2.1</t>
  </si>
  <si>
    <t>1.9.2.2</t>
  </si>
  <si>
    <t>1.9.3</t>
  </si>
  <si>
    <t>1.9.3.1</t>
  </si>
  <si>
    <t>1.9.3.2</t>
  </si>
  <si>
    <t>1.9.3.3</t>
  </si>
  <si>
    <t>CP-S00048-24791887</t>
  </si>
  <si>
    <t>DEMOLIÇÃO DE TUBO DE CONCRETO SIMPLES OU ARMADO D = 0,8 M, SEM REAPROVEITAMENTO, EXCLUSIVE ESCAVAÇÃO</t>
  </si>
  <si>
    <t>1.9.3.4</t>
  </si>
  <si>
    <t>1.9.3.5</t>
  </si>
  <si>
    <t>1.9.4</t>
  </si>
  <si>
    <t>1.9.4.1</t>
  </si>
  <si>
    <t>1.9.4.2</t>
  </si>
  <si>
    <t>1.9.4.3</t>
  </si>
  <si>
    <t>1.9.4.4</t>
  </si>
  <si>
    <t>1.9.5</t>
  </si>
  <si>
    <t>1.9.5.1</t>
  </si>
  <si>
    <t>1.9.5.2</t>
  </si>
  <si>
    <t>1.9.5.3</t>
  </si>
  <si>
    <t>1.9.5.4</t>
  </si>
  <si>
    <t>1.9.5.5</t>
  </si>
  <si>
    <t>1.9.5.6</t>
  </si>
  <si>
    <t>1.9.6</t>
  </si>
  <si>
    <t>1.9.6.1</t>
  </si>
  <si>
    <t>1.9.6.2</t>
  </si>
  <si>
    <t>1.9.6.3</t>
  </si>
  <si>
    <t>1.9.6.4</t>
  </si>
  <si>
    <t>1.9.6.5</t>
  </si>
  <si>
    <t>1.9.6.6</t>
  </si>
  <si>
    <t>1.9.6.7</t>
  </si>
  <si>
    <t>102295</t>
  </si>
  <si>
    <t>ESCAVAÇÃO MECANIZADA DE VALA COM PROF. MAIOR QUE 1,5 M ATÉ 3,0 M (MÉDIA MONTANTE E JUSANTE/UMA COMPOSIÇÃO POR TRECHO),COM ESCAVADEIRA (1,2 M3), LARG. DE 1,5 M A 2,5 M, EM SOLO MOLE, LOCAIS COM BAIXO NÍVEL DE INTERFERÊNCIA. AF_02/2021</t>
  </si>
  <si>
    <t>1.9.6.8</t>
  </si>
  <si>
    <t>1.9.6.9</t>
  </si>
  <si>
    <t>93369</t>
  </si>
  <si>
    <t>REATERRO MECANIZADO DE VALA COM ESCAVADEIRA HIDRÁULICA (CAPACIDADE DA CAÇAMBA: 0,8 M³ / POTÊNCIA: 111 HP), LARGURA DE 1,5 A 2,5 M, PROFUNDIDADE DE 1,5 A 3,0 M, COM SOLO (SEM SUBSTITUIÇÃO) DE 1ª CATEGORIA EM LOCAIS COM BAIXO NÍVEL DE INTERFERÊNCIA. AF_04/2016</t>
  </si>
  <si>
    <t>1.9.6.10</t>
  </si>
  <si>
    <t>1.9.6.11</t>
  </si>
  <si>
    <t>1.9.6.12</t>
  </si>
  <si>
    <t>1.9.6.13</t>
  </si>
  <si>
    <t>99254</t>
  </si>
  <si>
    <t>ACRÉSCIMO PARA POÇO DE VISITA RETANGULAR PARA DRENAGEM, EM ALVENARIA COM BLOCOS DE CONCRETO, DIMENSÕES INTERNAS = 1X1 M. AF_12/2020</t>
  </si>
  <si>
    <t>1.9.6.14</t>
  </si>
  <si>
    <t>1.9.6.15</t>
  </si>
  <si>
    <t>1.9.6.16</t>
  </si>
  <si>
    <t>1.9.7</t>
  </si>
  <si>
    <t>1.9.7.1</t>
  </si>
  <si>
    <t>1.9.7.2</t>
  </si>
  <si>
    <t>1.9.7.3</t>
  </si>
  <si>
    <t>1.9.7.4</t>
  </si>
  <si>
    <t>1.9.8</t>
  </si>
  <si>
    <t>CONTENÇÃO</t>
  </si>
  <si>
    <t>1.9.8.1</t>
  </si>
  <si>
    <t>1.9.8.1.1</t>
  </si>
  <si>
    <t>1.9.8.1.2</t>
  </si>
  <si>
    <t>100206</t>
  </si>
  <si>
    <t>TRANSPORTE HORIZONTAL COM JERICA DE 90 L, DE MASSA/ GRANEL (UNIDADE: M3XKM). AF_07/2019</t>
  </si>
  <si>
    <t>1.9.8.1.3</t>
  </si>
  <si>
    <t>CP-72897-80530767</t>
  </si>
  <si>
    <t>CARGA MANUAL DE ENTULHO EM CAMINHAO BASCULANTE 14 M3</t>
  </si>
  <si>
    <t>1.9.8.1.4</t>
  </si>
  <si>
    <t>1.9.8.2</t>
  </si>
  <si>
    <t>CONTENÇÃO DE ENCOSTA</t>
  </si>
  <si>
    <t>1.9.8.2.1</t>
  </si>
  <si>
    <t>1.9.8.2.2</t>
  </si>
  <si>
    <t>CP-100206-86548087</t>
  </si>
  <si>
    <t>TRANSPORTE HORIZONTAL COM JERICA DE 90 L, DE PEDRA RACHÃO GRANEL (UNIDADE: M3XKM). AF_07/2019</t>
  </si>
  <si>
    <t>1.9.8.2.3</t>
  </si>
  <si>
    <t>CP-95467-90315369</t>
  </si>
  <si>
    <t>EMBASAMENTO C/PEDRA ARGAMASSADA UTILIZANDO ARG.CIM/AREIA 1:6</t>
  </si>
  <si>
    <t>1.9.8.2.4</t>
  </si>
  <si>
    <t>1.9.8.2.5</t>
  </si>
  <si>
    <t>CP-73883/002-13051595</t>
  </si>
  <si>
    <t>EXECUCAO DE DRENO FRANCES COM BRITA NUM 2</t>
  </si>
  <si>
    <t>1.9.8.2.6</t>
  </si>
  <si>
    <t>CP-73883/001-30509153</t>
  </si>
  <si>
    <t>EXECUCAO DE DRENO FRANCES COM AREIA MEDIA</t>
  </si>
  <si>
    <t>1.9.8.2.7</t>
  </si>
  <si>
    <t>CP-83729-53696259</t>
  </si>
  <si>
    <t>FORNECIMENTO/INSTALACAO DE MANTA BIDIM RT-31</t>
  </si>
  <si>
    <t>1.9.8.2.8</t>
  </si>
  <si>
    <t>CP-83681-82667036</t>
  </si>
  <si>
    <t>TUBO PVC D=4" COM MATERIAL DRENANTE PARA DRENO/BARBACA - FORNECIMENTO E INSTALACAO</t>
  </si>
  <si>
    <t>1.9.8.2.9</t>
  </si>
  <si>
    <t>CP-S10448-80966267</t>
  </si>
  <si>
    <t>Abraçadeira metálica tipo "D" de 4"</t>
  </si>
  <si>
    <t>1.9.8.2.10</t>
  </si>
  <si>
    <t>96620</t>
  </si>
  <si>
    <t>LASTRO DE CONCRETO MAGRO, APLICADO EM PISOS, LAJES SOBRE SOLO OU RADIERS. AF_08/2017</t>
  </si>
  <si>
    <t>1.9.8.2.11</t>
  </si>
  <si>
    <t>CP-83356-32589970</t>
  </si>
  <si>
    <t>TRANSPORTE COMERCIAL DE PEDRA RACHÃO</t>
  </si>
  <si>
    <t>1.9.8.2.12</t>
  </si>
  <si>
    <t>COMP-82259696</t>
  </si>
  <si>
    <t>PREENCHIMENTO DE JUNTAS COM SELANTE A BASE DE ASFALTO</t>
  </si>
  <si>
    <t>1.9.8.3</t>
  </si>
  <si>
    <t>REVESTIMENTO E PROTEÇÃO DA ENCOSTA</t>
  </si>
  <si>
    <t>1.9.8.3.1</t>
  </si>
  <si>
    <t>99839</t>
  </si>
  <si>
    <t>GUARDA-CORPO DE AÇO GALVANIZADO DE 1,10M DE ALTURA, MONTANTES TUBULARES DE 1.1/2? ESPAÇADOS DE 1,20M, TRAVESSA SUPERIOR DE 2?, GRADIL FORMADO POR BARRAS CHATAS EM FERRO DE 32X4,8MM, FIXADO COM CHUMBADOR MECÂNICO. AF_04/2019_P</t>
  </si>
  <si>
    <t>1.9.9</t>
  </si>
  <si>
    <t>1.9.9.1</t>
  </si>
  <si>
    <t>1.9.9.2</t>
  </si>
  <si>
    <t>1.9.9.3</t>
  </si>
  <si>
    <t>00006081</t>
  </si>
  <si>
    <t>ARGILA OU BARRO PARA ATERRO/REATERRO (COM TRANSPORTE ATE 10 KM) - BDI = 10,07</t>
  </si>
  <si>
    <t>1.9.9.4</t>
  </si>
  <si>
    <t>1.9.9.5</t>
  </si>
  <si>
    <t>1.9.9.6</t>
  </si>
  <si>
    <t>1.9.9.7</t>
  </si>
  <si>
    <t>2</t>
  </si>
  <si>
    <t>CALÇADAS</t>
  </si>
  <si>
    <t>2.1</t>
  </si>
  <si>
    <t>REQUALIFICAÇÃO DE CALÇADAS</t>
  </si>
  <si>
    <t>2.1.1</t>
  </si>
  <si>
    <t>2.1.1.1</t>
  </si>
  <si>
    <t>2.1.1.2</t>
  </si>
  <si>
    <t>2.1.2</t>
  </si>
  <si>
    <t>2.1.2.1</t>
  </si>
  <si>
    <t>2.1.2.2</t>
  </si>
  <si>
    <t>2.1.3</t>
  </si>
  <si>
    <t>2.1.3.1</t>
  </si>
  <si>
    <t>CP-97635-02989626</t>
  </si>
  <si>
    <t>DEMOLIÇÃO DE CALÇADA E PAVIMENTOS DIVERSOS REGULARIZADO</t>
  </si>
  <si>
    <t>2.1.3.2</t>
  </si>
  <si>
    <t>2.1.3.3</t>
  </si>
  <si>
    <t>2.1.3.4</t>
  </si>
  <si>
    <t>2.1.4</t>
  </si>
  <si>
    <t>2.1.4.1</t>
  </si>
  <si>
    <t>2.1.4.2</t>
  </si>
  <si>
    <t>2.1.4.3</t>
  </si>
  <si>
    <t>REGULARIZAÇÃO E COMPACTAÇÃO MANUAL DE TERRENO COM PLACA VIBRATÓRIA</t>
  </si>
  <si>
    <t>2.1.4.4</t>
  </si>
  <si>
    <t>2.1.4.5</t>
  </si>
  <si>
    <t>2.1.5</t>
  </si>
  <si>
    <t>2.1.5.1</t>
  </si>
  <si>
    <t>2.1.5.2</t>
  </si>
  <si>
    <t>COMP-68570481</t>
  </si>
  <si>
    <t>CONSTRUÇÃO DE RAMPA TIPO 01 , PASSEIO EM CONCRETO USINADO FCK=15MPA, ESP=5CM, TRAÇO 1:2,5:4, COM PISO TÁTIL 40x40 cm, APLICADO SOBRE TERRENO REGULARIZADO</t>
  </si>
  <si>
    <t>2.1.5.3</t>
  </si>
  <si>
    <t>COMP-78308236</t>
  </si>
  <si>
    <t>CONSTRUÇÃO DE RAMPA TIPO 02 , PASSEIO EM CONCRETO USINADO FCK=15MPA, ESP=5CM, TRAÇO 1:2,5:4, COM PISO TÁTIL 40x40 cm, APLICADO SOBRE TERRENO REGULARIZADO.</t>
  </si>
  <si>
    <t>2.1.6</t>
  </si>
  <si>
    <t>2.1.6.1</t>
  </si>
  <si>
    <t>2.1.6.2</t>
  </si>
  <si>
    <t>2.1.6.3</t>
  </si>
  <si>
    <t>2.1.6.4</t>
  </si>
  <si>
    <t>2.1.6.5</t>
  </si>
  <si>
    <t>VALOR BDI TOTAL:</t>
  </si>
  <si>
    <t>VALOR ORÇAMENTO:</t>
  </si>
  <si>
    <t>VALOR TOTAL:</t>
  </si>
  <si>
    <t>CP-74209/001-15055090 - PLACA DE OBRA EM CHAPA DE ACO GALVANIZADO (M2)</t>
  </si>
  <si>
    <t>Material</t>
  </si>
  <si>
    <t>FONTE</t>
  </si>
  <si>
    <t>UNID</t>
  </si>
  <si>
    <t>COEFICIENTE</t>
  </si>
  <si>
    <t>TOTAL</t>
  </si>
  <si>
    <t>00004813</t>
  </si>
  <si>
    <t>PLACA DE OBRA (PARA CONSTRUCAO CIVIL) EM CHAPA GALVANIZADA *N. 22*, ADESIVADA, DE *2,4 X 1,2* M (SEM POSTES PARA FIXACAO)</t>
  </si>
  <si>
    <t>00004491</t>
  </si>
  <si>
    <t>PONTALETE *7,5 X 7,5* CM EM PINUS, MISTA OU EQUIVALENTE DA REGIAO - BRUTA</t>
  </si>
  <si>
    <t>00005075</t>
  </si>
  <si>
    <t>PREGO DE ACO POLIDO COM CABECA 18 X 30 (2 3/4 X 10)</t>
  </si>
  <si>
    <t>00004417</t>
  </si>
  <si>
    <t>SARRAFO NAO APARELHADO *2,5 X 7* CM, EM MACARANDUBA, ANGELIM OU EQUIVALENTE DA REGIAO -  BRUTA</t>
  </si>
  <si>
    <t>TOTAL Material:</t>
  </si>
  <si>
    <t>Mão de Obra com Encargos Complementares</t>
  </si>
  <si>
    <t>88262</t>
  </si>
  <si>
    <t>CARPINTEIRO DE FORMAS COM ENCARGOS COMPLEMENTARES</t>
  </si>
  <si>
    <t>H</t>
  </si>
  <si>
    <t>88316</t>
  </si>
  <si>
    <t>SERVENTE COM ENCARGOS COMPLEMENTARES</t>
  </si>
  <si>
    <t>TOTAL Mão de Obra com Encargos Complementares:</t>
  </si>
  <si>
    <t>Serviço</t>
  </si>
  <si>
    <t>94962</t>
  </si>
  <si>
    <t>CONCRETO MAGRO PARA LASTRO, TRAÇO 1:4,5:4,5 (EM MASSA SECA DE CIMENTO/ AREIA MÉDIA/ BRITA 1) - PREPARO MECÂNICO COM BETONEIRA 400 L. AF_05/2021</t>
  </si>
  <si>
    <t>TOTAL Serviço:</t>
  </si>
  <si>
    <t xml:space="preserve">Observações: BASEADA NO SINAPI 74209/001 </t>
  </si>
  <si>
    <t>VALOR:</t>
  </si>
  <si>
    <t>COMP-07440249 - BANHEIRO QUÍMICO, COM LOCAÇÃO, TRANSPORTE E LIMPEZA (MÊS)</t>
  </si>
  <si>
    <t>Equipamento</t>
  </si>
  <si>
    <t>INS-256943</t>
  </si>
  <si>
    <t xml:space="preserve">Composições </t>
  </si>
  <si>
    <t>TOTAL Equipamento:</t>
  </si>
  <si>
    <t>Observações: COTAÇÃO OBTIDA PARA LOCAÇÃO DO SERVIÇO DE BANHEIRO QUÍMICO PARA OBRA</t>
  </si>
  <si>
    <t>COMP-17562084 - DEMOLIÇÃO MANUAL DE CONCRETO SIMPLES (M³)</t>
  </si>
  <si>
    <t>88309</t>
  </si>
  <si>
    <t>PEDREIRO COM ENCARGOS COMPLEMENTARES</t>
  </si>
  <si>
    <t xml:space="preserve">Observações: BASEADO 73616 Sinapi Novembro/2017 </t>
  </si>
  <si>
    <t>COMP-01471766 - DEMOLIÇÃO DE MEIO-FIO (M)</t>
  </si>
  <si>
    <t>Observações: Baseado na composição 00021/ORSE Ago/2021</t>
  </si>
  <si>
    <t>COMP-35145154 - CARGA E DESCARGA MECANICA DE SOLO UTILIZANDO CAMINHAO BASCULANTE 14,0M3 E PA CARREGADEIRA SOBRE PNEUS 128 HP, CAPACIDADE DA CAÇAMBA 1,7 A 2,8 M3, PESO OPERACIONAL 11632 KG (M³)</t>
  </si>
  <si>
    <t>Equipamento Custo Horário</t>
  </si>
  <si>
    <t>89876</t>
  </si>
  <si>
    <t>CAMINHÃO BASCULANTE 14 M3, COM CAVALO MECÂNICO DE CAPACIDADE MÁXIMA DE TRAÇÃO COMBINADO DE 36000 KG, POTÊNCIA 286 CV, INCLUSIVE SEMIREBOQUE COM CAÇAMBA METÁLICA - CHP DIURNO. AF_12/2014</t>
  </si>
  <si>
    <t>CHP</t>
  </si>
  <si>
    <t>5940</t>
  </si>
  <si>
    <t>PÁ CARREGADEIRA SOBRE RODAS, POTÊNCIA LÍQUIDA 128 HP, CAPACIDADE DA CAÇAMBA 1,7 A 2,8 M3, PESO OPERACIONAL 11632 KG - CHP DIURNO. AF_06/2014</t>
  </si>
  <si>
    <t>TOTAL Equipamento Custo Horário:</t>
  </si>
  <si>
    <t xml:space="preserve">Observações: Os consumos foram baseados no item 74010/1 </t>
  </si>
  <si>
    <t>CP-74205/001-17324935 - ESCAVAÇÃO MECÂNICA DE MATERIAL 1A. CATEGORIA, PROVENIENTE DE CORTE DE SUBLEITO (C/TRATOR ESTEIRAS 160HP) (M3)</t>
  </si>
  <si>
    <t>5847</t>
  </si>
  <si>
    <t>TRATOR DE ESTEIRAS, POTÊNCIA 170 HP, PESO OPERACIONAL 19 T, CAÇAMBA 5,2 M3 - CHP DIURNO. AF_06/2014</t>
  </si>
  <si>
    <t>Observações: BASEADO NO SINAPI 74205/001</t>
  </si>
  <si>
    <t>COMP-47176600 - ATERRO COM AREIA COM ADENSAMENTO HIDRAULICO (com caminhão pipa) (M³)</t>
  </si>
  <si>
    <t>6259</t>
  </si>
  <si>
    <t>CAMINHÃO PIPA 6.000 L, PESO BRUTO TOTAL 13.000 KG, DISTÂNCIA ENTRE EIXOS 4,80 M, POTÊNCIA 189 CV INCLUSIVE TANQUE DE AÇO PARA TRANSPORTE DE ÁGUA, CAPACIDADE 6 M3 - CHP DIURNO. AF_06/2014</t>
  </si>
  <si>
    <t>5875</t>
  </si>
  <si>
    <t>RETROESCAVADEIRA SOBRE RODAS COM CARREGADEIRA, TRAÇÃO 4X4, POTÊNCIA LÍQ. 72 HP, CAÇAMBA CARREG. CAP. MÍN. 0,79 M3, CAÇAMBA RETRO CAP. 0,18 M3, PESO OPERACIONAL MÍN. 7.140 KG, PROFUNDIDADE ESCAVAÇÃO MÁX. 4,50 M - CHP DIURNO. AF_06/2014</t>
  </si>
  <si>
    <t>00000368</t>
  </si>
  <si>
    <t>AREIA PARA ATERRO - POSTO JAZIDA/FORNECEDOR (RETIRADO NA JAZIDA, SEM TRANSPORTE)</t>
  </si>
  <si>
    <t>Observações: Baseado na composição 79482  Sinapi Novembro/2018 e preços Tabela Sinapi Novembro/2019</t>
  </si>
  <si>
    <t>COMP-28881239 - Base ou sub-base de macadame hidráulico com brita comercial - EXCLUSIVE MATERIAL, CARGA E TRANSPORTE - NÃO DESONERADO (m³)</t>
  </si>
  <si>
    <t>EQUIPAMENTOS</t>
  </si>
  <si>
    <t>QUANT</t>
  </si>
  <si>
    <t>UTILIZAÇÃO</t>
  </si>
  <si>
    <t>CUSTO OPERACIONAL</t>
  </si>
  <si>
    <t>CUSTO HORÁRIO</t>
  </si>
  <si>
    <t>PROD</t>
  </si>
  <si>
    <t>IMPR</t>
  </si>
  <si>
    <t>E9571</t>
  </si>
  <si>
    <t>Caminhão tanque com capacidade de 10.000 l - 188 kW</t>
  </si>
  <si>
    <t>E9514</t>
  </si>
  <si>
    <t>Distribuidor de agregados sobre pneus autopropelido - 130 kW</t>
  </si>
  <si>
    <t>E9762</t>
  </si>
  <si>
    <t>Rolo compactador de pneus autopropelido de 27 t - 85 kW</t>
  </si>
  <si>
    <t>E9530</t>
  </si>
  <si>
    <t>Rolo compactador liso vibratório autopropelido por pneus de 11 t - 97 kW</t>
  </si>
  <si>
    <t>TOTAL EQUIPAMENTOS:</t>
  </si>
  <si>
    <t>MÃO DE OBRA</t>
  </si>
  <si>
    <t>CONSUMO</t>
  </si>
  <si>
    <t>SALÁRIO HORA</t>
  </si>
  <si>
    <t>P9824</t>
  </si>
  <si>
    <t>Servente</t>
  </si>
  <si>
    <t>h</t>
  </si>
  <si>
    <t>TOTAL MÃO DE OBRA:</t>
  </si>
  <si>
    <t>Custo Horário da Execução:</t>
  </si>
  <si>
    <t>Produção da Equipe:</t>
  </si>
  <si>
    <t>Custo Unitário da Execução:</t>
  </si>
  <si>
    <t>Custo do FIC (0,00544):</t>
  </si>
  <si>
    <t>Custo Direto Total:</t>
  </si>
  <si>
    <t>Observações: BASEADO NO SICRO NOVO 4011282 - RETIRANDO INSUMOS, CARGA E TRANSPORTE</t>
  </si>
  <si>
    <t>CP-96396-26507981 - EXECUÇÃO E COMPACTAÇÃO DE BASE E OU SUB BASE PARA PAVIMENTAÇÃO DE BRITA GRADUADA SIMPLES - EXCLUSIVE MATERIAL, CARGA E TRANSPORTE (M3)</t>
  </si>
  <si>
    <t>5903</t>
  </si>
  <si>
    <t>CAMINHÃO PIPA 10.000 L TRUCADO, PESO BRUTO TOTAL 23.000 KG, CARGA ÚTIL MÁXIMA 15.935 KG, DISTÂNCIA ENTRE EIXOS 4,8 M, POTÊNCIA 230 CV, INCLUSIVE TANQUE DE AÇO PARA TRANSPORTE DE ÁGUA - CHI DIURNO. AF_06/2014</t>
  </si>
  <si>
    <t>CHI</t>
  </si>
  <si>
    <t>5901</t>
  </si>
  <si>
    <t>CAMINHÃO PIPA 10.000 L TRUCADO, PESO BRUTO TOTAL 23.000 KG, CARGA ÚTIL MÁXIMA 15.935 KG, DISTÂNCIA ENTRE EIXOS 4,8 M, POTÊNCIA 230 CV, INCLUSIVE TANQUE DE AÇO PARA TRANSPORTE DE ÁGUA - CHP DIURNO. AF_06/2014</t>
  </si>
  <si>
    <t>5934</t>
  </si>
  <si>
    <t>MOTONIVELADORA POTÊNCIA BÁSICA LÍQUIDA (PRIMEIRA MARCHA) 125 HP, PESO BRUTO 13032 KG, LARGURA DA LÂMINA DE 3,7 M - CHI DIURNO. AF_06/2014</t>
  </si>
  <si>
    <t>5932</t>
  </si>
  <si>
    <t>MOTONIVELADORA POTÊNCIA BÁSICA LÍQUIDA (PRIMEIRA MARCHA) 125 HP, PESO BRUTO 13032 KG, LARGURA DA LÂMINA DE 3,7 M - CHP DIURNO. AF_06/2014</t>
  </si>
  <si>
    <t>96464</t>
  </si>
  <si>
    <t>ROLO COMPACTADOR DE PNEUS, ESTATICO, PRESSAO VARIAVEL, POTENCIA 110 HP, PESO SEM/COM LASTRO 10,8/27 T, LARGURA DE ROLAGEM 2,30 M - CHI DIURNO. AF_06/2017</t>
  </si>
  <si>
    <t>96463</t>
  </si>
  <si>
    <t>ROLO COMPACTADOR DE PNEUS, ESTATICO, PRESSAO VARIAVEL, POTENCIA 110 HP, PESO SEM/COM LASTRO 10,8/27 T, LARGURA DE ROLAGEM 2,30 M - CHP DIURNO. AF_06/2017</t>
  </si>
  <si>
    <t>5685</t>
  </si>
  <si>
    <t>ROLO COMPACTADOR VIBRATÓRIO DE UM CILINDRO AÇO LISO, POTÊNCIA 80 HP, PESO OPERACIONAL MÁXIMO 8,1 T, IMPACTO DINÂMICO 16,15 / 9,5 T, LARGURA DE TRABALHO 1,68 M - CHI DIURNO. AF_06/2014</t>
  </si>
  <si>
    <t>5684</t>
  </si>
  <si>
    <t>ROLO COMPACTADOR VIBRATÓRIO DE UM CILINDRO AÇO LISO, POTÊNCIA 80 HP, PESO OPERACIONAL MÁXIMO 8,1 T, IMPACTO DINÂMICO 16,15 / 9,5 T, LARGURA DE TRABALHO 1,68 M - CHP DIURNO. AF_06/2014</t>
  </si>
  <si>
    <t>Observações: BASEADA NO SINAPI 96396 - JULHO 2022</t>
  </si>
  <si>
    <t>COMP-83526730 - TRANSPORTE COMERCIAL DE BRITA (M³XKM)</t>
  </si>
  <si>
    <t>91386</t>
  </si>
  <si>
    <t>CAMINHÃO BASCULANTE 10 M3, TRUCADO CABINE SIMPLES, PESO BRUTO TOTAL 23.000 KG, CARGA ÚTIL MÁXIMA 15.935 KG, DISTÂNCIA ENTRE EIXOS 4,80 M, POTÊNCIA 230 CV INCLUSIVE CAÇAMBA METÁLICA - CHP DIURNO. AF_06/2014</t>
  </si>
  <si>
    <t>Observações: Baseado no 83356/SINAPI - AGO/20</t>
  </si>
  <si>
    <t>CP-92399-27762594 - EXECUÇÃO DE VIA EM PISO INTERTRAVADO, COM BLOCO RETANGULAR COR NATURAL/COLORIDO DE 20 X 10 CM, ESPESSURA 8 CM - (SEM O MATERIAL BLOQUETE/PISO INTERTRAVADO) (M2)</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</si>
  <si>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</si>
  <si>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</si>
  <si>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</si>
  <si>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</si>
  <si>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</si>
  <si>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</si>
  <si>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</si>
  <si>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</si>
  <si>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00000370</t>
  </si>
  <si>
    <t>AREIA MEDIA - POSTO JAZIDA/FORNECEDOR (RETIRADO NA JAZIDA, SEM TRANSPORTE)</t>
  </si>
  <si>
    <t>00004741</t>
  </si>
  <si>
    <t>PO DE PEDRA (POSTO PEDREIRA/FORNECEDOR, SEM FRETE)</t>
  </si>
  <si>
    <t>88260</t>
  </si>
  <si>
    <t>CALCETEIRO COM ENCARGOS COMPLEMENTARES</t>
  </si>
  <si>
    <t>Observações: BASEADA NO SINAPI 92399 - RETIRANDO O INSUMO PISO INTERTRAVADO</t>
  </si>
  <si>
    <t>COMP-62038505 - EXECUÇÃO DE IMPRIMAÇÃO COM ASFALTO DILUÍDO CM-30 - SERVIÇO UTILIZADO NOS LOTES (M2)</t>
  </si>
  <si>
    <t>91486</t>
  </si>
  <si>
    <t>ESPARGIDOR DE ASFALTO PRESSURIZADO, TANQUE 6 M3 COM ISOLAÇÃO TÉRMICA, AQUECIDO COM 2 MAÇARICOS, COM BARRA ESPARGIDORA 3,60 M, MONTADO SOBRE CAMINHÃO  TOCO, PBT 14.300 KG, POTÊNCIA 185 CV - CHI DIURNO. AF_08/2015</t>
  </si>
  <si>
    <t>83362</t>
  </si>
  <si>
    <t>ESPARGIDOR DE ASFALTO PRESSURIZADO, TANQUE 6 M3 COM ISOLAÇÃO TÉRMICA, AQUECIDO COM 2 MAÇARICOS, COM BARRA ESPARGIDORA 3,60 M, MONTADO SOBRE CAMINHÃO  TOCO, PBT 14.300 KG, POTÊNCIA 185 CV - CHP DIURNO. AF_08/2015</t>
  </si>
  <si>
    <t>89036</t>
  </si>
  <si>
    <t>TRATOR DE PNEUS, POTÊNCIA 85 CV, TRAÇÃO 4X4, PESO COM LASTRO DE 4.675 KG - CHI DIURNO. AF_06/2014</t>
  </si>
  <si>
    <t>89035</t>
  </si>
  <si>
    <t>TRATOR DE PNEUS, POTÊNCIA 85 CV, TRAÇÃO 4X4, PESO COM LASTRO DE 4.675 KG - CHP DIURNO. AF_06/2014</t>
  </si>
  <si>
    <t>5841</t>
  </si>
  <si>
    <t>VASSOURA MECÂNICA REBOCÁVEL COM ESCOVA CILÍNDRICA, LARGURA ÚTIL DE VARRIMENTO DE 2,44 M - CHI DIURNO. AF_06/2014</t>
  </si>
  <si>
    <t>5839</t>
  </si>
  <si>
    <t>VASSOURA MECÂNICA REBOCÁVEL COM ESCOVA CILÍNDRICA, LARGURA ÚTIL DE VARRIMENTO DE 2,44 M - CHP DIURNO. AF_06/2014</t>
  </si>
  <si>
    <t>INS-54745269</t>
  </si>
  <si>
    <t>ASFALTO DILUÍDO CM - 30 - JUNHO/22</t>
  </si>
  <si>
    <t>Observações: BASEADA NO 96401 - SERVIÇO UTILIZADO NOS LOTES, COM A COTAÇÃO DE JUNHO E JULHO</t>
  </si>
  <si>
    <t>CP-95995-51339760 - EXECUÇÃO DE PAVIMENTO COM APLICAÇÃO DE CONCRETO ASFÁLTICO, CAMADA DE ROLAMENTO - EXCLUSIVE CARGA E TRANSPORTE E CONCRETO BETUMINOSO (M3)</t>
  </si>
  <si>
    <t>95632</t>
  </si>
  <si>
    <t>ROLO COMPACTADOR VIBRATORIO TANDEM, ACO LISO, POTENCIA 125 HP, PESO SEM/COM LASTRO 10,20/11,65 T, LARGURA DE TRABALHO 1,73 M - CHI DIURNO. AF_11/2016</t>
  </si>
  <si>
    <t>95631</t>
  </si>
  <si>
    <t>ROLO COMPACTADOR VIBRATORIO TANDEM, ACO LISO, POTENCIA 125 HP, PESO SEM/COM LASTRO 10,20/11,65 T, LARGURA DE TRABALHO 1,73 M - CHP DIURNO. AF_11/2016</t>
  </si>
  <si>
    <t>96155</t>
  </si>
  <si>
    <t>TRATOR DE PNEUS COM POTÊNCIA DE 85 CV, TRAÇÃO 4X4, COM VASSOURA MECÂNICA ACOPLADA - CHI DIURNO. AF_02/2017</t>
  </si>
  <si>
    <t>96157</t>
  </si>
  <si>
    <t>TRATOR DE PNEUS COM POTÊNCIA DE 85 CV, TRAÇÃO 4X4, COM VASSOURA MECÂNICA ACOPLADA - CHP DIURNO. AF_03/2017</t>
  </si>
  <si>
    <t>5837</t>
  </si>
  <si>
    <t>VIBROACABADORA DE ASFALTO SOBRE ESTEIRAS, LARGURA DE PAVIMENTAÇÃO 1,90 M A 5,30 M, POTÊNCIA 105 HP CAPACIDADE 450 T/H - CHI DIURNO. AF_11/2014</t>
  </si>
  <si>
    <t>5835</t>
  </si>
  <si>
    <t>VIBROACABADORA DE ASFALTO SOBRE ESTEIRAS, LARGURA DE PAVIMENTAÇÃO 1,90 M A 5,30 M, POTÊNCIA 105 HP CAPACIDADE 450 T/H - CHP DIURNO. AF_11/2014</t>
  </si>
  <si>
    <t>88314</t>
  </si>
  <si>
    <t>RASTELEIRO COM ENCARGOS COMPLEMENTARES</t>
  </si>
  <si>
    <t>Observações:  BASEADA NO SINAPI 95995 - EXCLUINDO O INSUMO CONCRETO BETUMINOSO (1518)</t>
  </si>
  <si>
    <t>COMP-10034101 - CARGA, MANOBRAS E DESCARGA DE MISTURA BETUMINOSA A QUENTE, COM CAMINHAO BASCULANTE 6 M3, DESCARGA EM VIBRO-ACABADORA (M³)</t>
  </si>
  <si>
    <t>5811</t>
  </si>
  <si>
    <t>CAMINHÃO BASCULANTE 6 M3, PESO BRUTO TOTAL 16.000 KG, CARGA ÚTIL MÁXIMA 13.071 KG, DISTÂNCIA ENTRE EIXOS 4,80 M, POTÊNCIA 230 CV INCLUSIVE CAÇAMBA METÁLICA - CHP DIURNO. AF_06/2014</t>
  </si>
  <si>
    <t>Observações: Baseado no 72891/SINAPI - AGO/20</t>
  </si>
  <si>
    <t>CP-95303-56931542 - TRANSPORTE COM CAMINHÃO BASCULANTE 10 M3 DE MASSA ASFALTICA PARA PAVIMENTAÇÃO URBANA (M3XKM)</t>
  </si>
  <si>
    <t>Observações: BASEADA NO SINAPI 95303</t>
  </si>
  <si>
    <t>CP-97084-89637704 - REGULARIZAÇÃO E COMPACTAÇÃO MANUAL DE TERRENO COM PLACA VIBRATÓRIA (M2)</t>
  </si>
  <si>
    <t xml:space="preserve">Observações: BASEADA NO SINAPI 97084 </t>
  </si>
  <si>
    <t>CP-94991-12549457 - EXECUÇÃO DE PASSEIO (CALÇADA) OU PISO DE CONCRETO COM CONCRETO MOLDADO IN LOCO, USINADO, ACABAMENTO CONVENCIONAL, NÃO ARMADO - EXCLUINDO O CONCRETO USINADO 20MPA (M3)</t>
  </si>
  <si>
    <t>00002692</t>
  </si>
  <si>
    <t>DESMOLDANTE PROTETOR PARA FORMAS DE MADEIRA, DE BASE OLEOSA EMULSIONADA EM AGUA</t>
  </si>
  <si>
    <t>L</t>
  </si>
  <si>
    <t>00005068</t>
  </si>
  <si>
    <t>PREGO DE ACO POLIDO COM CABECA 17 X 21 (2 X 11)</t>
  </si>
  <si>
    <t>00004509</t>
  </si>
  <si>
    <t>SARRAFO *2,5 X 10* CM EM PINUS, MISTA OU EQUIVALENTE DA REGIAO - BRUTA</t>
  </si>
  <si>
    <t>00004517</t>
  </si>
  <si>
    <t>SARRAFO *2,5 X 7,5* CM EM PINUS, MISTA OU EQUIVALENTE DA REGIAO - BRUTA</t>
  </si>
  <si>
    <t>Observações: BASEADA NO SERVIÇO 94991 DO SINAPI, EXCLUINDO O CONCRETO 20MPA</t>
  </si>
  <si>
    <t>CP-74157/004-48264518 - LANÇAMENTO/APLICACAO MANUAL DE CONCRETO EM FUNDACOES (CONCRETO MAGRO) (M3)</t>
  </si>
  <si>
    <t>Observações: BASEADO NO SINAPI 74157/004</t>
  </si>
  <si>
    <t>CP-S03639-45770834 - Fornecimento e instalação de tela aço soldada nervurada CA-60, Q-283, malha 10x10cm, ferro 6.02mm (4,48 kg/m2), painel 2,45x6,0m, Telcon ou similar (m2)</t>
  </si>
  <si>
    <t>00043127</t>
  </si>
  <si>
    <t>TELA DE ACO SOLDADA NERVURADA, CA-60, Q-283 (4,48 KG/M2), DIAMETRO DO FIO = 6,0 MM, LARGURA = 2,45 X 6,00 M DE COMPRIMENTO, ESPACAMENTO DA MALHA = 10 X 10 CM</t>
  </si>
  <si>
    <t>88245</t>
  </si>
  <si>
    <t>ARMADOR COM ENCARGOS COMPLEMENTARES</t>
  </si>
  <si>
    <t>Observações: BASEADA NO ORSE S03639</t>
  </si>
  <si>
    <t>COMP-58084869 - PLACA ESMALTADA PARA IDENTIFICAÇÃO NR DE RUA, DIMENSÕES 45X25CM (UND)</t>
  </si>
  <si>
    <t>00011950</t>
  </si>
  <si>
    <t>BUCHA DE NYLON SEM ABA S6, COM PARAFUSO DE 4,20 X 40 MM EM ACO ZINCADO COM ROSCA SOBERBA, CABECA CHATA E FENDA PHILLIPS</t>
  </si>
  <si>
    <t>00013521</t>
  </si>
  <si>
    <t>PLACA DE ACO ESMALTADA PARA  IDENTIFICACAO DE RUA, *45 CM X 20* CM</t>
  </si>
  <si>
    <t>Observações: Baseada na Composição 73916/2 SINAPI - JAN/20</t>
  </si>
  <si>
    <t>CP-72947-21572945 - SINALIZACAO HORIZONTAL COM TINTA RETRORREFLETIVA A BASE DE RESINA ACRILICA COM MICROESFERAS DE VIDRO (M2)</t>
  </si>
  <si>
    <t>5824</t>
  </si>
  <si>
    <t>CAMINHÃO TOCO, PBT 16.000 KG, CARGA ÚTIL MÁX. 10.685 KG, DIST. ENTRE EIXOS 4,8 M, POTÊNCIA 189 CV, INCLUSIVE CARROCERIA FIXA ABERTA DE MADEIRA P/ TRANSPORTE GERAL DE CARGA SECA, DIMEN. APROX. 2,5 X 7,00 X 0,50 M - CHP DIURNO. AF_06/2014</t>
  </si>
  <si>
    <t>95133</t>
  </si>
  <si>
    <t>MÁQUINA DEMARCADORA DE FAIXA DE TRÁFEGO À FRIO, AUTOPROPELIDA, POTÊNCIA 38 HP - CHP DIURNO. AF_07/2016</t>
  </si>
  <si>
    <t>00005318</t>
  </si>
  <si>
    <t>DILUENTE AGUARRAS</t>
  </si>
  <si>
    <t>00044478</t>
  </si>
  <si>
    <t>MICROESFERAS DE VIDRO PARA SINALIZACAO HORIZONTAL VIARIA, TIPO I-B (PREMIX) - NBR  16184</t>
  </si>
  <si>
    <t>00007343</t>
  </si>
  <si>
    <t>TINTA ACRILICA A BASE DE SOLVENTE, PARA SINALIZACAO HORIZONTAL VIARIA (NBR 11862)</t>
  </si>
  <si>
    <t>00007348</t>
  </si>
  <si>
    <t>TINTA ACRILICA PREMIUM PARA PISO</t>
  </si>
  <si>
    <t>Observações: BASEADA NO SINAPI 72947</t>
  </si>
  <si>
    <t>CP-S12039-81921471 - Piso tátil direcional e/ou alerta, de concreto, na cor natural, p/deficientes visuais, dimensões 40x40cm, aplicado com argamassa industrializada ac-ii, rejuntado, exclusive regularização de base (m2)</t>
  </si>
  <si>
    <t>00034353</t>
  </si>
  <si>
    <t>ARGAMASSA COLANTE AC II</t>
  </si>
  <si>
    <t>00036178</t>
  </si>
  <si>
    <t>PISO PODOTATIL DE CONCRETO - DIRECIONAL E ALERTA, *40 X 40 X 2,5* CM</t>
  </si>
  <si>
    <t>00034357</t>
  </si>
  <si>
    <t>REJUNTE CIMENTICIO, QUALQUER COR</t>
  </si>
  <si>
    <t>Observações: BASEADO NO ORSE S12039</t>
  </si>
  <si>
    <t>INS-185032 - BRITA GRADUADA SIMPLES (BGS) (M³)</t>
  </si>
  <si>
    <t>BRITA GRADUADA SIMPLES (BGS)</t>
  </si>
  <si>
    <t>CP-92268-29291149 - FABRICAÇÃO DE FÔRMA PARA LAJES, EM CHAPA DE MADEIRA COMPENSADA PLASTIFICADA, E = 18 MM - EXCLUINDO O PAINEL DE MADEIRA COMPENSADA PLASTIFICADA DE 2200 x 1100 MM, E = *17* MM (M2)</t>
  </si>
  <si>
    <t>91693</t>
  </si>
  <si>
    <t>SERRA CIRCULAR DE BANCADA COM MOTOR ELÉTRICO POTÊNCIA DE 5HP, COM COIFA PARA DISCO 10" - CHI DIURNO. AF_08/2015</t>
  </si>
  <si>
    <t>91692</t>
  </si>
  <si>
    <t>SERRA CIRCULAR DE BANCADA COM MOTOR ELÉTRICO POTÊNCIA DE 5HP, COM COIFA PARA DISCO 10" - CHP DIURNO. AF_08/2015</t>
  </si>
  <si>
    <t>88239</t>
  </si>
  <si>
    <t>AJUDANTE DE CARPINTEIRO COM ENCARGOS COMPLEMENTARES</t>
  </si>
  <si>
    <t>Observações: BASEADA NO SINPI 92268, EXCLUINDO O PAINEL DE MADEIRA COMPENSADA PLASTIFICADA DE 2200 x 1100 MM, E = *17* MM</t>
  </si>
  <si>
    <t>CP-97636-91696385 - DEMOLIÇÃO DE PAVIMENTOS DIVERSOS, DE FORMA MECANIZADA, SEM REAPROVEITAMENTO. (M2)</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</si>
  <si>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</si>
  <si>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</si>
  <si>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</si>
  <si>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</si>
  <si>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88297</t>
  </si>
  <si>
    <t>OPERADOR DE MÁQUINAS E EQUIPAMENTOS COM ENCARGOS COMPLEMENTARES</t>
  </si>
  <si>
    <t>Observações: BASEADO NO SINAPI 97636</t>
  </si>
  <si>
    <t>CP-S00048-24791887 - DEMOLIÇÃO DE TUBO DE CONCRETO SIMPLES OU ARMADO D = 0,8 M, SEM REAPROVEITAMENTO, EXCLUSIVE ESCAVAÇÃO (m)</t>
  </si>
  <si>
    <t>Observações: BASEADA NO ORSE S00048</t>
  </si>
  <si>
    <t>CP-72897-80530767 - CARGA MANUAL DE ENTULHO EM CAMINHAO BASCULANTE 14 M3 (M3)</t>
  </si>
  <si>
    <t>89877</t>
  </si>
  <si>
    <t>CAMINHÃO BASCULANTE 14 M3, COM CAVALO MECÂNICO DE CAPACIDADE MÁXIMA DE TRAÇÃO COMBINADO DE 36000 KG, POTÊNCIA 286 CV, INCLUSIVE SEMIREBOQUE COM CAÇAMBA METÁLICA - CHI DIURNO. AF_12/2014</t>
  </si>
  <si>
    <t>Observações: BASEADA NO SINAPI 72897 - JANEIRO 2020</t>
  </si>
  <si>
    <t>CP-100206-86548087 - TRANSPORTE HORIZONTAL COM JERICA DE 90 L, DE PEDRA RACHÃO GRANEL (UNIDADE: M3XKM). AF_07/2019 (M3XKM)</t>
  </si>
  <si>
    <t>Observações: BASEADA NO SINAPI 100206</t>
  </si>
  <si>
    <t>CP-95467-90315369 - EMBASAMENTO C/PEDRA ARGAMASSADA UTILIZANDO ARG.CIM/AREIA 1:6 (M3)</t>
  </si>
  <si>
    <t>00004730</t>
  </si>
  <si>
    <t>PEDRA DE MAO OU PEDRA RACHAO PARA ARRIMO/FUNDACAO (POSTO PEDREIRA/FORNECEDOR, SEM FRETE)</t>
  </si>
  <si>
    <t>87316</t>
  </si>
  <si>
    <t>ARGAMASSA TRAÇO 1:4 (EM VOLUME DE CIMENTO E AREIA GROSSA ÚMIDA) PARA CHAPISCO CONVENCIONAL, PREPARO MECÂNICO COM BETONEIRA 400 L. AF_08/2019</t>
  </si>
  <si>
    <t>Observações: BASEADA NO SINAPI 95467 - JANEIRO 2020</t>
  </si>
  <si>
    <t>CP-73883/002-13051595 - EXECUCAO DE DRENO FRANCES COM BRITA NUM 2 (M3)</t>
  </si>
  <si>
    <t>00004718</t>
  </si>
  <si>
    <t>PEDRA BRITADA N. 2 (19 A 38 MM) POSTO PEDREIRA/FORNECEDOR, SEM FRETE</t>
  </si>
  <si>
    <t>Observações: BASEADO NO SINAPI - 73883/002 - JANEIRO 2020</t>
  </si>
  <si>
    <t>CP-73883/001-30509153 - EXECUCAO DE DRENO FRANCES COM AREIA MEDIA (M3)</t>
  </si>
  <si>
    <t>Observações: BASEADO NO SINAPI - 73883/001 - JANEIRO 2020</t>
  </si>
  <si>
    <t>CP-83729-53696259 - FORNECIMENTO/INSTALACAO DE MANTA BIDIM RT-31 (M2)</t>
  </si>
  <si>
    <t>00004018</t>
  </si>
  <si>
    <t>GEOTEXTIL NAO TECIDO AGULHADO DE FILAMENTOS CONTINUOS 100% POLIESTER, RESITENCIA A TRACAO = 31 KN/M</t>
  </si>
  <si>
    <t>Observações: BASEADA NO SINAPI 83729 - JANEIRO 2020</t>
  </si>
  <si>
    <t>CP-83681-82667036 - TUBO PVC D=4" COM MATERIAL DRENANTE PARA DRENO/BARBACA - FORNECIMENTO E INSTALACAO (M)</t>
  </si>
  <si>
    <t>00004722</t>
  </si>
  <si>
    <t>PEDRA BRITADA N. 3 (38 A 50 MM) POSTO PEDREIRA/FORNECEDOR, SEM FRETE</t>
  </si>
  <si>
    <t>00009836</t>
  </si>
  <si>
    <t>TUBO PVC  SERIE NORMAL, DN 100 MM, PARA ESGOTO  PREDIAL (NBR 5688)</t>
  </si>
  <si>
    <t>Observações: BASEADA NO SINAPI 83681 - JANEIRO 2020</t>
  </si>
  <si>
    <t>CP-S10448-80966267 - Abraçadeira metálica tipo "D" de 4" (un)</t>
  </si>
  <si>
    <t>00000399</t>
  </si>
  <si>
    <t>ABRACADEIRA EM ACO PARA AMARRACAO DE ELETRODUTOS, TIPO D, COM 4" E PARAFUSO DE FIXACAO</t>
  </si>
  <si>
    <t>88267</t>
  </si>
  <si>
    <t>ENCANADOR OU BOMBEIRO HIDRÁULICO COM ENCARGOS COMPLEMENTARES</t>
  </si>
  <si>
    <t xml:space="preserve">Observações: BASEADA NO ORSE CP-S10448-80966267
</t>
  </si>
  <si>
    <t>CP-83356-32589970 - TRANSPORTE COMERCIAL DE PEDRA RACHÃO (M3XKM)</t>
  </si>
  <si>
    <t>Observações: BASEADA NO SINAPI 83356 - JANEIRO 2020</t>
  </si>
  <si>
    <t>COMP-82259696 - PREENCHIMENTO DE JUNTAS COM SELANTE A BASE DE ASFALTO (M)</t>
  </si>
  <si>
    <t>5909</t>
  </si>
  <si>
    <t>ESPARGIDOR DE ASFALTO PRESSURIZADO COM TANQUE DE 2500 L, REBOCÁVEL COM MOTOR A GASOLINA POTÊNCIA 3,4 HP - CHP DIURNO. AF_07/2014</t>
  </si>
  <si>
    <t>00000516</t>
  </si>
  <si>
    <t>ASFALTO MODIFICADO TIPO II - NBR 9910 (ASFALTO OXIDADO PARA IMPERMEABILIZACAO, COEFICIENTE DE PENETRACAO 20-35)</t>
  </si>
  <si>
    <t>90776</t>
  </si>
  <si>
    <t>ENCARREGADO GERAL COM ENCARGOS COMPLEMENTARES</t>
  </si>
  <si>
    <t>90971</t>
  </si>
  <si>
    <t>COMPRESSOR DE AR REBOCAVEL, VAZÃO 250 PCM, PRESSAO DE TRABALHO 102 PSI, MOTOR A DIESEL POTÊNCIA 81 CV - MATERIAIS NA OPERAÇÃO. AF_06/2015</t>
  </si>
  <si>
    <t>Observações: (Baseada na Composição 20.06.050 EMLURB-Dezembro.2014)</t>
  </si>
  <si>
    <t>CP-97635-02989626 - DEMOLIÇÃO DE CALÇADA E PAVIMENTOS DIVERSOS (M2)</t>
  </si>
  <si>
    <t>Observações:  COPIA SINAPI - PE - 2021/09 COM DESONERAÇÃO (REF: 10/2021)29163</t>
  </si>
  <si>
    <t>COMP-68570481 - CONSTRUÇÃO DE RAMPA TIPO 01 , PASSEIO EM CONCRETO USINADO FCK=15MPA, ESP=5CM, TRAÇO 1:2,5:4, COM PISO TÁTIL 40x40 cm, APLICADO SOBRE TERRENO REGULARIZADO (UND)</t>
  </si>
  <si>
    <t>Observações: CONSTRUÇÃO DE RAMPA TIPO 01 , PASSEIO EM CONCRETO USINADO FCK=15MPA, ESP=5CM, TRAÇO 1:2,5:4, COM PISO TÁTIL 40x40 cm, APLICADO SOBRE  TERRENO  REGULARIZADO.</t>
  </si>
  <si>
    <t>COMP-78308236 - CONSTRUÇÃO DE RAMPA TIPO 02 , PASSEIO EM CONCRETO USINADO FCK=15MPA, ESP=5CM, TRAÇO 1:2,5:4, COM PISO TÁTIL 40x40 cm, APLICADO SOBRE TERRENO REGULARIZADO. (UND)</t>
  </si>
  <si>
    <t>Observações: Os consumos foram calculados conforme Projeto Tipo</t>
  </si>
  <si>
    <t xml:space="preserve">
</t>
  </si>
  <si>
    <t>TIPO</t>
  </si>
  <si>
    <t>UNIDADE</t>
  </si>
  <si>
    <t>QUANTIDADE</t>
  </si>
  <si>
    <t>PREÇO TOTAL</t>
  </si>
  <si>
    <t>%</t>
  </si>
  <si>
    <t>ACUMUL. %</t>
  </si>
  <si>
    <t>CL</t>
  </si>
  <si>
    <t>BLOQUETE/PISO INTERTRAVADO DE CONCRETO - MODELO ONDA/16 FACES/RETANGULAR/TIJOLINHO/PAVER/HOLANDES/PARALELEPIPEDO, *22 CM X 11* CM, E = 8 CM, RESISTENCIA DE 35 MPA (NBR 9781), COR NATURAL</t>
  </si>
  <si>
    <t>A</t>
  </si>
  <si>
    <t>Composições</t>
  </si>
  <si>
    <t>CONCRETO BETUMINOSO USINADO A QUENTE (CBUQ) PARA PAVIMENTACAO ASFALTICA, PADRAO DNIT, FAIXA C, COM CAP 50/70 - AQUISICAO POSTO USINA</t>
  </si>
  <si>
    <t>BLOQUETE/PISO INTERTRAVADO DE CONCRETO - MODELO ONDA/16 FACES/RETANGULAR/TIJOLINHO/PAVER/HOLANDES/PARALELEPIPEDO, 20 CM X 10 CM, E = 8 CM, RESISTENCIA DE 35 MPA (NBR 9781), COLORIDO</t>
  </si>
  <si>
    <t>Brita 4</t>
  </si>
  <si>
    <t>SICRO</t>
  </si>
  <si>
    <t>B</t>
  </si>
  <si>
    <t>CONCRETO USINADO BOMBEAVEL, CLASSE DE RESISTENCIA C20, COM BRITA 0 E 1, SLUMP = 100 +/- 20 MM, EXCLUI SERVICO DE BOMBEAMENTO (NBR 8953)</t>
  </si>
  <si>
    <t>Tubo PEAD corrugado com paredes estruturadas para drenagem - D = 450 mm</t>
  </si>
  <si>
    <t>CHAPA/PAINEL DE MADEIRA COMPENSADA PLASTIFICADA (MADEIRITE PLASTIFICADO) PARA FORMA DE CONCRETO, DE 2200 x 1100 MM, E = *17* MM</t>
  </si>
  <si>
    <t>C</t>
  </si>
  <si>
    <t>Tubo PEAD corrugado com paredes estruturadas para drenagem - D = 600 mm</t>
  </si>
  <si>
    <t>LOCACAO DE CONTAINER 2,30 X 6,00 M, ALT. 2,50 M, COM 1 SANITARIO, PARA ESCRITORIO, COMPLETO, SEM DIVISORIAS INTERNAS (NAO INCLUI MOBILIZACAO/DESMOBILIZACAO)</t>
  </si>
  <si>
    <t>Pó de pedra</t>
  </si>
  <si>
    <t>LOCACAO DE CONTAINER 2,30 X 6,00 M, ALT. 2,50 M, PARA ESCRITORIO, SEM DIVISORIAS INTERNAS E SEM SANITARIO (NAO INCLUI MOBILIZACAO/DESMOBILIZACAO)</t>
  </si>
  <si>
    <t>Geral</t>
  </si>
  <si>
    <t>ARGILA OU BARRO PARA ATERRO/REATERRO (COM TRANSPORTE ATE 10 KM)</t>
  </si>
  <si>
    <t xml:space="preserve">
                </t>
  </si>
  <si>
    <t>Outros:</t>
  </si>
  <si>
    <t>Valor total do Orçamento:</t>
  </si>
  <si>
    <t>Distribuidor de agregados sobre pneus autopropelido - 130 kW (PRODUTIVO)</t>
  </si>
  <si>
    <t>Caminhão tanque com capacidade de 10.000 l - 188 kW (PRODUTIVO)</t>
  </si>
  <si>
    <t>Rolo compactador de pneus autopropelido de 27 t - 85 kW (PRODUTIVO)</t>
  </si>
  <si>
    <t>Rolo compactador liso vibratório autopropelido por pneus de 11 t - 97 kW (PRODUTIVO)</t>
  </si>
  <si>
    <t>00006111</t>
  </si>
  <si>
    <t>SERVENTE DE OBRAS</t>
  </si>
  <si>
    <t>Mão de Obra</t>
  </si>
  <si>
    <t>00004221</t>
  </si>
  <si>
    <t>OLEO DIESEL COMBUSTIVEL COMUM</t>
  </si>
  <si>
    <t>00004059</t>
  </si>
  <si>
    <t>MEIO-FIO OU GUIA DE CONCRETO, PRE-MOLDADO, COMP 1 M, *30 X 12/15* CM (H X L1/L2)</t>
  </si>
  <si>
    <t>00004759</t>
  </si>
  <si>
    <t>CALCETEIRO (HORISTA)</t>
  </si>
  <si>
    <t>00000034</t>
  </si>
  <si>
    <t>ACO CA-50, 10,0 MM, VERGALHAO</t>
  </si>
  <si>
    <t>00004750</t>
  </si>
  <si>
    <t>PEDREIRO (HORISTA)</t>
  </si>
  <si>
    <t>00001379</t>
  </si>
  <si>
    <t>CIMENTO PORTLAND COMPOSTO CP II-32</t>
  </si>
  <si>
    <t>00040818</t>
  </si>
  <si>
    <t>ENCARREGADO GERAL DE OBRAS (MENSALISTA)</t>
  </si>
  <si>
    <t>00037370</t>
  </si>
  <si>
    <t>ALIMENTACAO - HORISTA (COLETADO CAIXA)</t>
  </si>
  <si>
    <t>Encargos Complementares</t>
  </si>
  <si>
    <t>00040811</t>
  </si>
  <si>
    <t>ENGENHEIRO CIVIL DE OBRA JUNIOR (MENSALISTA)</t>
  </si>
  <si>
    <t>Rolo compactador liso vibratório autopropelido por pneus de 11 t - 97 kW (IMPRODUTIVO)</t>
  </si>
  <si>
    <t>Caminhão tanque com capacidade de 10.000 l - 188 kW (IMPRODUTIVO)</t>
  </si>
  <si>
    <t>00037758</t>
  </si>
  <si>
    <t>CAMINHAO TRUCADO, PESO BRUTO TOTAL 23000 KG, CARGA UTIL MAXIMA 15285 KG, DISTANCIA ENTRE EIXOS 4,80 M, POTENCIA 326 CV (INCLUI CABINE E CHASSI, NAO INCLUI CARROCERIA)</t>
  </si>
  <si>
    <t>00037762</t>
  </si>
  <si>
    <t>CAVALO MECANICO TRACAO 4X2, PESO BRUTO TOTAL 16000 KG, CAPACIDADE MAXIMA DE TRACAO *36000* KG, DISTANCIA ENTRE EIXOS *3,56* M, POTENCIA *286* CV (INCLUI CABINE E CHASSI, NAO INCLUI SEMIRREBOQUE)</t>
  </si>
  <si>
    <t>00037372</t>
  </si>
  <si>
    <t>EXAMES - HORISTA (COLETADO CAIXA)</t>
  </si>
  <si>
    <t>00000654</t>
  </si>
  <si>
    <t>BLOCO DE VEDACAO DE CONCRETO 19 X 19 X 39 CM (CLASSE C - NBR 6136)</t>
  </si>
  <si>
    <t>00004262</t>
  </si>
  <si>
    <t>PA CARREGADEIRA SOBRE RODAS, POTENCIA LIQUIDA 128 HP, CAPACIDADE DA CACAMBA DE 1,7 A 2,8 M3, PESO OPERACIONAL MAXIMO DE 11632 KG</t>
  </si>
  <si>
    <t>Rolo compactador de pneus autopropelido de 27 t - 85 kW (IMPRODUTIVO)</t>
  </si>
  <si>
    <t>00020020</t>
  </si>
  <si>
    <t>MOTORISTA DE CAMINHAO-BASCULANTE</t>
  </si>
  <si>
    <t>00043491</t>
  </si>
  <si>
    <t>EPI - FAMILIA SERVENTE - HORISTA (ENCARGOS COMPLEMENTARES - COLETADO CAIXA)</t>
  </si>
  <si>
    <t>00037371</t>
  </si>
  <si>
    <t>TRANSPORTE - HORISTA (COLETADO CAIXA)</t>
  </si>
  <si>
    <t>00004090</t>
  </si>
  <si>
    <t>MOTONIVELADORA POTENCIA BASICA LIQUIDA (PRIMEIRA MARCHA) 125 HP , PESO BRUTO 13843 KG, LARGURA DA LAMINA DE 3,7 M</t>
  </si>
  <si>
    <t>00004721</t>
  </si>
  <si>
    <t>PEDRA BRITADA N. 1 (9,5 a 19 MM) POSTO PEDREIRA/FORNECEDOR, SEM FRETE</t>
  </si>
  <si>
    <t>00004238</t>
  </si>
  <si>
    <t>OPERADOR DE ROLO COMPACTADOR</t>
  </si>
  <si>
    <t>00037743</t>
  </si>
  <si>
    <t>SEMIRREBOQUE COM DOIS EIXOS EM TANDEM TIPO BASCULANTE COM CACAMBA METALICA 14 M3 (INCLUI MONTAGEM, NAO INCLUI CAVALO MECANICO)</t>
  </si>
  <si>
    <t>00043489</t>
  </si>
  <si>
    <t>EPI - FAMILIA PEDREIRO - HORISTA (ENCARGOS COMPLEMENTARES - COLETADO CAIXA)</t>
  </si>
  <si>
    <t>00037666</t>
  </si>
  <si>
    <t>OPERADOR DE BETONEIRA ESTACIONARIA / MISTURADOR</t>
  </si>
  <si>
    <t>00000378</t>
  </si>
  <si>
    <t>ARMADOR (HORISTA)</t>
  </si>
  <si>
    <t>00043465</t>
  </si>
  <si>
    <t>FERRAMENTAS - FAMILIA PEDREIRO - HORISTA (ENCARGOS COMPLEMENTARES - COLETADO CAIXA)</t>
  </si>
  <si>
    <t>00043467</t>
  </si>
  <si>
    <t>FERRAMENTAS - FAMILIA SERVENTE - HORISTA (ENCARGOS COMPLEMENTARES - COLETADO CAIXA)</t>
  </si>
  <si>
    <t>00004239</t>
  </si>
  <si>
    <t>OPERADOR DE MOTONIVELADORA</t>
  </si>
  <si>
    <t>00001213</t>
  </si>
  <si>
    <t>CARPINTEIRO DE FORMAS (HORISTA)</t>
  </si>
  <si>
    <t>00004093</t>
  </si>
  <si>
    <t>MOTORISTA DE CAMINHAO</t>
  </si>
  <si>
    <t>00007625</t>
  </si>
  <si>
    <t>TRATOR DE ESTEIRAS, POTENCIA DE 170 HP, PESO OPERACIONAL DE 19 T, COM LAMINA COM CAPACIDADE DE 5,2 M3</t>
  </si>
  <si>
    <t>00014511</t>
  </si>
  <si>
    <t>ROLO COMPACTADOR DE PNEUS, ESTATICO, PRESSAO VARIAVEL, POTENCIA 110 HP, PESO SEM/COM LASTRO 10,8/27 T, LARGURA DE ROLAGEM 2,30 M</t>
  </si>
  <si>
    <t>00014513</t>
  </si>
  <si>
    <t>ROLO COMPACTADOR PE DE CARNEIRO VIBRATORIO, POTENCIA 80 HP, PESO OPERACIONAL SEM/COM LASTRO 7,4/8,8 T, LARGURA DE TRABALHO 1,68 M</t>
  </si>
  <si>
    <t>00006110</t>
  </si>
  <si>
    <t>SERRALHEIRO (HORISTA)</t>
  </si>
  <si>
    <t>00000546</t>
  </si>
  <si>
    <t>BARRA DE FERRO CHATA, RETANGULAR (QUALQUER BITOLA)</t>
  </si>
  <si>
    <t>00025067</t>
  </si>
  <si>
    <t>BLOCO DE CONCRETO ESTRUTURAL 19 X 19 X 39 CM, FBK 4,5 MPA (NBR 6136)</t>
  </si>
  <si>
    <t>00004248</t>
  </si>
  <si>
    <t>OPERADOR DE PA CARREGADEIRA</t>
  </si>
  <si>
    <t>00043132</t>
  </si>
  <si>
    <t>ARAME RECOZIDO 16 BWG, D = 1,65 MM (0,016 KG/M) OU 18 BWG, D = 1,25 MM (0,01 KG/M)</t>
  </si>
  <si>
    <t>00010488</t>
  </si>
  <si>
    <t>VIBROACABADORA DE ASFALTO SOBRE ESTEIRAS, LARG. PAVIMENT. 1,90 A 5,3 M, POT. 78 KW/105 HP, CAP. 450 T/H</t>
  </si>
  <si>
    <t>00021013</t>
  </si>
  <si>
    <t>TUBO ACO GALVANIZADO COM COSTURA, CLASSE LEVE, DN 50 MM ( 2"), E = 3,00 MM, *4,40* KG/M (NBR 5580)</t>
  </si>
  <si>
    <t>00000367</t>
  </si>
  <si>
    <t>AREIA GROSSA - POSTO JAZIDA/FORNECEDOR (RETIRADO NA JAZIDA, SEM TRANSPORTE)</t>
  </si>
  <si>
    <t>00044502</t>
  </si>
  <si>
    <t>RASTELEIRO HORISTA</t>
  </si>
  <si>
    <t>00000252</t>
  </si>
  <si>
    <t>AJUDANTE DE SERRALHEIRO (HORISTA)</t>
  </si>
  <si>
    <t>00010646</t>
  </si>
  <si>
    <t>ROLO COMPACTADOR VIBRATORIO DE UM CILINDRO, ACO LISO, POTENCIA 80 HP, PESO OPERACIONAL MAXIMO 8,1 T, IMPACTO DINAMICO 16,15/9,5 T, LARGURA TRABALHO 1,68 M</t>
  </si>
  <si>
    <t>00043059</t>
  </si>
  <si>
    <t>ACO CA-60, 4,2 MM, OU 5,0 MM, OU 6,0 MM, OU 7,0 MM, VERGALHAO</t>
  </si>
  <si>
    <t>PLACA DE ACO ESMALTADA PARA IDENTIFICACAO DE RUA, *45 CM X 20* CM</t>
  </si>
  <si>
    <t>00040637</t>
  </si>
  <si>
    <t>MAQUINA DEMARCADORA DE FAIXA DE TRAFEGO A FRIO, AUTOPROPELIDA, MOTOR DIESEL 38 HP</t>
  </si>
  <si>
    <t>00001106</t>
  </si>
  <si>
    <t>CAL HIDRATADA CH-I PARA ARGAMASSAS</t>
  </si>
  <si>
    <t>00044057</t>
  </si>
  <si>
    <t>CAMINHAO TOCO, PESO BRUTO TOTAL 13200 KG, CARGA UTIL MAXIMA 9200 KG, DISTANCIA ENTRE EIXOS 3,31 M, POTENCIA 175 CV (INCLUI CABINE E CHASSI, NAO INCLUI CARROCERIA)</t>
  </si>
  <si>
    <t>00004222</t>
  </si>
  <si>
    <t>GASOLINA COMUM</t>
  </si>
  <si>
    <t>00004237</t>
  </si>
  <si>
    <t>OPERADOR DE TRATOR - EXCLUSIVE AGROPECUARIA</t>
  </si>
  <si>
    <t>00021012</t>
  </si>
  <si>
    <t>TUBO ACO GALVANIZADO COM COSTURA, CLASSE LEVE, DN 40 MM ( 1 1/2"), E = 3,00 MM, *3,48* KG/M (NBR 5580)</t>
  </si>
  <si>
    <t>M3235</t>
  </si>
  <si>
    <t>Película retrorrefletiva tipo I</t>
  </si>
  <si>
    <t>00037734</t>
  </si>
  <si>
    <t>CACAMBA METALICA BASCULANTE COM CAPACIDADE DE 10 M3 (INCLUI MONTAGEM, NAO INCLUI CAMINHAO)</t>
  </si>
  <si>
    <t>M1662</t>
  </si>
  <si>
    <t>Suporte em madeira de eucalipto tratado - seção de 8 x 8 cm</t>
  </si>
  <si>
    <t>00004234</t>
  </si>
  <si>
    <t>OPERADOR DE ESCAVADEIRA</t>
  </si>
  <si>
    <t>00000359</t>
  </si>
  <si>
    <t>MUDA DE ARVORE ORNAMENTAL, OITI/AROEIRA SALSA/ANGICO/IPE/JACARANDA OU EQUIVALENTE DA REGIAO, H= *2* M</t>
  </si>
  <si>
    <t>M1367</t>
  </si>
  <si>
    <t>Chapa fina em aço galvanizado</t>
  </si>
  <si>
    <t>kg</t>
  </si>
  <si>
    <t>00004230</t>
  </si>
  <si>
    <t>OPERADOR DE MAQUINAS E TRATORES DIVERSOS (TERRAPLANAGEM)</t>
  </si>
  <si>
    <t>00006189</t>
  </si>
  <si>
    <t>TABUA NAO APARELHADA *2,5 X 30* CM, EM MACARANDUBA, ANGELIM OU EQUIVALENTE DA REGIAO - BRUTA</t>
  </si>
  <si>
    <t>00043499</t>
  </si>
  <si>
    <t>EPI - FAMILIA ENCARREGADO GERAL - MENSALISTA (ENCARGOS COMPLEMENTARES - COLETADO CAIXA)</t>
  </si>
  <si>
    <t>E9687</t>
  </si>
  <si>
    <t>Caminhão carroceria com capacidade de 5 t - 115 kW (PRODUTIVO)</t>
  </si>
  <si>
    <t>00040863</t>
  </si>
  <si>
    <t>EXAMES - MENSALISTA (COLETADO CAIXA)</t>
  </si>
  <si>
    <t>00043488</t>
  </si>
  <si>
    <t>EPI - FAMILIA OPERADOR ESCAVADEIRA - HORISTA (ENCARGOS COMPLEMENTARES - COLETADO CAIXA)</t>
  </si>
  <si>
    <t>00006046</t>
  </si>
  <si>
    <t>RETROESCAVADEIRA SOBRE RODAS COM CARREGADEIRA, TRACAO 4 X 4, POTENCIA LIQUIDA 72 HP, PESO OPERACIONAL MINIMO DE 7140 KG, CAPACIDADE MINIMA DA CARREGADEIRA DE 0,79 M3 E DA RETROESCAVADEIRA MINIMA DE 0,18 M3, PROFUNDIDADE DE ESCAVACAO MAXIMA DE 4,50 M</t>
  </si>
  <si>
    <t>00014626</t>
  </si>
  <si>
    <t>ROLO COMPACTADOR VIBRATORIO TANDEM, ACO LISO, POTENCIA 125 HP, PESO SEM/COM LASTRO 10,20/11,65 T, LARGURA DE TRABALHO 1,73 M</t>
  </si>
  <si>
    <t>Caminhão carroceria com capacidade de 5 t - 115 kW (IMPRODUTIVO)</t>
  </si>
  <si>
    <t>00036531</t>
  </si>
  <si>
    <t>RETROESCAVADEIRA SOBRE RODAS COM CARREGADEIRA, TRACAO 4 X 4, POTENCIA LIQUIDA 88 HP, PESO OPERACIONAL MINIMO DE 6674 KG, CAPACIDADE DA CARREGADEIRA DE 1,00 M3 E DA RETROESCAVADEIRA MINIMA DE 0,26 M3, PROFUNDIDADE DE ESCAVACAO MAXIMA DE 4,37 M</t>
  </si>
  <si>
    <t>P9822</t>
  </si>
  <si>
    <t>Pintor</t>
  </si>
  <si>
    <t>00004783</t>
  </si>
  <si>
    <t>PINTOR (HORISTA)</t>
  </si>
  <si>
    <t>00044501</t>
  </si>
  <si>
    <t>OPERADOR DE DEMARCADORA DE FAIXAS DE TRAFEGO HORISTA</t>
  </si>
  <si>
    <t>00010685</t>
  </si>
  <si>
    <t>ESCAVADEIRA HIDRAULICA SOBRE ESTEIRAS, CACAMBA 0,80M3, PESO OPERACIONAL 17T, POTENCIA BRUTA 111HP</t>
  </si>
  <si>
    <t>00011280</t>
  </si>
  <si>
    <t>CORTADEIRA DE PISO DE CONCRETO E ASFALTO, PARA DISCO PADRAO DE DIAMETRO 350 MM (14") OU 450 MM (18") , MOTOR A GASOLINA, POTENCIA 13 HP, SEM DISCO</t>
  </si>
  <si>
    <t>00037736</t>
  </si>
  <si>
    <t>TANQUE DE ACO CARBONO NAO REVESTIDO, PARA TRANSPORTE DE AGUA COM CAPACIDADE DE 10 M3, COM BOMBA CENTRIFUGA POR TOMADA DE FORCA, VAZAO MAXIMA *75* M3/H (INCLUI MONTAGEM, NAO INCLUI CAMINHAO)</t>
  </si>
  <si>
    <t>00034548</t>
  </si>
  <si>
    <t>TELA DE ACO SOLDADA GALVANIZADA/ZINCADA PARA ALVENARIA, FIO D = *1,20 A 1,70* MM, MALHA 15 X 15 MM, (C X L) *50 X 17,5* CM</t>
  </si>
  <si>
    <t>P9801</t>
  </si>
  <si>
    <t>Ajudante</t>
  </si>
  <si>
    <t>00000660</t>
  </si>
  <si>
    <t>CANALETA DE CONCRETO 19 X 19 X 19 CM (CLASSE C - NBR 6136)</t>
  </si>
  <si>
    <t>00001442</t>
  </si>
  <si>
    <t>COMPACTADOR DE SOLO TIPO PLACA VIBRATORIA REVERSIVEL, A GASOLINA, 4 TEMPOS, PESO DE 125 A 150 KG, FORCA CENTRIFUGA DE 2500 A 2800 KGF, LARG. TRABALHO DE 400 A 450 MM, FREQ VIBRACAO DE 4300 A 4500 RPM, VELOC. TRABALHO DE 15 A 20 M/MIN, POT. DE 5,5 A 6,0 HP</t>
  </si>
  <si>
    <t>P9808</t>
  </si>
  <si>
    <t>Carpinteiro</t>
  </si>
  <si>
    <t>00004720</t>
  </si>
  <si>
    <t>PEDRA BRITADA N. 0, OU PEDRISCO (4,8 A 9,5 MM) POSTO PEDREIRA/FORNECEDOR, SEM FRETE</t>
  </si>
  <si>
    <t>00000123</t>
  </si>
  <si>
    <t>ADITIVO IMPERMEABILIZANTE DE PEGA NORMAL PARA ARGAMASSAS E CONCRETOS SEM ARMACAO, LIQUIDO E ISENTO DE CLORETOS</t>
  </si>
  <si>
    <t>E9076</t>
  </si>
  <si>
    <t>Equipamento para pintura eletrostática com cabine dupla de 7,00 kW e estufa de 80.000 kCal (PRODUTIVO)</t>
  </si>
  <si>
    <t>00007640</t>
  </si>
  <si>
    <t>TRATOR DE PNEUS COM POTENCIA DE 85 CV, TRACAO 4 X 4, PESO COM LASTRO DE 4675 KG</t>
  </si>
  <si>
    <t>M3238</t>
  </si>
  <si>
    <t>Película não retrorrefletiva tipo IV</t>
  </si>
  <si>
    <t>00044500</t>
  </si>
  <si>
    <t>OPERADOR DE PAVIMENTADORA / MESA VIBROACABADORA HORISTA</t>
  </si>
  <si>
    <t>00003324</t>
  </si>
  <si>
    <t>GRAMA BATATAIS EM PLACAS, SEM PLANTIO</t>
  </si>
  <si>
    <t>M0789</t>
  </si>
  <si>
    <t>Conjunto para fixação de placas em aço galvanizado composto por barra chata, abraçadeira, parafusos, porcas e arruelas</t>
  </si>
  <si>
    <t>00007592</t>
  </si>
  <si>
    <t>TOPOGRAFO (HORISTA)</t>
  </si>
  <si>
    <t>00044477</t>
  </si>
  <si>
    <t>MICROESFERAS DE VIDRO PARA SINALIZACAO HORIZONTAL VIARIA, TIPO II-A (DROP-ON) - NBR 16184</t>
  </si>
  <si>
    <t>00006114</t>
  </si>
  <si>
    <t>AJUDANTE DE ARMADOR (HORISTA)</t>
  </si>
  <si>
    <t>00043677</t>
  </si>
  <si>
    <t>CHAPA/PAINEL DE MADEIRA COMPENSADA RESINADA (MADEIRITE RESINADO ROSA) PARA FORMA DE CONCRETO, DE 2200 X 1100 MM, E = 20 MM</t>
  </si>
  <si>
    <t>00040331</t>
  </si>
  <si>
    <t>ASSENTADOR DE MANILHAS</t>
  </si>
  <si>
    <t>00037754</t>
  </si>
  <si>
    <t>CAMINHAO TOCO, PESO BRUTO TOTAL 14300 KG, CARGA UTIL MAXIMA 9480 KG, DISTANCIA ENTRE EIXOS 4,80 M, POTENCIA 185 CV (INCLUI CABINE E CHASSI, NAO INCLUI CARROCERIA)</t>
  </si>
  <si>
    <t>E9066</t>
  </si>
  <si>
    <t>Grupo gerador - 13/14 kVA (PRODUTIVO)</t>
  </si>
  <si>
    <t>P9830</t>
  </si>
  <si>
    <t>Montador</t>
  </si>
  <si>
    <t>00001332</t>
  </si>
  <si>
    <t>CHAPA DE ACO GROSSA, ASTM A36, E = 3/8 " (9,53 MM) 74,69 KG/M2</t>
  </si>
  <si>
    <t>00039017</t>
  </si>
  <si>
    <t>ESPACADOR / DISTANCIADOR CIRCULAR COM ENTRADA LATERAL, EM PLASTICO, PARA VERGALHAO *4,2 A 12,5* MM, COBRIMENTO 20 MM</t>
  </si>
  <si>
    <t>00037738</t>
  </si>
  <si>
    <t>TANQUE DE ACO PARA TRANSPORTE DE AGUA COM CAPACIDADE DE 6 M3 (INCLUI MONTAGEM, NAO INCLUI CAMINHAO)</t>
  </si>
  <si>
    <t>00043483</t>
  </si>
  <si>
    <t>EPI - FAMILIA CARPINTEIRO DE FORMAS - HORISTA (ENCARGOS COMPLEMENTARES - COLETADO CAIXA)</t>
  </si>
  <si>
    <t>00011964</t>
  </si>
  <si>
    <t>PARAFUSO DE ACO TIPO CHUMBADOR PARABOLT, DIAMETRO 3/8", COMPRIMENTO 75 MM</t>
  </si>
  <si>
    <t>P9823</t>
  </si>
  <si>
    <t>Serralheiro</t>
  </si>
  <si>
    <t>TUBO PVC SERIE NORMAL, DN 100 MM, PARA ESGOTO PREDIAL (NBR 5688)</t>
  </si>
  <si>
    <t>00000032</t>
  </si>
  <si>
    <t>ACO CA-50, 6,3 MM, VERGALHAO</t>
  </si>
  <si>
    <t>MICROESFERAS DE VIDRO PARA SINALIZACAO HORIZONTAL VIARIA, TIPO I-B (PREMIX) - NBR 16184</t>
  </si>
  <si>
    <t>00036397</t>
  </si>
  <si>
    <t>BETONEIRA, CAPACIDADE NOMINAL 600 L, CAPACIDADE DE MISTURA 360L, MOTOR ELETRICO TRIFASICO 220/380V, POTENCIA 4CV, EXCLUSO CARREGADOR</t>
  </si>
  <si>
    <t>M2128</t>
  </si>
  <si>
    <t>Tinta esmalte sintético acetinado</t>
  </si>
  <si>
    <t>l</t>
  </si>
  <si>
    <t>00001358</t>
  </si>
  <si>
    <t>CHAPA/PAINEL DE MADEIRA COMPENSADA RESINADA (MADEIRITE RESINADO ROSA) PARA FORMA DE CONCRETO, DE 2200 x 1100 MM, E = 17 MM</t>
  </si>
  <si>
    <t>00043498</t>
  </si>
  <si>
    <t>EPI - FAMILIA ENGENHEIRO CIVIL - MENSALISTA (ENCARGOS COMPLEMENTARES - COLETADO CAIXA)</t>
  </si>
  <si>
    <t>00044058</t>
  </si>
  <si>
    <t>CAMINHAO TOCO, PESO BRUTO TOTAL 16000 KG, CARGA UTIL MAXIMA 10830 KG, DISTANCIA ENTRE EIXOS 3,56 M, POTENCIA 226 CV (INCLUI CABINE E CHASSI, NAO INCLUI CARROCERIA)</t>
  </si>
  <si>
    <t>00013726</t>
  </si>
  <si>
    <t>VASSOURA MECANICA REBOCAVEL COM ESCOVA CILINDRICA LARGURA UTIL DE VARRIMENTO = 2,44M</t>
  </si>
  <si>
    <t>00044503</t>
  </si>
  <si>
    <t>JARDINEIRO (HORISTA)</t>
  </si>
  <si>
    <t>00001524</t>
  </si>
  <si>
    <t>CONCRETO USINADO BOMBEAVEL, CLASSE DE RESISTENCIA C20, COM BRITA 0 E 1, SLUMP = 100 +/- 20 MM, INCLUI SERVICO DE BOMBEAMENTO (NBR 8953)</t>
  </si>
  <si>
    <t>00037373</t>
  </si>
  <si>
    <t>SEGURO - HORISTA (COLETADO CAIXA)</t>
  </si>
  <si>
    <t>SARRAFO NAO APARELHADO *2,5 X 7* CM, EM MACARANDUBA, ANGELIM OU EQUIVALENTE DA REGIAO - BRUTA</t>
  </si>
  <si>
    <t>00002705</t>
  </si>
  <si>
    <t>ENERGIA ELETRICA ATE 2000 KWH INDUSTRIAL, SEM DEMANDA</t>
  </si>
  <si>
    <t>Especiais</t>
  </si>
  <si>
    <t>KWH</t>
  </si>
  <si>
    <t>00036484</t>
  </si>
  <si>
    <t>ESPARGIDOR DE ASFALTO PRESSURIZADO, TANQUE 6 M3 COM ISOLACAO TERMICA, AQUECIDO COM 2 MACARICOS, COM BARRA ESPARGIDORA 3,60 M, A SER MONTADO SOBRE CAMINHAO</t>
  </si>
  <si>
    <t>00006193</t>
  </si>
  <si>
    <t>TABUA NAO APARELHADA *2,5 X 20* CM, EM MACARANDUBA, ANGELIM OU EQUIVALENTE DA REGIAO - BRUTA</t>
  </si>
  <si>
    <t>00039995</t>
  </si>
  <si>
    <t>POLIESTIRENO EXPANDIDO/EPS (ISOPOR), TIPO 2F, BLOCO</t>
  </si>
  <si>
    <t>00043475</t>
  </si>
  <si>
    <t>FERRAMENTAS - FAMILIA ENCARREGADO GERAL - MENSALISTA (ENCARGOS COMPLEMENTARES - COLETADO CAIXA)</t>
  </si>
  <si>
    <t>00043459</t>
  </si>
  <si>
    <t>FERRAMENTAS - FAMILIA CARPINTEIRO DE FORMAS - HORISTA (ENCARGOS COMPLEMENTARES - COLETADO CAIXA)</t>
  </si>
  <si>
    <t>M3153</t>
  </si>
  <si>
    <t>Tinta em pó à base de resina poliéster</t>
  </si>
  <si>
    <t>E9507</t>
  </si>
  <si>
    <t>Plotadora de recorte com computador e programa computacional (PRODUTIVO)</t>
  </si>
  <si>
    <t>00001214</t>
  </si>
  <si>
    <t>CARPINTEIRO DE ESQUADRIAS (HORISTA)</t>
  </si>
  <si>
    <t>00000244</t>
  </si>
  <si>
    <t>AUXILIAR DE TOPOGRAFO (HORISTA)</t>
  </si>
  <si>
    <t>00037395</t>
  </si>
  <si>
    <t>PINO DE ACO COM FURO, HASTE = 27 MM (ACAO DIRETA)</t>
  </si>
  <si>
    <t>CENTO</t>
  </si>
  <si>
    <t>00040270</t>
  </si>
  <si>
    <t>VIGA DE ESCORAMAENTO H20, DE MADEIRA, PESO DE 5,00 A 5,20 KG/M, COM EXTREMIDADES PLASTICAS</t>
  </si>
  <si>
    <t>00043490</t>
  </si>
  <si>
    <t>EPI - FAMILIA PINTOR - HORISTA (ENCARGOS COMPLEMENTARES - COLETADO CAIXA)</t>
  </si>
  <si>
    <t>00043466</t>
  </si>
  <si>
    <t>FERRAMENTAS - FAMILIA PINTOR - HORISTA (ENCARGOS COMPLEMENTARES - COLETADO CAIXA)</t>
  </si>
  <si>
    <t>00014525</t>
  </si>
  <si>
    <t>ESCAVADEIRA HIDRAULICA SOBRE ESTEIRAS COM CACAMBA DE 1,20 M3, PESO OPERACIONAL 21 T, POTENCIA BRUTA 155 HP</t>
  </si>
  <si>
    <t>00010535</t>
  </si>
  <si>
    <t>BETONEIRA CAPACIDADE NOMINAL 400 L, CAPACIDADE DE MISTURA 280 L, MOTOR ELETRICO TRIFASICO 220/380 V POTENCIA 2 CV, SEM CARREGADOR</t>
  </si>
  <si>
    <t>00011002</t>
  </si>
  <si>
    <t>ELETRODO REVESTIDO AWS - E6013, DIAMETRO IGUAL A 2,50 MM</t>
  </si>
  <si>
    <t>00043055</t>
  </si>
  <si>
    <t>ACO CA-50, 12,5 MM OU 16,0 MM, VERGALHAO</t>
  </si>
  <si>
    <t>00002696</t>
  </si>
  <si>
    <t>ENCANADOR OU BOMBEIRO HIDRAULICO (HORISTA)</t>
  </si>
  <si>
    <t>00013458</t>
  </si>
  <si>
    <t>COMPACTADOR DE SOLOS DE PERCURSAO (SOQUETE) COM MOTOR A GASOLINA 4 TEMPOS DE 4 HP (4 CV)</t>
  </si>
  <si>
    <t>00013887</t>
  </si>
  <si>
    <t>DISCO DE CORTE DIAMANTADO SEGMENTADO PARA CONCRETO, DIAMETRO DE 350 MM, FURO DE 1 " (14 X 1 ")</t>
  </si>
  <si>
    <t>00006117</t>
  </si>
  <si>
    <t>CARPINTEIRO AUXILIAR (HORISTA)</t>
  </si>
  <si>
    <t>E9623</t>
  </si>
  <si>
    <t>Máquina de bancada guilhotina - 4,00 kW (PRODUTIVO)</t>
  </si>
  <si>
    <t>E9622</t>
  </si>
  <si>
    <t>Máquina de bancada universal para corte de chapa - 1,50 kW (PRODUTIVO)</t>
  </si>
  <si>
    <t>00037733</t>
  </si>
  <si>
    <t>CACAMBA METALICA BASCULANTE COM CAPACIDADE DE 6 M3 (INCLUI MONTAGEM, NAO INCLUI CAMINHAO)</t>
  </si>
  <si>
    <t>00007247</t>
  </si>
  <si>
    <t>LOCACAO DE TEODOLITO ELETRONICO, PRECISAO ANGULAR DE 5 A 7 SEGUNDOS, INCLUINDO TRIPE</t>
  </si>
  <si>
    <t>00004083</t>
  </si>
  <si>
    <t>ENCARREGADO GERAL DE OBRAS (HORISTA)</t>
  </si>
  <si>
    <t>00043464</t>
  </si>
  <si>
    <t>FERRAMENTAS - FAMILIA OPERADOR ESCAVADEIRA - HORISTA (ENCARGOS COMPLEMENTARES - COLETADO CAIXA)</t>
  </si>
  <si>
    <t>E9647</t>
  </si>
  <si>
    <t>Compactador manual com soquete vibratório - 4,10 kW Valor de Oportunidade Seguros e Mão de Obra Custo Custo (PRODUTIVO)</t>
  </si>
  <si>
    <t>00010749</t>
  </si>
  <si>
    <t>LOCACAO DE ESCORA METALICA TELESCOPICA, COM ALTURA REGULAVEL DE *1,80* A *3,20* M, COM CAPACIDADE DE CARGA DE NO MINIMO 1000 KGF (10 KN), INCLUSO TRIPE E FORCADO</t>
  </si>
  <si>
    <t>00039014</t>
  </si>
  <si>
    <t>FIBRA DE ACO PARA REFORCO DO CONCRETO, SOLTA, TIPO A-I, FATOR DE FORMA *50* L / D, COMPRIMENTO DE *30* MM E RESISTENCIA A TRACAO DO ACO MAIOR 1000 MPA</t>
  </si>
  <si>
    <t>00043493</t>
  </si>
  <si>
    <t>EPI - FAMILIA TOPOGRAFO - HORISTA (ENCARGOS COMPLEMENTARES - COLETADO CAIXA)</t>
  </si>
  <si>
    <t>00020247</t>
  </si>
  <si>
    <t>PREGO DE ACO POLIDO COM CABECA 15 X 15 (1 1/4 X 13)</t>
  </si>
  <si>
    <t>00000033</t>
  </si>
  <si>
    <t>ACO CA-50, 8,0 MM, VERGALHAO</t>
  </si>
  <si>
    <t>M0424</t>
  </si>
  <si>
    <t>Cimento Portland CP II - 32 - saco</t>
  </si>
  <si>
    <t>M0082</t>
  </si>
  <si>
    <t>Areia média lavada</t>
  </si>
  <si>
    <t>00013896</t>
  </si>
  <si>
    <t>VIBRADOR DE IMERSAO, DIAMETRO DA PONTEIRA DE *45* MM, COM MOTOR ELETRICO TRIFASICO DE 2 HP (2 CV)</t>
  </si>
  <si>
    <t>00005069</t>
  </si>
  <si>
    <t>PREGO DE ACO POLIDO COM CABECA 17 X 27 (2 1/2 X 11)</t>
  </si>
  <si>
    <t>00012815</t>
  </si>
  <si>
    <t>FITA CREPE ROLO DE 25 MM X 50 M</t>
  </si>
  <si>
    <t>00043682</t>
  </si>
  <si>
    <t>CHAPA/PAINEL DE MADEIRA COMPENSADA RESINADA (MADEIRITE RESINADO ROSA) PARA FORMA DE CONCRETO, DE 2200 X 1100 MM, E = 6 MM</t>
  </si>
  <si>
    <t>M1097</t>
  </si>
  <si>
    <t>Pedra de mão ou rachão</t>
  </si>
  <si>
    <t>00020219</t>
  </si>
  <si>
    <t>ESPARGIDOR DE ASFALTO PRESSURIZADO, REBOCAVEL, TANQUE DE 2500 L, PNEUMATICO, COM MOTOR A GASOLINA 3,4HP</t>
  </si>
  <si>
    <t>00040275</t>
  </si>
  <si>
    <t>LOCACAO DE VIGA SANDUICHE METALICA VAZADA PARA TRAVAMENTO DE PILARES, ALTURA DE *8* CM, LARGURA DE *6* CM E EXTENSAO DE 2 M</t>
  </si>
  <si>
    <t>E9519</t>
  </si>
  <si>
    <t>Betoneira com motor a gasolina com capacidade de 600 l - 10 kW (PRODUTIVO)</t>
  </si>
  <si>
    <t>00043474</t>
  </si>
  <si>
    <t>FERRAMENTAS - FAMILIA ENGENHEIRO CIVIL - MENSALISTA (ENCARGOS COMPLEMENTARES - COLETADO CAIXA)</t>
  </si>
  <si>
    <t>00037752</t>
  </si>
  <si>
    <t>CAMINHAO TOCO, PESO BRUTO TOTAL 16000 KG, CARGA UTIL MAXIMA 11030 KG, DISTANCIA ENTRE EIXOS 5,41 M, POTENCIA 185 CV (INCLUI CABINE E CHASSI, NAO INCLUI CARROCERIA)</t>
  </si>
  <si>
    <t>M0191</t>
  </si>
  <si>
    <t>Brita 1</t>
  </si>
  <si>
    <t>00043485</t>
  </si>
  <si>
    <t>EPI - FAMILIA ENCANADOR - HORISTA (ENCARGOS COMPLEMENTARES - COLETADO CAIXA)</t>
  </si>
  <si>
    <t>M0192</t>
  </si>
  <si>
    <t>Brita 2</t>
  </si>
  <si>
    <t>00040287</t>
  </si>
  <si>
    <t>LOCACAO DE BARRA DE ANCORAGEM DE 0,80 A 1,20 M DE EXTENSAO, COM ROSCA DE 5/8", INCLUINDO PORCA E FLANGE</t>
  </si>
  <si>
    <t>00040304</t>
  </si>
  <si>
    <t>PREGO DE ACO POLIDO COM CABECA DUPLA 17 X 27 (2 1/2 X 11)</t>
  </si>
  <si>
    <t>P9821</t>
  </si>
  <si>
    <t>Pedreiro</t>
  </si>
  <si>
    <t>00043469</t>
  </si>
  <si>
    <t>FERRAMENTAS - FAMILIA TOPOGRAFO - HORISTA (ENCARGOS COMPLEMENTARES - COLETADO CAIXA)</t>
  </si>
  <si>
    <t>00040271</t>
  </si>
  <si>
    <t>LOCACAO DE APRUMADOR METALICO DE PILAR, COM ALTURA E ANGULO REGULAVEIS, EXTENSAO DE *1,50* A *2,80* M</t>
  </si>
  <si>
    <t>00043461</t>
  </si>
  <si>
    <t>FERRAMENTAS - FAMILIA ENCANADOR - HORISTA (ENCARGOS COMPLEMENTARES - COLETADO CAIXA)</t>
  </si>
  <si>
    <t>00039016</t>
  </si>
  <si>
    <t>ESPACADOR / DISTANCIADOR TIPO PINO EM PLASTICO, PARA VERGALHAO ATE 10 MM, PARA APOIO DE ARMADURA</t>
  </si>
  <si>
    <t>00014618</t>
  </si>
  <si>
    <t>SERRA CIRCULAR DE BANCADA COM MOTOR ELETRICO, POTENCIA DE *1600* W, PARA DISCO DE DIAMETRO DE 10" (250 MM)</t>
  </si>
  <si>
    <t>00043487</t>
  </si>
  <si>
    <t>EPI - FAMILIA ENCARREGADO GERAL - HORISTA (ENCARGOS COMPLEMENTARES - COLETADO CAIXA)</t>
  </si>
  <si>
    <t>M0030</t>
  </si>
  <si>
    <t>Aditivo plastificante e retardador de pega para concreto e argamassa</t>
  </si>
  <si>
    <t>E9568</t>
  </si>
  <si>
    <t>Furadeira de impacto de 12,5 mm - 0,80 kW (PRODUTIVO)</t>
  </si>
  <si>
    <t>E9521</t>
  </si>
  <si>
    <t>Grupo gerador - 2,5/3 kVA (PRODUTIVO)</t>
  </si>
  <si>
    <t>00037731</t>
  </si>
  <si>
    <t>CARROCERIA FIXA ABERTA DE MADEIRA PARA TRANSPORTE GERAL DE CARGA SECA DIMENSOES APROXIMADAS 2,5 X 7,00 X 0,50 M (INCLUI MONTAGEM, NAO INCLUI CAMINHAO)</t>
  </si>
  <si>
    <t>E9071</t>
  </si>
  <si>
    <t>Transportador manual carrinho de mão com capacidade de 80 l (PRODUTIVO)</t>
  </si>
  <si>
    <t>E9064</t>
  </si>
  <si>
    <t>Transportador manual gerica com capacidade de 180 l (PRODUTIVO)</t>
  </si>
  <si>
    <t>Transportador manual gerica com capacidade de 180 l (IMPRODUTIVO)</t>
  </si>
  <si>
    <t>E9010</t>
  </si>
  <si>
    <t>Balança plataforma digital com mesa de 75 x 75 cm com capacidade de 500 kg (PRODUTIVO)</t>
  </si>
  <si>
    <t>00040864</t>
  </si>
  <si>
    <t>SEGURO - MENSALISTA (COLETADO CAIXA)</t>
  </si>
  <si>
    <t>00043463</t>
  </si>
  <si>
    <t>FERRAMENTAS - FAMILIA ENCARREGADO GERAL - HORISTA (ENCARGOS COMPLEMENTARES - COLETADO CAIXA)</t>
  </si>
  <si>
    <t>Transportador manual carrinho de mão com capacidade de 80 l (IMPRODUTIVO)</t>
  </si>
  <si>
    <t>E9686</t>
  </si>
  <si>
    <t>Caminhão carroceria com guindauto com capacidade de 20 t.m - 136 kW (IMPRODUTIVO)</t>
  </si>
  <si>
    <t>E9592</t>
  </si>
  <si>
    <t>Caminhão carroceria com capacidade de 15 t - 188 kW (PRODUTIVO)</t>
  </si>
  <si>
    <t>Máquina de bancada universal para corte de chapa - 1,50 kW (IMPRODUTIVO)</t>
  </si>
  <si>
    <t>Distribuidor de agregados sobre pneus autopropelido - 130 kW (IMPRODUTIVO)</t>
  </si>
  <si>
    <t>Grupo gerador - 13/14 kVA (IMPRODUTIVO)</t>
  </si>
  <si>
    <t>E9579</t>
  </si>
  <si>
    <t>Caminhão basculante com capacidade de 10 m³ - 188 kW (PRODUTIVO)</t>
  </si>
  <si>
    <t>Caminhão carroceria com guindauto com capacidade de 20 t.m - 136 kW (PRODUTIVO)</t>
  </si>
  <si>
    <t>Grupo gerador - 2,5/3 kVA (IMPRODUTIVO)</t>
  </si>
  <si>
    <t>Plotadora de recorte com computador e programa computacional (IMPRODUTIVO)</t>
  </si>
  <si>
    <t>Balança plataforma digital com mesa de 75 x 75 cm com capacidade de 500 kg (IMPRODUTIVO)</t>
  </si>
  <si>
    <t>Compactador manual com soquete vibratório - 4,10 kW Valor de Oportunidade Seguros e Mão de Obra Custo Custo (IMPRODUTIVO)</t>
  </si>
  <si>
    <t>Furadeira de impacto de 12,5 mm - 0,80 kW (IMPRODUTIVO)</t>
  </si>
  <si>
    <t>Máquina de bancada guilhotina - 4,00 kW (IMPRODUTIVO)</t>
  </si>
  <si>
    <t>Betoneira com motor a gasolina com capacidade de 600 l - 10 kW (IMPRODUTIVO)</t>
  </si>
  <si>
    <t>Caminhão carroceria com capacidade de 15 t - 188 kW (IMPRODUTIVO)</t>
  </si>
  <si>
    <t>Equipamento para pintura eletrostática com cabine dupla de 7,00 kW e estufa de 80.000 kCal (IMPRODUTIVO)</t>
  </si>
  <si>
    <t>Caminhão basculante com capacidade de 10 m³ - 188 kW (IMPRODUTIVO)</t>
  </si>
  <si>
    <t>VALOR (R$)</t>
  </si>
  <si>
    <t>MÊS 1</t>
  </si>
  <si>
    <t>MÊS 2</t>
  </si>
  <si>
    <t>MÊS 3</t>
  </si>
  <si>
    <t>MÊS 4</t>
  </si>
  <si>
    <t>MÊS 5</t>
  </si>
  <si>
    <t>MÊS 6</t>
  </si>
  <si>
    <t>MÊS 7</t>
  </si>
  <si>
    <t>MÊS 8</t>
  </si>
  <si>
    <t>MÊS 9</t>
  </si>
  <si>
    <t>MÊS 10</t>
  </si>
  <si>
    <t>MÊS 11</t>
  </si>
  <si>
    <t>MÊS 12</t>
  </si>
  <si>
    <t>MÊS 13</t>
  </si>
  <si>
    <t>MÊS 14</t>
  </si>
  <si>
    <t>MÊS 15</t>
  </si>
  <si>
    <t>MÊS 16</t>
  </si>
  <si>
    <t>MÊS 17</t>
  </si>
  <si>
    <t>MÊS 18</t>
  </si>
  <si>
    <t>MÊS 19</t>
  </si>
  <si>
    <t>MÊS 20</t>
  </si>
  <si>
    <t>MÊS 21</t>
  </si>
  <si>
    <t>MÊS 22</t>
  </si>
  <si>
    <t>MÊS 23</t>
  </si>
  <si>
    <t>MÊS 24</t>
  </si>
  <si>
    <t>Total parcela</t>
  </si>
  <si>
    <t>COD</t>
  </si>
  <si>
    <t>Benefício</t>
  </si>
  <si>
    <t>S + G</t>
  </si>
  <si>
    <t>Garantia/seguros</t>
  </si>
  <si>
    <t>Lucro</t>
  </si>
  <si>
    <t>Despesas Indiretas</t>
  </si>
  <si>
    <t>AC</t>
  </si>
  <si>
    <t>Administração central</t>
  </si>
  <si>
    <t>DF</t>
  </si>
  <si>
    <t>Despesas financeiras</t>
  </si>
  <si>
    <t>R</t>
  </si>
  <si>
    <t>Riscos</t>
  </si>
  <si>
    <t>I</t>
  </si>
  <si>
    <t>Impostos</t>
  </si>
  <si>
    <t>COFINS</t>
  </si>
  <si>
    <t>ISS</t>
  </si>
  <si>
    <t>PIS</t>
  </si>
  <si>
    <t>BDI = 17,57%</t>
  </si>
  <si>
    <t>(1+AC+S+R+G)*(1+DF)*(1+L)/(1-I)-1</t>
  </si>
  <si>
    <t>BDI = 10,07%</t>
  </si>
  <si>
    <t>PREFEITURA MUNICIPAL DO JABOATÃO DOS GUARARAPES</t>
  </si>
  <si>
    <t>SECRETARIA DE INFRAESTRUTURA - SEINFRA.</t>
  </si>
  <si>
    <t>SECRETARIA EXECUTIVA DE OBRAS</t>
  </si>
  <si>
    <t>MEMÓRIA DE CÁLCULO</t>
  </si>
  <si>
    <t>Local: Jaboatão dos Guararapes</t>
  </si>
  <si>
    <t>Município: Jaboatão dos Guararapes/PE</t>
  </si>
  <si>
    <t>Item</t>
  </si>
  <si>
    <t>Código</t>
  </si>
  <si>
    <t>Descrição</t>
  </si>
  <si>
    <t>Und</t>
  </si>
  <si>
    <t>Taxa</t>
  </si>
  <si>
    <t>Comp.</t>
  </si>
  <si>
    <t>Larg.</t>
  </si>
  <si>
    <t>Alt.</t>
  </si>
  <si>
    <t>QTDE</t>
  </si>
  <si>
    <t>Total</t>
  </si>
  <si>
    <t>COMPRIMENTO</t>
  </si>
  <si>
    <t>LARGURA</t>
  </si>
  <si>
    <t>QUANTIDADE DE PLACAS</t>
  </si>
  <si>
    <t>QUANTIDADE DE MESES</t>
  </si>
  <si>
    <t>3 meses de obra com 22 dias trabalhados e 2h por dia</t>
  </si>
  <si>
    <t xml:space="preserve">2 x 22 dias = 44 horas no mês </t>
  </si>
  <si>
    <t xml:space="preserve">1 mês tem 22 dias x 8 horas = 176 horas </t>
  </si>
  <si>
    <t>3 meses de obra com 22 dias trabalhados e 4h por dia</t>
  </si>
  <si>
    <t xml:space="preserve">4 horas x 22 dias = 88 horas no mês </t>
  </si>
  <si>
    <t>E0+ 5,33 A E6 + 12,12</t>
  </si>
  <si>
    <t>E8+ 5,23 A E13 + 10,17</t>
  </si>
  <si>
    <t>E14 + 16,62 A E22 + 13,49</t>
  </si>
  <si>
    <t>PROJETO: DEM_PLA_R MANOEL BENÍCIO_R00</t>
  </si>
  <si>
    <t>ESPESSURA</t>
  </si>
  <si>
    <t>ÁREA</t>
  </si>
  <si>
    <t>Passeio à demolir (quantidade de acordo com o quadro de especificações)</t>
  </si>
  <si>
    <t>EMPOLAMENTO</t>
  </si>
  <si>
    <t>VOLUME</t>
  </si>
  <si>
    <t>Passeio - Volume a ser demolido x empolamento</t>
  </si>
  <si>
    <t>Meio-fio - Volume a ser demolido x empolamento</t>
  </si>
  <si>
    <t>dmt - rua manoel benicio - prefeitura sede</t>
  </si>
  <si>
    <t>DMT</t>
  </si>
  <si>
    <t>V = Volume de carga  x DMT (2,30Km)</t>
  </si>
  <si>
    <t>Projeto: TER_ST_MC_NS_R MANOEL BENÍCIO</t>
  </si>
  <si>
    <t>Mapa de Cubagem</t>
  </si>
  <si>
    <t xml:space="preserve">Volume de carga e descarga = Volume escavado </t>
  </si>
  <si>
    <t>V = Volume de carga e descarga x 1,25 (empolamento)</t>
  </si>
  <si>
    <t>Projeto: GEO_PLA_DET_R MANOEL BENÍCIO_R00</t>
  </si>
  <si>
    <t>E21 + 2,84 A E22 + 13,49</t>
  </si>
  <si>
    <t>ÁREA DE INTERTRAVADO NA COR NATURAL</t>
  </si>
  <si>
    <t>ÁREA DE INTERTRAVADO NA COR VERMELHA</t>
  </si>
  <si>
    <t>E0+ 5,53 A E6 + 12,12 / E8+ 5,23 A E13 + 10,17 / E14 + 16,62 A E21 + 2,84</t>
  </si>
  <si>
    <t>Área Regularizada = Extensão da via x (Largura média da via + 1,00m)</t>
  </si>
  <si>
    <t>Volume = Área Regularizada comprimento x largura  x Espessura (0,40 m)</t>
  </si>
  <si>
    <t>Volume = Área Regularizada comprimento x largura  x Espessura (0,15 m)</t>
  </si>
  <si>
    <t>VOLUME DE BASE DE BRITA + MACADAME</t>
  </si>
  <si>
    <t>Base em Brita Graduada  X Empolamento (1,25)</t>
  </si>
  <si>
    <t>DMT - pedreira guarany - rua manoel benicio</t>
  </si>
  <si>
    <t>VOLUME DE CARGA</t>
  </si>
  <si>
    <t>Carga  X DMT (8,6Km)</t>
  </si>
  <si>
    <t>Área da Via em Bloco Intertravado na cor natural (De acordo com o quadro de especificações)</t>
  </si>
  <si>
    <t>Área da Via em Bloco Intertravado na cor vermelho (De acordo com o quadro de especificações)</t>
  </si>
  <si>
    <t>Área do Pavimento (De acordo com o quadro de quantitativo)</t>
  </si>
  <si>
    <t>Área do Pavimento de CBUQ</t>
  </si>
  <si>
    <t>Área da Imprimação  X Espessura (0,05m)</t>
  </si>
  <si>
    <t xml:space="preserve">Volume de CBUQ </t>
  </si>
  <si>
    <t>DMT - Mf engenharia - rua manoel benicio</t>
  </si>
  <si>
    <t>Volume de Carga X DMT (17,8 Km)</t>
  </si>
  <si>
    <t>Passeios em Concreto (retirado do quadro de especificações)</t>
  </si>
  <si>
    <t>desconto piso tátil</t>
  </si>
  <si>
    <t xml:space="preserve">Meio-Fio (Comprimento retirado do quadro de especificações) </t>
  </si>
  <si>
    <t xml:space="preserve">Recrava (Comprimento retirado do quadro de especificações) </t>
  </si>
  <si>
    <t xml:space="preserve">Alegrete de jardim (Comprimento retirado do quadro de especificações) </t>
  </si>
  <si>
    <t>E0+ 5,53 A E6 + 12,12 / E8+ 5,23 A E13 + 10,17 / E14 + 16,62 A E21 + 2,84 - trecho em cbuq x 2 lados</t>
  </si>
  <si>
    <t>QTD</t>
  </si>
  <si>
    <t>Quantidade retirada do projeto de especificações</t>
  </si>
  <si>
    <t>Projeto: DRE_PLA_DET_R MANOEL BENÍCIO_R00</t>
  </si>
  <si>
    <t>ALTURA</t>
  </si>
  <si>
    <t>Sarjetão: Comprimento X Largura (0,40m) X Profundidade (0,16-0,08m)</t>
  </si>
  <si>
    <t>Sarjetão: Comprimento X Largura X Espessura (0,05m)</t>
  </si>
  <si>
    <t>Sarjetão: Comprimento X Largura (0,40m) X Espessura (0,16-0,08m)</t>
  </si>
  <si>
    <t>1.1.6.3 + 1.1.6.2</t>
  </si>
  <si>
    <t>Sarjetão - comprimento x largura</t>
  </si>
  <si>
    <t>Projeto: ACS_PLA_DET_R MANOEL BENÍCIO_R00</t>
  </si>
  <si>
    <t>R-1: PARE (L = 0,35 m)</t>
  </si>
  <si>
    <t xml:space="preserve">R-19.3: (velocidade) Ø=0,50m </t>
  </si>
  <si>
    <t xml:space="preserve">A-32a: L=0,50m </t>
  </si>
  <si>
    <t xml:space="preserve">A-32b: L=0,50m </t>
  </si>
  <si>
    <t xml:space="preserve">R-6a : (prdoibido Estacionar) Ø=0,50m </t>
  </si>
  <si>
    <t xml:space="preserve">A-21c: L=0,50m </t>
  </si>
  <si>
    <t>De acordo com o quadro de especificações</t>
  </si>
  <si>
    <t>coeficiente do item sinapi 92399</t>
  </si>
  <si>
    <t>coeficiente</t>
  </si>
  <si>
    <t>coeficiente do item sinapi (95995) x volume (m³)</t>
  </si>
  <si>
    <t>coeficiente do item sinapi 96396</t>
  </si>
  <si>
    <t>coeficiente do item sicro 4011282</t>
  </si>
  <si>
    <t>coeficiente do item sinapi 94991</t>
  </si>
  <si>
    <t>2 meses de obra com 22 dias trabalhados e 1h por dia</t>
  </si>
  <si>
    <t xml:space="preserve">1 horas x 22 dias = 22 horas no mês </t>
  </si>
  <si>
    <t>2 meses de obra com 22 dias trabalhados e 4h por dia</t>
  </si>
  <si>
    <t>E0 + 3,19 A E5 + 10,10</t>
  </si>
  <si>
    <t>E5 + 15,08 A E11 + 12,31</t>
  </si>
  <si>
    <t>PROJETO: DEM_PLA_GOIANINHA_R00</t>
  </si>
  <si>
    <t>Meio-fio à demolir (quantidade de acordo com o quadro de especificações)</t>
  </si>
  <si>
    <t>dmt - rua goianinha - prefeitura sede</t>
  </si>
  <si>
    <t>V = Volume de carga  x DMT (5,80Km)</t>
  </si>
  <si>
    <t>Projeto: TER_ST_MC_NS_RUA GOIANINHA_R00</t>
  </si>
  <si>
    <t>Projeto: GEO_PLA_DET_GOIANINHA_R00</t>
  </si>
  <si>
    <t>E5 + 15,08 A E11 + 12,31 - CBUQ</t>
  </si>
  <si>
    <t>Volume = Área Regularizada comprimento x largura  x Espessura (0,25 m)</t>
  </si>
  <si>
    <t>Volume = Área Regularizada comprimento x largura  x Espessura (0,20 m)</t>
  </si>
  <si>
    <t>VOLUME DE BASE DE BRITA + MADAME</t>
  </si>
  <si>
    <t>DMT - pedreira guarany - rua goianinha</t>
  </si>
  <si>
    <t>Carga  X DMT (11,1Km)</t>
  </si>
  <si>
    <t>DMT - Mf engenharia - rua goianinha</t>
  </si>
  <si>
    <t>Volume de Carga X DMT (15,3 Km)</t>
  </si>
  <si>
    <t>Meio-Fio (Comprimento retirado do quadro de especificações) - trecho curvo</t>
  </si>
  <si>
    <t xml:space="preserve">Trecho curvo (Comprimento retirado do quadro de especificações) </t>
  </si>
  <si>
    <t>Trecho reto - um lado da via (Comprimento medido em projeto) - trecho curvo</t>
  </si>
  <si>
    <t xml:space="preserve">Trecho curvo (Comprimento medido em projeto) </t>
  </si>
  <si>
    <t>De acordo com o quadro de quantidade</t>
  </si>
  <si>
    <t>Projeto: DRE_PLA_DET_GOIANINHA_R00</t>
  </si>
  <si>
    <t xml:space="preserve">COMPRIMENTO </t>
  </si>
  <si>
    <t xml:space="preserve">1.2.6.2 + 1.2.6.4 </t>
  </si>
  <si>
    <t>Projeto: ACS_PLA_DET_GOIANINHA_R00</t>
  </si>
  <si>
    <t xml:space="preserve">R-6a : (proibido Estacionar) Ø=0,50m </t>
  </si>
  <si>
    <t xml:space="preserve">6 meses de obra </t>
  </si>
  <si>
    <t>6 meses de obra com 22 dias trabalhados e 1h por dia</t>
  </si>
  <si>
    <t>6 meses de obra com 22 dias trabalhados e 4h por dia</t>
  </si>
  <si>
    <t>E0 + 0,00 A E4 + 14,33</t>
  </si>
  <si>
    <t>E4 + 14,33 A E20 + 11,48</t>
  </si>
  <si>
    <t>E21 + 5,12 A E28 + 10,19</t>
  </si>
  <si>
    <t>E36 + 17,5 A E44 + 12,41</t>
  </si>
  <si>
    <t>PROJETO: DEM_PLA_R RENASCENÇA</t>
  </si>
  <si>
    <t xml:space="preserve">QUANTIDADE </t>
  </si>
  <si>
    <t>árvore (quantidade de acordo com o quadro de especificações)</t>
  </si>
  <si>
    <t>Canaleta a ser demolida (quantidade de acordo com o quadro de especificações)</t>
  </si>
  <si>
    <t>Meio fio à demolir (quantidade de acordo com o quadro de especificações)</t>
  </si>
  <si>
    <t>Canaleta - Volume a ser demolido x empolamento</t>
  </si>
  <si>
    <t>ÁREA DO CIRCULO</t>
  </si>
  <si>
    <t>dmt - rua renascença - prefeitura sede</t>
  </si>
  <si>
    <t>V = Volume de carga  x DMT (2,10Km)</t>
  </si>
  <si>
    <t>Projeto: TER_ST_MC_NS_R RENASCENÇA</t>
  </si>
  <si>
    <t>Mapa de Cubação</t>
  </si>
  <si>
    <t>Projeto: GEO_PLA_DET_R RENASCENÇA</t>
  </si>
  <si>
    <t>E0 + 0,00 A E4 + 14,33 e E36 + 17,49 A E44 + 12,41</t>
  </si>
  <si>
    <t>E4 + 14,33 A E20 + 11,48 e E21 + 5,12 A E28 + 10,19</t>
  </si>
  <si>
    <t>DESCONTO CANALETA</t>
  </si>
  <si>
    <t>VOLUME DE BGS + MACADAME</t>
  </si>
  <si>
    <t>DMT - pedreira guarany - rua renascença</t>
  </si>
  <si>
    <t>Carga  X DMT (7,10Km)</t>
  </si>
  <si>
    <t>Área da Via em Bloco Intertravado na cor vermelha (De acordo com o quadro de especificações)</t>
  </si>
  <si>
    <t>DMT - Mf engenharia - rua renascença</t>
  </si>
  <si>
    <t>Volume de Carga X DMT (16,3 Km)</t>
  </si>
  <si>
    <t>Desconto piso tátil</t>
  </si>
  <si>
    <t>Meio-Fio trecho curvo (Comprimento medido em projeto) - trecho curvo</t>
  </si>
  <si>
    <t xml:space="preserve">Sarjeta trecho reto (área retirado do quadro / 0,3) - trecho curvo </t>
  </si>
  <si>
    <t xml:space="preserve">Sarjeta trecho curvo (Comprimento medido em projeto) </t>
  </si>
  <si>
    <t>Projeto: DRE_PLA_DET_R RENASCENCA</t>
  </si>
  <si>
    <t>PROF</t>
  </si>
  <si>
    <t>Canaleta 0,60 x 0,40 m: Comprimento da Canaleta X (Largura da Canaleta (1,00m) + 0,60m) X Profundidade da Canaleta</t>
  </si>
  <si>
    <t>prof medida em projeto = 0,55</t>
  </si>
  <si>
    <t>Volume escavado</t>
  </si>
  <si>
    <t xml:space="preserve">Desconto - Comprimento da Canaleta X (Largura da Canaleta (1,00m)) X Profundidade </t>
  </si>
  <si>
    <t>VOL ESCAVADO - VOL REATERRO</t>
  </si>
  <si>
    <t>Volume Escavado - Reaterro X Empolamento (1,25)</t>
  </si>
  <si>
    <t>DMT - rua RENASCENÇA - pref sede</t>
  </si>
  <si>
    <t>Carga da Escavação X DMT (1,9Km)</t>
  </si>
  <si>
    <t>Canaleta: Comprimento X Largura X Espessura (0,10m)</t>
  </si>
  <si>
    <t>Canaleta - tampa : Comprimento X Largura X Espessura (0,15m)</t>
  </si>
  <si>
    <t>Canaleta 0,60m X 0,40m</t>
  </si>
  <si>
    <t>Desconto dos rasgos: Área dos rasgos x Espessura (0,15m) x (extensão da canaleta x qtd de rasgos/metro)</t>
  </si>
  <si>
    <t>EXTENSÃO</t>
  </si>
  <si>
    <t>KG/TAMPA</t>
  </si>
  <si>
    <t>Tampa da Canaleta: Taxa de aço por metro (retirado da prancha de detalhes) x Comprimento da canaleta</t>
  </si>
  <si>
    <t>PERIMETRO</t>
  </si>
  <si>
    <t>Perímetro da Tampa (4,00m) X Espessura (0,15m) X Comprimento da canaleta</t>
  </si>
  <si>
    <t>LADOS</t>
  </si>
  <si>
    <t>Extensão canaleta x Altura da Alvenaria (0,40m) x 2 lados</t>
  </si>
  <si>
    <t>Igual ao item anterior</t>
  </si>
  <si>
    <t>Canaleta</t>
  </si>
  <si>
    <t>Vol. dos furos do bloco.</t>
  </si>
  <si>
    <t>N° de blocos / m² de alvena.</t>
  </si>
  <si>
    <t>Área da alvenaria</t>
  </si>
  <si>
    <t xml:space="preserve">Volume = Volume dos furos dos Blocos X Número de Blocos por m² de alvenaria X Área da Alvenaria da Canaleta </t>
  </si>
  <si>
    <t>Projeto: ACS_PLA_DET_R RENASCENÇA</t>
  </si>
  <si>
    <t xml:space="preserve">A-32a: (faixa de pedestre) L=0,50m </t>
  </si>
  <si>
    <t xml:space="preserve">A-32B: L=0,50m </t>
  </si>
  <si>
    <t>Pintura dos triângulos - De acordo com o quadro de especificações</t>
  </si>
  <si>
    <t>coeficiente do item sinapi 92268</t>
  </si>
  <si>
    <t>5 meses de obra com 22 dias trabalhados e 1h por dia</t>
  </si>
  <si>
    <t>5 meses de obra com 22 dias trabalhados e 4h por dia</t>
  </si>
  <si>
    <t>E0 + 0,00 A E26 + 4,27</t>
  </si>
  <si>
    <t>Projeto: DEM_PLA_RUA MARACANA_R00</t>
  </si>
  <si>
    <t>dmt - rua maracana - prefeitura sede</t>
  </si>
  <si>
    <t>V = Volume de carga  x DMT (5,90Km)</t>
  </si>
  <si>
    <t>Projeto: TER_ST_MC_NS_RUA MARACANA</t>
  </si>
  <si>
    <t>dmt - rua maracanã - prefeitura sede</t>
  </si>
  <si>
    <t>V = Volume de carga  x DMT (7,5Km)</t>
  </si>
  <si>
    <t>Projeto: GEO_PLA_DET_RUA MARACANA_R00</t>
  </si>
  <si>
    <t>DESCONTO CANALETA 60X40</t>
  </si>
  <si>
    <t>DESCONTO CANALETA 80X50</t>
  </si>
  <si>
    <t>DMT - pedreira guarany - rua maracana</t>
  </si>
  <si>
    <t>Volume de Carga X DMT (7,4 Km)</t>
  </si>
  <si>
    <t xml:space="preserve">Meio-Fio trecho reto (Comprimento retirado do quadro de especificações) </t>
  </si>
  <si>
    <t>Recrava (Comprimento retirado do quadro de especificações)</t>
  </si>
  <si>
    <t>Projeto: DRE_PLA_DET_RUA MARACANA_R00</t>
  </si>
  <si>
    <t>profundidade tirando a partir do greide (verde)</t>
  </si>
  <si>
    <t>Canaleta 0,80 x 0,50 m: Comprimento da Canaleta X (Largura da Canaleta (1,20m) + 0,60m) X Profundidade da Canaleta</t>
  </si>
  <si>
    <t>VOL DE CARGA</t>
  </si>
  <si>
    <t>V = Volume de carga x DMT (7,5Km)</t>
  </si>
  <si>
    <t>Canaleta 0,80m X 0,50m</t>
  </si>
  <si>
    <t>Canaleta60x40: Comprimento X Largura X Espessura (0,10m)</t>
  </si>
  <si>
    <t>Canaleta80x50: Comprimento X Largura X Espessura (0,10m)</t>
  </si>
  <si>
    <t>Tampa da Canaleta 60x40 : Taxa de aço por metro (retirado da prancha de detalhes) x Comprimento da canaleta</t>
  </si>
  <si>
    <t>Tampa da Canaleta 80x50 : Taxa de aço por metro (retirado da prancha de detalhes) x Comprimento da canaleta</t>
  </si>
  <si>
    <t>PERÍMETRO</t>
  </si>
  <si>
    <t>COMP</t>
  </si>
  <si>
    <t>Canaleta 60x40: Perímetro da Tampa (4,00m) X Espessura (0,15m) X Comprimento da canaleta</t>
  </si>
  <si>
    <t>Canaleta 80x50: Perímetro da Tampa (4,80m) X Espessura (0,15m) X Comprimento da canaleta</t>
  </si>
  <si>
    <t>Extensão canaleta x Altura da Alvenaria (0,50m) x 2 lados</t>
  </si>
  <si>
    <t>Canaleta 60x40</t>
  </si>
  <si>
    <t>1.12.6.6 + 1.12.6.8 + 1.12.6.14</t>
  </si>
  <si>
    <t>Projeto: ACS_PLA_DET_RUA MARACANA_R00</t>
  </si>
  <si>
    <t>3 meses de obra com 22 dias trabalhados e 1h por dia</t>
  </si>
  <si>
    <t>3meses de obra com 22 dias trabalhados e 3h por dia</t>
  </si>
  <si>
    <t xml:space="preserve">3 horas x 22 dias = 66 horas no mês </t>
  </si>
  <si>
    <t>E0 + 2,81 A E3 + 14,30</t>
  </si>
  <si>
    <t>E3 + 14,3 A 12 + 9,77</t>
  </si>
  <si>
    <t>Projeto: DEM_PLA_RUA MARANDAME_R01</t>
  </si>
  <si>
    <t>dmt - rua marandane - prefeitura sede</t>
  </si>
  <si>
    <t>V = Volume de carga  x DMT (7,90Km)</t>
  </si>
  <si>
    <t>Projeto: TER_ST_MC_NS_ R MARANDANE</t>
  </si>
  <si>
    <t>V = Volume de carga  x DMT (7,9Km)</t>
  </si>
  <si>
    <t>Projeto: GEO_PLA_DET_RUA MARANDAME_R00</t>
  </si>
  <si>
    <t>DMT - pedreira guarany - rua marandane</t>
  </si>
  <si>
    <t>Volume de Carga X DMT (5,6 Km)</t>
  </si>
  <si>
    <t>DMT - Mf engenharia - rua marandane</t>
  </si>
  <si>
    <t>Volume de Carga X DMT (18,4 Km)</t>
  </si>
  <si>
    <t>Meio-Fio trecho curvo (Comprimento medido em projeto)</t>
  </si>
  <si>
    <t>Sarjeta um lado da via (Comprimento retirado do quadro / 0,3) - trecho curvo</t>
  </si>
  <si>
    <t>Sarjeta - um lado da via (Comprimento medido em projeto)</t>
  </si>
  <si>
    <t>Projeto: DRE_PLA_DET_RUA MARANDAME_R00</t>
  </si>
  <si>
    <t>QTD DE TAMPA/ CAIXA</t>
  </si>
  <si>
    <t>tampa : Comprimento X Largura X Espessura (0,15m)</t>
  </si>
  <si>
    <t>QTD DE RASGO/TAMPA</t>
  </si>
  <si>
    <t>QTD DE TAMPA</t>
  </si>
  <si>
    <t>Desconto dos rasgos: Área dos rasgos x Espessura (0,15m) x (qtd de rasgos/TAMPA)</t>
  </si>
  <si>
    <t>Tubo 450mm</t>
  </si>
  <si>
    <t>DIAMETRO DO TUBO</t>
  </si>
  <si>
    <t>PROFUNDIDADE</t>
  </si>
  <si>
    <t>profundidade medida a partir do greide (verde)</t>
  </si>
  <si>
    <r>
      <t xml:space="preserve">Tubo de </t>
    </r>
    <r>
      <rPr>
        <sz val="11"/>
        <rFont val="Arial"/>
        <family val="2"/>
      </rPr>
      <t xml:space="preserve">Ø = 450mm = </t>
    </r>
    <r>
      <rPr>
        <i/>
        <sz val="11"/>
        <rFont val="Arial"/>
        <family val="2"/>
      </rPr>
      <t xml:space="preserve">(Diâmetro do tubo (0,45m) + 0,30 m) X (Extensão do tubo no projeto) X Profundidade </t>
    </r>
  </si>
  <si>
    <t>prof media do tubo - (0,9+2+1,1)/3 - 1,33</t>
  </si>
  <si>
    <t xml:space="preserve">POÇO DE VISITA COM TAMPA COM GRELHA </t>
  </si>
  <si>
    <t>QTD DE PVS</t>
  </si>
  <si>
    <t>(Comprimento do PV (1,40m) + 0,60 m) X (Largura do PV (1,40m) + 0,6) X (Profundidade média do PV - camada do pavimento) X Quantidade de PV's</t>
  </si>
  <si>
    <t>prof media do tubo - (0,9+1,5+2,15)/3 - 1,5</t>
  </si>
  <si>
    <t>Volume de Reaterro (Tubo Ø = 450mm) = Volume Escavado - Volume da Tubulação</t>
  </si>
  <si>
    <t>Volume Escavado</t>
  </si>
  <si>
    <t>Desconto do  Volume da Tubulação de Ø = 450mm = Comprimento da Tubulação X Área da Seção do Tubo</t>
  </si>
  <si>
    <t>Volume de Reaterro = Volume Escavado - Volume PV</t>
  </si>
  <si>
    <t>Desconto do PV - (Comprimento do Pv (1,40m) m) X (Largura Pv (1,40m)) X Profundidade Pv  X Quantidade de BLS</t>
  </si>
  <si>
    <t>V = Volume de carga x DMT (7,9Km)</t>
  </si>
  <si>
    <t>POÇO DE VISITA COM TAMPA COM GRELHA</t>
  </si>
  <si>
    <t>Quantidade de PV retirada do Projeto de Drenagem</t>
  </si>
  <si>
    <t xml:space="preserve">PERIMETRO </t>
  </si>
  <si>
    <t>Forma da tampa do poço de visita</t>
  </si>
  <si>
    <t>KG/PLACA</t>
  </si>
  <si>
    <t>Aço da tampa do poço de visita</t>
  </si>
  <si>
    <t>1.13.6.2 + 1.13.6.9</t>
  </si>
  <si>
    <t>Quantidade retirada do Projeto de Drenagem</t>
  </si>
  <si>
    <t>Projeto: ACS_PLA_DET_RUA MARANDAME_R00</t>
  </si>
  <si>
    <t>3 meses de obra com 22 dias trabalhados e 3h por dia</t>
  </si>
  <si>
    <t>E0 A E19 + 14,19</t>
  </si>
  <si>
    <t>Projeto: DEM_PLA_R NOVA VIDA_R00</t>
  </si>
  <si>
    <t>Piso cimentado a demolir (quantidade de acordo com o quadro de especificações)</t>
  </si>
  <si>
    <t>Piso cimentado - Volume a ser demolido x empolamento</t>
  </si>
  <si>
    <t>dmt - rua nova vida - prefeitura sede</t>
  </si>
  <si>
    <t>V = Volume de carga  x DMT (2,0Km)</t>
  </si>
  <si>
    <t>Projeto: TER_ST_MC_NS_R_ NOVA VIDA</t>
  </si>
  <si>
    <t>Projeto: GEO_R NOVA VIDA</t>
  </si>
  <si>
    <t>DMT - pedreira guarany - rua nova vida</t>
  </si>
  <si>
    <t>Volume de Carga X DMT (7,6 Km)</t>
  </si>
  <si>
    <t>Projeto: DRE_PLA_R NOVA VIDA</t>
  </si>
  <si>
    <t>1.16.6.2 + 1.16.6.3</t>
  </si>
  <si>
    <t>Projeto: ACS_R NOVA VIDA</t>
  </si>
  <si>
    <t>E0 A E13+2,74 (+ 123,67)</t>
  </si>
  <si>
    <t>PROJETO: DEM_PLA_R VALMIRO PAULO DA SILVA</t>
  </si>
  <si>
    <t>Passeio a demolir (quantidade de acordo com o quadro de especificações)</t>
  </si>
  <si>
    <t>dmt - rua valmiro paulo da silva - prefeitura sede</t>
  </si>
  <si>
    <t>V = Volume de carga  x DMT (9,30 Km)</t>
  </si>
  <si>
    <t>Projeto: TER_ST_MC_NS_RUA VALMIRO DE PAULO</t>
  </si>
  <si>
    <t>Projeto: GEO_PLA_DET_R VALMIRO PAULO DA SILVA</t>
  </si>
  <si>
    <t>DESCONTO TAMPA DA CANALETA</t>
  </si>
  <si>
    <t>DMT - pedreira guarany - rua valmiro paulo da silva</t>
  </si>
  <si>
    <t>Volume de Carga X DMT (14,6 Km)</t>
  </si>
  <si>
    <t>Projeto: DRE_PLA_DET_RUA VALMIRO PAULO DA SILVA</t>
  </si>
  <si>
    <t>tampa para canaleta</t>
  </si>
  <si>
    <t>profundidade - peguei o tamanho da canaleta e descontei as camadas do pavimento</t>
  </si>
  <si>
    <t>Volume de Reaterro = Volume Escavado - Volume da Canaletam</t>
  </si>
  <si>
    <t>1.18.6.1 + 1.18.6.6 + 1.18.6.12</t>
  </si>
  <si>
    <t>Projeto: ACS_PLA_DET_R VALMIRO P SILVA</t>
  </si>
  <si>
    <t>4 meses de obra com 22 dias trabalhados e 1h por dia</t>
  </si>
  <si>
    <t>4 meses de obra com 22 dias trabalhados e 4h por dia</t>
  </si>
  <si>
    <t>E0 + 0,00 A E20 + 13,1</t>
  </si>
  <si>
    <t>Projeto: DEM_R MOEDA DE BRONZE</t>
  </si>
  <si>
    <t>dmt - rua moeda de bronze - prefeitura sede</t>
  </si>
  <si>
    <t>V = Volume de carga  x DMT (6,70Km)</t>
  </si>
  <si>
    <t>Projeto: TER_ST_MC_NS_RUA MOEDA DE BRONZE_R00</t>
  </si>
  <si>
    <t>V = Volume de carga  x DMT (17Km)</t>
  </si>
  <si>
    <t>Projeto: GEO_R MOEDA DE BRONZE_R00</t>
  </si>
  <si>
    <t>DMT - pedreira guarany - rua moeda de bronze</t>
  </si>
  <si>
    <t>Volume de Carga X DMT (13,5 Km)</t>
  </si>
  <si>
    <t xml:space="preserve">Meio - fio trecho curvo (Comprimento retirado do quadro de especificações) </t>
  </si>
  <si>
    <t>Projeto: DRE_R MOEDA DE BRONZE_R00</t>
  </si>
  <si>
    <t>Caixa de Passagem 1,00 x 1,00</t>
  </si>
  <si>
    <t>(Comprimento da caixa de passagem (1,40m) + 0,60 m) X (Largura do PV (1,40m + 0,6)) X (Profundidade média do PV - camada do pavimento + concreto magro) X Quantidade de PV's</t>
  </si>
  <si>
    <t>Tubos</t>
  </si>
  <si>
    <r>
      <t xml:space="preserve">Tubo de </t>
    </r>
    <r>
      <rPr>
        <sz val="11"/>
        <rFont val="Arial"/>
        <family val="2"/>
      </rPr>
      <t xml:space="preserve">Ø = 600mm = </t>
    </r>
    <r>
      <rPr>
        <i/>
        <sz val="11"/>
        <rFont val="Arial"/>
        <family val="2"/>
      </rPr>
      <t xml:space="preserve">(Diâmetro do tubo (0,60m) + 0,30 m) X (Extensão do tubo no projeto) X Profundidade </t>
    </r>
  </si>
  <si>
    <t>considerei a mesma profundida da CAIXA DE PASSAGEM</t>
  </si>
  <si>
    <t>Volume de Reaterro = Volume Escavado - Volume da Caixa de passagem</t>
  </si>
  <si>
    <t xml:space="preserve">Desconto caixa de passagem - Comprimento X Largura X Profundidade </t>
  </si>
  <si>
    <t>Volume de Reaterro (Tubo Ø = 600mm) = Volume Escavado - Volume da Tubulação</t>
  </si>
  <si>
    <t>Desconto do  Volume da Tubulação de Ø = 600mm = Comprimento da Tubulação X Área da Seção do Tubo</t>
  </si>
  <si>
    <t>CAIXA DE PASSAGEM - TAMPA</t>
  </si>
  <si>
    <t>QTD DE TAMPA/CAIXA</t>
  </si>
  <si>
    <t>tampa : Comprimento X Largura X Espessura (0,20m)</t>
  </si>
  <si>
    <t>Desconto dos rasgos: Área dos rasgos x Espessura (0,20m) x (qtd de rasgos/TAMPA)</t>
  </si>
  <si>
    <t>Caixa de passagem: Comprimento X Largura X Espessura (0,10m)</t>
  </si>
  <si>
    <t>De acordo com o quadro de quantidades</t>
  </si>
  <si>
    <t>AÇO DA TAMPA DA CAIXA DE PASSAGEM</t>
  </si>
  <si>
    <t>CAIXA DE PASSAGEM</t>
  </si>
  <si>
    <t>QTD DE CAIXA</t>
  </si>
  <si>
    <t>Perímetro da Tampa X Espessura (0,20m) X QTD</t>
  </si>
  <si>
    <t>N° de blocos / PV.</t>
  </si>
  <si>
    <t>Caixa de passagem</t>
  </si>
  <si>
    <t xml:space="preserve"> 1.25.6.8 + 1.25.6.10 + 1.25.6.17</t>
  </si>
  <si>
    <t>Projeto: ACS_R MOEDA DE BRONZE_R00</t>
  </si>
  <si>
    <t>E0 + 10,25 A E16 + 9,37</t>
  </si>
  <si>
    <t>Projeto: DEM_PLA_R RECIFE_R00</t>
  </si>
  <si>
    <t>Tubo de concreto à demolir (quantidade de acordo com o quadro de especificações)</t>
  </si>
  <si>
    <t>ÁREA DA SEÇÃO</t>
  </si>
  <si>
    <t>Tubo de concreto - Volume a ser demolido x empolamento</t>
  </si>
  <si>
    <t>dmt - rua recife - prefeitura sede</t>
  </si>
  <si>
    <t>V = Volume de carga  x DMT (15,3Km)</t>
  </si>
  <si>
    <t>Projeto: TER_ST_MC_NS_RUA  RECIFE_FLORIANO_R00</t>
  </si>
  <si>
    <t>Projeto: GEO_PLA_DET_R RECIFE_R00</t>
  </si>
  <si>
    <t>dmt - pedreira guarany - rua recife</t>
  </si>
  <si>
    <t>V = Volume de carga  x DMT (14,9Km)</t>
  </si>
  <si>
    <t>Projeto: DRE_PLA_DET_R RECIFE_R00</t>
  </si>
  <si>
    <t>1.28.6.3 + 1.28.6.2</t>
  </si>
  <si>
    <t>prof media medida em projeto - 0,8 + 0,9 + 1 +1,2 + 1,3 + 1,45/6 = 1,1</t>
  </si>
  <si>
    <t>prof media medida em projeto - 0,8 + 0,85 + 0,98 + 1,15 + 1,2 + 1,5 + 1,6 + 1,7/6 = 1,63</t>
  </si>
  <si>
    <t>Volume de Reaterro = Volume Escavado - Volume PV com grelha</t>
  </si>
  <si>
    <t>V = Volume de carga x DMT (1,6Km)</t>
  </si>
  <si>
    <t>Projeto: DRE_PLA_TV DA_MANGUEIRA</t>
  </si>
  <si>
    <t>Projeto: ACS_PLA_R RECIFE_R00</t>
  </si>
  <si>
    <t>MAPA DE CUBAGEM</t>
  </si>
  <si>
    <t>MURO 01 - H=2,00 M</t>
  </si>
  <si>
    <t>MURO 02 - H=2,00 M</t>
  </si>
  <si>
    <t>empolamento</t>
  </si>
  <si>
    <t>DMT obra</t>
  </si>
  <si>
    <t>Escavação x empolamento x DMT obra</t>
  </si>
  <si>
    <t>(escavação - reaterro) x empolamento</t>
  </si>
  <si>
    <t>carga manual x DMT Prefeitura sede</t>
  </si>
  <si>
    <t>dmt obra</t>
  </si>
  <si>
    <t>Brita do dreno x empolamento x DMT obra</t>
  </si>
  <si>
    <t>Areia do dreno x empolamento x DMT obra</t>
  </si>
  <si>
    <t>Lastro de concreto magro x DMT obra</t>
  </si>
  <si>
    <t>Volume de pedra x empolamento x DMT obra</t>
  </si>
  <si>
    <t>V = Comprimento do muro x vol de pedra quadro proj</t>
  </si>
  <si>
    <t>DMT Pedreira Guarany</t>
  </si>
  <si>
    <t>Volume de brita x DMT Pedreira Guarany x empolamento</t>
  </si>
  <si>
    <t>V = Comprimento do muro x largura da camada x altura do muro</t>
  </si>
  <si>
    <t>ESP</t>
  </si>
  <si>
    <t>ALT</t>
  </si>
  <si>
    <t>Área do bidim</t>
  </si>
  <si>
    <r>
      <t xml:space="preserve">A=Quantidade de tubos x (Área do bidim = Π.d2/4 + Π.d.(transpasse) -&gt; [3,1415x(0,100²2)] / {4+[3,1415x(0,100x0,150)]} = </t>
    </r>
    <r>
      <rPr>
        <i/>
        <u/>
        <sz val="10"/>
        <rFont val="Arial"/>
        <family val="2"/>
      </rPr>
      <t>0,0550</t>
    </r>
    <r>
      <rPr>
        <i/>
        <sz val="10"/>
        <rFont val="Arial"/>
        <family val="2"/>
      </rPr>
      <t>)</t>
    </r>
  </si>
  <si>
    <t>E = (bo+b1)/2 x (Comprimento do muro/2) x Quantidade de tubos na seção</t>
  </si>
  <si>
    <t>Q = (Comprimento do muro/2) x Quantidade de tubos na seção</t>
  </si>
  <si>
    <t>V = Comprimento do muro x (largura da base+0,10) x espessura do lastro</t>
  </si>
  <si>
    <t>Volume de pedra x empolamento x DMT Pedreira Guarany</t>
  </si>
  <si>
    <t>Q = (Extensão / 6) x perímetro</t>
  </si>
  <si>
    <t>Projeto: CONT_PLA_R_RECIFE</t>
  </si>
  <si>
    <t>DIFERENÇA ENTRE ATERRO E CORTE</t>
  </si>
  <si>
    <t xml:space="preserve">1 x 22 dias = 22 horas no mês </t>
  </si>
  <si>
    <t>Projeto: REQUALIFICAÇÃO CALÇADAS_R.04</t>
  </si>
  <si>
    <t>Passeios em concreto à demolir sem aproveitamento (de acordo com o quadro de especificações)</t>
  </si>
  <si>
    <t>Passeios em intertravado à demolir sem aproveitamento (de acordo com o quadro de especificações)</t>
  </si>
  <si>
    <t>Meio fio à demolir sem aproveitamento (de acordo com o quadro de especificações)</t>
  </si>
  <si>
    <t>Demolição de calçada e pavimentos diversos - Volume a ser demolido x empolamento</t>
  </si>
  <si>
    <t>Paver natural e grafite</t>
  </si>
  <si>
    <t>Área da Via em Bloco Intertravado na cor grafite(De acordo com o quadro de especificações)</t>
  </si>
  <si>
    <t>Área da Via em Bloco Intertravado na cor vermelha(De acordo com o quadro de especificações)</t>
  </si>
  <si>
    <t>Piso em Concreto (retirado do quadro de especificações)</t>
  </si>
  <si>
    <t>Piso Podotátil (retirado do quadro de especificações)</t>
  </si>
  <si>
    <t>Recravas</t>
  </si>
  <si>
    <t>Meio-fio</t>
  </si>
  <si>
    <t>MAPA DE COTAÇÕES - CADASTRO DE FORNECEDORES</t>
  </si>
  <si>
    <t>Fornecedor</t>
  </si>
  <si>
    <t>Razão Social</t>
  </si>
  <si>
    <t>CNPJ</t>
  </si>
  <si>
    <t>Nome do Contato:</t>
  </si>
  <si>
    <t>Telefone 1</t>
  </si>
  <si>
    <t>Telefone 2</t>
  </si>
  <si>
    <t>Email/Website</t>
  </si>
  <si>
    <t>F.01</t>
  </si>
  <si>
    <t>TERPAV ENGENHARIA LTDA</t>
  </si>
  <si>
    <t>19.993.011/0001-48</t>
  </si>
  <si>
    <t>Fernando Odilon</t>
  </si>
  <si>
    <t>(81) 9.8501-4732</t>
  </si>
  <si>
    <t>F.02</t>
  </si>
  <si>
    <t>BRASILAR COMÉRCIO, INDÚSTRIA E SERVIÇOS DE CONSTRUÇÃO LTDA</t>
  </si>
  <si>
    <t>02.173.244/0001-00</t>
  </si>
  <si>
    <t>(81) 3429-2902</t>
  </si>
  <si>
    <t>F.03</t>
  </si>
  <si>
    <t>SÓPEDRA TRANSPORTE COMÉRCIO E CONSTRUÇÃO LTDA</t>
  </si>
  <si>
    <t>07.305.450/0001-31</t>
  </si>
  <si>
    <t>(81) 9.9961-1833</t>
  </si>
  <si>
    <t>sopedralima@hotmail.com</t>
  </si>
  <si>
    <t>MAPA DE COTAÇÕES - PREÇOS</t>
  </si>
  <si>
    <t>MENOR</t>
  </si>
  <si>
    <t>Fornecedores</t>
  </si>
  <si>
    <t>Fornecedor A</t>
  </si>
  <si>
    <t>Fornecedor B</t>
  </si>
  <si>
    <t>Fornecedor C</t>
  </si>
  <si>
    <t>COTAÇÃO 01</t>
  </si>
  <si>
    <t>PARALELEPÍPEDO GRANÍTICO OU BASÁLTICO, PARA PAVIMENTAÇÃO</t>
  </si>
  <si>
    <t>MIL</t>
  </si>
  <si>
    <t>Razão Social:</t>
  </si>
  <si>
    <t>CNPJ:</t>
  </si>
  <si>
    <t>Data do Contato:</t>
  </si>
  <si>
    <t>30/02/2019</t>
  </si>
  <si>
    <t>29/02/2019</t>
  </si>
  <si>
    <t>Telefone:</t>
  </si>
  <si>
    <t>Preço Produto:</t>
  </si>
  <si>
    <t xml:space="preserve">Frete </t>
  </si>
  <si>
    <t>Preço total:</t>
  </si>
  <si>
    <t>Litoral banheiros quimicos</t>
  </si>
  <si>
    <t>11.761.604/0001-77</t>
  </si>
  <si>
    <t xml:space="preserve">(81) 99812-5679 </t>
  </si>
  <si>
    <t xml:space="preserve"> (81) 3083-1372    </t>
  </si>
  <si>
    <t xml:space="preserve">litoralbanheirosquimicos@gmail.com </t>
  </si>
  <si>
    <t>LIMPEX</t>
  </si>
  <si>
    <t xml:space="preserve">Brisa Luanna </t>
  </si>
  <si>
    <t>(81) 3251-0850</t>
  </si>
  <si>
    <t>contato@limpexsolucoesambientais.com.br</t>
  </si>
  <si>
    <t>BW LOCAÇÕES</t>
  </si>
  <si>
    <t>03.609.5070001-35</t>
  </si>
  <si>
    <t>Luiz Bezerra</t>
  </si>
  <si>
    <t>(81) 3339-1469</t>
  </si>
  <si>
    <t>(81) 3339-0354</t>
  </si>
  <si>
    <t>bwlocacoes@gmail.com</t>
  </si>
  <si>
    <t>COTAÇÃO 1</t>
  </si>
  <si>
    <t>Limpex</t>
  </si>
  <si>
    <t>11.356.463/0001-07</t>
  </si>
  <si>
    <t>IANA</t>
  </si>
  <si>
    <t>81 - 3251-0850</t>
  </si>
  <si>
    <t>Frete e limpeza incluso</t>
  </si>
  <si>
    <t xml:space="preserve"> ASFALTO DILUÍDO CM - 30 - JUNHO/22</t>
  </si>
  <si>
    <t>SBC - RECIFE - JULHO/22</t>
  </si>
  <si>
    <t>EMOPE - JUNHO/22</t>
  </si>
  <si>
    <t>ANP -JUNHO/22</t>
  </si>
  <si>
    <t>CODIGO - I000089</t>
  </si>
  <si>
    <t>CODIGO - 14603</t>
  </si>
  <si>
    <t>Contato:</t>
  </si>
  <si>
    <t>Frete:</t>
  </si>
  <si>
    <t>Preço Total:</t>
  </si>
  <si>
    <t>MEGA MINERAÇÃO</t>
  </si>
  <si>
    <t>PEDREIRA GUARANY</t>
  </si>
  <si>
    <t>POLIMIX AGREGADOS</t>
  </si>
  <si>
    <t>28.952.592/0001-60</t>
  </si>
  <si>
    <t>11.502.366/0002-66</t>
  </si>
  <si>
    <t>29.067.113/0001-96</t>
  </si>
  <si>
    <t>SECRETARIA EXECUTIVA DE SERVIÇOS URBANOS E MANUTENÇÃO - SEMAN</t>
  </si>
  <si>
    <t>GERÊNCIA DE MANUTENÇÃO - GEMAN</t>
  </si>
  <si>
    <r>
      <t xml:space="preserve">MUNICÍPIO:  </t>
    </r>
    <r>
      <rPr>
        <sz val="11"/>
        <rFont val="Arial"/>
        <family val="2"/>
      </rPr>
      <t>Jaboatão dos Guararapes</t>
    </r>
  </si>
  <si>
    <t>CURVA ABC - NÃO DESONERADA - ADM</t>
  </si>
  <si>
    <r>
      <rPr>
        <b/>
        <sz val="11"/>
        <rFont val="Arial"/>
        <family val="2"/>
      </rPr>
      <t>CÓDIGO</t>
    </r>
  </si>
  <si>
    <r>
      <rPr>
        <b/>
        <sz val="11"/>
        <rFont val="Arial"/>
        <family val="2"/>
      </rPr>
      <t>DESCRIÇÃO</t>
    </r>
  </si>
  <si>
    <r>
      <rPr>
        <b/>
        <sz val="11"/>
        <rFont val="Arial"/>
        <family val="2"/>
      </rPr>
      <t>FONTE</t>
    </r>
  </si>
  <si>
    <r>
      <rPr>
        <b/>
        <sz val="11"/>
        <rFont val="Arial"/>
        <family val="2"/>
      </rPr>
      <t>TIPO</t>
    </r>
  </si>
  <si>
    <r>
      <rPr>
        <b/>
        <sz val="11"/>
        <rFont val="Arial"/>
        <family val="2"/>
      </rPr>
      <t>UNIDADE</t>
    </r>
  </si>
  <si>
    <r>
      <rPr>
        <b/>
        <sz val="11"/>
        <rFont val="Arial"/>
        <family val="2"/>
      </rPr>
      <t>QUANTIDADE</t>
    </r>
  </si>
  <si>
    <r>
      <rPr>
        <b/>
        <sz val="11"/>
        <rFont val="Arial"/>
        <family val="2"/>
      </rPr>
      <t>PREÇO UNITÁRIO</t>
    </r>
  </si>
  <si>
    <r>
      <rPr>
        <b/>
        <sz val="11"/>
        <rFont val="Arial"/>
        <family val="2"/>
      </rPr>
      <t>PREÇO TOTAL</t>
    </r>
  </si>
  <si>
    <r>
      <rPr>
        <b/>
        <sz val="11"/>
        <rFont val="Arial"/>
        <family val="2"/>
      </rPr>
      <t>%</t>
    </r>
  </si>
  <si>
    <r>
      <rPr>
        <b/>
        <sz val="11"/>
        <rFont val="Arial"/>
        <family val="2"/>
      </rPr>
      <t>ACUMUL. %</t>
    </r>
  </si>
  <si>
    <r>
      <rPr>
        <b/>
        <sz val="11"/>
        <rFont val="Arial"/>
        <family val="2"/>
      </rPr>
      <t>CL</t>
    </r>
  </si>
  <si>
    <t>Total até 100,00%</t>
  </si>
  <si>
    <t>OBJETO: Pavimentação e Drenagem, Recapeamento, Contenção de Encostas, Adequação de vias, Ciclofaixa, Pontes e Travessias em desnivel, Demolição E Remoção de Pavimentos em diversos bairros - LOTE 1 - NÃO DESONERADO_R05</t>
  </si>
  <si>
    <t>Subtotal até 123,88%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</si>
</sst>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000000"/>
    <numFmt numFmtId="165" formatCode="#,##0.0000"/>
    <numFmt numFmtId="166" formatCode="#,##0.00%"/>
    <numFmt numFmtId="167" formatCode="#,##0.00\'\ %\'"/>
    <numFmt numFmtId="168" formatCode="_(* #,##0.00_);_(* \(#,##0.00\);_(* &quot;-&quot;??_);_(@_)"/>
    <numFmt numFmtId="169" formatCode="_(* #,##0.000_);_(* \(#,##0.000\);_(* &quot;-&quot;??_);_(@_)"/>
    <numFmt numFmtId="170" formatCode="#,##0.000000"/>
    <numFmt numFmtId="171" formatCode="[$R$-416]&quot; &quot;#,##0.00;[Red]&quot;-&quot;[$R$-416]&quot; &quot;#,##0.00"/>
  </numFmts>
  <fonts count="44">
    <font>
      <sz val="11"/>
      <color theme="1"/>
      <name val="Calibri"/>
      <family val="2"/>
      <scheme val="minor"/>
    </font>
    <font>
      <sz val="9"/>
      <color rgb="FF000000"/>
      <name val="SansSerif"/>
      <family val="2"/>
    </font>
    <font>
      <b/>
      <sz val="7"/>
      <color rgb="FF000000"/>
      <name val="Arial"/>
      <family val="2"/>
    </font>
    <font>
      <b/>
      <sz val="9"/>
      <color rgb="FF000000"/>
      <name val="Arial"/>
      <family val="2"/>
    </font>
    <font>
      <sz val="11"/>
      <color theme="1"/>
      <name val="Calibri"/>
      <family val="2"/>
      <scheme val="minor"/>
    </font>
    <font>
      <sz val="10"/>
      <name val="Arial"/>
      <family val="2"/>
    </font>
    <font>
      <b/>
      <sz val="10"/>
      <name val="Arial"/>
      <family val="2"/>
    </font>
    <font>
      <sz val="10"/>
      <color theme="0" tint="-0.249977111117893"/>
      <name val="Calibri"/>
      <family val="2"/>
      <scheme val="minor"/>
    </font>
    <font>
      <sz val="10"/>
      <color theme="1"/>
      <name val="Calibri"/>
      <family val="2"/>
      <scheme val="minor"/>
    </font>
    <font>
      <b/>
      <sz val="10"/>
      <color theme="0" tint="-0.249977111117893"/>
      <name val="Arial"/>
      <family val="2"/>
    </font>
    <font>
      <b/>
      <sz val="10"/>
      <color theme="1"/>
      <name val="Arial"/>
      <family val="2"/>
    </font>
    <font>
      <b/>
      <sz val="10"/>
      <color rgb="FF000000"/>
      <name val="Arial"/>
      <family val="2"/>
    </font>
    <font>
      <sz val="10"/>
      <color theme="1"/>
      <name val="Arial"/>
      <family val="2"/>
    </font>
    <font>
      <i/>
      <sz val="10"/>
      <name val="Arial"/>
      <family val="2"/>
    </font>
    <font>
      <sz val="10"/>
      <color rgb="FF000000"/>
      <name val="Arial"/>
      <family val="2"/>
    </font>
    <font>
      <sz val="10"/>
      <color rgb="FFFF0000"/>
      <name val="Calibri"/>
      <family val="2"/>
      <scheme val="minor"/>
    </font>
    <font>
      <sz val="11"/>
      <name val="Arial"/>
      <family val="2"/>
    </font>
    <font>
      <sz val="11"/>
      <color theme="1"/>
      <name val="Arial"/>
      <family val="2"/>
    </font>
    <font>
      <sz val="11"/>
      <color rgb="FF212529"/>
      <name val="Source Sans Pro"/>
      <family val="2"/>
    </font>
    <font>
      <i/>
      <sz val="10"/>
      <color rgb="FF000000"/>
      <name val="Arial"/>
      <family val="2"/>
    </font>
    <font>
      <i/>
      <sz val="11"/>
      <name val="Arial"/>
      <family val="2"/>
    </font>
    <font>
      <b/>
      <i/>
      <sz val="10"/>
      <name val="Arial"/>
      <family val="2"/>
    </font>
    <font>
      <sz val="11"/>
      <name val="Times New Roman"/>
      <family val="1"/>
    </font>
    <font>
      <b/>
      <sz val="9"/>
      <name val="Arial"/>
      <family val="2"/>
    </font>
    <font>
      <i/>
      <u/>
      <sz val="10"/>
      <name val="Arial"/>
      <family val="2"/>
    </font>
    <font>
      <b/>
      <sz val="9"/>
      <color indexed="81"/>
      <name val="Segoe UI"/>
      <charset val="1"/>
    </font>
    <font>
      <sz val="9"/>
      <color indexed="81"/>
      <name val="Segoe UI"/>
      <charset val="1"/>
    </font>
    <font>
      <u/>
      <sz val="11"/>
      <color theme="10"/>
      <name val="Calibri"/>
      <family val="2"/>
      <scheme val="minor"/>
    </font>
    <font>
      <sz val="12"/>
      <name val="Times New Roman"/>
      <family val="1"/>
    </font>
    <font>
      <b/>
      <sz val="12"/>
      <name val="Times New Roman"/>
      <family val="1"/>
    </font>
    <font>
      <sz val="11"/>
      <color rgb="FF000000"/>
      <name val="Calibri"/>
      <family val="2"/>
      <scheme val="minor"/>
    </font>
    <font>
      <sz val="12"/>
      <color theme="1"/>
      <name val="Arial"/>
      <family val="2"/>
    </font>
    <font>
      <sz val="12"/>
      <name val="Arial"/>
      <family val="2"/>
    </font>
    <font>
      <sz val="11"/>
      <color rgb="FF000000"/>
      <name val="Calibri"/>
      <family val="2"/>
    </font>
    <font>
      <sz val="12"/>
      <color theme="1"/>
      <name val="Times New Roman"/>
      <family val="1"/>
    </font>
    <font>
      <u/>
      <sz val="10"/>
      <color theme="10"/>
      <name val="Arial"/>
      <family val="2"/>
    </font>
    <font>
      <sz val="11"/>
      <color rgb="FF000000"/>
      <name val="Arial"/>
      <family val="2"/>
    </font>
    <font>
      <b/>
      <sz val="11"/>
      <name val="Arial"/>
      <family val="2"/>
    </font>
    <font>
      <sz val="11"/>
      <color rgb="FF555555"/>
      <name val="Helvetica"/>
      <family val="2"/>
    </font>
    <font>
      <sz val="9"/>
      <color rgb="FF000000"/>
      <name val="Arial"/>
      <family val="2"/>
    </font>
    <font>
      <sz val="9"/>
      <color theme="1"/>
      <name val="Calibri"/>
      <family val="2"/>
      <scheme val="minor"/>
    </font>
    <font>
      <b/>
      <sz val="9"/>
      <color rgb="FF000000"/>
      <name val="SansSerif"/>
      <family val="2"/>
    </font>
    <font>
      <b/>
      <sz val="11"/>
      <color rgb="FF000000"/>
      <name val="Arial"/>
      <family val="2"/>
    </font>
    <font>
      <sz val="11"/>
      <color rgb="FF000000"/>
      <name val="SansSerif"/>
      <family val="2"/>
    </font>
  </fonts>
  <fills count="85">
    <fill>
      <patternFill patternType="none"/>
    </fill>
    <fill>
      <patternFill patternType="gray125"/>
    </fill>
    <fill>
      <patternFill patternType="none"/>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FFFFFF"/>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
      <patternFill patternType="solid">
        <fgColor rgb="FFCCCCCC"/>
      </patternFill>
    </fill>
    <fill>
      <patternFill patternType="none"/>
    </fill>
    <fill>
      <patternFill patternType="none"/>
    </fill>
    <fill>
      <patternFill patternType="none"/>
    </fill>
    <fill>
      <patternFill patternType="none"/>
    </fill>
    <fill>
      <patternFill patternType="solid">
        <fgColor rgb="FFCCCCCC"/>
      </patternFill>
    </fill>
    <fill>
      <patternFill patternType="none"/>
    </fill>
    <fill>
      <patternFill patternType="none"/>
    </fill>
    <fill>
      <patternFill patternType="solid">
        <fgColor rgb="FFC0C0C0"/>
      </patternFill>
    </fill>
    <fill>
      <patternFill patternType="solid">
        <fgColor rgb="FFC0C0C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none"/>
    </fill>
    <fill>
      <patternFill patternType="solid">
        <fgColor rgb="FFDFDFDF"/>
      </patternFill>
    </fill>
    <fill>
      <patternFill patternType="solid">
        <fgColor rgb="FFDFDFDF"/>
      </patternFill>
    </fill>
    <fill>
      <patternFill patternType="none"/>
    </fill>
    <fill>
      <patternFill patternType="none"/>
    </fill>
    <fill>
      <patternFill patternType="none"/>
    </fill>
    <fill>
      <patternFill patternType="none"/>
    </fill>
    <fill>
      <patternFill patternType="none"/>
    </fill>
    <fill>
      <patternFill patternType="solid">
        <fgColor rgb="FFDFDFDF"/>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DFDFDF"/>
      </patternFill>
    </fill>
    <fill>
      <patternFill patternType="solid">
        <fgColor rgb="FFDFDFDF"/>
      </patternFill>
    </fill>
    <fill>
      <patternFill patternType="solid">
        <fgColor rgb="FFDFDFDF"/>
      </patternFill>
    </fill>
    <fill>
      <patternFill patternType="solid">
        <fgColor rgb="FFDFDFDF"/>
      </patternFill>
    </fill>
    <fill>
      <patternFill patternType="solid">
        <fgColor rgb="FFDFDFDF"/>
      </patternFill>
    </fill>
    <fill>
      <patternFill patternType="solid">
        <fgColor rgb="FFDFDFDF"/>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rgb="FF92D050"/>
        <bgColor indexed="64"/>
      </patternFill>
    </fill>
    <fill>
      <patternFill patternType="solid">
        <fgColor rgb="FFFFC000"/>
        <bgColor indexed="64"/>
      </patternFill>
    </fill>
    <fill>
      <patternFill patternType="solid">
        <fgColor theme="0" tint="-0.499984740745262"/>
        <bgColor indexed="64"/>
      </patternFill>
    </fill>
    <fill>
      <patternFill patternType="solid">
        <fgColor theme="6" tint="0.39997558519241921"/>
        <bgColor indexed="64"/>
      </patternFill>
    </fill>
    <fill>
      <patternFill patternType="solid">
        <fgColor theme="0" tint="-0.34998626667073579"/>
        <bgColor indexed="8"/>
      </patternFill>
    </fill>
  </fills>
  <borders count="3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top style="thin">
        <color indexed="64"/>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rgb="FF000000"/>
      </right>
      <top/>
      <bottom/>
      <diagonal/>
    </border>
    <border>
      <left style="thin">
        <color indexed="64"/>
      </left>
      <right style="thin">
        <color indexed="64"/>
      </right>
      <top/>
      <bottom/>
      <diagonal/>
    </border>
    <border>
      <left style="thin">
        <color rgb="FF000000"/>
      </left>
      <right style="thin">
        <color rgb="FF000000"/>
      </right>
      <top/>
      <bottom/>
      <diagonal/>
    </border>
    <border>
      <left/>
      <right style="thin">
        <color indexed="64"/>
      </right>
      <top/>
      <bottom style="thin">
        <color indexed="64"/>
      </bottom>
      <diagonal/>
    </border>
  </borders>
  <cellStyleXfs count="27">
    <xf numFmtId="0" fontId="0" fillId="0" borderId="0"/>
    <xf numFmtId="9" fontId="4" fillId="0" borderId="0" applyFont="0" applyFill="0" applyBorder="0" applyAlignment="0" applyProtection="0"/>
    <xf numFmtId="0" fontId="4" fillId="74" borderId="1"/>
    <xf numFmtId="0" fontId="5" fillId="74" borderId="1"/>
    <xf numFmtId="0" fontId="4" fillId="74" borderId="1"/>
    <xf numFmtId="168" fontId="5" fillId="74" borderId="1" applyFont="0" applyFill="0" applyBorder="0" applyAlignment="0" applyProtection="0"/>
    <xf numFmtId="0" fontId="5" fillId="74" borderId="1"/>
    <xf numFmtId="43" fontId="4" fillId="74" borderId="1" applyFont="0" applyFill="0" applyBorder="0" applyAlignment="0" applyProtection="0"/>
    <xf numFmtId="0" fontId="4" fillId="74" borderId="1"/>
    <xf numFmtId="9" fontId="5" fillId="74" borderId="1" applyFont="0" applyFill="0" applyBorder="0" applyAlignment="0" applyProtection="0"/>
    <xf numFmtId="168" fontId="5" fillId="74" borderId="1" applyFont="0" applyFill="0" applyBorder="0" applyAlignment="0" applyProtection="0"/>
    <xf numFmtId="9" fontId="5" fillId="74" borderId="1" applyFont="0" applyFill="0" applyBorder="0" applyAlignment="0" applyProtection="0"/>
    <xf numFmtId="0" fontId="5" fillId="74" borderId="1"/>
    <xf numFmtId="0" fontId="5" fillId="74" borderId="1"/>
    <xf numFmtId="0" fontId="4" fillId="74" borderId="1"/>
    <xf numFmtId="0" fontId="30" fillId="74" borderId="1"/>
    <xf numFmtId="0" fontId="35" fillId="74" borderId="1" applyNumberFormat="0" applyFill="0" applyBorder="0" applyAlignment="0" applyProtection="0"/>
    <xf numFmtId="171" fontId="36" fillId="74" borderId="1"/>
    <xf numFmtId="0" fontId="5" fillId="74" borderId="1"/>
    <xf numFmtId="0" fontId="4" fillId="74" borderId="1"/>
    <xf numFmtId="0" fontId="5" fillId="74" borderId="1"/>
    <xf numFmtId="0" fontId="27" fillId="74" borderId="1" applyNumberFormat="0" applyFill="0" applyBorder="0" applyAlignment="0" applyProtection="0"/>
    <xf numFmtId="0" fontId="30" fillId="74" borderId="1"/>
    <xf numFmtId="0" fontId="4" fillId="74" borderId="1"/>
    <xf numFmtId="0" fontId="5" fillId="74" borderId="1"/>
    <xf numFmtId="9" fontId="4" fillId="74" borderId="1" applyFont="0" applyFill="0" applyBorder="0" applyAlignment="0" applyProtection="0"/>
    <xf numFmtId="0" fontId="4" fillId="74" borderId="1"/>
  </cellStyleXfs>
  <cellXfs count="616">
    <xf numFmtId="0" fontId="0" fillId="0" borderId="0" xfId="0"/>
    <xf numFmtId="0" fontId="0" fillId="9" borderId="0" xfId="0" applyFill="1" applyAlignment="1" applyProtection="1">
      <alignment wrapText="1"/>
      <protection locked="0"/>
    </xf>
    <xf numFmtId="0" fontId="4" fillId="74" borderId="1" xfId="2" applyAlignment="1" applyProtection="1">
      <alignment wrapText="1"/>
      <protection locked="0"/>
    </xf>
    <xf numFmtId="0" fontId="4" fillId="74" borderId="1" xfId="2"/>
    <xf numFmtId="0" fontId="6" fillId="74" borderId="1" xfId="3" applyFont="1" applyAlignment="1">
      <alignment vertical="center" wrapText="1"/>
    </xf>
    <xf numFmtId="0" fontId="6" fillId="74" borderId="1" xfId="3" applyFont="1" applyAlignment="1">
      <alignment horizontal="center" vertical="center" wrapText="1"/>
    </xf>
    <xf numFmtId="0" fontId="7" fillId="74" borderId="1" xfId="4" applyFont="1"/>
    <xf numFmtId="0" fontId="8" fillId="74" borderId="1" xfId="4" applyFont="1"/>
    <xf numFmtId="0" fontId="9" fillId="74" borderId="1" xfId="3" applyFont="1" applyAlignment="1">
      <alignment vertical="center" wrapText="1"/>
    </xf>
    <xf numFmtId="0" fontId="9" fillId="74" borderId="1" xfId="3" applyFont="1" applyAlignment="1">
      <alignment horizontal="center" vertical="center" wrapText="1"/>
    </xf>
    <xf numFmtId="0" fontId="9" fillId="77" borderId="1" xfId="3" applyFont="1" applyFill="1" applyAlignment="1">
      <alignment vertical="center" wrapText="1"/>
    </xf>
    <xf numFmtId="0" fontId="9" fillId="77" borderId="1" xfId="3" applyFont="1" applyFill="1" applyAlignment="1">
      <alignment horizontal="center" vertical="center" wrapText="1"/>
    </xf>
    <xf numFmtId="0" fontId="10" fillId="75" borderId="21" xfId="3" applyFont="1" applyFill="1" applyBorder="1" applyAlignment="1">
      <alignment horizontal="right" vertical="top" wrapText="1"/>
    </xf>
    <xf numFmtId="0" fontId="11" fillId="74" borderId="4" xfId="4" applyFont="1" applyBorder="1" applyAlignment="1">
      <alignment horizontal="center" vertical="top" wrapText="1"/>
    </xf>
    <xf numFmtId="0" fontId="11" fillId="74" borderId="4" xfId="4" applyFont="1" applyBorder="1" applyAlignment="1">
      <alignment horizontal="center" vertical="center" wrapText="1"/>
    </xf>
    <xf numFmtId="0" fontId="10" fillId="74" borderId="4" xfId="4" applyFont="1" applyBorder="1" applyAlignment="1">
      <alignment horizontal="right" vertical="top" wrapText="1"/>
    </xf>
    <xf numFmtId="0" fontId="7" fillId="74" borderId="1" xfId="4" applyFont="1" applyAlignment="1">
      <alignment horizontal="center"/>
    </xf>
    <xf numFmtId="0" fontId="8" fillId="74" borderId="1" xfId="4" applyFont="1" applyAlignment="1">
      <alignment horizontal="center"/>
    </xf>
    <xf numFmtId="0" fontId="6" fillId="78" borderId="21" xfId="3" applyFont="1" applyFill="1" applyBorder="1" applyAlignment="1">
      <alignment horizontal="center" vertical="center"/>
    </xf>
    <xf numFmtId="0" fontId="6" fillId="79" borderId="21" xfId="4" applyFont="1" applyFill="1" applyBorder="1" applyAlignment="1">
      <alignment horizontal="center"/>
    </xf>
    <xf numFmtId="0" fontId="6" fillId="79" borderId="18" xfId="4" applyFont="1" applyFill="1" applyBorder="1" applyAlignment="1">
      <alignment horizontal="left"/>
    </xf>
    <xf numFmtId="0" fontId="6" fillId="79" borderId="21" xfId="4" applyFont="1" applyFill="1" applyBorder="1" applyAlignment="1">
      <alignment horizontal="center" wrapText="1"/>
    </xf>
    <xf numFmtId="0" fontId="6" fillId="79" borderId="19" xfId="4" applyFont="1" applyFill="1" applyBorder="1" applyAlignment="1">
      <alignment horizontal="center" wrapText="1"/>
    </xf>
    <xf numFmtId="0" fontId="6" fillId="79" borderId="19" xfId="4" applyFont="1" applyFill="1" applyBorder="1" applyAlignment="1">
      <alignment wrapText="1"/>
    </xf>
    <xf numFmtId="0" fontId="6" fillId="79" borderId="19" xfId="4" applyFont="1" applyFill="1" applyBorder="1" applyAlignment="1">
      <alignment horizontal="right" wrapText="1"/>
    </xf>
    <xf numFmtId="0" fontId="6" fillId="79" borderId="20" xfId="4" applyFont="1" applyFill="1" applyBorder="1" applyAlignment="1">
      <alignment horizontal="right" wrapText="1"/>
    </xf>
    <xf numFmtId="0" fontId="12" fillId="79" borderId="21" xfId="3" applyFont="1" applyFill="1" applyBorder="1" applyAlignment="1">
      <alignment horizontal="right" vertical="center"/>
    </xf>
    <xf numFmtId="0" fontId="12" fillId="74" borderId="21" xfId="4" applyFont="1" applyBorder="1" applyAlignment="1">
      <alignment horizontal="center" vertical="center"/>
    </xf>
    <xf numFmtId="0" fontId="10" fillId="74" borderId="21" xfId="4" applyFont="1" applyBorder="1" applyAlignment="1">
      <alignment horizontal="center" vertical="center"/>
    </xf>
    <xf numFmtId="0" fontId="10" fillId="74" borderId="21" xfId="4" applyFont="1" applyBorder="1" applyAlignment="1">
      <alignment horizontal="center" vertical="center" wrapText="1"/>
    </xf>
    <xf numFmtId="0" fontId="6" fillId="74" borderId="21" xfId="4" applyFont="1" applyBorder="1" applyAlignment="1">
      <alignment vertical="center" wrapText="1"/>
    </xf>
    <xf numFmtId="0" fontId="6" fillId="74" borderId="21" xfId="4" applyFont="1" applyBorder="1" applyAlignment="1">
      <alignment horizontal="center" vertical="center" wrapText="1"/>
    </xf>
    <xf numFmtId="0" fontId="6" fillId="74" borderId="21" xfId="4" applyFont="1" applyBorder="1" applyAlignment="1">
      <alignment horizontal="right" vertical="center" wrapText="1"/>
    </xf>
    <xf numFmtId="4" fontId="10" fillId="74" borderId="21" xfId="4" applyNumberFormat="1" applyFont="1" applyBorder="1" applyAlignment="1">
      <alignment horizontal="right" wrapText="1"/>
    </xf>
    <xf numFmtId="0" fontId="5" fillId="74" borderId="21" xfId="4" applyFont="1" applyBorder="1" applyAlignment="1">
      <alignment horizontal="right" vertical="center" wrapText="1"/>
    </xf>
    <xf numFmtId="4" fontId="5" fillId="74" borderId="21" xfId="5" applyNumberFormat="1" applyFont="1" applyFill="1" applyBorder="1" applyAlignment="1">
      <alignment horizontal="right"/>
    </xf>
    <xf numFmtId="4" fontId="12" fillId="74" borderId="21" xfId="4" applyNumberFormat="1" applyFont="1" applyBorder="1" applyAlignment="1">
      <alignment horizontal="right" wrapText="1"/>
    </xf>
    <xf numFmtId="0" fontId="12" fillId="74" borderId="18" xfId="4" applyFont="1" applyBorder="1" applyAlignment="1">
      <alignment horizontal="center" vertical="center"/>
    </xf>
    <xf numFmtId="0" fontId="12" fillId="74" borderId="19" xfId="4" applyFont="1" applyBorder="1" applyAlignment="1">
      <alignment horizontal="center" vertical="center"/>
    </xf>
    <xf numFmtId="0" fontId="6" fillId="79" borderId="21" xfId="4" applyFont="1" applyFill="1" applyBorder="1" applyAlignment="1">
      <alignment wrapText="1"/>
    </xf>
    <xf numFmtId="0" fontId="6" fillId="79" borderId="21" xfId="4" applyFont="1" applyFill="1" applyBorder="1" applyAlignment="1">
      <alignment horizontal="right" wrapText="1"/>
    </xf>
    <xf numFmtId="0" fontId="12" fillId="79" borderId="21" xfId="3" applyFont="1" applyFill="1" applyBorder="1" applyAlignment="1">
      <alignment horizontal="right"/>
    </xf>
    <xf numFmtId="0" fontId="10" fillId="74" borderId="18" xfId="4" applyFont="1" applyBorder="1" applyAlignment="1">
      <alignment horizontal="center" vertical="center" wrapText="1"/>
    </xf>
    <xf numFmtId="0" fontId="6" fillId="74" borderId="21" xfId="4" applyFont="1" applyBorder="1" applyAlignment="1">
      <alignment vertical="top" wrapText="1"/>
    </xf>
    <xf numFmtId="0" fontId="6" fillId="74" borderId="21" xfId="4" applyFont="1" applyBorder="1" applyAlignment="1">
      <alignment horizontal="right" vertical="top" wrapText="1"/>
    </xf>
    <xf numFmtId="4" fontId="10" fillId="74" borderId="2" xfId="4" applyNumberFormat="1" applyFont="1" applyBorder="1" applyAlignment="1">
      <alignment horizontal="right" wrapText="1"/>
    </xf>
    <xf numFmtId="0" fontId="13" fillId="74" borderId="21" xfId="6" applyFont="1" applyBorder="1" applyAlignment="1">
      <alignment horizontal="right" vertical="top" wrapText="1"/>
    </xf>
    <xf numFmtId="4" fontId="10" fillId="74" borderId="11" xfId="4" applyNumberFormat="1" applyFont="1" applyBorder="1" applyAlignment="1">
      <alignment horizontal="right" wrapText="1"/>
    </xf>
    <xf numFmtId="0" fontId="10" fillId="74" borderId="16" xfId="4" applyFont="1" applyBorder="1" applyAlignment="1">
      <alignment horizontal="center" vertical="center" wrapText="1"/>
    </xf>
    <xf numFmtId="0" fontId="13" fillId="74" borderId="25" xfId="6" applyFont="1" applyBorder="1" applyAlignment="1">
      <alignment horizontal="right" vertical="top" wrapText="1"/>
    </xf>
    <xf numFmtId="0" fontId="11" fillId="74" borderId="7" xfId="4" applyFont="1" applyBorder="1" applyAlignment="1">
      <alignment horizontal="center" vertical="center" wrapText="1"/>
    </xf>
    <xf numFmtId="0" fontId="11" fillId="74" borderId="7" xfId="4" applyFont="1" applyBorder="1" applyAlignment="1">
      <alignment vertical="top" wrapText="1"/>
    </xf>
    <xf numFmtId="4" fontId="5" fillId="74" borderId="25" xfId="6" applyNumberFormat="1" applyBorder="1" applyAlignment="1">
      <alignment horizontal="right" wrapText="1"/>
    </xf>
    <xf numFmtId="0" fontId="12" fillId="74" borderId="21" xfId="4" applyFont="1" applyBorder="1" applyAlignment="1">
      <alignment horizontal="center"/>
    </xf>
    <xf numFmtId="0" fontId="12" fillId="74" borderId="21" xfId="4" applyFont="1" applyBorder="1"/>
    <xf numFmtId="39" fontId="14" fillId="74" borderId="4" xfId="4" applyNumberFormat="1" applyFont="1" applyBorder="1" applyAlignment="1">
      <alignment horizontal="center" vertical="center" wrapText="1"/>
    </xf>
    <xf numFmtId="4" fontId="14" fillId="74" borderId="4" xfId="4" applyNumberFormat="1" applyFont="1" applyBorder="1" applyAlignment="1">
      <alignment horizontal="right" wrapText="1"/>
    </xf>
    <xf numFmtId="4" fontId="5" fillId="74" borderId="21" xfId="6" applyNumberFormat="1" applyBorder="1" applyAlignment="1">
      <alignment horizontal="right" wrapText="1"/>
    </xf>
    <xf numFmtId="4" fontId="12" fillId="74" borderId="2" xfId="4" applyNumberFormat="1" applyFont="1" applyBorder="1" applyAlignment="1">
      <alignment horizontal="right" wrapText="1"/>
    </xf>
    <xf numFmtId="0" fontId="6" fillId="74" borderId="21" xfId="3" applyFont="1" applyBorder="1" applyAlignment="1">
      <alignment horizontal="center" vertical="center"/>
    </xf>
    <xf numFmtId="0" fontId="10" fillId="77" borderId="21" xfId="4" applyFont="1" applyFill="1" applyBorder="1" applyAlignment="1">
      <alignment horizontal="center" vertical="center"/>
    </xf>
    <xf numFmtId="0" fontId="10" fillId="77" borderId="18" xfId="4" applyFont="1" applyFill="1" applyBorder="1" applyAlignment="1">
      <alignment horizontal="center" vertical="center" wrapText="1"/>
    </xf>
    <xf numFmtId="0" fontId="6" fillId="77" borderId="21" xfId="4" applyFont="1" applyFill="1" applyBorder="1" applyAlignment="1">
      <alignment vertical="center" wrapText="1"/>
    </xf>
    <xf numFmtId="0" fontId="6" fillId="77" borderId="21" xfId="4" applyFont="1" applyFill="1" applyBorder="1" applyAlignment="1">
      <alignment horizontal="center" vertical="center" wrapText="1"/>
    </xf>
    <xf numFmtId="0" fontId="6" fillId="77" borderId="21" xfId="4" applyFont="1" applyFill="1" applyBorder="1" applyAlignment="1">
      <alignment horizontal="right" vertical="center" wrapText="1"/>
    </xf>
    <xf numFmtId="4" fontId="10" fillId="77" borderId="2" xfId="4" applyNumberFormat="1" applyFont="1" applyFill="1" applyBorder="1" applyAlignment="1">
      <alignment horizontal="right" wrapText="1"/>
    </xf>
    <xf numFmtId="0" fontId="10" fillId="77" borderId="26" xfId="4" applyFont="1" applyFill="1" applyBorder="1" applyAlignment="1">
      <alignment horizontal="center" vertical="center"/>
    </xf>
    <xf numFmtId="0" fontId="10" fillId="77" borderId="13" xfId="4" applyFont="1" applyFill="1" applyBorder="1" applyAlignment="1">
      <alignment horizontal="center" vertical="center" wrapText="1"/>
    </xf>
    <xf numFmtId="0" fontId="6" fillId="77" borderId="26" xfId="4" applyFont="1" applyFill="1" applyBorder="1" applyAlignment="1">
      <alignment vertical="center" wrapText="1"/>
    </xf>
    <xf numFmtId="0" fontId="6" fillId="77" borderId="26" xfId="4" applyFont="1" applyFill="1" applyBorder="1" applyAlignment="1">
      <alignment horizontal="center" vertical="center" wrapText="1"/>
    </xf>
    <xf numFmtId="0" fontId="5" fillId="74" borderId="26" xfId="4" applyFont="1" applyBorder="1" applyAlignment="1">
      <alignment horizontal="right" vertical="center" wrapText="1"/>
    </xf>
    <xf numFmtId="0" fontId="6" fillId="77" borderId="26" xfId="4" applyFont="1" applyFill="1" applyBorder="1" applyAlignment="1">
      <alignment horizontal="right" vertical="center" wrapText="1"/>
    </xf>
    <xf numFmtId="4" fontId="10" fillId="77" borderId="4" xfId="4" applyNumberFormat="1" applyFont="1" applyFill="1" applyBorder="1" applyAlignment="1">
      <alignment horizontal="right" wrapText="1"/>
    </xf>
    <xf numFmtId="0" fontId="5" fillId="77" borderId="21" xfId="6" applyFill="1" applyBorder="1" applyAlignment="1">
      <alignment horizontal="left" vertical="top" wrapText="1"/>
    </xf>
    <xf numFmtId="0" fontId="5" fillId="74" borderId="21" xfId="6" applyBorder="1" applyAlignment="1">
      <alignment horizontal="center" vertical="top"/>
    </xf>
    <xf numFmtId="4" fontId="14" fillId="74" borderId="21" xfId="4" applyNumberFormat="1" applyFont="1" applyBorder="1" applyAlignment="1">
      <alignment horizontal="right" wrapText="1"/>
    </xf>
    <xf numFmtId="0" fontId="8" fillId="80" borderId="1" xfId="4" applyFont="1" applyFill="1"/>
    <xf numFmtId="0" fontId="10" fillId="77" borderId="21" xfId="4" applyFont="1" applyFill="1" applyBorder="1" applyAlignment="1">
      <alignment horizontal="center" vertical="center" wrapText="1"/>
    </xf>
    <xf numFmtId="4" fontId="10" fillId="77" borderId="21" xfId="4" applyNumberFormat="1" applyFont="1" applyFill="1" applyBorder="1" applyAlignment="1">
      <alignment horizontal="right" wrapText="1"/>
    </xf>
    <xf numFmtId="0" fontId="5" fillId="77" borderId="21" xfId="4" applyFont="1" applyFill="1" applyBorder="1" applyAlignment="1">
      <alignment vertical="center" wrapText="1"/>
    </xf>
    <xf numFmtId="0" fontId="5" fillId="77" borderId="21" xfId="4" applyFont="1" applyFill="1" applyBorder="1" applyAlignment="1">
      <alignment horizontal="right" vertical="center" wrapText="1"/>
    </xf>
    <xf numFmtId="0" fontId="5" fillId="77" borderId="26" xfId="4" applyFont="1" applyFill="1" applyBorder="1" applyAlignment="1">
      <alignment vertical="center" wrapText="1"/>
    </xf>
    <xf numFmtId="4" fontId="5" fillId="77" borderId="21" xfId="5" applyNumberFormat="1" applyFont="1" applyFill="1" applyBorder="1" applyAlignment="1">
      <alignment horizontal="right"/>
    </xf>
    <xf numFmtId="0" fontId="12" fillId="74" borderId="13" xfId="4" applyFont="1" applyBorder="1" applyAlignment="1">
      <alignment horizontal="center" vertical="center"/>
    </xf>
    <xf numFmtId="0" fontId="12" fillId="74" borderId="14" xfId="4" applyFont="1" applyBorder="1" applyAlignment="1">
      <alignment horizontal="center" vertical="center"/>
    </xf>
    <xf numFmtId="0" fontId="12" fillId="74" borderId="27" xfId="4" applyFont="1" applyBorder="1" applyAlignment="1">
      <alignment horizontal="center" vertical="center"/>
    </xf>
    <xf numFmtId="0" fontId="5" fillId="74" borderId="21" xfId="4" applyFont="1" applyBorder="1" applyAlignment="1">
      <alignment vertical="center" wrapText="1"/>
    </xf>
    <xf numFmtId="4" fontId="5" fillId="77" borderId="21" xfId="4" applyNumberFormat="1" applyFont="1" applyFill="1" applyBorder="1" applyAlignment="1">
      <alignment horizontal="right" vertical="center" wrapText="1"/>
    </xf>
    <xf numFmtId="0" fontId="5" fillId="77" borderId="26" xfId="4" applyFont="1" applyFill="1" applyBorder="1" applyAlignment="1">
      <alignment horizontal="right" vertical="center" wrapText="1"/>
    </xf>
    <xf numFmtId="4" fontId="5" fillId="77" borderId="26" xfId="4" applyNumberFormat="1" applyFont="1" applyFill="1" applyBorder="1" applyAlignment="1">
      <alignment horizontal="right" vertical="center" wrapText="1"/>
    </xf>
    <xf numFmtId="0" fontId="5" fillId="77" borderId="25" xfId="4" applyFont="1" applyFill="1" applyBorder="1" applyAlignment="1">
      <alignment vertical="center" wrapText="1"/>
    </xf>
    <xf numFmtId="0" fontId="5" fillId="77" borderId="25" xfId="4" applyFont="1" applyFill="1" applyBorder="1" applyAlignment="1">
      <alignment horizontal="right" vertical="center" wrapText="1"/>
    </xf>
    <xf numFmtId="4" fontId="5" fillId="77" borderId="26" xfId="4" applyNumberFormat="1" applyFont="1" applyFill="1" applyBorder="1" applyAlignment="1">
      <alignment vertical="center" wrapText="1"/>
    </xf>
    <xf numFmtId="0" fontId="8" fillId="81" borderId="1" xfId="4" applyFont="1" applyFill="1"/>
    <xf numFmtId="0" fontId="12" fillId="77" borderId="21" xfId="4" applyFont="1" applyFill="1" applyBorder="1" applyAlignment="1">
      <alignment horizontal="center" vertical="center"/>
    </xf>
    <xf numFmtId="0" fontId="12" fillId="77" borderId="18" xfId="4" applyFont="1" applyFill="1" applyBorder="1" applyAlignment="1">
      <alignment horizontal="center" vertical="center"/>
    </xf>
    <xf numFmtId="0" fontId="5" fillId="77" borderId="21" xfId="6" applyFill="1" applyBorder="1" applyAlignment="1">
      <alignment horizontal="center" vertical="top"/>
    </xf>
    <xf numFmtId="4" fontId="12" fillId="77" borderId="2" xfId="4" applyNumberFormat="1" applyFont="1" applyFill="1" applyBorder="1" applyAlignment="1">
      <alignment horizontal="right" wrapText="1"/>
    </xf>
    <xf numFmtId="4" fontId="8" fillId="74" borderId="1" xfId="4" applyNumberFormat="1" applyFont="1"/>
    <xf numFmtId="0" fontId="10" fillId="74" borderId="25" xfId="4" applyFont="1" applyBorder="1" applyAlignment="1">
      <alignment horizontal="center" vertical="center"/>
    </xf>
    <xf numFmtId="0" fontId="6" fillId="74" borderId="25" xfId="4" applyFont="1" applyBorder="1" applyAlignment="1">
      <alignment vertical="center" wrapText="1"/>
    </xf>
    <xf numFmtId="0" fontId="6" fillId="74" borderId="25" xfId="4" applyFont="1" applyBorder="1" applyAlignment="1">
      <alignment horizontal="center" vertical="center" wrapText="1"/>
    </xf>
    <xf numFmtId="0" fontId="6" fillId="74" borderId="25" xfId="4" applyFont="1" applyBorder="1" applyAlignment="1">
      <alignment horizontal="right" vertical="center" wrapText="1"/>
    </xf>
    <xf numFmtId="4" fontId="10" fillId="74" borderId="7" xfId="4" applyNumberFormat="1" applyFont="1" applyBorder="1" applyAlignment="1">
      <alignment horizontal="right" wrapText="1"/>
    </xf>
    <xf numFmtId="0" fontId="5" fillId="74" borderId="25" xfId="6" applyBorder="1" applyAlignment="1">
      <alignment horizontal="center" vertical="top" wrapText="1"/>
    </xf>
    <xf numFmtId="0" fontId="5" fillId="74" borderId="25" xfId="4" applyFont="1" applyBorder="1" applyAlignment="1">
      <alignment vertical="center" wrapText="1"/>
    </xf>
    <xf numFmtId="0" fontId="5" fillId="74" borderId="25" xfId="4" applyFont="1" applyBorder="1" applyAlignment="1">
      <alignment horizontal="right" vertical="center" wrapText="1"/>
    </xf>
    <xf numFmtId="0" fontId="5" fillId="77" borderId="1" xfId="4" applyFont="1" applyFill="1" applyAlignment="1">
      <alignment horizontal="right" vertical="center" wrapText="1"/>
    </xf>
    <xf numFmtId="0" fontId="15" fillId="74" borderId="1" xfId="4" applyFont="1"/>
    <xf numFmtId="0" fontId="14" fillId="74" borderId="21" xfId="4" applyFont="1" applyBorder="1" applyAlignment="1">
      <alignment horizontal="left" vertical="top" wrapText="1"/>
    </xf>
    <xf numFmtId="4" fontId="10" fillId="77" borderId="1" xfId="4" applyNumberFormat="1" applyFont="1" applyFill="1" applyAlignment="1">
      <alignment horizontal="right" wrapText="1"/>
    </xf>
    <xf numFmtId="4" fontId="5" fillId="77" borderId="21" xfId="4" applyNumberFormat="1" applyFont="1" applyFill="1" applyBorder="1" applyAlignment="1">
      <alignment horizontal="right" wrapText="1"/>
    </xf>
    <xf numFmtId="0" fontId="10" fillId="74" borderId="26" xfId="4" applyFont="1" applyBorder="1" applyAlignment="1">
      <alignment horizontal="center" vertical="center"/>
    </xf>
    <xf numFmtId="0" fontId="10" fillId="74" borderId="26" xfId="4" applyFont="1" applyBorder="1" applyAlignment="1">
      <alignment horizontal="center" vertical="center" wrapText="1"/>
    </xf>
    <xf numFmtId="0" fontId="14" fillId="74" borderId="26" xfId="4" applyFont="1" applyBorder="1" applyAlignment="1">
      <alignment horizontal="left" vertical="top" wrapText="1"/>
    </xf>
    <xf numFmtId="0" fontId="5" fillId="74" borderId="26" xfId="6" applyBorder="1" applyAlignment="1">
      <alignment horizontal="center" vertical="top"/>
    </xf>
    <xf numFmtId="4" fontId="5" fillId="74" borderId="26" xfId="5" applyNumberFormat="1" applyFont="1" applyFill="1" applyBorder="1" applyAlignment="1">
      <alignment horizontal="right"/>
    </xf>
    <xf numFmtId="0" fontId="4" fillId="77" borderId="26" xfId="2" applyFill="1" applyBorder="1"/>
    <xf numFmtId="4" fontId="5" fillId="77" borderId="26" xfId="4" applyNumberFormat="1" applyFont="1" applyFill="1" applyBorder="1" applyAlignment="1">
      <alignment horizontal="right" wrapText="1"/>
    </xf>
    <xf numFmtId="4" fontId="12" fillId="77" borderId="4" xfId="4" applyNumberFormat="1" applyFont="1" applyFill="1" applyBorder="1" applyAlignment="1">
      <alignment horizontal="right" wrapText="1"/>
    </xf>
    <xf numFmtId="4" fontId="12" fillId="77" borderId="21" xfId="4" applyNumberFormat="1" applyFont="1" applyFill="1" applyBorder="1" applyAlignment="1">
      <alignment horizontal="right" wrapText="1"/>
    </xf>
    <xf numFmtId="0" fontId="4" fillId="77" borderId="21" xfId="2" applyFill="1" applyBorder="1"/>
    <xf numFmtId="0" fontId="10" fillId="77" borderId="26" xfId="4" applyFont="1" applyFill="1" applyBorder="1" applyAlignment="1">
      <alignment vertical="center" wrapText="1"/>
    </xf>
    <xf numFmtId="0" fontId="10" fillId="77" borderId="26" xfId="4" applyFont="1" applyFill="1" applyBorder="1" applyAlignment="1">
      <alignment horizontal="right" vertical="center" wrapText="1"/>
    </xf>
    <xf numFmtId="0" fontId="10" fillId="77" borderId="21" xfId="4" applyFont="1" applyFill="1" applyBorder="1" applyAlignment="1">
      <alignment vertical="center" wrapText="1"/>
    </xf>
    <xf numFmtId="0" fontId="10" fillId="77" borderId="21" xfId="4" applyFont="1" applyFill="1" applyBorder="1" applyAlignment="1">
      <alignment horizontal="right" vertical="center" wrapText="1"/>
    </xf>
    <xf numFmtId="0" fontId="16" fillId="77" borderId="21" xfId="6" applyFont="1" applyFill="1" applyBorder="1" applyAlignment="1">
      <alignment horizontal="left" vertical="top" wrapText="1"/>
    </xf>
    <xf numFmtId="0" fontId="12" fillId="77" borderId="21" xfId="4" applyFont="1" applyFill="1" applyBorder="1" applyAlignment="1">
      <alignment horizontal="right" vertical="center" wrapText="1"/>
    </xf>
    <xf numFmtId="0" fontId="12" fillId="77" borderId="21" xfId="4" applyFont="1" applyFill="1" applyBorder="1" applyAlignment="1">
      <alignment horizontal="right" vertical="center"/>
    </xf>
    <xf numFmtId="0" fontId="12" fillId="77" borderId="25" xfId="4" applyFont="1" applyFill="1" applyBorder="1" applyAlignment="1">
      <alignment horizontal="center" vertical="center"/>
    </xf>
    <xf numFmtId="0" fontId="12" fillId="77" borderId="16" xfId="4" applyFont="1" applyFill="1" applyBorder="1" applyAlignment="1">
      <alignment horizontal="center" vertical="center"/>
    </xf>
    <xf numFmtId="0" fontId="16" fillId="74" borderId="21" xfId="6" applyFont="1" applyBorder="1" applyAlignment="1">
      <alignment horizontal="left" vertical="top" wrapText="1"/>
    </xf>
    <xf numFmtId="43" fontId="5" fillId="74" borderId="21" xfId="7" applyFont="1" applyBorder="1" applyAlignment="1">
      <alignment horizontal="right" vertical="center" wrapText="1"/>
    </xf>
    <xf numFmtId="0" fontId="12" fillId="77" borderId="18" xfId="4" applyFont="1" applyFill="1" applyBorder="1" applyAlignment="1">
      <alignment horizontal="right" vertical="center"/>
    </xf>
    <xf numFmtId="2" fontId="5" fillId="77" borderId="21" xfId="4" applyNumberFormat="1" applyFont="1" applyFill="1" applyBorder="1" applyAlignment="1">
      <alignment horizontal="right" vertical="center" wrapText="1"/>
    </xf>
    <xf numFmtId="0" fontId="5" fillId="74" borderId="21" xfId="8" applyFont="1" applyBorder="1" applyAlignment="1">
      <alignment horizontal="right" vertical="top" wrapText="1"/>
    </xf>
    <xf numFmtId="4" fontId="12" fillId="77" borderId="21" xfId="4" applyNumberFormat="1" applyFont="1" applyFill="1" applyBorder="1" applyAlignment="1">
      <alignment horizontal="right" vertical="center"/>
    </xf>
    <xf numFmtId="0" fontId="12" fillId="77" borderId="19" xfId="4" applyFont="1" applyFill="1" applyBorder="1" applyAlignment="1">
      <alignment horizontal="center" vertical="center"/>
    </xf>
    <xf numFmtId="0" fontId="12" fillId="77" borderId="20" xfId="4" applyFont="1" applyFill="1" applyBorder="1" applyAlignment="1">
      <alignment horizontal="center" vertical="center"/>
    </xf>
    <xf numFmtId="0" fontId="16" fillId="74" borderId="29" xfId="6" applyFont="1" applyBorder="1" applyAlignment="1">
      <alignment horizontal="left" vertical="top" wrapText="1"/>
    </xf>
    <xf numFmtId="2" fontId="5" fillId="77" borderId="25" xfId="4" applyNumberFormat="1" applyFont="1" applyFill="1" applyBorder="1" applyAlignment="1">
      <alignment horizontal="right" vertical="center" wrapText="1"/>
    </xf>
    <xf numFmtId="4" fontId="12" fillId="77" borderId="25" xfId="4" applyNumberFormat="1" applyFont="1" applyFill="1" applyBorder="1" applyAlignment="1">
      <alignment horizontal="right" vertical="center"/>
    </xf>
    <xf numFmtId="0" fontId="5" fillId="74" borderId="21" xfId="6" applyBorder="1" applyAlignment="1">
      <alignment horizontal="left" vertical="top" wrapText="1"/>
    </xf>
    <xf numFmtId="2" fontId="5" fillId="74" borderId="21" xfId="8" applyNumberFormat="1" applyFont="1" applyBorder="1" applyAlignment="1">
      <alignment horizontal="right" vertical="top" wrapText="1"/>
    </xf>
    <xf numFmtId="0" fontId="5" fillId="77" borderId="29" xfId="6" applyFill="1" applyBorder="1" applyAlignment="1">
      <alignment horizontal="right" vertical="top" wrapText="1"/>
    </xf>
    <xf numFmtId="0" fontId="5" fillId="77" borderId="21" xfId="6" applyFill="1" applyBorder="1" applyAlignment="1">
      <alignment horizontal="right" vertical="top" wrapText="1"/>
    </xf>
    <xf numFmtId="0" fontId="10" fillId="74" borderId="13" xfId="4" applyFont="1" applyBorder="1" applyAlignment="1">
      <alignment horizontal="center" vertical="center" wrapText="1"/>
    </xf>
    <xf numFmtId="0" fontId="6" fillId="74" borderId="26" xfId="4" applyFont="1" applyBorder="1" applyAlignment="1">
      <alignment horizontal="justify" vertical="center" wrapText="1"/>
    </xf>
    <xf numFmtId="0" fontId="6" fillId="74" borderId="26" xfId="4" applyFont="1" applyBorder="1" applyAlignment="1">
      <alignment horizontal="center" vertical="center" wrapText="1"/>
    </xf>
    <xf numFmtId="0" fontId="6" fillId="74" borderId="26" xfId="4" applyFont="1" applyBorder="1" applyAlignment="1">
      <alignment vertical="center" wrapText="1"/>
    </xf>
    <xf numFmtId="0" fontId="6" fillId="74" borderId="26" xfId="4" applyFont="1" applyBorder="1" applyAlignment="1">
      <alignment horizontal="right" vertical="center" wrapText="1"/>
    </xf>
    <xf numFmtId="4" fontId="10" fillId="74" borderId="4" xfId="4" applyNumberFormat="1" applyFont="1" applyBorder="1" applyAlignment="1">
      <alignment horizontal="right" wrapText="1"/>
    </xf>
    <xf numFmtId="0" fontId="6" fillId="77" borderId="21" xfId="4" applyFont="1" applyFill="1" applyBorder="1" applyAlignment="1">
      <alignment horizontal="center"/>
    </xf>
    <xf numFmtId="0" fontId="6" fillId="77" borderId="21" xfId="4" applyFont="1" applyFill="1" applyBorder="1" applyAlignment="1">
      <alignment horizontal="left"/>
    </xf>
    <xf numFmtId="0" fontId="5" fillId="74" borderId="21" xfId="4" applyFont="1" applyBorder="1" applyAlignment="1">
      <alignment horizontal="justify" vertical="center" wrapText="1"/>
    </xf>
    <xf numFmtId="0" fontId="5" fillId="74" borderId="21" xfId="4" applyFont="1" applyBorder="1" applyAlignment="1">
      <alignment horizontal="center" vertical="center" wrapText="1"/>
    </xf>
    <xf numFmtId="4" fontId="5" fillId="77" borderId="21" xfId="6" applyNumberFormat="1" applyFill="1" applyBorder="1" applyAlignment="1">
      <alignment horizontal="right" wrapText="1"/>
    </xf>
    <xf numFmtId="0" fontId="12" fillId="77" borderId="21" xfId="3" applyFont="1" applyFill="1" applyBorder="1" applyAlignment="1">
      <alignment horizontal="right"/>
    </xf>
    <xf numFmtId="0" fontId="5" fillId="74" borderId="26" xfId="6" applyBorder="1" applyAlignment="1">
      <alignment horizontal="center" vertical="top" wrapText="1"/>
    </xf>
    <xf numFmtId="4" fontId="5" fillId="74" borderId="26" xfId="9" applyNumberFormat="1" applyFont="1" applyFill="1" applyBorder="1" applyAlignment="1">
      <alignment horizontal="right" wrapText="1"/>
    </xf>
    <xf numFmtId="4" fontId="5" fillId="77" borderId="26" xfId="5" applyNumberFormat="1" applyFont="1" applyFill="1" applyBorder="1" applyAlignment="1">
      <alignment horizontal="right"/>
    </xf>
    <xf numFmtId="0" fontId="6" fillId="77" borderId="13" xfId="4" applyFont="1" applyFill="1" applyBorder="1" applyAlignment="1">
      <alignment horizontal="center"/>
    </xf>
    <xf numFmtId="0" fontId="6" fillId="77" borderId="14" xfId="4" applyFont="1" applyFill="1" applyBorder="1" applyAlignment="1">
      <alignment horizontal="center"/>
    </xf>
    <xf numFmtId="0" fontId="16" fillId="77" borderId="26" xfId="6" applyFont="1" applyFill="1" applyBorder="1" applyAlignment="1">
      <alignment horizontal="left" vertical="top" wrapText="1"/>
    </xf>
    <xf numFmtId="0" fontId="12" fillId="77" borderId="21" xfId="4" applyFont="1" applyFill="1" applyBorder="1" applyAlignment="1">
      <alignment horizontal="center"/>
    </xf>
    <xf numFmtId="0" fontId="12" fillId="77" borderId="21" xfId="4" applyFont="1" applyFill="1" applyBorder="1" applyAlignment="1">
      <alignment horizontal="left"/>
    </xf>
    <xf numFmtId="0" fontId="6" fillId="74" borderId="21" xfId="4" applyFont="1" applyBorder="1" applyAlignment="1">
      <alignment horizontal="justify" vertical="center" wrapText="1"/>
    </xf>
    <xf numFmtId="0" fontId="6" fillId="77" borderId="18" xfId="4" applyFont="1" applyFill="1" applyBorder="1" applyAlignment="1">
      <alignment horizontal="left"/>
    </xf>
    <xf numFmtId="0" fontId="6" fillId="77" borderId="21" xfId="4" applyFont="1" applyFill="1" applyBorder="1" applyAlignment="1">
      <alignment horizontal="center" wrapText="1"/>
    </xf>
    <xf numFmtId="0" fontId="6" fillId="77" borderId="21" xfId="4" applyFont="1" applyFill="1" applyBorder="1" applyAlignment="1">
      <alignment wrapText="1"/>
    </xf>
    <xf numFmtId="0" fontId="6" fillId="77" borderId="21" xfId="4" applyFont="1" applyFill="1" applyBorder="1" applyAlignment="1">
      <alignment horizontal="right" wrapText="1"/>
    </xf>
    <xf numFmtId="4" fontId="5" fillId="77" borderId="21" xfId="5" applyNumberFormat="1" applyFont="1" applyFill="1" applyBorder="1" applyAlignment="1">
      <alignment horizontal="center" wrapText="1"/>
    </xf>
    <xf numFmtId="0" fontId="6" fillId="77" borderId="15" xfId="4" applyFont="1" applyFill="1" applyBorder="1" applyAlignment="1">
      <alignment horizontal="center"/>
    </xf>
    <xf numFmtId="0" fontId="6" fillId="77" borderId="1" xfId="4" applyFont="1" applyFill="1" applyAlignment="1">
      <alignment horizontal="center"/>
    </xf>
    <xf numFmtId="0" fontId="5" fillId="74" borderId="21" xfId="6" applyBorder="1" applyAlignment="1">
      <alignment horizontal="center" vertical="top" wrapText="1"/>
    </xf>
    <xf numFmtId="4" fontId="5" fillId="74" borderId="21" xfId="9" applyNumberFormat="1" applyFont="1" applyFill="1" applyBorder="1" applyAlignment="1">
      <alignment horizontal="right" wrapText="1"/>
    </xf>
    <xf numFmtId="0" fontId="12" fillId="74" borderId="26" xfId="4" applyFont="1" applyBorder="1"/>
    <xf numFmtId="0" fontId="5" fillId="77" borderId="26" xfId="6" applyFill="1" applyBorder="1" applyAlignment="1">
      <alignment horizontal="left" vertical="top" wrapText="1"/>
    </xf>
    <xf numFmtId="2" fontId="5" fillId="77" borderId="26" xfId="5" applyNumberFormat="1" applyFont="1" applyFill="1" applyBorder="1" applyAlignment="1">
      <alignment horizontal="right"/>
    </xf>
    <xf numFmtId="0" fontId="16" fillId="74" borderId="26" xfId="6" applyFont="1" applyBorder="1" applyAlignment="1">
      <alignment horizontal="center" vertical="top" wrapText="1"/>
    </xf>
    <xf numFmtId="4" fontId="17" fillId="74" borderId="26" xfId="9" applyNumberFormat="1" applyFont="1" applyFill="1" applyBorder="1" applyAlignment="1">
      <alignment horizontal="right" wrapText="1"/>
    </xf>
    <xf numFmtId="4" fontId="17" fillId="74" borderId="26" xfId="5" applyNumberFormat="1" applyFont="1" applyFill="1" applyBorder="1" applyAlignment="1">
      <alignment horizontal="right"/>
    </xf>
    <xf numFmtId="0" fontId="16" fillId="74" borderId="21" xfId="6" applyFont="1" applyBorder="1" applyAlignment="1">
      <alignment horizontal="center" vertical="top" wrapText="1"/>
    </xf>
    <xf numFmtId="4" fontId="17" fillId="74" borderId="21" xfId="9" applyNumberFormat="1" applyFont="1" applyFill="1" applyBorder="1" applyAlignment="1">
      <alignment horizontal="right" wrapText="1"/>
    </xf>
    <xf numFmtId="4" fontId="17" fillId="74" borderId="21" xfId="5" applyNumberFormat="1" applyFont="1" applyFill="1" applyBorder="1" applyAlignment="1">
      <alignment horizontal="right"/>
    </xf>
    <xf numFmtId="2" fontId="5" fillId="77" borderId="21" xfId="5" applyNumberFormat="1" applyFont="1" applyFill="1" applyBorder="1" applyAlignment="1">
      <alignment horizontal="right"/>
    </xf>
    <xf numFmtId="0" fontId="12" fillId="74" borderId="19" xfId="4" applyFont="1" applyBorder="1" applyAlignment="1">
      <alignment horizontal="center"/>
    </xf>
    <xf numFmtId="0" fontId="12" fillId="74" borderId="20" xfId="4" applyFont="1" applyBorder="1" applyAlignment="1">
      <alignment horizontal="center"/>
    </xf>
    <xf numFmtId="4" fontId="12" fillId="74" borderId="4" xfId="4" applyNumberFormat="1" applyFont="1" applyBorder="1" applyAlignment="1">
      <alignment horizontal="right" wrapText="1"/>
    </xf>
    <xf numFmtId="0" fontId="12" fillId="74" borderId="18" xfId="4" applyFont="1" applyBorder="1" applyAlignment="1">
      <alignment horizontal="center"/>
    </xf>
    <xf numFmtId="0" fontId="6" fillId="77" borderId="21" xfId="4" applyFont="1" applyFill="1" applyBorder="1" applyAlignment="1">
      <alignment horizontal="justify" vertical="center" wrapText="1"/>
    </xf>
    <xf numFmtId="0" fontId="5" fillId="77" borderId="21" xfId="6" applyFill="1" applyBorder="1" applyAlignment="1">
      <alignment horizontal="center" vertical="top" wrapText="1"/>
    </xf>
    <xf numFmtId="4" fontId="5" fillId="77" borderId="21" xfId="9" applyNumberFormat="1" applyFont="1" applyFill="1" applyBorder="1" applyAlignment="1">
      <alignment horizontal="right" wrapText="1"/>
    </xf>
    <xf numFmtId="4" fontId="10" fillId="74" borderId="25" xfId="4" applyNumberFormat="1" applyFont="1" applyBorder="1" applyAlignment="1">
      <alignment horizontal="right" wrapText="1"/>
    </xf>
    <xf numFmtId="0" fontId="12" fillId="74" borderId="21" xfId="4" applyFont="1" applyBorder="1" applyAlignment="1">
      <alignment horizontal="left"/>
    </xf>
    <xf numFmtId="0" fontId="12" fillId="77" borderId="21" xfId="4" applyFont="1" applyFill="1" applyBorder="1" applyAlignment="1">
      <alignment horizontal="left" vertical="center"/>
    </xf>
    <xf numFmtId="4" fontId="12" fillId="77" borderId="21" xfId="4" applyNumberFormat="1" applyFont="1" applyFill="1" applyBorder="1" applyAlignment="1">
      <alignment horizontal="center" vertical="center"/>
    </xf>
    <xf numFmtId="0" fontId="12" fillId="77" borderId="17" xfId="4" applyFont="1" applyFill="1" applyBorder="1" applyAlignment="1">
      <alignment horizontal="center" vertical="center"/>
    </xf>
    <xf numFmtId="0" fontId="12" fillId="74" borderId="21" xfId="4" applyFont="1" applyBorder="1" applyAlignment="1">
      <alignment horizontal="right"/>
    </xf>
    <xf numFmtId="0" fontId="12" fillId="74" borderId="21" xfId="4" applyFont="1" applyBorder="1" applyAlignment="1">
      <alignment horizontal="left" wrapText="1"/>
    </xf>
    <xf numFmtId="0" fontId="18" fillId="74" borderId="21" xfId="2" applyFont="1" applyBorder="1"/>
    <xf numFmtId="0" fontId="6" fillId="82" borderId="21" xfId="3" applyFont="1" applyFill="1" applyBorder="1" applyAlignment="1">
      <alignment horizontal="center" vertical="center"/>
    </xf>
    <xf numFmtId="0" fontId="6" fillId="74" borderId="1" xfId="4" applyFont="1" applyAlignment="1">
      <alignment vertical="center" wrapText="1"/>
    </xf>
    <xf numFmtId="0" fontId="6" fillId="74" borderId="1" xfId="4" applyFont="1" applyAlignment="1">
      <alignment horizontal="center" vertical="center" wrapText="1"/>
    </xf>
    <xf numFmtId="0" fontId="19" fillId="74" borderId="2" xfId="4" applyFont="1" applyBorder="1" applyAlignment="1">
      <alignment horizontal="right" vertical="top" wrapText="1"/>
    </xf>
    <xf numFmtId="0" fontId="14" fillId="74" borderId="2" xfId="4" applyFont="1" applyBorder="1" applyAlignment="1">
      <alignment horizontal="center" vertical="top" wrapText="1"/>
    </xf>
    <xf numFmtId="4" fontId="14" fillId="74" borderId="2" xfId="4" applyNumberFormat="1" applyFont="1" applyBorder="1" applyAlignment="1">
      <alignment horizontal="right" wrapText="1"/>
    </xf>
    <xf numFmtId="0" fontId="6" fillId="74" borderId="21" xfId="8" applyFont="1" applyBorder="1" applyAlignment="1">
      <alignment horizontal="right" vertical="top" wrapText="1"/>
    </xf>
    <xf numFmtId="0" fontId="19" fillId="74" borderId="21" xfId="4" applyFont="1" applyBorder="1" applyAlignment="1">
      <alignment horizontal="right" vertical="top" wrapText="1"/>
    </xf>
    <xf numFmtId="0" fontId="14" fillId="74" borderId="21" xfId="4" applyFont="1" applyBorder="1" applyAlignment="1">
      <alignment horizontal="center" vertical="top" wrapText="1"/>
    </xf>
    <xf numFmtId="0" fontId="20" fillId="74" borderId="21" xfId="6" applyFont="1" applyBorder="1" applyAlignment="1">
      <alignment horizontal="right" vertical="top" wrapText="1"/>
    </xf>
    <xf numFmtId="39" fontId="5" fillId="74" borderId="21" xfId="3" applyNumberFormat="1" applyBorder="1" applyAlignment="1">
      <alignment horizontal="center" vertical="center"/>
    </xf>
    <xf numFmtId="4" fontId="12" fillId="74" borderId="1" xfId="4" applyNumberFormat="1" applyFont="1" applyAlignment="1">
      <alignment horizontal="right" wrapText="1"/>
    </xf>
    <xf numFmtId="0" fontId="5" fillId="74" borderId="21" xfId="8" applyFont="1" applyBorder="1" applyAlignment="1">
      <alignment horizontal="center" vertical="top" wrapText="1"/>
    </xf>
    <xf numFmtId="2" fontId="5" fillId="74" borderId="21" xfId="8" applyNumberFormat="1" applyFont="1" applyBorder="1" applyAlignment="1">
      <alignment horizontal="center" vertical="top" wrapText="1"/>
    </xf>
    <xf numFmtId="169" fontId="12" fillId="75" borderId="21" xfId="10" applyNumberFormat="1" applyFont="1" applyFill="1" applyBorder="1" applyAlignment="1">
      <alignment horizontal="right" vertical="center"/>
    </xf>
    <xf numFmtId="0" fontId="10" fillId="77" borderId="25" xfId="4" applyFont="1" applyFill="1" applyBorder="1" applyAlignment="1">
      <alignment horizontal="center" vertical="center"/>
    </xf>
    <xf numFmtId="0" fontId="10" fillId="77" borderId="16" xfId="4" applyFont="1" applyFill="1" applyBorder="1" applyAlignment="1">
      <alignment horizontal="center" vertical="center" wrapText="1"/>
    </xf>
    <xf numFmtId="0" fontId="6" fillId="77" borderId="25" xfId="4" applyFont="1" applyFill="1" applyBorder="1" applyAlignment="1">
      <alignment vertical="center" wrapText="1"/>
    </xf>
    <xf numFmtId="0" fontId="6" fillId="77" borderId="25" xfId="4" applyFont="1" applyFill="1" applyBorder="1" applyAlignment="1">
      <alignment horizontal="center" vertical="center" wrapText="1"/>
    </xf>
    <xf numFmtId="0" fontId="6" fillId="77" borderId="25" xfId="4" applyFont="1" applyFill="1" applyBorder="1" applyAlignment="1">
      <alignment horizontal="right" vertical="center" wrapText="1"/>
    </xf>
    <xf numFmtId="0" fontId="6" fillId="77" borderId="29" xfId="4" applyFont="1" applyFill="1" applyBorder="1" applyAlignment="1">
      <alignment horizontal="right" vertical="center" wrapText="1"/>
    </xf>
    <xf numFmtId="4" fontId="10" fillId="77" borderId="30" xfId="4" applyNumberFormat="1" applyFont="1" applyFill="1" applyBorder="1" applyAlignment="1">
      <alignment horizontal="right" wrapText="1"/>
    </xf>
    <xf numFmtId="0" fontId="5" fillId="77" borderId="25" xfId="4" applyFont="1" applyFill="1" applyBorder="1" applyAlignment="1">
      <alignment horizontal="center" vertical="center" wrapText="1"/>
    </xf>
    <xf numFmtId="4" fontId="5" fillId="74" borderId="25" xfId="5" applyNumberFormat="1" applyFont="1" applyFill="1" applyBorder="1" applyAlignment="1">
      <alignment horizontal="right"/>
    </xf>
    <xf numFmtId="4" fontId="14" fillId="77" borderId="7" xfId="4" applyNumberFormat="1" applyFont="1" applyFill="1" applyBorder="1" applyAlignment="1">
      <alignment horizontal="right" wrapText="1"/>
    </xf>
    <xf numFmtId="4" fontId="12" fillId="77" borderId="7" xfId="4" applyNumberFormat="1" applyFont="1" applyFill="1" applyBorder="1" applyAlignment="1">
      <alignment horizontal="right" wrapText="1"/>
    </xf>
    <xf numFmtId="0" fontId="10" fillId="77" borderId="26" xfId="4" applyFont="1" applyFill="1" applyBorder="1" applyAlignment="1">
      <alignment horizontal="center" vertical="center" wrapText="1"/>
    </xf>
    <xf numFmtId="4" fontId="12" fillId="77" borderId="26" xfId="4" applyNumberFormat="1" applyFont="1" applyFill="1" applyBorder="1" applyAlignment="1">
      <alignment horizontal="right" wrapText="1"/>
    </xf>
    <xf numFmtId="0" fontId="4" fillId="77" borderId="1" xfId="2" applyFill="1"/>
    <xf numFmtId="4" fontId="10" fillId="77" borderId="7" xfId="4" applyNumberFormat="1" applyFont="1" applyFill="1" applyBorder="1" applyAlignment="1">
      <alignment horizontal="right" wrapText="1"/>
    </xf>
    <xf numFmtId="0" fontId="12" fillId="74" borderId="26" xfId="4" applyFont="1" applyBorder="1" applyAlignment="1">
      <alignment horizontal="center" vertical="center"/>
    </xf>
    <xf numFmtId="0" fontId="12" fillId="74" borderId="13" xfId="4" applyFont="1" applyBorder="1" applyAlignment="1">
      <alignment horizontal="right" vertical="center"/>
    </xf>
    <xf numFmtId="2" fontId="5" fillId="74" borderId="26" xfId="8" applyNumberFormat="1" applyFont="1" applyBorder="1" applyAlignment="1">
      <alignment horizontal="right" vertical="top" wrapText="1"/>
    </xf>
    <xf numFmtId="0" fontId="6" fillId="74" borderId="26" xfId="8" applyFont="1" applyBorder="1" applyAlignment="1">
      <alignment horizontal="right" vertical="top" wrapText="1"/>
    </xf>
    <xf numFmtId="0" fontId="12" fillId="77" borderId="26" xfId="4" applyFont="1" applyFill="1" applyBorder="1" applyAlignment="1">
      <alignment horizontal="right" vertical="center" wrapText="1"/>
    </xf>
    <xf numFmtId="0" fontId="12" fillId="74" borderId="21" xfId="4" applyFont="1" applyBorder="1" applyAlignment="1">
      <alignment horizontal="right" vertical="center"/>
    </xf>
    <xf numFmtId="0" fontId="5" fillId="74" borderId="21" xfId="4" applyFont="1" applyBorder="1" applyAlignment="1">
      <alignment horizontal="left" vertical="top" wrapText="1"/>
    </xf>
    <xf numFmtId="0" fontId="12" fillId="74" borderId="16" xfId="4" applyFont="1" applyBorder="1" applyAlignment="1">
      <alignment horizontal="center" vertical="center"/>
    </xf>
    <xf numFmtId="0" fontId="12" fillId="74" borderId="17" xfId="4" applyFont="1" applyBorder="1" applyAlignment="1">
      <alignment horizontal="center" vertical="center"/>
    </xf>
    <xf numFmtId="0" fontId="12" fillId="74" borderId="31" xfId="4" applyFont="1" applyBorder="1" applyAlignment="1">
      <alignment horizontal="center" vertical="center"/>
    </xf>
    <xf numFmtId="0" fontId="6" fillId="77" borderId="25" xfId="4" applyFont="1" applyFill="1" applyBorder="1" applyAlignment="1">
      <alignment horizontal="justify" vertical="center" wrapText="1"/>
    </xf>
    <xf numFmtId="0" fontId="5" fillId="74" borderId="31" xfId="4" applyFont="1" applyBorder="1" applyAlignment="1">
      <alignment horizontal="right" vertical="center" wrapText="1"/>
    </xf>
    <xf numFmtId="0" fontId="10" fillId="74" borderId="25" xfId="4" applyFont="1" applyBorder="1" applyAlignment="1">
      <alignment horizontal="center" vertical="center" wrapText="1"/>
    </xf>
    <xf numFmtId="4" fontId="12" fillId="74" borderId="7" xfId="4" applyNumberFormat="1" applyFont="1" applyBorder="1" applyAlignment="1">
      <alignment horizontal="right" wrapText="1"/>
    </xf>
    <xf numFmtId="0" fontId="10" fillId="74" borderId="29" xfId="4" applyFont="1" applyBorder="1" applyAlignment="1">
      <alignment horizontal="center" vertical="center"/>
    </xf>
    <xf numFmtId="0" fontId="10" fillId="74" borderId="15" xfId="4" applyFont="1" applyBorder="1" applyAlignment="1">
      <alignment horizontal="center" vertical="center" wrapText="1"/>
    </xf>
    <xf numFmtId="0" fontId="6" fillId="74" borderId="29" xfId="4" applyFont="1" applyBorder="1" applyAlignment="1">
      <alignment horizontal="center" vertical="center" wrapText="1"/>
    </xf>
    <xf numFmtId="0" fontId="6" fillId="74" borderId="29" xfId="4" applyFont="1" applyBorder="1" applyAlignment="1">
      <alignment vertical="center" wrapText="1"/>
    </xf>
    <xf numFmtId="0" fontId="6" fillId="74" borderId="29" xfId="4" applyFont="1" applyBorder="1" applyAlignment="1">
      <alignment horizontal="right" vertical="center" wrapText="1"/>
    </xf>
    <xf numFmtId="4" fontId="10" fillId="74" borderId="26" xfId="4" applyNumberFormat="1" applyFont="1" applyBorder="1" applyAlignment="1">
      <alignment horizontal="right" wrapText="1"/>
    </xf>
    <xf numFmtId="4" fontId="10" fillId="74" borderId="29" xfId="4" applyNumberFormat="1" applyFont="1" applyBorder="1" applyAlignment="1">
      <alignment horizontal="right" wrapText="1"/>
    </xf>
    <xf numFmtId="0" fontId="12" fillId="74" borderId="19" xfId="4" applyFont="1" applyBorder="1" applyAlignment="1">
      <alignment horizontal="right" vertical="center"/>
    </xf>
    <xf numFmtId="4" fontId="12" fillId="74" borderId="26" xfId="4" applyNumberFormat="1" applyFont="1" applyBorder="1" applyAlignment="1">
      <alignment horizontal="right" wrapText="1"/>
    </xf>
    <xf numFmtId="0" fontId="6" fillId="77" borderId="21" xfId="8" applyFont="1" applyFill="1" applyBorder="1" applyAlignment="1">
      <alignment horizontal="right" vertical="top" wrapText="1"/>
    </xf>
    <xf numFmtId="0" fontId="16" fillId="74" borderId="21" xfId="6" applyFont="1" applyBorder="1" applyAlignment="1">
      <alignment horizontal="right" vertical="top" wrapText="1"/>
    </xf>
    <xf numFmtId="4" fontId="5" fillId="77" borderId="21" xfId="5" applyNumberFormat="1" applyFont="1" applyFill="1" applyBorder="1" applyAlignment="1">
      <alignment horizontal="right" wrapText="1"/>
    </xf>
    <xf numFmtId="4" fontId="12" fillId="74" borderId="6" xfId="4" applyNumberFormat="1" applyFont="1" applyBorder="1" applyAlignment="1">
      <alignment horizontal="right" wrapText="1"/>
    </xf>
    <xf numFmtId="0" fontId="6" fillId="77" borderId="26" xfId="4" applyFont="1" applyFill="1" applyBorder="1" applyAlignment="1">
      <alignment horizontal="justify" vertical="center" wrapText="1"/>
    </xf>
    <xf numFmtId="0" fontId="5" fillId="74" borderId="26" xfId="4" applyFont="1" applyBorder="1" applyAlignment="1">
      <alignment vertical="center" wrapText="1"/>
    </xf>
    <xf numFmtId="0" fontId="12" fillId="77" borderId="26" xfId="4" applyFont="1" applyFill="1" applyBorder="1" applyAlignment="1">
      <alignment horizontal="center" vertical="center"/>
    </xf>
    <xf numFmtId="0" fontId="12" fillId="77" borderId="13" xfId="4" applyFont="1" applyFill="1" applyBorder="1" applyAlignment="1">
      <alignment horizontal="center" vertical="center"/>
    </xf>
    <xf numFmtId="0" fontId="13" fillId="74" borderId="21" xfId="6" applyFont="1" applyBorder="1" applyAlignment="1">
      <alignment horizontal="left" vertical="center" wrapText="1"/>
    </xf>
    <xf numFmtId="0" fontId="5" fillId="74" borderId="20" xfId="6" applyBorder="1" applyAlignment="1">
      <alignment horizontal="center" vertical="center" wrapText="1"/>
    </xf>
    <xf numFmtId="4" fontId="5" fillId="74" borderId="21" xfId="5" applyNumberFormat="1" applyFont="1" applyFill="1" applyBorder="1" applyAlignment="1">
      <alignment horizontal="right" vertical="center"/>
    </xf>
    <xf numFmtId="4" fontId="5" fillId="74" borderId="21" xfId="5" applyNumberFormat="1" applyFont="1" applyFill="1" applyBorder="1" applyAlignment="1">
      <alignment horizontal="center" vertical="center" wrapText="1"/>
    </xf>
    <xf numFmtId="4" fontId="5" fillId="77" borderId="21" xfId="5" applyNumberFormat="1" applyFont="1" applyFill="1" applyBorder="1" applyAlignment="1">
      <alignment horizontal="right" vertical="center"/>
    </xf>
    <xf numFmtId="0" fontId="6" fillId="77" borderId="20" xfId="6" applyFont="1" applyFill="1" applyBorder="1" applyAlignment="1">
      <alignment horizontal="center" vertical="center" wrapText="1"/>
    </xf>
    <xf numFmtId="4" fontId="5" fillId="74" borderId="21" xfId="11" applyNumberFormat="1" applyFont="1" applyFill="1" applyBorder="1" applyAlignment="1">
      <alignment horizontal="right" vertical="center" wrapText="1"/>
    </xf>
    <xf numFmtId="0" fontId="6" fillId="77" borderId="21" xfId="6" applyFont="1" applyFill="1" applyBorder="1" applyAlignment="1">
      <alignment horizontal="right" vertical="center" wrapText="1"/>
    </xf>
    <xf numFmtId="0" fontId="5" fillId="79" borderId="21" xfId="3" applyFill="1" applyBorder="1" applyAlignment="1">
      <alignment horizontal="right" vertical="center"/>
    </xf>
    <xf numFmtId="4" fontId="5" fillId="77" borderId="25" xfId="5" applyNumberFormat="1" applyFont="1" applyFill="1" applyBorder="1" applyAlignment="1">
      <alignment horizontal="right"/>
    </xf>
    <xf numFmtId="0" fontId="6" fillId="77" borderId="29" xfId="4" applyFont="1" applyFill="1" applyBorder="1" applyAlignment="1">
      <alignment horizontal="center" vertical="center" wrapText="1"/>
    </xf>
    <xf numFmtId="0" fontId="6" fillId="77" borderId="29" xfId="4" applyFont="1" applyFill="1" applyBorder="1" applyAlignment="1">
      <alignment vertical="center" wrapText="1"/>
    </xf>
    <xf numFmtId="0" fontId="5" fillId="77" borderId="29" xfId="4" applyFont="1" applyFill="1" applyBorder="1" applyAlignment="1">
      <alignment horizontal="right" vertical="center" wrapText="1"/>
    </xf>
    <xf numFmtId="0" fontId="12" fillId="77" borderId="13" xfId="4" applyFont="1" applyFill="1" applyBorder="1" applyAlignment="1">
      <alignment horizontal="right" vertical="center"/>
    </xf>
    <xf numFmtId="0" fontId="10" fillId="74" borderId="29" xfId="4" applyFont="1" applyBorder="1" applyAlignment="1">
      <alignment horizontal="center" vertical="center" wrapText="1"/>
    </xf>
    <xf numFmtId="43" fontId="5" fillId="74" borderId="21" xfId="7" applyFont="1" applyFill="1" applyBorder="1" applyAlignment="1">
      <alignment horizontal="right" vertical="center" wrapText="1"/>
    </xf>
    <xf numFmtId="0" fontId="5" fillId="74" borderId="20" xfId="8" applyFont="1" applyBorder="1" applyAlignment="1">
      <alignment horizontal="right" vertical="top" wrapText="1"/>
    </xf>
    <xf numFmtId="2" fontId="12" fillId="77" borderId="21" xfId="4" applyNumberFormat="1" applyFont="1" applyFill="1" applyBorder="1" applyAlignment="1">
      <alignment horizontal="center" vertical="center"/>
    </xf>
    <xf numFmtId="2" fontId="5" fillId="77" borderId="29" xfId="4" applyNumberFormat="1" applyFont="1" applyFill="1" applyBorder="1" applyAlignment="1">
      <alignment horizontal="right" vertical="center" wrapText="1"/>
    </xf>
    <xf numFmtId="0" fontId="20" fillId="77" borderId="21" xfId="6" applyFont="1" applyFill="1" applyBorder="1" applyAlignment="1">
      <alignment horizontal="right" vertical="top" wrapText="1"/>
    </xf>
    <xf numFmtId="0" fontId="5" fillId="74" borderId="26" xfId="4" applyFont="1" applyBorder="1" applyAlignment="1">
      <alignment horizontal="center" vertical="center" wrapText="1"/>
    </xf>
    <xf numFmtId="0" fontId="6" fillId="77" borderId="21" xfId="6" applyFont="1" applyFill="1" applyBorder="1" applyAlignment="1">
      <alignment horizontal="right" vertical="top" wrapText="1"/>
    </xf>
    <xf numFmtId="4" fontId="12" fillId="74" borderId="21" xfId="6" applyNumberFormat="1" applyFont="1" applyBorder="1" applyAlignment="1">
      <alignment horizontal="right" wrapText="1"/>
    </xf>
    <xf numFmtId="0" fontId="12" fillId="77" borderId="1" xfId="3" applyFont="1" applyFill="1" applyAlignment="1">
      <alignment horizontal="right"/>
    </xf>
    <xf numFmtId="4" fontId="5" fillId="77" borderId="26" xfId="6" applyNumberFormat="1" applyFill="1" applyBorder="1" applyAlignment="1">
      <alignment horizontal="right" wrapText="1"/>
    </xf>
    <xf numFmtId="4" fontId="5" fillId="74" borderId="21" xfId="4" applyNumberFormat="1" applyFont="1" applyBorder="1" applyAlignment="1">
      <alignment horizontal="center" vertical="center" wrapText="1"/>
    </xf>
    <xf numFmtId="0" fontId="13" fillId="77" borderId="21" xfId="6" applyFont="1" applyFill="1" applyBorder="1" applyAlignment="1">
      <alignment horizontal="right" vertical="top" wrapText="1"/>
    </xf>
    <xf numFmtId="2" fontId="12" fillId="74" borderId="21" xfId="4" applyNumberFormat="1" applyFont="1" applyBorder="1" applyAlignment="1">
      <alignment horizontal="center" vertical="center"/>
    </xf>
    <xf numFmtId="4" fontId="12" fillId="74" borderId="21" xfId="4" applyNumberFormat="1" applyFont="1" applyBorder="1" applyAlignment="1">
      <alignment horizontal="center" vertical="center"/>
    </xf>
    <xf numFmtId="0" fontId="16" fillId="77" borderId="25" xfId="6" applyFont="1" applyFill="1" applyBorder="1" applyAlignment="1">
      <alignment horizontal="justify" vertical="top" wrapText="1"/>
    </xf>
    <xf numFmtId="0" fontId="5" fillId="77" borderId="25" xfId="6" applyFill="1" applyBorder="1" applyAlignment="1">
      <alignment horizontal="center" vertical="top" wrapText="1"/>
    </xf>
    <xf numFmtId="4" fontId="14" fillId="77" borderId="21" xfId="4" applyNumberFormat="1" applyFont="1" applyFill="1" applyBorder="1" applyAlignment="1">
      <alignment horizontal="right" wrapText="1"/>
    </xf>
    <xf numFmtId="4" fontId="5" fillId="77" borderId="25" xfId="6" applyNumberFormat="1" applyFill="1" applyBorder="1" applyAlignment="1">
      <alignment horizontal="right" wrapText="1"/>
    </xf>
    <xf numFmtId="2" fontId="5" fillId="74" borderId="21" xfId="4" applyNumberFormat="1" applyFont="1" applyBorder="1" applyAlignment="1">
      <alignment horizontal="right" vertical="center" wrapText="1"/>
    </xf>
    <xf numFmtId="0" fontId="6" fillId="77" borderId="14" xfId="4" applyFont="1" applyFill="1" applyBorder="1" applyAlignment="1">
      <alignment horizontal="left"/>
    </xf>
    <xf numFmtId="0" fontId="16" fillId="77" borderId="21" xfId="6" applyFont="1" applyFill="1" applyBorder="1" applyAlignment="1">
      <alignment horizontal="right" vertical="top" wrapText="1"/>
    </xf>
    <xf numFmtId="168" fontId="12" fillId="77" borderId="21" xfId="4" applyNumberFormat="1" applyFont="1" applyFill="1" applyBorder="1" applyAlignment="1">
      <alignment horizontal="center"/>
    </xf>
    <xf numFmtId="4" fontId="5" fillId="77" borderId="14" xfId="5" applyNumberFormat="1" applyFont="1" applyFill="1" applyBorder="1" applyAlignment="1">
      <alignment horizontal="right"/>
    </xf>
    <xf numFmtId="0" fontId="12" fillId="77" borderId="21" xfId="4" applyFont="1" applyFill="1" applyBorder="1" applyAlignment="1">
      <alignment horizontal="center" wrapText="1"/>
    </xf>
    <xf numFmtId="4" fontId="14" fillId="77" borderId="26" xfId="4" applyNumberFormat="1" applyFont="1" applyFill="1" applyBorder="1" applyAlignment="1">
      <alignment horizontal="right" wrapText="1"/>
    </xf>
    <xf numFmtId="165" fontId="5" fillId="74" borderId="21" xfId="6" applyNumberFormat="1" applyBorder="1" applyAlignment="1">
      <alignment horizontal="right" wrapText="1"/>
    </xf>
    <xf numFmtId="0" fontId="6" fillId="74" borderId="21" xfId="6" applyFont="1" applyBorder="1" applyAlignment="1">
      <alignment horizontal="center" vertical="top" wrapText="1"/>
    </xf>
    <xf numFmtId="4" fontId="17" fillId="74" borderId="21" xfId="5" applyNumberFormat="1" applyFont="1" applyFill="1" applyBorder="1" applyAlignment="1">
      <alignment horizontal="right" wrapText="1"/>
    </xf>
    <xf numFmtId="165" fontId="5" fillId="77" borderId="21" xfId="5" applyNumberFormat="1" applyFont="1" applyFill="1" applyBorder="1" applyAlignment="1">
      <alignment horizontal="right"/>
    </xf>
    <xf numFmtId="4" fontId="6" fillId="74" borderId="21" xfId="6" applyNumberFormat="1" applyFont="1" applyBorder="1" applyAlignment="1">
      <alignment horizontal="right" wrapText="1"/>
    </xf>
    <xf numFmtId="0" fontId="6" fillId="77" borderId="26" xfId="4" applyFont="1" applyFill="1" applyBorder="1" applyAlignment="1">
      <alignment horizontal="center"/>
    </xf>
    <xf numFmtId="0" fontId="6" fillId="77" borderId="13" xfId="4" applyFont="1" applyFill="1" applyBorder="1" applyAlignment="1">
      <alignment horizontal="left"/>
    </xf>
    <xf numFmtId="0" fontId="5" fillId="77" borderId="21" xfId="4" applyFont="1" applyFill="1" applyBorder="1" applyAlignment="1">
      <alignment horizontal="center" vertical="center" wrapText="1"/>
    </xf>
    <xf numFmtId="0" fontId="5" fillId="77" borderId="26" xfId="4" applyFont="1" applyFill="1" applyBorder="1" applyAlignment="1">
      <alignment horizontal="center" vertical="center" wrapText="1"/>
    </xf>
    <xf numFmtId="0" fontId="12" fillId="74" borderId="21" xfId="4" applyFont="1" applyBorder="1" applyAlignment="1">
      <alignment horizontal="left" vertical="center"/>
    </xf>
    <xf numFmtId="4" fontId="12" fillId="74" borderId="20" xfId="4" applyNumberFormat="1" applyFont="1" applyBorder="1" applyAlignment="1">
      <alignment horizontal="right" wrapText="1"/>
    </xf>
    <xf numFmtId="0" fontId="5" fillId="77" borderId="21" xfId="8" applyFont="1" applyFill="1" applyBorder="1" applyAlignment="1">
      <alignment horizontal="right" vertical="top" wrapText="1"/>
    </xf>
    <xf numFmtId="4" fontId="5" fillId="77" borderId="21" xfId="8" applyNumberFormat="1" applyFont="1" applyFill="1" applyBorder="1" applyAlignment="1">
      <alignment horizontal="right" vertical="top" wrapText="1"/>
    </xf>
    <xf numFmtId="0" fontId="6" fillId="77" borderId="26" xfId="4" applyFont="1" applyFill="1" applyBorder="1" applyAlignment="1">
      <alignment horizontal="left"/>
    </xf>
    <xf numFmtId="0" fontId="16" fillId="74" borderId="26" xfId="6" applyFont="1" applyBorder="1" applyAlignment="1">
      <alignment horizontal="left" vertical="top" wrapText="1"/>
    </xf>
    <xf numFmtId="0" fontId="12" fillId="77" borderId="21" xfId="4" applyFont="1" applyFill="1" applyBorder="1" applyAlignment="1">
      <alignment horizontal="center" vertical="center" wrapText="1"/>
    </xf>
    <xf numFmtId="0" fontId="16" fillId="77" borderId="14" xfId="6" applyFont="1" applyFill="1" applyBorder="1" applyAlignment="1">
      <alignment horizontal="left" vertical="top" wrapText="1"/>
    </xf>
    <xf numFmtId="0" fontId="12" fillId="77" borderId="14" xfId="4" applyFont="1" applyFill="1" applyBorder="1" applyAlignment="1">
      <alignment horizontal="center"/>
    </xf>
    <xf numFmtId="4" fontId="5" fillId="77" borderId="14" xfId="6" applyNumberFormat="1" applyFill="1" applyBorder="1" applyAlignment="1">
      <alignment horizontal="right" wrapText="1"/>
    </xf>
    <xf numFmtId="0" fontId="21" fillId="77" borderId="21" xfId="6" applyFont="1" applyFill="1" applyBorder="1" applyAlignment="1">
      <alignment horizontal="right" vertical="top" wrapText="1"/>
    </xf>
    <xf numFmtId="0" fontId="5" fillId="77" borderId="26" xfId="6" applyFill="1" applyBorder="1" applyAlignment="1">
      <alignment horizontal="center" vertical="top"/>
    </xf>
    <xf numFmtId="0" fontId="6" fillId="77" borderId="21" xfId="6" applyFont="1" applyFill="1" applyBorder="1" applyAlignment="1">
      <alignment horizontal="left" vertical="top" wrapText="1"/>
    </xf>
    <xf numFmtId="4" fontId="12" fillId="77" borderId="21" xfId="4" applyNumberFormat="1" applyFont="1" applyFill="1" applyBorder="1" applyAlignment="1">
      <alignment horizontal="center"/>
    </xf>
    <xf numFmtId="0" fontId="13" fillId="77" borderId="14" xfId="6" applyFont="1" applyFill="1" applyBorder="1" applyAlignment="1">
      <alignment horizontal="right" vertical="top" wrapText="1"/>
    </xf>
    <xf numFmtId="0" fontId="5" fillId="77" borderId="14" xfId="6" applyFill="1" applyBorder="1" applyAlignment="1">
      <alignment horizontal="center" vertical="top"/>
    </xf>
    <xf numFmtId="4" fontId="12" fillId="74" borderId="14" xfId="4" applyNumberFormat="1" applyFont="1" applyBorder="1" applyAlignment="1">
      <alignment horizontal="right" wrapText="1"/>
    </xf>
    <xf numFmtId="2" fontId="5" fillId="74" borderId="14" xfId="4" applyNumberFormat="1" applyFont="1" applyBorder="1" applyAlignment="1">
      <alignment horizontal="right" vertical="center" wrapText="1"/>
    </xf>
    <xf numFmtId="4" fontId="12" fillId="77" borderId="26" xfId="4" applyNumberFormat="1" applyFont="1" applyFill="1" applyBorder="1" applyAlignment="1">
      <alignment horizontal="center" vertical="center"/>
    </xf>
    <xf numFmtId="168" fontId="22" fillId="74" borderId="21" xfId="5" applyFont="1" applyFill="1" applyBorder="1" applyAlignment="1">
      <alignment horizontal="left" vertical="center"/>
    </xf>
    <xf numFmtId="0" fontId="6" fillId="74" borderId="25" xfId="4" applyFont="1" applyBorder="1" applyAlignment="1">
      <alignment horizontal="justify" vertical="center" wrapText="1"/>
    </xf>
    <xf numFmtId="4" fontId="5" fillId="74" borderId="21" xfId="4" applyNumberFormat="1" applyFont="1" applyBorder="1" applyAlignment="1">
      <alignment horizontal="right" vertical="center" wrapText="1"/>
    </xf>
    <xf numFmtId="4" fontId="12" fillId="77" borderId="1" xfId="4" applyNumberFormat="1" applyFont="1" applyFill="1" applyAlignment="1">
      <alignment horizontal="right" wrapText="1"/>
    </xf>
    <xf numFmtId="0" fontId="12" fillId="74" borderId="1" xfId="4" applyFont="1" applyAlignment="1">
      <alignment horizontal="center" vertical="center"/>
    </xf>
    <xf numFmtId="0" fontId="12" fillId="74" borderId="21" xfId="4" applyFont="1" applyBorder="1" applyAlignment="1">
      <alignment horizontal="center" vertical="center" wrapText="1"/>
    </xf>
    <xf numFmtId="170" fontId="17" fillId="74" borderId="21" xfId="5" applyNumberFormat="1" applyFont="1" applyFill="1" applyBorder="1" applyAlignment="1">
      <alignment horizontal="right" wrapText="1"/>
    </xf>
    <xf numFmtId="0" fontId="5" fillId="74" borderId="21" xfId="3" applyBorder="1" applyAlignment="1">
      <alignment horizontal="center" vertical="center"/>
    </xf>
    <xf numFmtId="0" fontId="12" fillId="74" borderId="1" xfId="4" applyFont="1" applyAlignment="1">
      <alignment horizontal="center"/>
    </xf>
    <xf numFmtId="165" fontId="5" fillId="77" borderId="21" xfId="5" applyNumberFormat="1" applyFont="1" applyFill="1" applyBorder="1" applyAlignment="1">
      <alignment vertical="center"/>
    </xf>
    <xf numFmtId="0" fontId="6" fillId="77" borderId="21" xfId="4" applyFont="1" applyFill="1" applyBorder="1"/>
    <xf numFmtId="0" fontId="5" fillId="77" borderId="14" xfId="6" applyFill="1" applyBorder="1" applyAlignment="1">
      <alignment horizontal="center" vertical="top" wrapText="1"/>
    </xf>
    <xf numFmtId="4" fontId="12" fillId="74" borderId="14" xfId="6" applyNumberFormat="1" applyFont="1" applyBorder="1" applyAlignment="1">
      <alignment horizontal="right" wrapText="1"/>
    </xf>
    <xf numFmtId="0" fontId="6" fillId="74" borderId="25" xfId="6" applyFont="1" applyBorder="1" applyAlignment="1">
      <alignment horizontal="center" vertical="center" wrapText="1"/>
    </xf>
    <xf numFmtId="4" fontId="6" fillId="74" borderId="21" xfId="5" applyNumberFormat="1" applyFont="1" applyFill="1" applyBorder="1" applyAlignment="1">
      <alignment horizontal="right" vertical="center"/>
    </xf>
    <xf numFmtId="4" fontId="6" fillId="74" borderId="18" xfId="5" applyNumberFormat="1" applyFont="1" applyFill="1" applyBorder="1" applyAlignment="1">
      <alignment horizontal="right" vertical="center"/>
    </xf>
    <xf numFmtId="0" fontId="6" fillId="77" borderId="25" xfId="6" applyFont="1" applyFill="1" applyBorder="1" applyAlignment="1">
      <alignment horizontal="center" vertical="center" wrapText="1"/>
    </xf>
    <xf numFmtId="4" fontId="5" fillId="74" borderId="18" xfId="5" applyNumberFormat="1" applyFont="1" applyFill="1" applyBorder="1" applyAlignment="1">
      <alignment horizontal="right" vertical="center"/>
    </xf>
    <xf numFmtId="4" fontId="5" fillId="77" borderId="18" xfId="5" applyNumberFormat="1" applyFont="1" applyFill="1" applyBorder="1" applyAlignment="1">
      <alignment horizontal="right" vertical="center"/>
    </xf>
    <xf numFmtId="0" fontId="5" fillId="74" borderId="21" xfId="6" applyBorder="1" applyAlignment="1">
      <alignment horizontal="center" vertical="center" wrapText="1"/>
    </xf>
    <xf numFmtId="0" fontId="13" fillId="77" borderId="21" xfId="6" applyFont="1" applyFill="1" applyBorder="1" applyAlignment="1">
      <alignment horizontal="left" vertical="center" wrapText="1"/>
    </xf>
    <xf numFmtId="0" fontId="5" fillId="77" borderId="21" xfId="6" applyFill="1" applyBorder="1" applyAlignment="1">
      <alignment horizontal="center" vertical="center" wrapText="1"/>
    </xf>
    <xf numFmtId="4" fontId="5" fillId="77" borderId="21" xfId="11" applyNumberFormat="1" applyFont="1" applyFill="1" applyBorder="1" applyAlignment="1">
      <alignment horizontal="right" vertical="center" wrapText="1"/>
    </xf>
    <xf numFmtId="4" fontId="6" fillId="77" borderId="21" xfId="5" applyNumberFormat="1" applyFont="1" applyFill="1" applyBorder="1" applyAlignment="1">
      <alignment horizontal="center" vertical="center"/>
    </xf>
    <xf numFmtId="4" fontId="10" fillId="77" borderId="18" xfId="4" applyNumberFormat="1" applyFont="1" applyFill="1" applyBorder="1" applyAlignment="1">
      <alignment horizontal="right" wrapText="1"/>
    </xf>
    <xf numFmtId="0" fontId="6" fillId="77" borderId="25" xfId="6" applyFont="1" applyFill="1" applyBorder="1" applyAlignment="1">
      <alignment horizontal="left" vertical="center" wrapText="1"/>
    </xf>
    <xf numFmtId="0" fontId="6" fillId="77" borderId="21" xfId="6" applyFont="1" applyFill="1" applyBorder="1" applyAlignment="1">
      <alignment horizontal="left" vertical="center" wrapText="1"/>
    </xf>
    <xf numFmtId="0" fontId="6" fillId="77" borderId="18" xfId="6" applyFont="1" applyFill="1" applyBorder="1" applyAlignment="1">
      <alignment horizontal="left" vertical="center"/>
    </xf>
    <xf numFmtId="4" fontId="6" fillId="77" borderId="21" xfId="5" applyNumberFormat="1" applyFont="1" applyFill="1" applyBorder="1" applyAlignment="1">
      <alignment horizontal="center" vertical="center" wrapText="1"/>
    </xf>
    <xf numFmtId="4" fontId="23" fillId="77" borderId="21" xfId="5" applyNumberFormat="1" applyFont="1" applyFill="1" applyBorder="1" applyAlignment="1">
      <alignment horizontal="center" vertical="center" wrapText="1"/>
    </xf>
    <xf numFmtId="4" fontId="23" fillId="77" borderId="21" xfId="5" applyNumberFormat="1" applyFont="1" applyFill="1" applyBorder="1" applyAlignment="1">
      <alignment horizontal="right" vertical="center" wrapText="1"/>
    </xf>
    <xf numFmtId="4" fontId="5" fillId="74" borderId="16" xfId="5" applyNumberFormat="1" applyFont="1" applyFill="1" applyBorder="1" applyAlignment="1">
      <alignment horizontal="right" vertical="center"/>
    </xf>
    <xf numFmtId="4" fontId="6" fillId="77" borderId="21" xfId="5" applyNumberFormat="1" applyFont="1" applyFill="1" applyBorder="1" applyAlignment="1">
      <alignment horizontal="right" vertical="center"/>
    </xf>
    <xf numFmtId="4" fontId="5" fillId="74" borderId="19" xfId="5" applyNumberFormat="1" applyFont="1" applyFill="1" applyBorder="1" applyAlignment="1">
      <alignment horizontal="right" vertical="center"/>
    </xf>
    <xf numFmtId="165" fontId="5" fillId="77" borderId="21" xfId="11" applyNumberFormat="1" applyFont="1" applyFill="1" applyBorder="1" applyAlignment="1">
      <alignment horizontal="right" vertical="center" wrapText="1"/>
    </xf>
    <xf numFmtId="4" fontId="5" fillId="74" borderId="17" xfId="5" applyNumberFormat="1" applyFont="1" applyFill="1" applyBorder="1" applyAlignment="1">
      <alignment horizontal="right" vertical="center"/>
    </xf>
    <xf numFmtId="0" fontId="19" fillId="74" borderId="21" xfId="2" applyFont="1" applyBorder="1" applyAlignment="1">
      <alignment horizontal="right" vertical="top" wrapText="1"/>
    </xf>
    <xf numFmtId="0" fontId="5" fillId="83" borderId="26" xfId="4" applyFont="1" applyFill="1" applyBorder="1" applyAlignment="1">
      <alignment horizontal="right" vertical="center" wrapText="1"/>
    </xf>
    <xf numFmtId="0" fontId="5" fillId="77" borderId="21" xfId="4" applyFont="1" applyFill="1" applyBorder="1" applyAlignment="1">
      <alignment horizontal="right" wrapText="1"/>
    </xf>
    <xf numFmtId="0" fontId="12" fillId="77" borderId="21" xfId="3" applyFont="1" applyFill="1" applyBorder="1" applyAlignment="1">
      <alignment horizontal="right" vertical="center"/>
    </xf>
    <xf numFmtId="0" fontId="5" fillId="77" borderId="21" xfId="4" applyFont="1" applyFill="1" applyBorder="1" applyAlignment="1">
      <alignment horizontal="left" wrapText="1"/>
    </xf>
    <xf numFmtId="0" fontId="6" fillId="77" borderId="25" xfId="4" applyFont="1" applyFill="1" applyBorder="1" applyAlignment="1">
      <alignment horizontal="center"/>
    </xf>
    <xf numFmtId="0" fontId="6" fillId="77" borderId="16" xfId="4" applyFont="1" applyFill="1" applyBorder="1" applyAlignment="1">
      <alignment horizontal="left"/>
    </xf>
    <xf numFmtId="0" fontId="6" fillId="77" borderId="25" xfId="4" applyFont="1" applyFill="1" applyBorder="1" applyAlignment="1">
      <alignment horizontal="center" wrapText="1"/>
    </xf>
    <xf numFmtId="0" fontId="6" fillId="77" borderId="17" xfId="4" applyFont="1" applyFill="1" applyBorder="1" applyAlignment="1">
      <alignment horizontal="center" wrapText="1"/>
    </xf>
    <xf numFmtId="0" fontId="6" fillId="77" borderId="19" xfId="4" applyFont="1" applyFill="1" applyBorder="1" applyAlignment="1">
      <alignment wrapText="1"/>
    </xf>
    <xf numFmtId="0" fontId="6" fillId="77" borderId="19" xfId="4" applyFont="1" applyFill="1" applyBorder="1" applyAlignment="1">
      <alignment horizontal="right" wrapText="1"/>
    </xf>
    <xf numFmtId="0" fontId="6" fillId="77" borderId="20" xfId="4" applyFont="1" applyFill="1" applyBorder="1" applyAlignment="1">
      <alignment horizontal="right" wrapText="1"/>
    </xf>
    <xf numFmtId="0" fontId="12" fillId="74" borderId="1" xfId="4" applyFont="1"/>
    <xf numFmtId="0" fontId="12" fillId="74" borderId="1" xfId="4" applyFont="1" applyAlignment="1">
      <alignment horizontal="right"/>
    </xf>
    <xf numFmtId="0" fontId="28" fillId="74" borderId="1" xfId="12" applyFont="1"/>
    <xf numFmtId="0" fontId="5" fillId="74" borderId="1" xfId="13"/>
    <xf numFmtId="0" fontId="29" fillId="74" borderId="18" xfId="14" applyFont="1" applyBorder="1" applyAlignment="1">
      <alignment horizontal="center" vertical="center"/>
    </xf>
    <xf numFmtId="0" fontId="29" fillId="74" borderId="19" xfId="14" applyFont="1" applyBorder="1" applyAlignment="1">
      <alignment horizontal="center" vertical="center"/>
    </xf>
    <xf numFmtId="0" fontId="29" fillId="74" borderId="17" xfId="14" applyFont="1" applyBorder="1" applyAlignment="1">
      <alignment horizontal="center" vertical="center"/>
    </xf>
    <xf numFmtId="0" fontId="29" fillId="74" borderId="31" xfId="14" applyFont="1" applyBorder="1" applyAlignment="1">
      <alignment horizontal="center" vertical="center"/>
    </xf>
    <xf numFmtId="0" fontId="29" fillId="84" borderId="21" xfId="15" applyFont="1" applyFill="1" applyBorder="1" applyAlignment="1">
      <alignment vertical="center" wrapText="1"/>
    </xf>
    <xf numFmtId="0" fontId="29" fillId="84" borderId="21" xfId="15" applyFont="1" applyFill="1" applyBorder="1" applyAlignment="1">
      <alignment horizontal="center" vertical="center" wrapText="1"/>
    </xf>
    <xf numFmtId="0" fontId="28" fillId="74" borderId="21" xfId="14" applyFont="1" applyBorder="1" applyAlignment="1">
      <alignment horizontal="center" vertical="center"/>
    </xf>
    <xf numFmtId="0" fontId="31" fillId="74" borderId="21" xfId="14" applyFont="1" applyBorder="1" applyAlignment="1">
      <alignment vertical="center" wrapText="1"/>
    </xf>
    <xf numFmtId="0" fontId="28" fillId="74" borderId="21" xfId="15" applyFont="1" applyBorder="1" applyAlignment="1">
      <alignment horizontal="center" vertical="center" wrapText="1"/>
    </xf>
    <xf numFmtId="0" fontId="33" fillId="74" borderId="21" xfId="12" applyFont="1" applyBorder="1" applyAlignment="1">
      <alignment horizontal="center" vertical="center"/>
    </xf>
    <xf numFmtId="0" fontId="34" fillId="74" borderId="21" xfId="14" applyFont="1" applyBorder="1" applyAlignment="1">
      <alignment vertical="center" wrapText="1"/>
    </xf>
    <xf numFmtId="0" fontId="35" fillId="74" borderId="21" xfId="16" applyBorder="1" applyAlignment="1">
      <alignment horizontal="center" vertical="center"/>
    </xf>
    <xf numFmtId="0" fontId="29" fillId="74" borderId="16" xfId="14" applyFont="1" applyBorder="1" applyAlignment="1">
      <alignment horizontal="center" vertical="center"/>
    </xf>
    <xf numFmtId="171" fontId="28" fillId="74" borderId="21" xfId="17" applyFont="1" applyBorder="1" applyAlignment="1">
      <alignment horizontal="center" vertical="center"/>
    </xf>
    <xf numFmtId="0" fontId="28" fillId="74" borderId="21" xfId="18" applyFont="1" applyBorder="1" applyAlignment="1">
      <alignment vertical="center" wrapText="1"/>
    </xf>
    <xf numFmtId="0" fontId="28" fillId="74" borderId="21" xfId="18" applyFont="1" applyBorder="1" applyAlignment="1">
      <alignment horizontal="center" vertical="center" wrapText="1"/>
    </xf>
    <xf numFmtId="4" fontId="29" fillId="74" borderId="21" xfId="18" applyNumberFormat="1" applyFont="1" applyBorder="1" applyAlignment="1">
      <alignment horizontal="center" vertical="center" wrapText="1"/>
    </xf>
    <xf numFmtId="0" fontId="29" fillId="74" borderId="21" xfId="18" applyFont="1" applyBorder="1" applyAlignment="1">
      <alignment horizontal="left" vertical="top" wrapText="1"/>
    </xf>
    <xf numFmtId="2" fontId="28" fillId="77" borderId="21" xfId="18" applyNumberFormat="1" applyFont="1" applyFill="1" applyBorder="1" applyAlignment="1">
      <alignment horizontal="center" vertical="center" wrapText="1"/>
    </xf>
    <xf numFmtId="0" fontId="28" fillId="74" borderId="21" xfId="19" applyFont="1" applyBorder="1" applyAlignment="1">
      <alignment horizontal="center" vertical="center" wrapText="1"/>
    </xf>
    <xf numFmtId="0" fontId="29" fillId="74" borderId="21" xfId="15" applyFont="1" applyBorder="1" applyAlignment="1">
      <alignment horizontal="left" vertical="center" wrapText="1"/>
    </xf>
    <xf numFmtId="14" fontId="28" fillId="74" borderId="21" xfId="19" applyNumberFormat="1" applyFont="1" applyBorder="1" applyAlignment="1">
      <alignment horizontal="center" vertical="center" wrapText="1"/>
    </xf>
    <xf numFmtId="4" fontId="28" fillId="74" borderId="21" xfId="19" applyNumberFormat="1" applyFont="1" applyBorder="1" applyAlignment="1">
      <alignment horizontal="center" vertical="center"/>
    </xf>
    <xf numFmtId="0" fontId="34" fillId="74" borderId="1" xfId="20" applyFont="1"/>
    <xf numFmtId="0" fontId="27" fillId="74" borderId="1" xfId="21"/>
    <xf numFmtId="0" fontId="27" fillId="74" borderId="21" xfId="21" applyBorder="1" applyAlignment="1">
      <alignment horizontal="center" vertical="center"/>
    </xf>
    <xf numFmtId="0" fontId="28" fillId="77" borderId="21" xfId="19" applyFont="1" applyFill="1" applyBorder="1" applyAlignment="1">
      <alignment horizontal="center" vertical="center" wrapText="1"/>
    </xf>
    <xf numFmtId="14" fontId="28" fillId="77" borderId="21" xfId="19" applyNumberFormat="1" applyFont="1" applyFill="1" applyBorder="1" applyAlignment="1">
      <alignment horizontal="center" vertical="center" wrapText="1"/>
    </xf>
    <xf numFmtId="4" fontId="28" fillId="77" borderId="21" xfId="19" applyNumberFormat="1" applyFont="1" applyFill="1" applyBorder="1" applyAlignment="1">
      <alignment horizontal="center" vertical="center"/>
    </xf>
    <xf numFmtId="0" fontId="37" fillId="77" borderId="21" xfId="15" applyFont="1" applyFill="1" applyBorder="1" applyAlignment="1">
      <alignment horizontal="left" vertical="top" wrapText="1"/>
    </xf>
    <xf numFmtId="0" fontId="28" fillId="77" borderId="21" xfId="22" applyFont="1" applyFill="1" applyBorder="1" applyAlignment="1">
      <alignment horizontal="center" vertical="center" wrapText="1"/>
    </xf>
    <xf numFmtId="14" fontId="28" fillId="77" borderId="21" xfId="22" applyNumberFormat="1" applyFont="1" applyFill="1" applyBorder="1" applyAlignment="1">
      <alignment horizontal="center" vertical="center" wrapText="1"/>
    </xf>
    <xf numFmtId="4" fontId="16" fillId="77" borderId="5" xfId="23" applyNumberFormat="1" applyFont="1" applyFill="1" applyBorder="1" applyAlignment="1">
      <alignment horizontal="center" vertical="center" wrapText="1"/>
    </xf>
    <xf numFmtId="0" fontId="38" fillId="77" borderId="1" xfId="23" applyFont="1" applyFill="1"/>
    <xf numFmtId="0" fontId="27" fillId="77" borderId="21" xfId="21" applyFill="1" applyBorder="1" applyAlignment="1">
      <alignment horizontal="center" vertical="center" wrapText="1"/>
    </xf>
    <xf numFmtId="0" fontId="16" fillId="77" borderId="21" xfId="19" applyFont="1" applyFill="1" applyBorder="1" applyAlignment="1">
      <alignment horizontal="center" vertical="center" wrapText="1"/>
    </xf>
    <xf numFmtId="171" fontId="16" fillId="77" borderId="21" xfId="15" applyNumberFormat="1" applyFont="1" applyFill="1" applyBorder="1" applyAlignment="1">
      <alignment horizontal="center" vertical="center" wrapText="1"/>
    </xf>
    <xf numFmtId="0" fontId="16" fillId="77" borderId="21" xfId="15" applyFont="1" applyFill="1" applyBorder="1" applyAlignment="1">
      <alignment horizontal="center" vertical="center" wrapText="1"/>
    </xf>
    <xf numFmtId="4" fontId="16" fillId="77" borderId="21" xfId="15" applyNumberFormat="1" applyFont="1" applyFill="1" applyBorder="1" applyAlignment="1">
      <alignment horizontal="center" vertical="center" wrapText="1"/>
    </xf>
    <xf numFmtId="0" fontId="11" fillId="12" borderId="1" xfId="0" applyFont="1" applyFill="1" applyBorder="1" applyAlignment="1">
      <alignment horizontal="left" vertical="center" wrapText="1"/>
    </xf>
    <xf numFmtId="4" fontId="11" fillId="13" borderId="1" xfId="0" applyNumberFormat="1" applyFont="1" applyFill="1" applyBorder="1" applyAlignment="1">
      <alignment horizontal="right" vertical="center" wrapText="1"/>
    </xf>
    <xf numFmtId="0" fontId="14" fillId="14" borderId="1" xfId="0" applyFont="1" applyFill="1" applyBorder="1" applyAlignment="1">
      <alignment horizontal="left" vertical="center" wrapText="1"/>
    </xf>
    <xf numFmtId="4" fontId="14" fillId="15" borderId="1" xfId="0" applyNumberFormat="1" applyFont="1" applyFill="1" applyBorder="1" applyAlignment="1">
      <alignment horizontal="right" vertical="center" wrapText="1"/>
    </xf>
    <xf numFmtId="0" fontId="8" fillId="9" borderId="0" xfId="0" applyFont="1" applyFill="1" applyAlignment="1" applyProtection="1">
      <alignment wrapText="1"/>
      <protection locked="0"/>
    </xf>
    <xf numFmtId="0" fontId="11" fillId="16" borderId="1" xfId="0" applyFont="1" applyFill="1" applyBorder="1" applyAlignment="1">
      <alignment horizontal="right" vertical="center" wrapText="1"/>
    </xf>
    <xf numFmtId="0" fontId="3" fillId="3" borderId="2" xfId="0" applyFont="1" applyFill="1" applyBorder="1" applyAlignment="1">
      <alignment horizontal="center" vertical="center" wrapText="1"/>
    </xf>
    <xf numFmtId="0" fontId="3" fillId="4" borderId="2" xfId="0" applyFont="1" applyFill="1" applyBorder="1" applyAlignment="1">
      <alignment horizontal="left" vertical="center" wrapText="1"/>
    </xf>
    <xf numFmtId="4" fontId="3" fillId="5" borderId="2" xfId="0" applyNumberFormat="1" applyFont="1" applyFill="1" applyBorder="1" applyAlignment="1">
      <alignment horizontal="right" vertical="center" wrapText="1"/>
    </xf>
    <xf numFmtId="0" fontId="39" fillId="6" borderId="2" xfId="0" applyFont="1" applyFill="1" applyBorder="1" applyAlignment="1">
      <alignment horizontal="left" vertical="center" wrapText="1"/>
    </xf>
    <xf numFmtId="0" fontId="39" fillId="7" borderId="2" xfId="0" applyFont="1" applyFill="1" applyBorder="1" applyAlignment="1">
      <alignment horizontal="center" vertical="center" wrapText="1"/>
    </xf>
    <xf numFmtId="4" fontId="39" fillId="8" borderId="2" xfId="0" applyNumberFormat="1" applyFont="1" applyFill="1" applyBorder="1" applyAlignment="1">
      <alignment horizontal="right" vertical="center" wrapText="1"/>
    </xf>
    <xf numFmtId="0" fontId="40" fillId="9" borderId="0" xfId="0" applyFont="1" applyFill="1" applyAlignment="1" applyProtection="1">
      <alignment wrapText="1"/>
      <protection locked="0"/>
    </xf>
    <xf numFmtId="0" fontId="3" fillId="20" borderId="2" xfId="0" applyFont="1" applyFill="1" applyBorder="1" applyAlignment="1">
      <alignment horizontal="center" vertical="center" wrapText="1"/>
    </xf>
    <xf numFmtId="0" fontId="1" fillId="21" borderId="2" xfId="0" applyFont="1" applyFill="1" applyBorder="1" applyAlignment="1">
      <alignment horizontal="center" vertical="top" wrapText="1"/>
    </xf>
    <xf numFmtId="164" fontId="1" fillId="23" borderId="2" xfId="0" applyNumberFormat="1" applyFont="1" applyFill="1" applyBorder="1" applyAlignment="1">
      <alignment horizontal="right" vertical="top" wrapText="1"/>
    </xf>
    <xf numFmtId="4" fontId="1" fillId="24" borderId="2" xfId="0" applyNumberFormat="1" applyFont="1" applyFill="1" applyBorder="1" applyAlignment="1">
      <alignment horizontal="right" vertical="top" wrapText="1"/>
    </xf>
    <xf numFmtId="4" fontId="41" fillId="26" borderId="2" xfId="0" applyNumberFormat="1" applyFont="1" applyFill="1" applyBorder="1" applyAlignment="1">
      <alignment horizontal="right" vertical="top" wrapText="1"/>
    </xf>
    <xf numFmtId="164" fontId="39" fillId="31" borderId="2" xfId="0" applyNumberFormat="1" applyFont="1" applyFill="1" applyBorder="1" applyAlignment="1">
      <alignment horizontal="center" vertical="center" wrapText="1"/>
    </xf>
    <xf numFmtId="165" fontId="39" fillId="32" borderId="2" xfId="0" applyNumberFormat="1" applyFont="1" applyFill="1" applyBorder="1" applyAlignment="1">
      <alignment horizontal="center" vertical="center" wrapText="1"/>
    </xf>
    <xf numFmtId="165" fontId="39" fillId="33" borderId="2" xfId="0" applyNumberFormat="1" applyFont="1" applyFill="1" applyBorder="1" applyAlignment="1">
      <alignment horizontal="right" vertical="center" wrapText="1"/>
    </xf>
    <xf numFmtId="0" fontId="40" fillId="2" borderId="1" xfId="0" applyFont="1" applyFill="1" applyBorder="1" applyAlignment="1" applyProtection="1">
      <alignment wrapText="1"/>
      <protection locked="0"/>
    </xf>
    <xf numFmtId="165" fontId="3" fillId="34" borderId="2" xfId="0" applyNumberFormat="1" applyFont="1" applyFill="1" applyBorder="1" applyAlignment="1">
      <alignment horizontal="right" vertical="center" wrapText="1"/>
    </xf>
    <xf numFmtId="0" fontId="3" fillId="39" borderId="4" xfId="2" applyFont="1" applyFill="1" applyBorder="1" applyAlignment="1">
      <alignment horizontal="center" vertical="center" wrapText="1"/>
    </xf>
    <xf numFmtId="0" fontId="3" fillId="39" borderId="4" xfId="2" applyFont="1" applyFill="1" applyBorder="1" applyAlignment="1">
      <alignment horizontal="left" vertical="center" wrapText="1"/>
    </xf>
    <xf numFmtId="0" fontId="39" fillId="43" borderId="21" xfId="2" applyFont="1" applyFill="1" applyBorder="1" applyAlignment="1">
      <alignment horizontal="center" vertical="top" wrapText="1"/>
    </xf>
    <xf numFmtId="0" fontId="39" fillId="43" borderId="21" xfId="2" applyFont="1" applyFill="1" applyBorder="1" applyAlignment="1">
      <alignment horizontal="left" vertical="top" wrapText="1"/>
    </xf>
    <xf numFmtId="4" fontId="39" fillId="43" borderId="21" xfId="2" applyNumberFormat="1" applyFont="1" applyFill="1" applyBorder="1" applyAlignment="1">
      <alignment horizontal="right" vertical="top" wrapText="1"/>
    </xf>
    <xf numFmtId="0" fontId="40" fillId="74" borderId="21" xfId="2" applyFont="1" applyBorder="1" applyAlignment="1" applyProtection="1">
      <alignment wrapText="1"/>
      <protection locked="0"/>
    </xf>
    <xf numFmtId="0" fontId="37" fillId="74" borderId="21" xfId="24" applyFont="1" applyBorder="1" applyAlignment="1">
      <alignment horizontal="left" vertical="top"/>
    </xf>
    <xf numFmtId="0" fontId="37" fillId="74" borderId="21" xfId="24" applyFont="1" applyBorder="1" applyAlignment="1">
      <alignment horizontal="left" vertical="center"/>
    </xf>
    <xf numFmtId="0" fontId="42" fillId="39" borderId="4" xfId="23" applyFont="1" applyFill="1" applyBorder="1" applyAlignment="1">
      <alignment horizontal="center" vertical="center" wrapText="1"/>
    </xf>
    <xf numFmtId="0" fontId="42" fillId="39" borderId="4" xfId="23" applyFont="1" applyFill="1" applyBorder="1" applyAlignment="1">
      <alignment horizontal="left" vertical="center" wrapText="1"/>
    </xf>
    <xf numFmtId="10" fontId="36" fillId="43" borderId="21" xfId="25" applyNumberFormat="1" applyFont="1" applyFill="1" applyBorder="1" applyAlignment="1" applyProtection="1">
      <alignment horizontal="center" vertical="top" wrapText="1"/>
    </xf>
    <xf numFmtId="0" fontId="16" fillId="43" borderId="21" xfId="23" applyFont="1" applyFill="1" applyBorder="1" applyAlignment="1">
      <alignment horizontal="center" vertical="top" wrapText="1"/>
    </xf>
    <xf numFmtId="0" fontId="4" fillId="74" borderId="1" xfId="26"/>
    <xf numFmtId="10" fontId="39" fillId="43" borderId="21" xfId="1" applyNumberFormat="1" applyFont="1" applyFill="1" applyBorder="1" applyAlignment="1">
      <alignment horizontal="center" vertical="top" wrapText="1"/>
    </xf>
    <xf numFmtId="0" fontId="3" fillId="38" borderId="4" xfId="0" applyFont="1" applyFill="1" applyBorder="1" applyAlignment="1">
      <alignment horizontal="center" vertical="center" wrapText="1"/>
    </xf>
    <xf numFmtId="0" fontId="3" fillId="39" borderId="4" xfId="0" applyFont="1" applyFill="1" applyBorder="1" applyAlignment="1">
      <alignment horizontal="left" vertical="center" wrapText="1"/>
    </xf>
    <xf numFmtId="0" fontId="39" fillId="40" borderId="21" xfId="0" applyFont="1" applyFill="1" applyBorder="1" applyAlignment="1">
      <alignment horizontal="center" vertical="top" wrapText="1"/>
    </xf>
    <xf numFmtId="0" fontId="39" fillId="41" borderId="21" xfId="0" applyFont="1" applyFill="1" applyBorder="1" applyAlignment="1">
      <alignment horizontal="left" vertical="top" wrapText="1"/>
    </xf>
    <xf numFmtId="4" fontId="39" fillId="42" borderId="21" xfId="0" applyNumberFormat="1" applyFont="1" applyFill="1" applyBorder="1" applyAlignment="1">
      <alignment horizontal="right" vertical="top" wrapText="1"/>
    </xf>
    <xf numFmtId="4" fontId="39" fillId="43" borderId="21" xfId="0" applyNumberFormat="1" applyFont="1" applyFill="1" applyBorder="1" applyAlignment="1">
      <alignment horizontal="center" vertical="top" wrapText="1"/>
    </xf>
    <xf numFmtId="0" fontId="40" fillId="9" borderId="21" xfId="0" applyFont="1" applyFill="1" applyBorder="1" applyAlignment="1" applyProtection="1">
      <alignment wrapText="1"/>
      <protection locked="0"/>
    </xf>
    <xf numFmtId="0" fontId="43" fillId="45" borderId="2" xfId="0" applyFont="1" applyFill="1" applyBorder="1" applyAlignment="1">
      <alignment horizontal="center" vertical="center" wrapText="1"/>
    </xf>
    <xf numFmtId="0" fontId="43" fillId="46" borderId="2" xfId="0" applyFont="1" applyFill="1" applyBorder="1" applyAlignment="1">
      <alignment horizontal="center" vertical="center" wrapText="1"/>
    </xf>
    <xf numFmtId="166" fontId="36" fillId="50" borderId="4" xfId="0" applyNumberFormat="1" applyFont="1" applyFill="1" applyBorder="1" applyAlignment="1">
      <alignment horizontal="right" vertical="center" wrapText="1"/>
    </xf>
    <xf numFmtId="167" fontId="42" fillId="51" borderId="4" xfId="0" applyNumberFormat="1" applyFont="1" applyFill="1" applyBorder="1" applyAlignment="1">
      <alignment horizontal="right" vertical="center" wrapText="1"/>
    </xf>
    <xf numFmtId="4" fontId="36" fillId="52" borderId="2" xfId="0" applyNumberFormat="1" applyFont="1" applyFill="1" applyBorder="1" applyAlignment="1">
      <alignment horizontal="right" vertical="center" wrapText="1"/>
    </xf>
    <xf numFmtId="4" fontId="42" fillId="53" borderId="2" xfId="0" applyNumberFormat="1" applyFont="1" applyFill="1" applyBorder="1" applyAlignment="1">
      <alignment horizontal="right" vertical="center" wrapText="1"/>
    </xf>
    <xf numFmtId="0" fontId="0" fillId="54" borderId="4" xfId="0" applyFill="1" applyBorder="1" applyAlignment="1" applyProtection="1">
      <alignment wrapText="1"/>
      <protection locked="0"/>
    </xf>
    <xf numFmtId="0" fontId="0" fillId="55" borderId="3" xfId="0" applyFill="1" applyBorder="1" applyAlignment="1" applyProtection="1">
      <alignment wrapText="1"/>
      <protection locked="0"/>
    </xf>
    <xf numFmtId="0" fontId="0" fillId="56" borderId="6" xfId="0" applyFill="1" applyBorder="1" applyAlignment="1" applyProtection="1">
      <alignment wrapText="1"/>
      <protection locked="0"/>
    </xf>
    <xf numFmtId="0" fontId="0" fillId="57" borderId="7" xfId="0" applyFill="1" applyBorder="1" applyAlignment="1" applyProtection="1">
      <alignment wrapText="1"/>
      <protection locked="0"/>
    </xf>
    <xf numFmtId="0" fontId="0" fillId="58" borderId="8" xfId="0" applyFill="1" applyBorder="1" applyAlignment="1" applyProtection="1">
      <alignment wrapText="1"/>
      <protection locked="0"/>
    </xf>
    <xf numFmtId="0" fontId="0" fillId="59" borderId="9" xfId="0" applyFill="1" applyBorder="1" applyAlignment="1" applyProtection="1">
      <alignment wrapText="1"/>
      <protection locked="0"/>
    </xf>
    <xf numFmtId="0" fontId="0" fillId="60" borderId="3" xfId="0" applyFill="1" applyBorder="1" applyAlignment="1" applyProtection="1">
      <alignment wrapText="1"/>
      <protection locked="0"/>
    </xf>
    <xf numFmtId="0" fontId="0" fillId="61" borderId="10" xfId="0" applyFill="1" applyBorder="1" applyAlignment="1" applyProtection="1">
      <alignment wrapText="1"/>
      <protection locked="0"/>
    </xf>
    <xf numFmtId="4" fontId="36" fillId="63" borderId="4" xfId="0" applyNumberFormat="1" applyFont="1" applyFill="1" applyBorder="1" applyAlignment="1">
      <alignment horizontal="right" vertical="center" wrapText="1"/>
    </xf>
    <xf numFmtId="0" fontId="0" fillId="64" borderId="8" xfId="0" applyFill="1" applyBorder="1" applyAlignment="1" applyProtection="1">
      <alignment wrapText="1"/>
      <protection locked="0"/>
    </xf>
    <xf numFmtId="0" fontId="0" fillId="65" borderId="12" xfId="0" applyFill="1" applyBorder="1" applyAlignment="1" applyProtection="1">
      <alignment wrapText="1"/>
      <protection locked="0"/>
    </xf>
    <xf numFmtId="0" fontId="3" fillId="66" borderId="2" xfId="0" applyFont="1" applyFill="1" applyBorder="1" applyAlignment="1">
      <alignment horizontal="center" vertical="center" wrapText="1"/>
    </xf>
    <xf numFmtId="0" fontId="3" fillId="67" borderId="2" xfId="0" applyFont="1" applyFill="1" applyBorder="1" applyAlignment="1">
      <alignment horizontal="left" vertical="top" wrapText="1"/>
    </xf>
    <xf numFmtId="0" fontId="39" fillId="68" borderId="2" xfId="0" applyFont="1" applyFill="1" applyBorder="1" applyAlignment="1">
      <alignment horizontal="center" vertical="top" wrapText="1"/>
    </xf>
    <xf numFmtId="0" fontId="39" fillId="69" borderId="2" xfId="0" applyFont="1" applyFill="1" applyBorder="1" applyAlignment="1">
      <alignment horizontal="left" vertical="top" wrapText="1"/>
    </xf>
    <xf numFmtId="4" fontId="39" fillId="70" borderId="2" xfId="0" applyNumberFormat="1" applyFont="1" applyFill="1" applyBorder="1" applyAlignment="1">
      <alignment horizontal="right" vertical="top" wrapText="1"/>
    </xf>
    <xf numFmtId="0" fontId="3" fillId="71" borderId="2" xfId="0" applyFont="1" applyFill="1" applyBorder="1" applyAlignment="1">
      <alignment horizontal="right" vertical="center" wrapText="1"/>
    </xf>
    <xf numFmtId="4" fontId="3" fillId="72" borderId="2" xfId="0" applyNumberFormat="1" applyFont="1" applyFill="1" applyBorder="1" applyAlignment="1">
      <alignment horizontal="right" vertical="top" wrapText="1"/>
    </xf>
    <xf numFmtId="0" fontId="3" fillId="73" borderId="2" xfId="0" applyFont="1" applyFill="1" applyBorder="1" applyAlignment="1">
      <alignment horizontal="center" vertical="top" wrapText="1"/>
    </xf>
    <xf numFmtId="0" fontId="14" fillId="14" borderId="1" xfId="0" applyFont="1" applyFill="1" applyBorder="1" applyAlignment="1">
      <alignment horizontal="left" vertical="center" wrapText="1"/>
    </xf>
    <xf numFmtId="0" fontId="11" fillId="12" borderId="1" xfId="0" applyFont="1" applyFill="1" applyBorder="1" applyAlignment="1">
      <alignment horizontal="left" vertical="center" wrapText="1"/>
    </xf>
    <xf numFmtId="0" fontId="0" fillId="11" borderId="1" xfId="0" applyFill="1" applyBorder="1" applyAlignment="1" applyProtection="1">
      <alignment wrapText="1"/>
      <protection locked="0"/>
    </xf>
    <xf numFmtId="0" fontId="3" fillId="10" borderId="2" xfId="0" applyFont="1" applyFill="1" applyBorder="1" applyAlignment="1">
      <alignment horizontal="right" vertical="center" wrapText="1"/>
    </xf>
    <xf numFmtId="0" fontId="3" fillId="4" borderId="2" xfId="0" applyFont="1" applyFill="1" applyBorder="1" applyAlignment="1">
      <alignment horizontal="left" vertical="center" wrapText="1"/>
    </xf>
    <xf numFmtId="0" fontId="0" fillId="2" borderId="1" xfId="0" applyFill="1" applyBorder="1" applyAlignment="1" applyProtection="1">
      <alignment wrapText="1"/>
      <protection locked="0"/>
    </xf>
    <xf numFmtId="0" fontId="6" fillId="74" borderId="21" xfId="3" applyFont="1" applyBorder="1" applyAlignment="1">
      <alignment horizontal="center" vertical="center"/>
    </xf>
    <xf numFmtId="0" fontId="12" fillId="77" borderId="21" xfId="4" applyFont="1" applyFill="1" applyBorder="1" applyAlignment="1">
      <alignment horizontal="center" vertical="center"/>
    </xf>
    <xf numFmtId="0" fontId="12" fillId="77" borderId="18" xfId="4" applyFont="1" applyFill="1" applyBorder="1" applyAlignment="1">
      <alignment horizontal="center" vertical="center"/>
    </xf>
    <xf numFmtId="0" fontId="12" fillId="77" borderId="19" xfId="4" applyFont="1" applyFill="1" applyBorder="1" applyAlignment="1">
      <alignment horizontal="center" vertical="center"/>
    </xf>
    <xf numFmtId="0" fontId="12" fillId="77" borderId="20" xfId="4" applyFont="1" applyFill="1" applyBorder="1" applyAlignment="1">
      <alignment horizontal="center" vertical="center"/>
    </xf>
    <xf numFmtId="0" fontId="12" fillId="74" borderId="18" xfId="4" applyFont="1" applyBorder="1" applyAlignment="1">
      <alignment horizontal="center" vertical="center"/>
    </xf>
    <xf numFmtId="0" fontId="12" fillId="74" borderId="19" xfId="4" applyFont="1" applyBorder="1" applyAlignment="1">
      <alignment horizontal="center" vertical="center"/>
    </xf>
    <xf numFmtId="0" fontId="12" fillId="74" borderId="20" xfId="4" applyFont="1" applyBorder="1" applyAlignment="1">
      <alignment horizontal="center" vertical="center"/>
    </xf>
    <xf numFmtId="0" fontId="6" fillId="82" borderId="18" xfId="3" applyFont="1" applyFill="1" applyBorder="1" applyAlignment="1">
      <alignment horizontal="center" vertical="center"/>
    </xf>
    <xf numFmtId="0" fontId="6" fillId="82" borderId="19" xfId="3" applyFont="1" applyFill="1" applyBorder="1" applyAlignment="1">
      <alignment horizontal="center" vertical="center"/>
    </xf>
    <xf numFmtId="0" fontId="12" fillId="74" borderId="18" xfId="4" applyFont="1" applyBorder="1" applyAlignment="1">
      <alignment horizontal="center"/>
    </xf>
    <xf numFmtId="0" fontId="12" fillId="74" borderId="19" xfId="4" applyFont="1" applyBorder="1" applyAlignment="1">
      <alignment horizontal="center"/>
    </xf>
    <xf numFmtId="0" fontId="12" fillId="74" borderId="20" xfId="4" applyFont="1" applyBorder="1" applyAlignment="1">
      <alignment horizontal="center"/>
    </xf>
    <xf numFmtId="0" fontId="6" fillId="77" borderId="13" xfId="4" applyFont="1" applyFill="1" applyBorder="1" applyAlignment="1">
      <alignment horizontal="center"/>
    </xf>
    <xf numFmtId="0" fontId="6" fillId="77" borderId="14" xfId="4" applyFont="1" applyFill="1" applyBorder="1" applyAlignment="1">
      <alignment horizontal="center"/>
    </xf>
    <xf numFmtId="0" fontId="12" fillId="74" borderId="13" xfId="4" applyFont="1" applyBorder="1" applyAlignment="1">
      <alignment horizontal="center"/>
    </xf>
    <xf numFmtId="0" fontId="12" fillId="74" borderId="14" xfId="4" applyFont="1" applyBorder="1" applyAlignment="1">
      <alignment horizontal="center"/>
    </xf>
    <xf numFmtId="0" fontId="12" fillId="74" borderId="21" xfId="4" applyFont="1" applyBorder="1" applyAlignment="1">
      <alignment horizontal="center" vertical="center"/>
    </xf>
    <xf numFmtId="0" fontId="10" fillId="74" borderId="21" xfId="4" applyFont="1" applyBorder="1" applyAlignment="1">
      <alignment horizontal="center" vertical="center"/>
    </xf>
    <xf numFmtId="0" fontId="6" fillId="74" borderId="18" xfId="3" applyFont="1" applyBorder="1" applyAlignment="1">
      <alignment horizontal="center" vertical="center"/>
    </xf>
    <xf numFmtId="0" fontId="6" fillId="74" borderId="19" xfId="3" applyFont="1" applyBorder="1" applyAlignment="1">
      <alignment horizontal="center" vertical="center"/>
    </xf>
    <xf numFmtId="0" fontId="6" fillId="74" borderId="20" xfId="3" applyFont="1" applyBorder="1" applyAlignment="1">
      <alignment horizontal="center" vertical="center"/>
    </xf>
    <xf numFmtId="0" fontId="12" fillId="74" borderId="13" xfId="4" applyFont="1" applyBorder="1" applyAlignment="1">
      <alignment horizontal="center" vertical="center"/>
    </xf>
    <xf numFmtId="0" fontId="12" fillId="74" borderId="14" xfId="4" applyFont="1" applyBorder="1" applyAlignment="1">
      <alignment horizontal="center" vertical="center"/>
    </xf>
    <xf numFmtId="0" fontId="10" fillId="74" borderId="18" xfId="4" applyFont="1" applyBorder="1" applyAlignment="1">
      <alignment horizontal="center" vertical="center"/>
    </xf>
    <xf numFmtId="0" fontId="10" fillId="74" borderId="19" xfId="4" applyFont="1" applyBorder="1" applyAlignment="1">
      <alignment horizontal="center" vertical="center"/>
    </xf>
    <xf numFmtId="0" fontId="10" fillId="74" borderId="20" xfId="4" applyFont="1" applyBorder="1" applyAlignment="1">
      <alignment horizontal="center" vertical="center"/>
    </xf>
    <xf numFmtId="0" fontId="12" fillId="74" borderId="27" xfId="4" applyFont="1" applyBorder="1" applyAlignment="1">
      <alignment horizontal="center" vertical="center"/>
    </xf>
    <xf numFmtId="0" fontId="12" fillId="74" borderId="21" xfId="4" applyFont="1" applyBorder="1" applyAlignment="1">
      <alignment horizontal="center"/>
    </xf>
    <xf numFmtId="0" fontId="6" fillId="77" borderId="21" xfId="4" applyFont="1" applyFill="1" applyBorder="1" applyAlignment="1">
      <alignment horizontal="center"/>
    </xf>
    <xf numFmtId="0" fontId="10" fillId="77" borderId="15" xfId="4" applyFont="1" applyFill="1" applyBorder="1" applyAlignment="1">
      <alignment horizontal="center" vertical="center"/>
    </xf>
    <xf numFmtId="0" fontId="10" fillId="77" borderId="1" xfId="4" applyFont="1" applyFill="1" applyAlignment="1">
      <alignment horizontal="center" vertical="center"/>
    </xf>
    <xf numFmtId="0" fontId="10" fillId="77" borderId="28" xfId="4" applyFont="1" applyFill="1" applyBorder="1" applyAlignment="1">
      <alignment horizontal="center" vertical="center"/>
    </xf>
    <xf numFmtId="0" fontId="12" fillId="74" borderId="16" xfId="4" applyFont="1" applyBorder="1" applyAlignment="1">
      <alignment horizontal="center" vertical="center"/>
    </xf>
    <xf numFmtId="0" fontId="12" fillId="74" borderId="17" xfId="4" applyFont="1" applyBorder="1" applyAlignment="1">
      <alignment horizontal="center" vertical="center"/>
    </xf>
    <xf numFmtId="0" fontId="12" fillId="74" borderId="31" xfId="4" applyFont="1" applyBorder="1" applyAlignment="1">
      <alignment horizontal="center" vertical="center"/>
    </xf>
    <xf numFmtId="0" fontId="10" fillId="77" borderId="18" xfId="4" applyFont="1" applyFill="1" applyBorder="1" applyAlignment="1">
      <alignment horizontal="center" vertical="center"/>
    </xf>
    <xf numFmtId="0" fontId="10" fillId="77" borderId="19" xfId="4" applyFont="1" applyFill="1" applyBorder="1" applyAlignment="1">
      <alignment horizontal="center" vertical="center"/>
    </xf>
    <xf numFmtId="0" fontId="10" fillId="77" borderId="20" xfId="4" applyFont="1" applyFill="1" applyBorder="1" applyAlignment="1">
      <alignment horizontal="center" vertical="center"/>
    </xf>
    <xf numFmtId="0" fontId="6" fillId="77" borderId="15" xfId="4" applyFont="1" applyFill="1" applyBorder="1" applyAlignment="1">
      <alignment horizontal="center"/>
    </xf>
    <xf numFmtId="0" fontId="6" fillId="77" borderId="1" xfId="4" applyFont="1" applyFill="1" applyAlignment="1">
      <alignment horizontal="center"/>
    </xf>
    <xf numFmtId="0" fontId="6" fillId="75" borderId="21" xfId="3" applyFont="1" applyFill="1" applyBorder="1" applyAlignment="1">
      <alignment horizontal="left" vertical="top"/>
    </xf>
    <xf numFmtId="0" fontId="6" fillId="75" borderId="22" xfId="3" applyFont="1" applyFill="1" applyBorder="1" applyAlignment="1">
      <alignment horizontal="left" vertical="top" wrapText="1"/>
    </xf>
    <xf numFmtId="0" fontId="6" fillId="75" borderId="23" xfId="3" applyFont="1" applyFill="1" applyBorder="1" applyAlignment="1">
      <alignment horizontal="left" vertical="top" wrapText="1"/>
    </xf>
    <xf numFmtId="0" fontId="6" fillId="75" borderId="24" xfId="3" applyFont="1" applyFill="1" applyBorder="1" applyAlignment="1">
      <alignment horizontal="left" vertical="top" wrapText="1"/>
    </xf>
    <xf numFmtId="0" fontId="6" fillId="78" borderId="21" xfId="3" applyFont="1" applyFill="1" applyBorder="1" applyAlignment="1">
      <alignment horizontal="center" vertical="center"/>
    </xf>
    <xf numFmtId="0" fontId="6" fillId="75" borderId="13" xfId="3" applyFont="1" applyFill="1" applyBorder="1" applyAlignment="1">
      <alignment horizontal="center" vertical="top" wrapText="1"/>
    </xf>
    <xf numFmtId="0" fontId="6" fillId="75" borderId="14" xfId="3" applyFont="1" applyFill="1" applyBorder="1" applyAlignment="1">
      <alignment horizontal="center" vertical="top" wrapText="1"/>
    </xf>
    <xf numFmtId="0" fontId="6" fillId="75" borderId="15" xfId="3" applyFont="1" applyFill="1" applyBorder="1" applyAlignment="1">
      <alignment horizontal="center" vertical="top" wrapText="1"/>
    </xf>
    <xf numFmtId="0" fontId="6" fillId="75" borderId="1" xfId="3" applyFont="1" applyFill="1" applyAlignment="1">
      <alignment horizontal="center" vertical="top" wrapText="1"/>
    </xf>
    <xf numFmtId="0" fontId="6" fillId="75" borderId="16" xfId="3" applyFont="1" applyFill="1" applyBorder="1" applyAlignment="1">
      <alignment horizontal="center" vertical="top" wrapText="1"/>
    </xf>
    <xf numFmtId="0" fontId="6" fillId="75" borderId="17" xfId="3" applyFont="1" applyFill="1" applyBorder="1" applyAlignment="1">
      <alignment horizontal="center" vertical="top" wrapText="1"/>
    </xf>
    <xf numFmtId="0" fontId="6" fillId="76" borderId="18" xfId="3" applyFont="1" applyFill="1" applyBorder="1" applyAlignment="1">
      <alignment horizontal="center" vertical="center"/>
    </xf>
    <xf numFmtId="0" fontId="6" fillId="76" borderId="19" xfId="3" applyFont="1" applyFill="1" applyBorder="1" applyAlignment="1">
      <alignment horizontal="center" vertical="center"/>
    </xf>
    <xf numFmtId="0" fontId="6" fillId="76" borderId="20" xfId="3" applyFont="1" applyFill="1" applyBorder="1" applyAlignment="1">
      <alignment horizontal="center" vertical="center"/>
    </xf>
    <xf numFmtId="0" fontId="6" fillId="75" borderId="21" xfId="3" applyFont="1" applyFill="1" applyBorder="1" applyAlignment="1">
      <alignment horizontal="left" vertical="center" wrapText="1"/>
    </xf>
    <xf numFmtId="0" fontId="39" fillId="27" borderId="1" xfId="0" applyFont="1" applyFill="1" applyBorder="1" applyAlignment="1">
      <alignment horizontal="left" vertical="top" wrapText="1"/>
    </xf>
    <xf numFmtId="0" fontId="3" fillId="28" borderId="2" xfId="0" applyFont="1" applyFill="1" applyBorder="1" applyAlignment="1">
      <alignment horizontal="right" vertical="center" wrapText="1"/>
    </xf>
    <xf numFmtId="0" fontId="41" fillId="19" borderId="2" xfId="0" applyFont="1" applyFill="1" applyBorder="1" applyAlignment="1">
      <alignment horizontal="left" vertical="center" wrapText="1"/>
    </xf>
    <xf numFmtId="0" fontId="3" fillId="20" borderId="2" xfId="0" applyFont="1" applyFill="1" applyBorder="1" applyAlignment="1">
      <alignment horizontal="center" vertical="center" wrapText="1"/>
    </xf>
    <xf numFmtId="0" fontId="1" fillId="22" borderId="2" xfId="0" applyFont="1" applyFill="1" applyBorder="1" applyAlignment="1">
      <alignment horizontal="justify" vertical="top" wrapText="1"/>
    </xf>
    <xf numFmtId="0" fontId="1" fillId="21" borderId="2" xfId="0" applyFont="1" applyFill="1" applyBorder="1" applyAlignment="1">
      <alignment horizontal="center" vertical="top" wrapText="1"/>
    </xf>
    <xf numFmtId="0" fontId="41" fillId="25" borderId="2" xfId="0" applyFont="1" applyFill="1" applyBorder="1" applyAlignment="1">
      <alignment horizontal="right" vertical="top" wrapText="1"/>
    </xf>
    <xf numFmtId="0" fontId="1" fillId="17" borderId="1" xfId="0" applyFont="1" applyFill="1" applyBorder="1" applyAlignment="1">
      <alignment horizontal="left" vertical="top" wrapText="1"/>
    </xf>
    <xf numFmtId="0" fontId="3" fillId="18" borderId="2" xfId="0" applyFont="1" applyFill="1" applyBorder="1" applyAlignment="1">
      <alignment horizontal="left" vertical="center" wrapText="1"/>
    </xf>
    <xf numFmtId="0" fontId="3" fillId="35" borderId="2" xfId="0" applyFont="1" applyFill="1" applyBorder="1" applyAlignment="1">
      <alignment horizontal="left" vertical="center" wrapText="1"/>
    </xf>
    <xf numFmtId="0" fontId="39" fillId="36" borderId="5" xfId="0" applyFont="1" applyFill="1" applyBorder="1" applyAlignment="1">
      <alignment horizontal="left" vertical="center" wrapText="1"/>
    </xf>
    <xf numFmtId="164" fontId="39" fillId="31" borderId="2" xfId="0" applyNumberFormat="1" applyFont="1" applyFill="1" applyBorder="1" applyAlignment="1">
      <alignment horizontal="center" vertical="center" wrapText="1"/>
    </xf>
    <xf numFmtId="0" fontId="3" fillId="29" borderId="3" xfId="0" applyFont="1" applyFill="1" applyBorder="1" applyAlignment="1">
      <alignment horizontal="left" vertical="center" wrapText="1"/>
    </xf>
    <xf numFmtId="0" fontId="3" fillId="30" borderId="4"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74" borderId="21" xfId="2" applyFont="1" applyBorder="1" applyAlignment="1">
      <alignment horizontal="right" vertical="center" wrapText="1"/>
    </xf>
    <xf numFmtId="4" fontId="39" fillId="74" borderId="21" xfId="2" applyNumberFormat="1" applyFont="1" applyBorder="1" applyAlignment="1">
      <alignment horizontal="right" vertical="center" wrapText="1"/>
    </xf>
    <xf numFmtId="0" fontId="4" fillId="74" borderId="1" xfId="2" applyAlignment="1" applyProtection="1">
      <alignment wrapText="1"/>
      <protection locked="0"/>
    </xf>
    <xf numFmtId="0" fontId="2" fillId="74" borderId="1" xfId="2" applyFont="1" applyAlignment="1">
      <alignment horizontal="right" vertical="center" wrapText="1"/>
    </xf>
    <xf numFmtId="0" fontId="0" fillId="74" borderId="21" xfId="23" applyFont="1" applyBorder="1" applyAlignment="1" applyProtection="1">
      <alignment horizontal="center" vertical="top" wrapText="1"/>
      <protection locked="0"/>
    </xf>
    <xf numFmtId="0" fontId="37" fillId="74" borderId="1" xfId="23" applyFont="1" applyAlignment="1">
      <alignment horizontal="right" vertical="center" wrapText="1"/>
    </xf>
    <xf numFmtId="0" fontId="42" fillId="74" borderId="1" xfId="23" applyFont="1" applyAlignment="1" applyProtection="1">
      <alignment horizontal="right" vertical="center" wrapText="1"/>
      <protection locked="0"/>
    </xf>
    <xf numFmtId="4" fontId="36" fillId="74" borderId="1" xfId="23" applyNumberFormat="1" applyFont="1" applyAlignment="1">
      <alignment horizontal="right" vertical="center" wrapText="1"/>
    </xf>
    <xf numFmtId="0" fontId="36" fillId="74" borderId="1" xfId="23" applyFont="1" applyAlignment="1" applyProtection="1">
      <alignment horizontal="right" vertical="center" wrapText="1"/>
      <protection locked="0"/>
    </xf>
    <xf numFmtId="0" fontId="37" fillId="75" borderId="15" xfId="3" applyFont="1" applyFill="1" applyBorder="1" applyAlignment="1">
      <alignment horizontal="center" vertical="top" wrapText="1"/>
    </xf>
    <xf numFmtId="0" fontId="37" fillId="75" borderId="1" xfId="3" applyFont="1" applyFill="1" applyAlignment="1">
      <alignment horizontal="center" vertical="top" wrapText="1"/>
    </xf>
    <xf numFmtId="0" fontId="16" fillId="74" borderId="16" xfId="24" applyFont="1" applyBorder="1" applyAlignment="1">
      <alignment horizontal="center" vertical="top" wrapText="1"/>
    </xf>
    <xf numFmtId="0" fontId="16" fillId="74" borderId="17" xfId="24" applyFont="1" applyBorder="1" applyAlignment="1">
      <alignment horizontal="center" vertical="top" wrapText="1"/>
    </xf>
    <xf numFmtId="0" fontId="37" fillId="74" borderId="18" xfId="24" applyFont="1" applyBorder="1" applyAlignment="1">
      <alignment horizontal="center" vertical="top"/>
    </xf>
    <xf numFmtId="0" fontId="37" fillId="74" borderId="19" xfId="24" applyFont="1" applyBorder="1" applyAlignment="1">
      <alignment horizontal="center" vertical="top"/>
    </xf>
    <xf numFmtId="0" fontId="37" fillId="74" borderId="20" xfId="24" applyFont="1" applyBorder="1" applyAlignment="1">
      <alignment horizontal="center" vertical="top"/>
    </xf>
    <xf numFmtId="0" fontId="3" fillId="37" borderId="21" xfId="0" applyFont="1" applyFill="1" applyBorder="1" applyAlignment="1">
      <alignment horizontal="right" vertical="center" wrapText="1"/>
    </xf>
    <xf numFmtId="4" fontId="39" fillId="44" borderId="21" xfId="0" applyNumberFormat="1" applyFont="1" applyFill="1" applyBorder="1" applyAlignment="1">
      <alignment horizontal="right" vertical="center" wrapText="1"/>
    </xf>
    <xf numFmtId="0" fontId="2" fillId="37" borderId="1" xfId="0" applyFont="1" applyFill="1" applyBorder="1" applyAlignment="1">
      <alignment horizontal="right" vertical="center" wrapText="1"/>
    </xf>
    <xf numFmtId="4" fontId="43" fillId="62" borderId="11" xfId="0" applyNumberFormat="1" applyFont="1" applyFill="1" applyBorder="1" applyAlignment="1">
      <alignment horizontal="right" vertical="center" wrapText="1"/>
    </xf>
    <xf numFmtId="4" fontId="36" fillId="63" borderId="4" xfId="0" applyNumberFormat="1" applyFont="1" applyFill="1" applyBorder="1" applyAlignment="1">
      <alignment horizontal="right" vertical="center" wrapText="1"/>
    </xf>
    <xf numFmtId="4" fontId="36" fillId="52" borderId="2" xfId="0" applyNumberFormat="1" applyFont="1" applyFill="1" applyBorder="1" applyAlignment="1">
      <alignment horizontal="right" vertical="center" wrapText="1"/>
    </xf>
    <xf numFmtId="0" fontId="43" fillId="47" borderId="2" xfId="0" applyFont="1" applyFill="1" applyBorder="1" applyAlignment="1">
      <alignment horizontal="left" vertical="center" wrapText="1"/>
    </xf>
    <xf numFmtId="0" fontId="36" fillId="48" borderId="2" xfId="0" applyFont="1" applyFill="1" applyBorder="1" applyAlignment="1">
      <alignment horizontal="left" vertical="center" wrapText="1"/>
    </xf>
    <xf numFmtId="4" fontId="36" fillId="49" borderId="2" xfId="0" applyNumberFormat="1" applyFont="1" applyFill="1" applyBorder="1" applyAlignment="1">
      <alignment horizontal="right" vertical="center" wrapText="1"/>
    </xf>
    <xf numFmtId="166" fontId="36" fillId="50" borderId="4" xfId="0" applyNumberFormat="1" applyFont="1" applyFill="1" applyBorder="1" applyAlignment="1">
      <alignment horizontal="right" vertical="center" wrapText="1"/>
    </xf>
    <xf numFmtId="0" fontId="43" fillId="45" borderId="2" xfId="0" applyFont="1" applyFill="1" applyBorder="1" applyAlignment="1">
      <alignment horizontal="center" vertical="center" wrapText="1"/>
    </xf>
    <xf numFmtId="171" fontId="36" fillId="77" borderId="26" xfId="17" applyFill="1" applyBorder="1" applyAlignment="1">
      <alignment horizontal="center" vertical="center"/>
    </xf>
    <xf numFmtId="171" fontId="36" fillId="77" borderId="29" xfId="17" applyFill="1" applyBorder="1" applyAlignment="1">
      <alignment horizontal="center" vertical="center"/>
    </xf>
    <xf numFmtId="171" fontId="36" fillId="77" borderId="25" xfId="17" applyFill="1" applyBorder="1" applyAlignment="1">
      <alignment horizontal="center" vertical="center"/>
    </xf>
    <xf numFmtId="0" fontId="16" fillId="77" borderId="26" xfId="15" applyFont="1" applyFill="1" applyBorder="1" applyAlignment="1">
      <alignment horizontal="center" vertical="center" wrapText="1"/>
    </xf>
    <xf numFmtId="0" fontId="16" fillId="77" borderId="29" xfId="15" applyFont="1" applyFill="1" applyBorder="1" applyAlignment="1">
      <alignment horizontal="center" vertical="center" wrapText="1"/>
    </xf>
    <xf numFmtId="0" fontId="16" fillId="77" borderId="25" xfId="15" applyFont="1" applyFill="1" applyBorder="1" applyAlignment="1">
      <alignment horizontal="center" vertical="center" wrapText="1"/>
    </xf>
    <xf numFmtId="4" fontId="37" fillId="77" borderId="26" xfId="15" applyNumberFormat="1" applyFont="1" applyFill="1" applyBorder="1" applyAlignment="1">
      <alignment horizontal="center" vertical="center" wrapText="1"/>
    </xf>
    <xf numFmtId="4" fontId="37" fillId="77" borderId="29" xfId="15" applyNumberFormat="1" applyFont="1" applyFill="1" applyBorder="1" applyAlignment="1">
      <alignment horizontal="center" vertical="center" wrapText="1"/>
    </xf>
    <xf numFmtId="4" fontId="37" fillId="77" borderId="25" xfId="15" applyNumberFormat="1" applyFont="1" applyFill="1" applyBorder="1" applyAlignment="1">
      <alignment horizontal="center" vertical="center" wrapText="1"/>
    </xf>
    <xf numFmtId="0" fontId="32" fillId="74" borderId="18" xfId="15" applyFont="1" applyBorder="1" applyAlignment="1">
      <alignment horizontal="center" vertical="center" wrapText="1"/>
    </xf>
    <xf numFmtId="0" fontId="32" fillId="74" borderId="20" xfId="15" applyFont="1" applyBorder="1" applyAlignment="1">
      <alignment horizontal="center" vertical="center" wrapText="1"/>
    </xf>
    <xf numFmtId="0" fontId="29" fillId="74" borderId="21" xfId="14" applyFont="1" applyBorder="1" applyAlignment="1">
      <alignment horizontal="center" vertical="center"/>
    </xf>
    <xf numFmtId="0" fontId="28" fillId="74" borderId="21" xfId="19" applyFont="1" applyBorder="1" applyAlignment="1">
      <alignment horizontal="center" vertical="center" wrapText="1"/>
    </xf>
    <xf numFmtId="0" fontId="28" fillId="74" borderId="21" xfId="15" applyFont="1" applyBorder="1" applyAlignment="1">
      <alignment horizontal="left" vertical="center" wrapText="1"/>
    </xf>
    <xf numFmtId="0" fontId="28" fillId="74" borderId="21" xfId="15" applyFont="1" applyBorder="1" applyAlignment="1">
      <alignment horizontal="center" vertical="center" wrapText="1"/>
    </xf>
    <xf numFmtId="0" fontId="29" fillId="84" borderId="21" xfId="15" applyFont="1" applyFill="1" applyBorder="1" applyAlignment="1">
      <alignment horizontal="center" vertical="center" wrapText="1"/>
    </xf>
    <xf numFmtId="0" fontId="28" fillId="74" borderId="18" xfId="15" applyFont="1" applyBorder="1" applyAlignment="1">
      <alignment horizontal="center" vertical="center" wrapText="1"/>
    </xf>
    <xf numFmtId="0" fontId="28" fillId="74" borderId="20" xfId="15" applyFont="1" applyBorder="1" applyAlignment="1">
      <alignment horizontal="center" vertical="center" wrapText="1"/>
    </xf>
    <xf numFmtId="4" fontId="29" fillId="74" borderId="21" xfId="15" applyNumberFormat="1" applyFont="1" applyBorder="1" applyAlignment="1">
      <alignment horizontal="center" vertical="center" wrapText="1"/>
    </xf>
    <xf numFmtId="0" fontId="29" fillId="74" borderId="21" xfId="15" applyFont="1" applyBorder="1" applyAlignment="1">
      <alignment horizontal="center" vertical="center" wrapText="1"/>
    </xf>
    <xf numFmtId="0" fontId="3" fillId="37" borderId="1" xfId="0" applyFont="1" applyFill="1" applyBorder="1" applyAlignment="1">
      <alignment horizontal="right" vertical="center" wrapText="1"/>
    </xf>
    <xf numFmtId="0" fontId="3" fillId="74" borderId="1" xfId="0" applyFont="1" applyFill="1" applyBorder="1" applyAlignment="1">
      <alignment horizontal="left" vertical="center" wrapText="1"/>
    </xf>
  </cellXfs>
  <cellStyles count="27">
    <cellStyle name="Hiperlink 2" xfId="16" xr:uid="{3024118A-D247-4FD2-B650-8259EF40CAE9}"/>
    <cellStyle name="Hiperlink 3" xfId="21" xr:uid="{3F2CADB0-B991-4690-AB9B-146D9103784F}"/>
    <cellStyle name="Normal" xfId="0" builtinId="0"/>
    <cellStyle name="Normal 10 2" xfId="24" xr:uid="{00AB3DF6-078A-4068-9E38-D4C46D00FA88}"/>
    <cellStyle name="Normal 14 3" xfId="19" xr:uid="{3A436FBF-72F7-4EF2-8516-1433A892FC09}"/>
    <cellStyle name="Normal 14 5" xfId="14" xr:uid="{69EA21A2-EB45-4B91-A21D-0E501A0942ED}"/>
    <cellStyle name="Normal 2" xfId="2" xr:uid="{F21CB7A3-5D2A-4D58-9FDE-86894DFB6EB3}"/>
    <cellStyle name="Normal 2 2 2 4" xfId="23" xr:uid="{1ABE9F75-C2B4-4CF7-813A-CDD352F5BBD9}"/>
    <cellStyle name="Normal 2 2 3" xfId="6" xr:uid="{47C9DBAF-5112-44BA-B107-836DB89E9470}"/>
    <cellStyle name="Normal 2 3 2" xfId="18" xr:uid="{08C4E67E-5224-4C8F-8C40-7A0EC27703B9}"/>
    <cellStyle name="Normal 2 3 2 2" xfId="15" xr:uid="{42A34A95-7D79-4889-9E65-ED4E6E350C0B}"/>
    <cellStyle name="Normal 2 3 2 2 2" xfId="22" xr:uid="{0B6F7BB8-25DC-49C3-B8BC-5F3290055B44}"/>
    <cellStyle name="Normal 35" xfId="20" xr:uid="{77FE08ED-C47B-42A4-814C-090D05FC2F89}"/>
    <cellStyle name="Normal 4" xfId="26" xr:uid="{7704A94B-FD53-415D-A1B5-0BA1986DBAE8}"/>
    <cellStyle name="Normal 4 2" xfId="12" xr:uid="{FF9AE82D-B781-439F-851E-4168DDAAB384}"/>
    <cellStyle name="Normal 43 2" xfId="17" xr:uid="{06195512-AA83-4A8F-A426-E30DC56396E2}"/>
    <cellStyle name="Normal 5 2 2 2 2 2 2" xfId="8" xr:uid="{5E44AC76-B15D-4D23-B2A6-4C317F7A0D0B}"/>
    <cellStyle name="Normal 53" xfId="13" xr:uid="{FA26567E-E2C9-4AE0-AA64-7D9F6A91FAC7}"/>
    <cellStyle name="Normal 6 2 2 2 2" xfId="4" xr:uid="{22ACB3C8-1823-4F30-8A18-50F8396E4E2A}"/>
    <cellStyle name="Normal 8" xfId="3" xr:uid="{AD49171B-4FCB-4E77-81E2-D4768E3D636E}"/>
    <cellStyle name="Porcentagem" xfId="1" builtinId="5"/>
    <cellStyle name="Porcentagem 2" xfId="9" xr:uid="{8E7F11AC-4553-4B8B-B00E-644826DA2967}"/>
    <cellStyle name="Porcentagem 2 2 2 2 2" xfId="11" xr:uid="{C0946203-1F98-4ADF-A114-B3FA17087943}"/>
    <cellStyle name="Porcentagem 3 2" xfId="25" xr:uid="{F1CA3674-B318-4A61-BA9B-79A3D87AD9EB}"/>
    <cellStyle name="Separador de milhares 2 2" xfId="10" xr:uid="{1E10F0BA-0DC6-4E8C-A5B8-1F3D583CFF2D}"/>
    <cellStyle name="Vírgula 2" xfId="7" xr:uid="{9EEAA3F6-4BC4-47DF-A464-2AC29B5BA834}"/>
    <cellStyle name="Vírgula 2 2 2 2 2" xfId="5" xr:uid="{F521562D-6272-480B-8663-1502B2DA8AA5}"/>
  </cellStyles>
  <dxfs count="3">
    <dxf>
      <font>
        <color rgb="FF9C0006"/>
      </font>
    </dxf>
    <dxf>
      <font>
        <color rgb="FF9C0006"/>
      </font>
    </dxf>
    <dxf>
      <font>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jpg"/></Relationships>
</file>

<file path=xl/drawings/_rels/drawing5.xml.rels><?xml version="1.0" encoding="UTF-8" standalone="yes"?>
<Relationships xmlns="http://schemas.openxmlformats.org/package/2006/relationships"><Relationship Id="rId1" Type="http://schemas.openxmlformats.org/officeDocument/2006/relationships/image" Target="../media/image6.jpg"/></Relationships>
</file>

<file path=xl/drawings/_rels/drawing6.xml.rels><?xml version="1.0" encoding="UTF-8" standalone="yes"?>
<Relationships xmlns="http://schemas.openxmlformats.org/package/2006/relationships"><Relationship Id="rId1" Type="http://schemas.openxmlformats.org/officeDocument/2006/relationships/image" Target="../media/image7.jpg"/></Relationships>
</file>

<file path=xl/drawings/_rels/drawing7.xml.rels><?xml version="1.0" encoding="UTF-8" standalone="yes"?>
<Relationships xmlns="http://schemas.openxmlformats.org/package/2006/relationships"><Relationship Id="rId1" Type="http://schemas.openxmlformats.org/officeDocument/2006/relationships/image" Target="../media/image8.jpg"/></Relationships>
</file>

<file path=xl/drawings/_rels/drawing8.xml.rels><?xml version="1.0" encoding="UTF-8" standalone="yes"?>
<Relationships xmlns="http://schemas.openxmlformats.org/package/2006/relationships"><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1" Type="http://schemas.openxmlformats.org/officeDocument/2006/relationships/image" Target="../media/image10.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0</xdr:colOff>
      <xdr:row>3</xdr:row>
      <xdr:rowOff>0</xdr:rowOff>
    </xdr:to>
    <xdr:pic>
      <xdr:nvPicPr>
        <xdr:cNvPr id="878260296" name="Picture">
          <a:extLst>
            <a:ext uri="{FF2B5EF4-FFF2-40B4-BE49-F238E27FC236}">
              <a16:creationId xmlns:a16="http://schemas.microsoft.com/office/drawing/2014/main" id="{00000000-0008-0000-0100-000048305934}"/>
            </a:ext>
          </a:extLst>
        </xdr:cNvPr>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0</xdr:colOff>
      <xdr:row>1</xdr:row>
      <xdr:rowOff>0</xdr:rowOff>
    </xdr:to>
    <xdr:pic>
      <xdr:nvPicPr>
        <xdr:cNvPr id="1434283896" name="Picture">
          <a:extLst>
            <a:ext uri="{FF2B5EF4-FFF2-40B4-BE49-F238E27FC236}">
              <a16:creationId xmlns:a16="http://schemas.microsoft.com/office/drawing/2014/main" id="{00000000-0008-0000-0000-0000786F7D55}"/>
            </a:ext>
          </a:extLst>
        </xdr:cNvPr>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201084</xdr:colOff>
      <xdr:row>0</xdr:row>
      <xdr:rowOff>84667</xdr:rowOff>
    </xdr:from>
    <xdr:to>
      <xdr:col>1</xdr:col>
      <xdr:colOff>294692</xdr:colOff>
      <xdr:row>3</xdr:row>
      <xdr:rowOff>249767</xdr:rowOff>
    </xdr:to>
    <xdr:pic>
      <xdr:nvPicPr>
        <xdr:cNvPr id="2" name="Picture 2">
          <a:extLst>
            <a:ext uri="{FF2B5EF4-FFF2-40B4-BE49-F238E27FC236}">
              <a16:creationId xmlns:a16="http://schemas.microsoft.com/office/drawing/2014/main" id="{17F94EF6-11EE-4186-9951-3DACE193DE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6250" t="24303" r="36250" b="15698"/>
        <a:stretch>
          <a:fillRect/>
        </a:stretch>
      </xdr:blipFill>
      <xdr:spPr bwMode="auto">
        <a:xfrm>
          <a:off x="201084" y="84667"/>
          <a:ext cx="693683" cy="850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752475</xdr:colOff>
      <xdr:row>1</xdr:row>
      <xdr:rowOff>0</xdr:rowOff>
    </xdr:to>
    <xdr:pic>
      <xdr:nvPicPr>
        <xdr:cNvPr id="1688092633" name="Picture">
          <a:extLst>
            <a:ext uri="{FF2B5EF4-FFF2-40B4-BE49-F238E27FC236}">
              <a16:creationId xmlns:a16="http://schemas.microsoft.com/office/drawing/2014/main" id="{00000000-0008-0000-0200-0000D93F9E64}"/>
            </a:ext>
          </a:extLst>
        </xdr:cNvPr>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47625</xdr:colOff>
      <xdr:row>1</xdr:row>
      <xdr:rowOff>0</xdr:rowOff>
    </xdr:to>
    <xdr:pic>
      <xdr:nvPicPr>
        <xdr:cNvPr id="2" name="Picture">
          <a:extLst>
            <a:ext uri="{FF2B5EF4-FFF2-40B4-BE49-F238E27FC236}">
              <a16:creationId xmlns:a16="http://schemas.microsoft.com/office/drawing/2014/main" id="{A7F2FB8B-514A-4AAD-87AA-79384200B895}"/>
            </a:ext>
          </a:extLst>
        </xdr:cNvPr>
        <xdr:cNvPicPr/>
      </xdr:nvPicPr>
      <xdr:blipFill>
        <a:blip xmlns:r="http://schemas.openxmlformats.org/officeDocument/2006/relationships" r:embed="rId1"/>
        <a:srcRect/>
        <a:stretch>
          <a:fillRect/>
        </a:stretch>
      </xdr:blipFill>
      <xdr:spPr>
        <a:xfrm>
          <a:off x="0" y="0"/>
          <a:ext cx="8896350" cy="12573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0</xdr:colOff>
      <xdr:row>1</xdr:row>
      <xdr:rowOff>0</xdr:rowOff>
    </xdr:to>
    <xdr:pic>
      <xdr:nvPicPr>
        <xdr:cNvPr id="1492029511" name="Picture">
          <a:extLst>
            <a:ext uri="{FF2B5EF4-FFF2-40B4-BE49-F238E27FC236}">
              <a16:creationId xmlns:a16="http://schemas.microsoft.com/office/drawing/2014/main" id="{00000000-0008-0000-0400-00004790EE58}"/>
            </a:ext>
          </a:extLst>
        </xdr:cNvPr>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523875</xdr:colOff>
      <xdr:row>1</xdr:row>
      <xdr:rowOff>0</xdr:rowOff>
    </xdr:to>
    <xdr:pic>
      <xdr:nvPicPr>
        <xdr:cNvPr id="526980566" name="Picture">
          <a:extLst>
            <a:ext uri="{FF2B5EF4-FFF2-40B4-BE49-F238E27FC236}">
              <a16:creationId xmlns:a16="http://schemas.microsoft.com/office/drawing/2014/main" id="{00000000-0008-0000-0500-0000D615691F}"/>
            </a:ext>
          </a:extLst>
        </xdr:cNvPr>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50800</xdr:colOff>
      <xdr:row>0</xdr:row>
      <xdr:rowOff>0</xdr:rowOff>
    </xdr:from>
    <xdr:ext cx="1107899" cy="903514"/>
    <xdr:pic>
      <xdr:nvPicPr>
        <xdr:cNvPr id="2" name="Imagem 1">
          <a:extLst>
            <a:ext uri="{FF2B5EF4-FFF2-40B4-BE49-F238E27FC236}">
              <a16:creationId xmlns:a16="http://schemas.microsoft.com/office/drawing/2014/main" id="{7B9B816A-23A6-428B-A8B4-78BB121577B3}"/>
            </a:ext>
          </a:extLst>
        </xdr:cNvPr>
        <xdr:cNvPicPr>
          <a:picLocks noChangeAspect="1"/>
        </xdr:cNvPicPr>
      </xdr:nvPicPr>
      <xdr:blipFill>
        <a:blip xmlns:r="http://schemas.openxmlformats.org/officeDocument/2006/relationships" r:embed="rId1" cstate="print"/>
        <a:stretch>
          <a:fillRect/>
        </a:stretch>
      </xdr:blipFill>
      <xdr:spPr>
        <a:xfrm>
          <a:off x="50800" y="0"/>
          <a:ext cx="1107899" cy="903514"/>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1</xdr:row>
      <xdr:rowOff>0</xdr:rowOff>
    </xdr:to>
    <xdr:pic>
      <xdr:nvPicPr>
        <xdr:cNvPr id="1207803676" name="Picture">
          <a:extLst>
            <a:ext uri="{FF2B5EF4-FFF2-40B4-BE49-F238E27FC236}">
              <a16:creationId xmlns:a16="http://schemas.microsoft.com/office/drawing/2014/main" id="{00000000-0008-0000-0600-00001C9FFD47}"/>
            </a:ext>
          </a:extLst>
        </xdr:cNvPr>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OR&#199;AMENTO_EMENDAS_28M%20-%20LOTE%201%20-%20R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Orçamentária"/>
      <sheetName val="Memória de Cálculo"/>
      <sheetName val="PARÂMETROS"/>
      <sheetName val="Cronograma"/>
      <sheetName val="Cronograma Unificado"/>
      <sheetName val="COMPOSIÇÕES"/>
      <sheetName val="REF PRECOS SINAPI SET 2019"/>
      <sheetName val="REF PRECOS ANP INSUMOS"/>
      <sheetName val="ÍNDICE DE CORREÇÃO"/>
      <sheetName val="DEP E REC "/>
      <sheetName val="BDI DESONERADO"/>
      <sheetName val="BDI N DESONERADO"/>
      <sheetName val="mapa cotação"/>
      <sheetName val="ABC - DESO"/>
      <sheetName val="ABC - NÃO DESO"/>
      <sheetName val="BASE"/>
      <sheetName val="Comp"/>
      <sheetName val="Insumos"/>
      <sheetName val="BDI materiais"/>
      <sheetName val="MODELO PCR"/>
    </sheetNames>
    <sheetDataSet>
      <sheetData sheetId="0"/>
      <sheetData sheetId="1">
        <row r="1">
          <cell r="A1" t="str">
            <v>PREFEITURA MUNICIPAL DO JABOATÃO DOS GUARARAPES</v>
          </cell>
          <cell r="B1"/>
          <cell r="C1"/>
          <cell r="D1"/>
          <cell r="E1"/>
          <cell r="F1"/>
          <cell r="G1"/>
          <cell r="H1"/>
          <cell r="I1"/>
          <cell r="J1"/>
          <cell r="K1"/>
        </row>
        <row r="2">
          <cell r="A2" t="str">
            <v>SECRETARIA DE INFRAESTRUTURA - SEINFRA</v>
          </cell>
          <cell r="B2"/>
          <cell r="C2"/>
          <cell r="D2"/>
          <cell r="E2"/>
          <cell r="F2"/>
          <cell r="G2"/>
          <cell r="H2"/>
          <cell r="I2"/>
          <cell r="J2"/>
          <cell r="K2"/>
        </row>
        <row r="3">
          <cell r="A3" t="str">
            <v>SECRETARIA EXECUTIVA DE OBRAS</v>
          </cell>
          <cell r="B3"/>
          <cell r="C3"/>
          <cell r="D3"/>
          <cell r="E3"/>
          <cell r="F3"/>
          <cell r="G3"/>
          <cell r="H3"/>
          <cell r="I3"/>
          <cell r="J3"/>
          <cell r="K3"/>
        </row>
        <row r="4">
          <cell r="A4"/>
          <cell r="B4"/>
          <cell r="C4"/>
          <cell r="D4"/>
          <cell r="E4"/>
          <cell r="F4"/>
          <cell r="G4"/>
          <cell r="H4"/>
          <cell r="I4"/>
          <cell r="J4"/>
          <cell r="K4"/>
        </row>
        <row r="5">
          <cell r="A5" t="str">
            <v>PLANILHA REFERENCIA</v>
          </cell>
          <cell r="B5"/>
          <cell r="C5"/>
          <cell r="D5"/>
          <cell r="E5"/>
          <cell r="F5"/>
          <cell r="G5"/>
          <cell r="H5"/>
          <cell r="I5"/>
          <cell r="J5"/>
          <cell r="K5"/>
        </row>
        <row r="6">
          <cell r="A6" t="str">
            <v>Objeto:  PAVIMENTAÇÃO, DRENAGEM E ADEQUAÇÃO DE VIAS EM DIVERSOS BAIRROS</v>
          </cell>
          <cell r="B6"/>
          <cell r="C6"/>
          <cell r="D6"/>
          <cell r="E6"/>
          <cell r="F6"/>
          <cell r="G6"/>
          <cell r="H6"/>
          <cell r="I6"/>
          <cell r="J6"/>
          <cell r="K6"/>
        </row>
        <row r="7">
          <cell r="A7" t="str">
            <v>Local: Jaboatão dos Guararapes</v>
          </cell>
          <cell r="B7"/>
          <cell r="C7"/>
          <cell r="D7"/>
          <cell r="E7"/>
          <cell r="F7"/>
          <cell r="G7" t="str">
            <v>SINAPI-JULHO/22</v>
          </cell>
          <cell r="H7"/>
          <cell r="I7"/>
          <cell r="J7"/>
          <cell r="K7"/>
        </row>
        <row r="8">
          <cell r="A8" t="str">
            <v>Data: SETEMBRO/2022</v>
          </cell>
          <cell r="B8"/>
          <cell r="C8"/>
          <cell r="D8"/>
          <cell r="E8"/>
          <cell r="F8"/>
          <cell r="G8" t="str">
            <v>BDI DESONERADO:</v>
          </cell>
          <cell r="H8"/>
          <cell r="I8">
            <v>0.2359</v>
          </cell>
          <cell r="J8" t="str">
            <v>BDI DESONERADO EQUIPAMENTO:</v>
          </cell>
          <cell r="K8">
            <v>0.15459999999999999</v>
          </cell>
        </row>
        <row r="9">
          <cell r="A9"/>
          <cell r="B9"/>
          <cell r="C9"/>
          <cell r="D9"/>
          <cell r="E9"/>
          <cell r="F9"/>
          <cell r="G9" t="str">
            <v>BDI NÃO DESONERADO:</v>
          </cell>
          <cell r="H9"/>
          <cell r="I9">
            <v>0.1757</v>
          </cell>
          <cell r="J9" t="str">
            <v>BDI NÃO DESONERADO EQUIPAMENTO:</v>
          </cell>
          <cell r="K9">
            <v>0.1007</v>
          </cell>
        </row>
        <row r="10">
          <cell r="A10" t="str">
            <v>Ítem</v>
          </cell>
          <cell r="B10" t="str">
            <v>Código</v>
          </cell>
          <cell r="C10" t="str">
            <v>DISCRIMINAÇÃO</v>
          </cell>
          <cell r="D10" t="str">
            <v>Und</v>
          </cell>
          <cell r="E10" t="str">
            <v>Qtd</v>
          </cell>
          <cell r="F10" t="str">
            <v>PREÇO DESONERADO</v>
          </cell>
          <cell r="G10"/>
          <cell r="H10"/>
          <cell r="I10" t="str">
            <v>PREÇO NÃO DESONERADO</v>
          </cell>
          <cell r="J10"/>
          <cell r="K10"/>
        </row>
        <row r="11">
          <cell r="A11"/>
          <cell r="B11"/>
          <cell r="C11"/>
          <cell r="D11"/>
          <cell r="E11"/>
          <cell r="F11" t="str">
            <v>SEM BDI</v>
          </cell>
          <cell r="G11" t="str">
            <v>COM BDI</v>
          </cell>
          <cell r="H11" t="str">
            <v>TOTAL (R$)</v>
          </cell>
          <cell r="I11" t="str">
            <v>SEM BDI</v>
          </cell>
          <cell r="J11" t="str">
            <v>COM BDI</v>
          </cell>
          <cell r="K11" t="str">
            <v>TOTAL (R$)</v>
          </cell>
        </row>
        <row r="12">
          <cell r="A12" t="str">
            <v>1.0</v>
          </cell>
          <cell r="B12" t="str">
            <v>PAVIMENTAÇÃO</v>
          </cell>
          <cell r="C12"/>
          <cell r="D12"/>
          <cell r="E12"/>
          <cell r="F12"/>
          <cell r="G12"/>
          <cell r="H12"/>
          <cell r="I12"/>
          <cell r="J12"/>
          <cell r="K12"/>
        </row>
        <row r="13">
          <cell r="A13" t="str">
            <v>1.1</v>
          </cell>
          <cell r="B13"/>
          <cell r="C13" t="str">
            <v>RUA MANOEL BENÍCIO - PIEDADE</v>
          </cell>
          <cell r="D13"/>
          <cell r="E13"/>
          <cell r="F13"/>
          <cell r="G13"/>
          <cell r="H13">
            <v>779054.65</v>
          </cell>
          <cell r="I13"/>
          <cell r="J13"/>
          <cell r="K13">
            <v>757147.32</v>
          </cell>
        </row>
        <row r="14">
          <cell r="A14" t="str">
            <v>1.1.1</v>
          </cell>
          <cell r="B14"/>
          <cell r="C14" t="str">
            <v>INSTALAÇÕES PROVISÓRIAS</v>
          </cell>
          <cell r="D14"/>
          <cell r="E14"/>
          <cell r="F14"/>
          <cell r="G14"/>
          <cell r="H14">
            <v>8115.87</v>
          </cell>
          <cell r="I14"/>
          <cell r="J14"/>
          <cell r="K14">
            <v>7783.05</v>
          </cell>
        </row>
        <row r="15">
          <cell r="A15" t="str">
            <v>1.1.1.1</v>
          </cell>
          <cell r="B15" t="str">
            <v>CP-74209/001-15055090</v>
          </cell>
          <cell r="C15" t="str">
            <v>PLACA DE OBRA EM CHAPA DE ACO GALVANIZADO</v>
          </cell>
          <cell r="D15" t="str">
            <v xml:space="preserve">M2    </v>
          </cell>
          <cell r="E15">
            <v>8</v>
          </cell>
          <cell r="F15">
            <v>558.35</v>
          </cell>
          <cell r="G15">
            <v>690.06</v>
          </cell>
          <cell r="H15">
            <v>5520.48</v>
          </cell>
          <cell r="I15">
            <v>564.99</v>
          </cell>
          <cell r="J15">
            <v>664.26</v>
          </cell>
          <cell r="K15">
            <v>5314.08</v>
          </cell>
        </row>
        <row r="16">
          <cell r="A16" t="str">
            <v>1.1.1.2</v>
          </cell>
          <cell r="B16" t="str">
            <v>COMP-07440249</v>
          </cell>
          <cell r="C16" t="str">
            <v>BANHEIRO QUÍMICO, COM LOCAÇÃO, TRANSPORTE E LIMPEZA</v>
          </cell>
          <cell r="D16" t="str">
            <v>MÊS</v>
          </cell>
          <cell r="E16">
            <v>3</v>
          </cell>
          <cell r="F16">
            <v>700</v>
          </cell>
          <cell r="G16">
            <v>865.13</v>
          </cell>
          <cell r="H16">
            <v>2595.39</v>
          </cell>
          <cell r="I16">
            <v>700</v>
          </cell>
          <cell r="J16">
            <v>822.99</v>
          </cell>
          <cell r="K16">
            <v>2468.9699999999998</v>
          </cell>
        </row>
        <row r="17">
          <cell r="A17" t="str">
            <v>1.1.2</v>
          </cell>
          <cell r="B17"/>
          <cell r="C17" t="str">
            <v>ADMINISTRAÇÃO LOCAL</v>
          </cell>
          <cell r="D17"/>
          <cell r="E17"/>
          <cell r="F17"/>
          <cell r="G17"/>
          <cell r="H17">
            <v>24253.91</v>
          </cell>
          <cell r="I17"/>
          <cell r="J17"/>
          <cell r="K17">
            <v>26597.11</v>
          </cell>
        </row>
        <row r="18">
          <cell r="A18" t="str">
            <v>1.1.2.1</v>
          </cell>
          <cell r="B18">
            <v>93565</v>
          </cell>
          <cell r="C18" t="str">
            <v>ENGENHEIRO CIVIL DE OBRA JUNIOR COM ENCARGOS COMPLEMENTARES</v>
          </cell>
          <cell r="D18" t="str">
            <v>MES</v>
          </cell>
          <cell r="E18">
            <v>0.75</v>
          </cell>
          <cell r="F18">
            <v>14549.96</v>
          </cell>
          <cell r="G18">
            <v>17982.3</v>
          </cell>
          <cell r="H18">
            <v>13486.73</v>
          </cell>
          <cell r="I18">
            <v>16819.14</v>
          </cell>
          <cell r="J18">
            <v>19774.259999999998</v>
          </cell>
          <cell r="K18">
            <v>14830.7</v>
          </cell>
        </row>
        <row r="19">
          <cell r="A19" t="str">
            <v>1.1.2.2</v>
          </cell>
          <cell r="B19">
            <v>93572</v>
          </cell>
          <cell r="C19" t="str">
            <v>ENCARREGADO GERAL DE OBRAS COM ENCARGOS COMPLEMENTARES</v>
          </cell>
          <cell r="D19" t="str">
            <v>MES</v>
          </cell>
          <cell r="E19">
            <v>1.5</v>
          </cell>
          <cell r="F19">
            <v>5808.01</v>
          </cell>
          <cell r="G19">
            <v>7178.12</v>
          </cell>
          <cell r="H19">
            <v>10767.18</v>
          </cell>
          <cell r="I19">
            <v>6672</v>
          </cell>
          <cell r="J19">
            <v>7844.27</v>
          </cell>
          <cell r="K19">
            <v>11766.41</v>
          </cell>
        </row>
        <row r="20">
          <cell r="A20" t="str">
            <v>1.1.3</v>
          </cell>
          <cell r="B20"/>
          <cell r="C20" t="str">
            <v>SERVIÇOS PRELIMINARES</v>
          </cell>
          <cell r="D20"/>
          <cell r="E20"/>
          <cell r="F20"/>
          <cell r="G20"/>
          <cell r="H20">
            <v>15243.57</v>
          </cell>
          <cell r="I20"/>
          <cell r="J20"/>
          <cell r="K20">
            <v>16063.34</v>
          </cell>
        </row>
        <row r="21">
          <cell r="A21" t="str">
            <v>1.1.3.1</v>
          </cell>
          <cell r="B21">
            <v>99064</v>
          </cell>
          <cell r="C21" t="str">
            <v>LOCAÇÃO DE PAVIMENTAÇÃO. AF_10/2018</v>
          </cell>
          <cell r="D21" t="str">
            <v>M</v>
          </cell>
          <cell r="E21">
            <v>388.6</v>
          </cell>
          <cell r="F21">
            <v>0.43</v>
          </cell>
          <cell r="G21">
            <v>0.53</v>
          </cell>
          <cell r="H21">
            <v>205.96</v>
          </cell>
          <cell r="I21">
            <v>0.49</v>
          </cell>
          <cell r="J21">
            <v>0.57999999999999996</v>
          </cell>
          <cell r="K21">
            <v>225.39</v>
          </cell>
        </row>
        <row r="22">
          <cell r="A22" t="str">
            <v>1.1.3.2</v>
          </cell>
          <cell r="B22" t="str">
            <v>COMP-17562084</v>
          </cell>
          <cell r="C22" t="str">
            <v>DEMOLIÇÃO MANUAL DE CONCRETO SIMPLES</v>
          </cell>
          <cell r="D22" t="str">
            <v>M3</v>
          </cell>
          <cell r="E22">
            <v>57.82</v>
          </cell>
          <cell r="F22">
            <v>190.89</v>
          </cell>
          <cell r="G22">
            <v>235.92</v>
          </cell>
          <cell r="H22">
            <v>13640.89</v>
          </cell>
          <cell r="I22">
            <v>212.24</v>
          </cell>
          <cell r="J22">
            <v>249.53</v>
          </cell>
          <cell r="K22">
            <v>14427.82</v>
          </cell>
        </row>
        <row r="23">
          <cell r="A23" t="str">
            <v>1.1.3.3</v>
          </cell>
          <cell r="B23" t="str">
            <v>COMP-01471766</v>
          </cell>
          <cell r="C23" t="str">
            <v>DEMOLIÇÃO DE MEIO-FIO</v>
          </cell>
          <cell r="D23" t="str">
            <v>M</v>
          </cell>
          <cell r="E23">
            <v>52.82</v>
          </cell>
          <cell r="F23">
            <v>10.02</v>
          </cell>
          <cell r="G23">
            <v>12.38</v>
          </cell>
          <cell r="H23">
            <v>653.91</v>
          </cell>
          <cell r="I23">
            <v>11.13</v>
          </cell>
          <cell r="J23">
            <v>13.09</v>
          </cell>
          <cell r="K23">
            <v>691.41</v>
          </cell>
        </row>
        <row r="24">
          <cell r="A24" t="str">
            <v>1.1.3.4</v>
          </cell>
          <cell r="B24" t="str">
            <v>COMP-35145154</v>
          </cell>
          <cell r="C24" t="str">
            <v>CARGA E DESCARGA MECANICA DE SOLO UTILIZANDO CAMINHAO BASCULANTE 14,0M3/36T E PA CARREGADEIRA SOBRE PNEUS 128 HP, CAPACIDADE DA CAÇAMBA 1,7 A 2,8 M3, PESO OPERACIONAL 11632 KH</v>
          </cell>
          <cell r="D24" t="str">
            <v>M3</v>
          </cell>
          <cell r="E24">
            <v>75.25</v>
          </cell>
          <cell r="F24">
            <v>2.83</v>
          </cell>
          <cell r="G24">
            <v>3.5</v>
          </cell>
          <cell r="H24">
            <v>263.38</v>
          </cell>
          <cell r="I24">
            <v>2.9</v>
          </cell>
          <cell r="J24">
            <v>3.41</v>
          </cell>
          <cell r="K24">
            <v>256.60000000000002</v>
          </cell>
        </row>
        <row r="25">
          <cell r="A25" t="str">
            <v>1.1.3.5</v>
          </cell>
          <cell r="B25">
            <v>95876</v>
          </cell>
          <cell r="C25" t="str">
            <v>TRANSPORTE COM CAMINHÃO BASCULANTE DE 14 M³, EM VIA URBANA PAVIMENTADA, DMT ATÉ 30 KM (UNIDADE: M3XKM). AF_07/2020</v>
          </cell>
          <cell r="D25" t="str">
            <v>M3XKM</v>
          </cell>
          <cell r="E25">
            <v>173.08</v>
          </cell>
          <cell r="F25">
            <v>2.2400000000000002</v>
          </cell>
          <cell r="G25">
            <v>2.77</v>
          </cell>
          <cell r="H25">
            <v>479.43</v>
          </cell>
          <cell r="I25">
            <v>2.27</v>
          </cell>
          <cell r="J25">
            <v>2.67</v>
          </cell>
          <cell r="K25">
            <v>462.12</v>
          </cell>
        </row>
        <row r="26">
          <cell r="A26" t="str">
            <v>1.1.4</v>
          </cell>
          <cell r="B26"/>
          <cell r="C26" t="str">
            <v>TERRAPLANAGEM</v>
          </cell>
          <cell r="D26"/>
          <cell r="E26"/>
          <cell r="F26"/>
          <cell r="G26"/>
          <cell r="H26">
            <v>38334.69</v>
          </cell>
          <cell r="I26"/>
          <cell r="J26"/>
          <cell r="K26">
            <v>37121.15</v>
          </cell>
        </row>
        <row r="27">
          <cell r="A27" t="str">
            <v>1.1.4.1</v>
          </cell>
          <cell r="B27" t="str">
            <v>CP-74205/001-17324935</v>
          </cell>
          <cell r="C27" t="str">
            <v>ESCAVAÇÃO MECÂNICA DE MATERIAL 1A. CATEGORIA, PROVENIENTE DE CORTE DE SUBLEITO (C/TRATOR ESTEIRAS  160HP)</v>
          </cell>
          <cell r="D27" t="str">
            <v>M3</v>
          </cell>
          <cell r="E27">
            <v>2476.6</v>
          </cell>
          <cell r="F27">
            <v>2.54</v>
          </cell>
          <cell r="G27">
            <v>3.14</v>
          </cell>
          <cell r="H27">
            <v>7776.52</v>
          </cell>
          <cell r="I27">
            <v>2.59</v>
          </cell>
          <cell r="J27">
            <v>3.05</v>
          </cell>
          <cell r="K27">
            <v>7553.63</v>
          </cell>
        </row>
        <row r="28">
          <cell r="A28" t="str">
            <v>1.1.4.2</v>
          </cell>
          <cell r="B28" t="str">
            <v>COMP-35145154</v>
          </cell>
          <cell r="C28" t="str">
            <v>CARGA E DESCARGA MECANICA DE SOLO UTILIZANDO CAMINHAO BASCULANTE 14,0M3/36T E PA CARREGADEIRA SOBRE PNEUS 128 HP, CAPACIDADE DA CAÇAMBA 1,7 A 2,8 M3, PESO OPERACIONAL 11632 KH</v>
          </cell>
          <cell r="D28" t="str">
            <v>M3</v>
          </cell>
          <cell r="E28">
            <v>3095.75</v>
          </cell>
          <cell r="F28">
            <v>2.83</v>
          </cell>
          <cell r="G28">
            <v>3.5</v>
          </cell>
          <cell r="H28">
            <v>10835.13</v>
          </cell>
          <cell r="I28">
            <v>2.9</v>
          </cell>
          <cell r="J28">
            <v>3.41</v>
          </cell>
          <cell r="K28">
            <v>10556.51</v>
          </cell>
        </row>
        <row r="29">
          <cell r="A29" t="str">
            <v>1.1.4.3</v>
          </cell>
          <cell r="B29">
            <v>95876</v>
          </cell>
          <cell r="C29" t="str">
            <v>TRANSPORTE COM CAMINHÃO BASCULANTE DE 14 M³, EM VIA URBANA PAVIMENTADA, DMT ATÉ 30 KM (UNIDADE: M3XKM). AF_07/2020</v>
          </cell>
          <cell r="D29" t="str">
            <v>M3XKM</v>
          </cell>
          <cell r="E29">
            <v>7120.23</v>
          </cell>
          <cell r="F29">
            <v>2.2400000000000002</v>
          </cell>
          <cell r="G29">
            <v>2.77</v>
          </cell>
          <cell r="H29">
            <v>19723.04</v>
          </cell>
          <cell r="I29">
            <v>2.27</v>
          </cell>
          <cell r="J29">
            <v>2.67</v>
          </cell>
          <cell r="K29">
            <v>19011.009999999998</v>
          </cell>
        </row>
        <row r="30">
          <cell r="A30" t="str">
            <v>1.1.5</v>
          </cell>
          <cell r="B30"/>
          <cell r="C30" t="str">
            <v>PAVIMENTAÇÃO</v>
          </cell>
          <cell r="D30"/>
          <cell r="E30"/>
          <cell r="F30"/>
          <cell r="G30"/>
          <cell r="H30">
            <v>332534.39</v>
          </cell>
          <cell r="I30"/>
          <cell r="J30"/>
          <cell r="K30">
            <v>325065.58</v>
          </cell>
        </row>
        <row r="31">
          <cell r="A31" t="str">
            <v>1.1.5.1</v>
          </cell>
          <cell r="B31">
            <v>100576</v>
          </cell>
          <cell r="C31" t="str">
            <v>REGULARIZAÇÃO E COMPACTAÇÃO DE SUBLEITO DE SOLO  PREDOMINANTEMENTE ARGILOSO. AF_11/2019</v>
          </cell>
          <cell r="D31" t="str">
            <v>M2</v>
          </cell>
          <cell r="E31">
            <v>2732.83</v>
          </cell>
          <cell r="F31">
            <v>2.64</v>
          </cell>
          <cell r="G31">
            <v>3.26</v>
          </cell>
          <cell r="H31">
            <v>8909.0300000000007</v>
          </cell>
          <cell r="I31">
            <v>2.79</v>
          </cell>
          <cell r="J31">
            <v>3.28</v>
          </cell>
          <cell r="K31">
            <v>8963.68</v>
          </cell>
        </row>
        <row r="32">
          <cell r="A32" t="str">
            <v>1.1.5.2</v>
          </cell>
          <cell r="B32" t="str">
            <v>COMP-47176600</v>
          </cell>
          <cell r="C32" t="str">
            <v xml:space="preserve">EXEC. DE ATERRO COM AREIA COM ADENSAMENTO HIDRAULICO </v>
          </cell>
          <cell r="D32" t="str">
            <v xml:space="preserve">M3    </v>
          </cell>
          <cell r="E32">
            <v>1002.29</v>
          </cell>
          <cell r="F32">
            <v>103.23</v>
          </cell>
          <cell r="G32">
            <v>127.58</v>
          </cell>
          <cell r="H32">
            <v>127872.16</v>
          </cell>
          <cell r="I32">
            <v>104.33</v>
          </cell>
          <cell r="J32">
            <v>122.66</v>
          </cell>
          <cell r="K32">
            <v>122940.89</v>
          </cell>
        </row>
        <row r="33">
          <cell r="A33" t="str">
            <v>1.1.5.3</v>
          </cell>
          <cell r="B33" t="str">
            <v>COMP-28881239</v>
          </cell>
          <cell r="C33" t="str">
            <v>Base ou sub-base de macadame hidráulico com brita comercial - EXCLUSIVE MATERIAL, CARGA E TRANSPORTE - NÃO DESONERADO</v>
          </cell>
          <cell r="D33" t="str">
            <v>M3</v>
          </cell>
          <cell r="E33">
            <v>421.28</v>
          </cell>
          <cell r="F33">
            <v>11.24</v>
          </cell>
          <cell r="G33">
            <v>13.89</v>
          </cell>
          <cell r="H33">
            <v>5851.58</v>
          </cell>
          <cell r="I33">
            <v>11.4</v>
          </cell>
          <cell r="J33">
            <v>13.4</v>
          </cell>
          <cell r="K33">
            <v>5645.15</v>
          </cell>
        </row>
        <row r="34">
          <cell r="A34" t="str">
            <v>1.1.5.4</v>
          </cell>
          <cell r="B34" t="str">
            <v>CP-96396-26507981</v>
          </cell>
          <cell r="C34" t="str">
            <v>EXECUÇÃO E COMPACTAÇÃO DE BASE E OU SUB BASE PARA PAVIMENTAÇÃO DE BRITA GRADUADA SIMPLES - EXCLUSIVE MATERIAL, CARGA E TRANSPORTE</v>
          </cell>
          <cell r="D34" t="str">
            <v>M3</v>
          </cell>
          <cell r="E34">
            <v>474.97</v>
          </cell>
          <cell r="F34">
            <v>13.86</v>
          </cell>
          <cell r="G34">
            <v>17.13</v>
          </cell>
          <cell r="H34">
            <v>8136.24</v>
          </cell>
          <cell r="I34">
            <v>14.44</v>
          </cell>
          <cell r="J34">
            <v>16.98</v>
          </cell>
          <cell r="K34">
            <v>8064.99</v>
          </cell>
        </row>
        <row r="35">
          <cell r="A35" t="str">
            <v>1.1.5.5</v>
          </cell>
          <cell r="B35" t="str">
            <v>COMP-35145154</v>
          </cell>
          <cell r="C35" t="str">
            <v>CARGA E DESCARGA MECANICA DE SOLO UTILIZANDO CAMINHAO BASCULANTE 14,0M3/36T E PA CARREGADEIRA SOBRE PNEUS 128 HP, CAPACIDADE DA CAÇAMBA 1,7 A 2,8 M3, PESO OPERACIONAL 11632 KH</v>
          </cell>
          <cell r="D35" t="str">
            <v>M3</v>
          </cell>
          <cell r="E35">
            <v>1120.31</v>
          </cell>
          <cell r="F35">
            <v>2.83</v>
          </cell>
          <cell r="G35">
            <v>3.5</v>
          </cell>
          <cell r="H35">
            <v>3921.09</v>
          </cell>
          <cell r="I35">
            <v>2.9</v>
          </cell>
          <cell r="J35">
            <v>3.41</v>
          </cell>
          <cell r="K35">
            <v>3820.26</v>
          </cell>
        </row>
        <row r="36">
          <cell r="A36" t="str">
            <v>1.1.5.6</v>
          </cell>
          <cell r="B36" t="str">
            <v>COMP-83526730</v>
          </cell>
          <cell r="C36" t="str">
            <v>TRANSPORTE COMERCIAL DE BRITA</v>
          </cell>
          <cell r="D36" t="str">
            <v>M3XKM</v>
          </cell>
          <cell r="E36">
            <v>9634.67</v>
          </cell>
          <cell r="F36">
            <v>1.36</v>
          </cell>
          <cell r="G36">
            <v>1.68</v>
          </cell>
          <cell r="H36">
            <v>16186.25</v>
          </cell>
          <cell r="I36">
            <v>1.37</v>
          </cell>
          <cell r="J36">
            <v>1.61</v>
          </cell>
          <cell r="K36">
            <v>15511.82</v>
          </cell>
        </row>
        <row r="37">
          <cell r="A37" t="str">
            <v>1.1.5.7</v>
          </cell>
          <cell r="B37" t="str">
            <v>CP-92399-27762594</v>
          </cell>
          <cell r="C37" t="str">
            <v>EXECUÇÃO DE VIA EM PISO INTERTRAVADO, COM BLOCO RETANGULAR COR NATURAL/COLORIDO DE 20 X 10 CM, ESPESSURA 8 CM - (SEM O MATERIAL BLOQUETE/PISO INTERTRAVADO)</v>
          </cell>
          <cell r="D37" t="str">
            <v>M2</v>
          </cell>
          <cell r="E37">
            <v>227.11</v>
          </cell>
          <cell r="F37">
            <v>19.170000000000002</v>
          </cell>
          <cell r="G37">
            <v>23.69</v>
          </cell>
          <cell r="H37">
            <v>5380.24</v>
          </cell>
          <cell r="I37">
            <v>20.41</v>
          </cell>
          <cell r="J37">
            <v>24</v>
          </cell>
          <cell r="K37">
            <v>5450.64</v>
          </cell>
        </row>
        <row r="38">
          <cell r="A38" t="str">
            <v>1.1.5.8</v>
          </cell>
          <cell r="B38" t="str">
            <v>COMP-62038505</v>
          </cell>
          <cell r="C38" t="str">
            <v>EXECUÇÃO DE IMPRIMAÇÃO COM ASFALTO DILUÍDO CM-30 - SERVIÇO UTILIZADO NOS LOTES</v>
          </cell>
          <cell r="D38" t="str">
            <v>M2</v>
          </cell>
          <cell r="E38">
            <v>1935.14</v>
          </cell>
          <cell r="F38">
            <v>7.56</v>
          </cell>
          <cell r="G38">
            <v>9.34</v>
          </cell>
          <cell r="H38">
            <v>18074.21</v>
          </cell>
          <cell r="I38">
            <v>7.62</v>
          </cell>
          <cell r="J38">
            <v>8.9600000000000009</v>
          </cell>
          <cell r="K38">
            <v>17338.849999999999</v>
          </cell>
        </row>
        <row r="39">
          <cell r="A39" t="str">
            <v>1.1.5.9</v>
          </cell>
          <cell r="B39" t="str">
            <v>CP-95995-51339760</v>
          </cell>
          <cell r="C39" t="str">
            <v>EXECUÇÃO DE PAVIMENTO COM APLICAÇÃO DE CONCRETO ASFÁLTICO, CAMADA DE ROLAMENTO - EXCLUSIVE CARGA E TRANSPORTE E CONCRETO BETUMINOSO</v>
          </cell>
          <cell r="D39" t="str">
            <v>M3</v>
          </cell>
          <cell r="E39">
            <v>96.76</v>
          </cell>
          <cell r="F39">
            <v>127.58</v>
          </cell>
          <cell r="G39">
            <v>157.68</v>
          </cell>
          <cell r="H39">
            <v>15257.12</v>
          </cell>
          <cell r="I39">
            <v>133.37</v>
          </cell>
          <cell r="J39">
            <v>156.80000000000001</v>
          </cell>
          <cell r="K39">
            <v>15171.97</v>
          </cell>
        </row>
        <row r="40">
          <cell r="A40" t="str">
            <v>1.1.5.10</v>
          </cell>
          <cell r="B40" t="str">
            <v>COMP-10034101</v>
          </cell>
          <cell r="C40" t="str">
            <v>CARGA, MANOBRAS E DESCARGA DE MISTURA BETUMINOSA A QUENTE, COM CAMINHAO BASCULANTE 6 M3, DESCARGA EM VIBRO-ACABADORA</v>
          </cell>
          <cell r="D40" t="str">
            <v>M3</v>
          </cell>
          <cell r="E40">
            <v>96.76</v>
          </cell>
          <cell r="F40">
            <v>7.74</v>
          </cell>
          <cell r="G40">
            <v>9.57</v>
          </cell>
          <cell r="H40">
            <v>925.99</v>
          </cell>
          <cell r="I40">
            <v>7.86</v>
          </cell>
          <cell r="J40">
            <v>9.24</v>
          </cell>
          <cell r="K40">
            <v>894.06</v>
          </cell>
        </row>
        <row r="41">
          <cell r="A41" t="str">
            <v>1.1.5.11</v>
          </cell>
          <cell r="B41" t="str">
            <v>CP-95303-56931542</v>
          </cell>
          <cell r="C41" t="str">
            <v>TRANSPORTE COM CAMINHÃO BASCULANTE 10 M3 DE MASSA ASFALTICA PARA PAVIMENTAÇÃO URBANA</v>
          </cell>
          <cell r="D41" t="str">
            <v>M3XKM</v>
          </cell>
          <cell r="E41">
            <v>1722.33</v>
          </cell>
          <cell r="F41">
            <v>1.75</v>
          </cell>
          <cell r="G41">
            <v>2.16</v>
          </cell>
          <cell r="H41">
            <v>3720.23</v>
          </cell>
          <cell r="I41">
            <v>1.77</v>
          </cell>
          <cell r="J41">
            <v>2.08</v>
          </cell>
          <cell r="K41">
            <v>3582.45</v>
          </cell>
        </row>
        <row r="42">
          <cell r="A42" t="str">
            <v>1.1.5.12</v>
          </cell>
          <cell r="B42" t="str">
            <v>CP-97084-89637704</v>
          </cell>
          <cell r="C42" t="str">
            <v>REGULARIZACAO E COMPACTAÇÃO MANUAL DE TERRENO COM PLACA VIBRATÓRIA</v>
          </cell>
          <cell r="D42" t="str">
            <v>M2</v>
          </cell>
          <cell r="E42">
            <v>1897.96</v>
          </cell>
          <cell r="F42">
            <v>0.59</v>
          </cell>
          <cell r="G42">
            <v>0.73</v>
          </cell>
          <cell r="H42">
            <v>1385.51</v>
          </cell>
          <cell r="I42">
            <v>0.65</v>
          </cell>
          <cell r="J42">
            <v>0.76</v>
          </cell>
          <cell r="K42">
            <v>1442.45</v>
          </cell>
        </row>
        <row r="43">
          <cell r="A43" t="str">
            <v>1.1.5.13</v>
          </cell>
          <cell r="B43" t="str">
            <v>CP-94991-12549457</v>
          </cell>
          <cell r="C43" t="str">
            <v>EXECUÇÃO DE PASSEIO (CALÇADA) OU PISO DE CONCRETO COM CONCRETO MOLDADO IN LOCO, USINADO, ACABAMENTO CONVENCIONAL, NÃO ARMADO - EXCLUINDO O CONCRETO USINADO 20MPA</v>
          </cell>
          <cell r="D43" t="str">
            <v>M3</v>
          </cell>
          <cell r="E43">
            <v>127.65</v>
          </cell>
          <cell r="F43">
            <v>104.6</v>
          </cell>
          <cell r="G43">
            <v>129.28</v>
          </cell>
          <cell r="H43">
            <v>16502.59</v>
          </cell>
          <cell r="I43">
            <v>112.75</v>
          </cell>
          <cell r="J43">
            <v>132.56</v>
          </cell>
          <cell r="K43">
            <v>16921.28</v>
          </cell>
        </row>
        <row r="44">
          <cell r="A44" t="str">
            <v>1.1.5.14</v>
          </cell>
          <cell r="B44">
            <v>94273</v>
          </cell>
          <cell r="C44" t="str">
            <v>ASSENTAMENTO DE GUIA (MEIO-FIO) EM TRECHO RETO, CONFECCIONADA EM CONCRETO PRÉ-FABRICADO, DIMENSÕES 100X15X13X30 CM (COMPRIMENTO X BASE INFERIOR X BASE SUPERIOR X ALTURA), PARA VIAS URBANAS (USO VIÁRIO). AF_06/2016</v>
          </cell>
          <cell r="D44" t="str">
            <v>M</v>
          </cell>
          <cell r="E44">
            <v>749.93</v>
          </cell>
          <cell r="F44">
            <v>54.61</v>
          </cell>
          <cell r="G44">
            <v>67.489999999999995</v>
          </cell>
          <cell r="H44">
            <v>50612.78</v>
          </cell>
          <cell r="I44">
            <v>56.47</v>
          </cell>
          <cell r="J44">
            <v>66.39</v>
          </cell>
          <cell r="K44">
            <v>49787.85</v>
          </cell>
        </row>
        <row r="45">
          <cell r="A45" t="str">
            <v>1.1.5.15</v>
          </cell>
          <cell r="B45">
            <v>94275</v>
          </cell>
          <cell r="C45" t="str">
            <v>ASSENTAMENTO DE GUIA (MEIO-FIO) EM TRECHO RETO, CONFECCIONADA EM CONCRETO PRÉ-FABRICADO, DIMENSÕES 100X15X13X20 CM (COMPRIMENTO X BASE INFERIOR X BASE SUPERIOR X ALTURA), PARA URBANIZAÇÃO INTERNA DE EMPREENDIMENTOS. AF_06/2016_P</v>
          </cell>
          <cell r="D45" t="str">
            <v>M</v>
          </cell>
          <cell r="E45">
            <v>147</v>
          </cell>
          <cell r="F45">
            <v>52.64</v>
          </cell>
          <cell r="G45">
            <v>65.06</v>
          </cell>
          <cell r="H45">
            <v>9563.82</v>
          </cell>
          <cell r="I45">
            <v>54.31</v>
          </cell>
          <cell r="J45">
            <v>63.85</v>
          </cell>
          <cell r="K45">
            <v>9385.9500000000007</v>
          </cell>
        </row>
        <row r="46">
          <cell r="A46" t="str">
            <v>1.1.5.16</v>
          </cell>
          <cell r="B46">
            <v>94287</v>
          </cell>
          <cell r="C46" t="str">
            <v>EXECUÇÃO DE SARJETA DE CONCRETO USINADO, MOLDADA  IN LOCO  EM TRECHO RETO, 30 CM BASE X 10 CM ALTURA. AF_06/2016</v>
          </cell>
          <cell r="D46" t="str">
            <v>M</v>
          </cell>
          <cell r="E46">
            <v>715.92</v>
          </cell>
          <cell r="F46">
            <v>37.69</v>
          </cell>
          <cell r="G46">
            <v>46.58</v>
          </cell>
          <cell r="H46">
            <v>33347.550000000003</v>
          </cell>
          <cell r="I46">
            <v>39.770000000000003</v>
          </cell>
          <cell r="J46">
            <v>46.76</v>
          </cell>
          <cell r="K46">
            <v>33476.42</v>
          </cell>
        </row>
        <row r="47">
          <cell r="A47" t="str">
            <v>1.1.5.17</v>
          </cell>
          <cell r="B47">
            <v>98511</v>
          </cell>
          <cell r="C47" t="str">
            <v>PLANTIO DE ÁRVORE ORNAMENTAL COM ALTURA DE MUDA MAIOR QUE 2,00 M E MENOR OU IGUAL A 4,00 M. AF_05/2018</v>
          </cell>
          <cell r="D47" t="str">
            <v>UN</v>
          </cell>
          <cell r="E47">
            <v>21</v>
          </cell>
          <cell r="F47">
            <v>198.4</v>
          </cell>
          <cell r="G47">
            <v>245.2</v>
          </cell>
          <cell r="H47">
            <v>5149.2</v>
          </cell>
          <cell r="I47">
            <v>201.05</v>
          </cell>
          <cell r="J47">
            <v>236.37</v>
          </cell>
          <cell r="K47">
            <v>4963.7700000000004</v>
          </cell>
        </row>
        <row r="48">
          <cell r="A48" t="str">
            <v>1.1.5.18</v>
          </cell>
          <cell r="B48">
            <v>98504</v>
          </cell>
          <cell r="C48" t="str">
            <v>PLANTIO DE GRAMA BATATAIS EM PLACAS. AF_05/2018</v>
          </cell>
          <cell r="D48" t="str">
            <v>M2</v>
          </cell>
          <cell r="E48">
            <v>105</v>
          </cell>
          <cell r="F48">
            <v>13.4</v>
          </cell>
          <cell r="G48">
            <v>16.559999999999999</v>
          </cell>
          <cell r="H48">
            <v>1738.8</v>
          </cell>
          <cell r="I48">
            <v>13.8</v>
          </cell>
          <cell r="J48">
            <v>16.22</v>
          </cell>
          <cell r="K48">
            <v>1703.1</v>
          </cell>
        </row>
        <row r="49">
          <cell r="A49" t="str">
            <v>1.1.6</v>
          </cell>
          <cell r="B49"/>
          <cell r="C49" t="str">
            <v>DRENAGEM</v>
          </cell>
          <cell r="D49"/>
          <cell r="E49"/>
          <cell r="F49"/>
          <cell r="G49"/>
          <cell r="H49">
            <v>2185.5500000000002</v>
          </cell>
          <cell r="I49"/>
          <cell r="J49"/>
          <cell r="K49">
            <v>2150.0500000000002</v>
          </cell>
        </row>
        <row r="50">
          <cell r="A50" t="str">
            <v>1.1.6.1</v>
          </cell>
          <cell r="B50">
            <v>93358</v>
          </cell>
          <cell r="C50" t="str">
            <v>ESCAVAÇÃO MANUAL DE VALA COM PROFUNDIDADE MENOR OU IGUAL A 1,30 M. AF_02/2021</v>
          </cell>
          <cell r="D50" t="str">
            <v>M3</v>
          </cell>
          <cell r="E50">
            <v>0.99</v>
          </cell>
          <cell r="F50">
            <v>70.53</v>
          </cell>
          <cell r="G50">
            <v>87.17</v>
          </cell>
          <cell r="H50">
            <v>86.3</v>
          </cell>
          <cell r="I50">
            <v>78.319999999999993</v>
          </cell>
          <cell r="J50">
            <v>92.08</v>
          </cell>
          <cell r="K50">
            <v>91.16</v>
          </cell>
        </row>
        <row r="51">
          <cell r="A51" t="str">
            <v>1.1.6.2</v>
          </cell>
          <cell r="B51">
            <v>94974</v>
          </cell>
          <cell r="C51" t="str">
            <v>CONCRETO MAGRO PARA LASTRO, TRAÇO 1:4,5:4,5 (EM MASSA SECA DE CIMENTO/ AREIA MÉDIA/ BRITA 1) - PREPARO MANUAL. AF_05/2021</v>
          </cell>
          <cell r="D51" t="str">
            <v>M3</v>
          </cell>
          <cell r="E51">
            <v>0.62</v>
          </cell>
          <cell r="F51">
            <v>423.75</v>
          </cell>
          <cell r="G51">
            <v>523.71</v>
          </cell>
          <cell r="H51">
            <v>324.7</v>
          </cell>
          <cell r="I51">
            <v>436.13</v>
          </cell>
          <cell r="J51">
            <v>512.76</v>
          </cell>
          <cell r="K51">
            <v>317.91000000000003</v>
          </cell>
        </row>
        <row r="52">
          <cell r="A52" t="str">
            <v>1.1.6.3</v>
          </cell>
          <cell r="B52">
            <v>94971</v>
          </cell>
          <cell r="C52" t="str">
            <v>CONCRETO FCK = 25MPA, TRAÇO 1:2,3:2,7 (EM MASSA SECA DE CIMENTO/ AREIA MÉDIA/ BRITA 1) - PREPARO MECÂNICO COM BETONEIRA 600 L. AF_05/2021</v>
          </cell>
          <cell r="D52" t="str">
            <v>M3</v>
          </cell>
          <cell r="E52">
            <v>0.99</v>
          </cell>
          <cell r="F52">
            <v>464.88</v>
          </cell>
          <cell r="G52">
            <v>574.54999999999995</v>
          </cell>
          <cell r="H52">
            <v>568.79999999999995</v>
          </cell>
          <cell r="I52">
            <v>472.74</v>
          </cell>
          <cell r="J52">
            <v>555.79999999999995</v>
          </cell>
          <cell r="K52">
            <v>550.24</v>
          </cell>
        </row>
        <row r="53">
          <cell r="A53" t="str">
            <v>1.1.6.4</v>
          </cell>
          <cell r="B53" t="str">
            <v>CP-74157/004-48264518</v>
          </cell>
          <cell r="C53" t="str">
            <v>LANCAMENTO/APLICACAO MANUAL DE CONCRETO EM FUNDACOES (concreto magro)</v>
          </cell>
          <cell r="D53" t="str">
            <v>M3</v>
          </cell>
          <cell r="E53">
            <v>1.61</v>
          </cell>
          <cell r="F53">
            <v>116.59</v>
          </cell>
          <cell r="G53">
            <v>144.09</v>
          </cell>
          <cell r="H53">
            <v>231.98</v>
          </cell>
          <cell r="I53">
            <v>129.79</v>
          </cell>
          <cell r="J53">
            <v>152.59</v>
          </cell>
          <cell r="K53">
            <v>245.67</v>
          </cell>
        </row>
        <row r="54">
          <cell r="A54" t="str">
            <v>1.1.6.5</v>
          </cell>
          <cell r="B54" t="str">
            <v>CP-S03639-45770834</v>
          </cell>
          <cell r="C54" t="str">
            <v>Fornecimento e instalação de tela aço soldada nervurada CA-60, Q-283, malha 10x10cm, ferro 6.02mm (4,48 kg/m2), painel 2,45x6,0m, Telcon ou similar</v>
          </cell>
          <cell r="D54" t="str">
            <v>M2</v>
          </cell>
          <cell r="E54">
            <v>12.32</v>
          </cell>
          <cell r="F54">
            <v>63.95</v>
          </cell>
          <cell r="G54">
            <v>79.040000000000006</v>
          </cell>
          <cell r="H54">
            <v>973.77</v>
          </cell>
          <cell r="I54">
            <v>65.25</v>
          </cell>
          <cell r="J54">
            <v>76.709999999999994</v>
          </cell>
          <cell r="K54">
            <v>945.07</v>
          </cell>
        </row>
        <row r="55">
          <cell r="A55" t="str">
            <v>1.1.7</v>
          </cell>
          <cell r="B55"/>
          <cell r="C55" t="str">
            <v>SINALIZAÇÃO</v>
          </cell>
          <cell r="D55"/>
          <cell r="E55"/>
          <cell r="F55"/>
          <cell r="G55"/>
          <cell r="H55">
            <v>13835.37</v>
          </cell>
          <cell r="I55"/>
          <cell r="J55"/>
          <cell r="K55">
            <v>13597.48</v>
          </cell>
        </row>
        <row r="56">
          <cell r="A56" t="str">
            <v>1.1.7.1</v>
          </cell>
          <cell r="B56">
            <v>5213416</v>
          </cell>
          <cell r="C56" t="str">
            <v>Confecção de placa em aço nº 16 galvanizado, com película tipo I + I</v>
          </cell>
          <cell r="D56" t="str">
            <v xml:space="preserve">M2    </v>
          </cell>
          <cell r="E56">
            <v>3</v>
          </cell>
          <cell r="F56">
            <v>351.9</v>
          </cell>
          <cell r="G56">
            <v>434.91</v>
          </cell>
          <cell r="H56">
            <v>1304.73</v>
          </cell>
          <cell r="I56">
            <v>355.35</v>
          </cell>
          <cell r="J56">
            <v>417.78</v>
          </cell>
          <cell r="K56">
            <v>1253.3399999999999</v>
          </cell>
        </row>
        <row r="57">
          <cell r="A57" t="str">
            <v>1.1.7.2</v>
          </cell>
          <cell r="B57">
            <v>5213421</v>
          </cell>
          <cell r="C57" t="str">
            <v>Confecção de placa em aço nº 16 galvanizado, com película tipo I + IV</v>
          </cell>
          <cell r="D57" t="str">
            <v xml:space="preserve">M2    </v>
          </cell>
          <cell r="E57">
            <v>3.94</v>
          </cell>
          <cell r="F57">
            <v>343.8</v>
          </cell>
          <cell r="G57">
            <v>424.9</v>
          </cell>
          <cell r="H57">
            <v>1674.11</v>
          </cell>
          <cell r="I57">
            <v>347.25</v>
          </cell>
          <cell r="J57">
            <v>408.26</v>
          </cell>
          <cell r="K57">
            <v>1608.54</v>
          </cell>
        </row>
        <row r="58">
          <cell r="A58" t="str">
            <v>1.1.7.3</v>
          </cell>
          <cell r="B58">
            <v>5216111</v>
          </cell>
          <cell r="C58" t="str">
            <v>FORNECIMENTO E IMPLANTAÇÃO DE SUPORTE E TRAVESSA PARA PLACA DE SINALIZAÇÃO EM MADEIRA DE LEI TRATADA 8 X 8 CM</v>
          </cell>
          <cell r="D58" t="str">
            <v>UND</v>
          </cell>
          <cell r="E58">
            <v>14</v>
          </cell>
          <cell r="F58">
            <v>119.1379</v>
          </cell>
          <cell r="G58">
            <v>147.24</v>
          </cell>
          <cell r="H58">
            <v>2061.36</v>
          </cell>
          <cell r="I58">
            <v>121.48</v>
          </cell>
          <cell r="J58">
            <v>142.82</v>
          </cell>
          <cell r="K58">
            <v>1999.48</v>
          </cell>
        </row>
        <row r="59">
          <cell r="A59" t="str">
            <v>1.1.7.4</v>
          </cell>
          <cell r="B59" t="str">
            <v>COMP-58084869</v>
          </cell>
          <cell r="C59" t="str">
            <v>PLACA ESMALTADA PARA IDENTIFICAÇÃO NR DE RUA, DIMENSÕES 45X25CM</v>
          </cell>
          <cell r="D59" t="str">
            <v>UND</v>
          </cell>
          <cell r="E59">
            <v>6</v>
          </cell>
          <cell r="F59">
            <v>155.54</v>
          </cell>
          <cell r="G59">
            <v>192.23</v>
          </cell>
          <cell r="H59">
            <v>1153.3800000000001</v>
          </cell>
          <cell r="I59">
            <v>156.33000000000001</v>
          </cell>
          <cell r="J59">
            <v>183.8</v>
          </cell>
          <cell r="K59">
            <v>1102.8</v>
          </cell>
        </row>
        <row r="60">
          <cell r="A60" t="str">
            <v>1.1.7.5</v>
          </cell>
          <cell r="B60" t="str">
            <v>CP-72947-21572945</v>
          </cell>
          <cell r="C60" t="str">
            <v>SINALIZACAO HORIZONTAL COM TINTA RETRORREFLETIVA A BASE DE RESINA ACRILICA COM MICROESFERAS DE VIDRO</v>
          </cell>
          <cell r="D60" t="str">
            <v>M2</v>
          </cell>
          <cell r="E60">
            <v>2.88</v>
          </cell>
          <cell r="F60">
            <v>20.2</v>
          </cell>
          <cell r="G60">
            <v>24.97</v>
          </cell>
          <cell r="H60">
            <v>71.91</v>
          </cell>
          <cell r="I60">
            <v>20.3</v>
          </cell>
          <cell r="J60">
            <v>23.87</v>
          </cell>
          <cell r="K60">
            <v>68.75</v>
          </cell>
        </row>
        <row r="61">
          <cell r="A61" t="str">
            <v>1.1.7.6</v>
          </cell>
          <cell r="B61">
            <v>102512</v>
          </cell>
          <cell r="C61" t="str">
            <v>PINTURA DE EIXO VIÁRIO SOBRE ASFALTO COM TINTA RETRORREFLETIVA A BASE DE RESINA ACRÍLICA COM MICROESFERAS DE VIDRO, APLICAÇÃO MECÂNICA COM DEMARCADORA AUTOPROPELIDA. AF_05/2021</v>
          </cell>
          <cell r="D61" t="str">
            <v>M</v>
          </cell>
          <cell r="E61">
            <v>945.96</v>
          </cell>
          <cell r="F61">
            <v>5.22</v>
          </cell>
          <cell r="G61">
            <v>6.45</v>
          </cell>
          <cell r="H61">
            <v>6101.44</v>
          </cell>
          <cell r="I61">
            <v>5.48</v>
          </cell>
          <cell r="J61">
            <v>6.44</v>
          </cell>
          <cell r="K61">
            <v>6091.98</v>
          </cell>
        </row>
        <row r="62">
          <cell r="A62" t="str">
            <v>1.1.7.7</v>
          </cell>
          <cell r="B62">
            <v>102509</v>
          </cell>
          <cell r="C62" t="str">
            <v>PINTURA DE FAIXA DE PEDESTRE OU ZEBRADA TINTA RETRORREFLETIVA A BASE DE RESINA ACRÍLICA COM MICROESFERAS DE VIDRO, E = 30 CM, APLICAÇÃO MANUAL. AF_05/2021</v>
          </cell>
          <cell r="D62" t="str">
            <v>M2</v>
          </cell>
          <cell r="E62">
            <v>51.87</v>
          </cell>
          <cell r="F62">
            <v>22.91</v>
          </cell>
          <cell r="G62">
            <v>28.31</v>
          </cell>
          <cell r="H62">
            <v>1468.44</v>
          </cell>
          <cell r="I62">
            <v>24.15</v>
          </cell>
          <cell r="J62">
            <v>28.39</v>
          </cell>
          <cell r="K62">
            <v>1472.59</v>
          </cell>
        </row>
        <row r="63">
          <cell r="A63" t="str">
            <v>1.1.8</v>
          </cell>
          <cell r="B63"/>
          <cell r="C63" t="str">
            <v>ACESSIBILIDADE</v>
          </cell>
          <cell r="D63"/>
          <cell r="E63"/>
          <cell r="F63"/>
          <cell r="G63"/>
          <cell r="H63">
            <v>10002.07</v>
          </cell>
          <cell r="I63"/>
          <cell r="J63"/>
          <cell r="K63">
            <v>9836</v>
          </cell>
        </row>
        <row r="64">
          <cell r="A64" t="str">
            <v>1.1.8.1</v>
          </cell>
          <cell r="B64" t="str">
            <v>CP-S12039-81921471</v>
          </cell>
          <cell r="C64" t="str">
            <v>Piso tátil direcional e/ou alerta, de concreto, na cor natural, p/deficientes visuais, dimensões 40x40cm, aplicado com argamassa industrializada ac-ii, rejuntado, exclusive regularização de base</v>
          </cell>
          <cell r="D64" t="str">
            <v>M2</v>
          </cell>
          <cell r="E64">
            <v>74.47</v>
          </cell>
          <cell r="F64">
            <v>108.67</v>
          </cell>
          <cell r="G64">
            <v>134.31</v>
          </cell>
          <cell r="H64">
            <v>10002.07</v>
          </cell>
          <cell r="I64">
            <v>112.34</v>
          </cell>
          <cell r="J64">
            <v>132.08000000000001</v>
          </cell>
          <cell r="K64">
            <v>9836</v>
          </cell>
        </row>
        <row r="65">
          <cell r="A65" t="str">
            <v>1.1.9</v>
          </cell>
          <cell r="B65"/>
          <cell r="C65" t="str">
            <v>MATERIAIS</v>
          </cell>
          <cell r="D65"/>
          <cell r="E65"/>
          <cell r="F65"/>
          <cell r="G65"/>
          <cell r="H65">
            <v>334549.23</v>
          </cell>
          <cell r="I65"/>
          <cell r="J65"/>
          <cell r="K65">
            <v>318933.56</v>
          </cell>
        </row>
        <row r="66">
          <cell r="A66" t="str">
            <v>1.1.9.1</v>
          </cell>
          <cell r="B66">
            <v>10775</v>
          </cell>
          <cell r="C66" t="str">
            <v xml:space="preserve">LOCACAO DE CONTAINER 2,30 X 6,00 M, ALT. 2,50 M, COM 1 SANITARIO, PARA ESCRITORIO, COMPLETO, SEM DIVISORIAS INTERNAS (NAO INCLUI MOBILIZACAO/DESMOBILIZACAO)                                                                                                                                                                                                                                                                                                                                              </v>
          </cell>
          <cell r="D66" t="str">
            <v xml:space="preserve">MES   </v>
          </cell>
          <cell r="E66">
            <v>3</v>
          </cell>
          <cell r="F66">
            <v>830</v>
          </cell>
          <cell r="G66">
            <v>958.32</v>
          </cell>
          <cell r="H66">
            <v>2874.96</v>
          </cell>
          <cell r="I66">
            <v>830</v>
          </cell>
          <cell r="J66">
            <v>913.58</v>
          </cell>
          <cell r="K66">
            <v>2740.74</v>
          </cell>
        </row>
        <row r="67">
          <cell r="A67" t="str">
            <v>1.1.9.2</v>
          </cell>
          <cell r="B67">
            <v>10776</v>
          </cell>
          <cell r="C67" t="str">
            <v xml:space="preserve">LOCACAO DE CONTAINER 2,30 X 6,00 M, ALT. 2,50 M, PARA ESCRITORIO, SEM DIVISORIAS INTERNAS E SEM SANITARIO (NAO INCLUI MOBILIZACAO/DESMOBILIZACAO)                                                                                                                                                                                                                                                                                                                                                         </v>
          </cell>
          <cell r="D67" t="str">
            <v xml:space="preserve">MES   </v>
          </cell>
          <cell r="E67">
            <v>3</v>
          </cell>
          <cell r="F67">
            <v>648.42999999999995</v>
          </cell>
          <cell r="G67">
            <v>748.68</v>
          </cell>
          <cell r="H67">
            <v>2246.04</v>
          </cell>
          <cell r="I67">
            <v>648.42999999999995</v>
          </cell>
          <cell r="J67">
            <v>713.73</v>
          </cell>
          <cell r="K67">
            <v>2141.19</v>
          </cell>
        </row>
        <row r="68">
          <cell r="A68" t="str">
            <v>1.1.9.3</v>
          </cell>
          <cell r="B68">
            <v>36170</v>
          </cell>
          <cell r="C68" t="str">
            <v xml:space="preserve">BLOQUETE/PISO INTERTRAVADO DE CONCRETO - MODELO ONDA/16 FACES/RETANGULAR/TIJOLINHO/PAVER/HOLANDES/PARALELEPIPEDO, *22 CM X 11* CM, E = 8 CM, RESISTENCIA DE 35 MPA (NBR 9781), COR NATURAL                                                                                                                                                                                                                                                                                                                </v>
          </cell>
          <cell r="D68" t="str">
            <v xml:space="preserve">M2    </v>
          </cell>
          <cell r="E68">
            <v>178.53</v>
          </cell>
          <cell r="F68">
            <v>49</v>
          </cell>
          <cell r="G68">
            <v>56.58</v>
          </cell>
          <cell r="H68">
            <v>10101.23</v>
          </cell>
          <cell r="I68">
            <v>49</v>
          </cell>
          <cell r="J68">
            <v>53.93</v>
          </cell>
          <cell r="K68">
            <v>9628.1200000000008</v>
          </cell>
        </row>
        <row r="69">
          <cell r="A69" t="str">
            <v>1.1.9.4</v>
          </cell>
          <cell r="B69">
            <v>36154</v>
          </cell>
          <cell r="C69" t="str">
            <v xml:space="preserve">BLOQUETE/PISO INTERTRAVADO DE CONCRETO - MODELO ONDA/16 FACES/RETANGULAR/TIJOLINHO/PAVER/HOLANDES/PARALELEPIPEDO, 20 CM X 10 CM, E = 8 CM, RESISTENCIA DE 35 MPA (NBR 9781), COLORIDO                                                                                                                                                                                                                                                                                                                     </v>
          </cell>
          <cell r="D69" t="str">
            <v xml:space="preserve">M2    </v>
          </cell>
          <cell r="E69">
            <v>51.56</v>
          </cell>
          <cell r="F69">
            <v>53.92</v>
          </cell>
          <cell r="G69">
            <v>62.26</v>
          </cell>
          <cell r="H69">
            <v>3210.13</v>
          </cell>
          <cell r="I69">
            <v>53.92</v>
          </cell>
          <cell r="J69">
            <v>59.35</v>
          </cell>
          <cell r="K69">
            <v>3060.09</v>
          </cell>
        </row>
        <row r="70">
          <cell r="A70" t="str">
            <v>1.1.9.5</v>
          </cell>
          <cell r="B70">
            <v>1518</v>
          </cell>
          <cell r="C70" t="str">
            <v xml:space="preserve">CONCRETO BETUMINOSO USINADO A QUENTE (CBUQ) PARA PAVIMENTACAO ASFALTICA, PADRAO DNIT, FAIXA C, COM CAP 50/70 - AQUISICAO POSTO USINA                                                                                                                                                                                                                                                                                                                                                                      </v>
          </cell>
          <cell r="D70" t="str">
            <v xml:space="preserve">T     </v>
          </cell>
          <cell r="E70">
            <v>247.2</v>
          </cell>
          <cell r="F70">
            <v>522.5</v>
          </cell>
          <cell r="G70">
            <v>603.28</v>
          </cell>
          <cell r="H70">
            <v>149130.82</v>
          </cell>
          <cell r="I70">
            <v>522.5</v>
          </cell>
          <cell r="J70">
            <v>575.12</v>
          </cell>
          <cell r="K70">
            <v>142169.66</v>
          </cell>
        </row>
        <row r="71">
          <cell r="A71" t="str">
            <v>1.1.9.6</v>
          </cell>
          <cell r="B71" t="str">
            <v>INS-185032</v>
          </cell>
          <cell r="C71" t="str">
            <v>BRITA GRADUADA SIMPLES (BGS)</v>
          </cell>
          <cell r="D71" t="str">
            <v>M3</v>
          </cell>
          <cell r="E71">
            <v>474.97</v>
          </cell>
          <cell r="F71">
            <v>56.099999999999994</v>
          </cell>
          <cell r="G71">
            <v>64.77</v>
          </cell>
          <cell r="H71">
            <v>30763.81</v>
          </cell>
          <cell r="I71">
            <v>56.099999999999994</v>
          </cell>
          <cell r="J71">
            <v>61.75</v>
          </cell>
          <cell r="K71">
            <v>29329.4</v>
          </cell>
        </row>
        <row r="72">
          <cell r="A72" t="str">
            <v>1.1.9.7</v>
          </cell>
          <cell r="B72" t="str">
            <v>M0808</v>
          </cell>
          <cell r="C72" t="str">
            <v>Brita 4</v>
          </cell>
          <cell r="D72" t="str">
            <v>M3</v>
          </cell>
          <cell r="E72">
            <v>530.80999999999995</v>
          </cell>
          <cell r="F72">
            <v>90.74</v>
          </cell>
          <cell r="G72">
            <v>104.77</v>
          </cell>
          <cell r="H72">
            <v>55612.959999999999</v>
          </cell>
          <cell r="I72">
            <v>90.74</v>
          </cell>
          <cell r="J72">
            <v>99.88</v>
          </cell>
          <cell r="K72">
            <v>53017.3</v>
          </cell>
        </row>
        <row r="73">
          <cell r="A73" t="str">
            <v>1.1.9.8</v>
          </cell>
          <cell r="B73" t="str">
            <v>M1135</v>
          </cell>
          <cell r="C73" t="str">
            <v>Pó de pedra</v>
          </cell>
          <cell r="D73" t="str">
            <v>M3</v>
          </cell>
          <cell r="E73">
            <v>58.98</v>
          </cell>
          <cell r="F73">
            <v>74.53</v>
          </cell>
          <cell r="G73">
            <v>86.05</v>
          </cell>
          <cell r="H73">
            <v>5075.2299999999996</v>
          </cell>
          <cell r="I73">
            <v>74.53</v>
          </cell>
          <cell r="J73">
            <v>82.04</v>
          </cell>
          <cell r="K73">
            <v>4838.72</v>
          </cell>
        </row>
        <row r="74">
          <cell r="A74" t="str">
            <v>1.1.9.9</v>
          </cell>
          <cell r="B74">
            <v>34492</v>
          </cell>
          <cell r="C74" t="str">
            <v xml:space="preserve">CONCRETO USINADO BOMBEAVEL, CLASSE DE RESISTENCIA C20, COM BRITA 0 E 1, SLUMP = 100 +/- 20 MM, EXCLUI SERVICO DE BOMBEAMENTO (NBR 8953)                                                                                                                                                                                                                                                                                                                                                                   </v>
          </cell>
          <cell r="D74" t="str">
            <v xml:space="preserve">M3    </v>
          </cell>
          <cell r="E74">
            <v>154.84</v>
          </cell>
          <cell r="F74">
            <v>422.5</v>
          </cell>
          <cell r="G74">
            <v>487.82</v>
          </cell>
          <cell r="H74">
            <v>75534.05</v>
          </cell>
          <cell r="I74">
            <v>422.5</v>
          </cell>
          <cell r="J74">
            <v>465.05</v>
          </cell>
          <cell r="K74">
            <v>72008.34</v>
          </cell>
        </row>
        <row r="75">
          <cell r="A75" t="str">
            <v>1.2</v>
          </cell>
          <cell r="B75"/>
          <cell r="C75" t="str">
            <v>RUA GOIANINHA - JARDIM JORDÃO</v>
          </cell>
          <cell r="D75"/>
          <cell r="E75"/>
          <cell r="F75"/>
          <cell r="G75"/>
          <cell r="H75">
            <v>292464.89</v>
          </cell>
          <cell r="I75"/>
          <cell r="J75"/>
          <cell r="K75">
            <v>284551.62</v>
          </cell>
        </row>
        <row r="76">
          <cell r="A76" t="str">
            <v>1.2.1</v>
          </cell>
          <cell r="B76"/>
          <cell r="C76" t="str">
            <v>INSTALAÇÕES PROVISÓRIAS</v>
          </cell>
          <cell r="D76"/>
          <cell r="E76"/>
          <cell r="F76"/>
          <cell r="G76"/>
          <cell r="H76">
            <v>7250.74</v>
          </cell>
          <cell r="I76"/>
          <cell r="J76"/>
          <cell r="K76">
            <v>6960.06</v>
          </cell>
        </row>
        <row r="77">
          <cell r="A77" t="str">
            <v>1.2.1.1</v>
          </cell>
          <cell r="B77" t="str">
            <v>CP-74209/001-15055090</v>
          </cell>
          <cell r="C77" t="str">
            <v>PLACA DE OBRA EM CHAPA DE ACO GALVANIZADO</v>
          </cell>
          <cell r="D77" t="str">
            <v xml:space="preserve">M2    </v>
          </cell>
          <cell r="E77">
            <v>8</v>
          </cell>
          <cell r="F77">
            <v>558.35</v>
          </cell>
          <cell r="G77">
            <v>690.06</v>
          </cell>
          <cell r="H77">
            <v>5520.48</v>
          </cell>
          <cell r="I77">
            <v>564.99</v>
          </cell>
          <cell r="J77">
            <v>664.26</v>
          </cell>
          <cell r="K77">
            <v>5314.08</v>
          </cell>
        </row>
        <row r="78">
          <cell r="A78" t="str">
            <v>1.2.1.2</v>
          </cell>
          <cell r="B78" t="str">
            <v>COMP-07440249</v>
          </cell>
          <cell r="C78" t="str">
            <v>BANHEIRO QUÍMICO, COM LOCAÇÃO, TRANSPORTE E LIMPEZA</v>
          </cell>
          <cell r="D78" t="str">
            <v>MÊS</v>
          </cell>
          <cell r="E78">
            <v>2</v>
          </cell>
          <cell r="F78">
            <v>700</v>
          </cell>
          <cell r="G78">
            <v>865.13</v>
          </cell>
          <cell r="H78">
            <v>1730.26</v>
          </cell>
          <cell r="I78">
            <v>700</v>
          </cell>
          <cell r="J78">
            <v>822.99</v>
          </cell>
          <cell r="K78">
            <v>1645.98</v>
          </cell>
        </row>
        <row r="79">
          <cell r="A79" t="str">
            <v>1.2.2</v>
          </cell>
          <cell r="B79"/>
          <cell r="C79" t="str">
            <v>ADMINISTRAÇÃO LOCAL</v>
          </cell>
          <cell r="D79"/>
          <cell r="E79"/>
          <cell r="F79"/>
          <cell r="G79"/>
          <cell r="H79">
            <v>11673.7</v>
          </cell>
          <cell r="I79"/>
          <cell r="J79"/>
          <cell r="K79">
            <v>12787.84</v>
          </cell>
        </row>
        <row r="80">
          <cell r="A80" t="str">
            <v>1.2.2.1</v>
          </cell>
          <cell r="B80">
            <v>93565</v>
          </cell>
          <cell r="C80" t="str">
            <v>ENGENHEIRO CIVIL DE OBRA JUNIOR COM ENCARGOS COMPLEMENTARES</v>
          </cell>
          <cell r="D80" t="str">
            <v>MES</v>
          </cell>
          <cell r="E80">
            <v>0.25</v>
          </cell>
          <cell r="F80">
            <v>14549.96</v>
          </cell>
          <cell r="G80">
            <v>17982.3</v>
          </cell>
          <cell r="H80">
            <v>4495.58</v>
          </cell>
          <cell r="I80">
            <v>16819.14</v>
          </cell>
          <cell r="J80">
            <v>19774.259999999998</v>
          </cell>
          <cell r="K80">
            <v>4943.57</v>
          </cell>
        </row>
        <row r="81">
          <cell r="A81" t="str">
            <v>1.2.2.2</v>
          </cell>
          <cell r="B81">
            <v>93572</v>
          </cell>
          <cell r="C81" t="str">
            <v>ENCARREGADO GERAL DE OBRAS COM ENCARGOS COMPLEMENTARES</v>
          </cell>
          <cell r="D81" t="str">
            <v>MES</v>
          </cell>
          <cell r="E81">
            <v>1</v>
          </cell>
          <cell r="F81">
            <v>5808.01</v>
          </cell>
          <cell r="G81">
            <v>7178.12</v>
          </cell>
          <cell r="H81">
            <v>7178.12</v>
          </cell>
          <cell r="I81">
            <v>6672</v>
          </cell>
          <cell r="J81">
            <v>7844.27</v>
          </cell>
          <cell r="K81">
            <v>7844.27</v>
          </cell>
        </row>
        <row r="82">
          <cell r="A82" t="str">
            <v>1.2.3</v>
          </cell>
          <cell r="B82"/>
          <cell r="C82" t="str">
            <v>SERVIÇOS PRELIMINARES</v>
          </cell>
          <cell r="D82"/>
          <cell r="E82"/>
          <cell r="F82"/>
          <cell r="G82"/>
          <cell r="H82">
            <v>1196.31</v>
          </cell>
          <cell r="I82"/>
          <cell r="J82"/>
          <cell r="K82">
            <v>1260.8</v>
          </cell>
        </row>
        <row r="83">
          <cell r="A83" t="str">
            <v>1.2.3.1</v>
          </cell>
          <cell r="B83">
            <v>99064</v>
          </cell>
          <cell r="C83" t="str">
            <v>LOCAÇÃO DE PAVIMENTAÇÃO. AF_10/2018</v>
          </cell>
          <cell r="D83" t="str">
            <v>M</v>
          </cell>
          <cell r="E83">
            <v>224.14</v>
          </cell>
          <cell r="F83">
            <v>0.43</v>
          </cell>
          <cell r="G83">
            <v>0.53</v>
          </cell>
          <cell r="H83">
            <v>118.79</v>
          </cell>
          <cell r="I83">
            <v>0.49</v>
          </cell>
          <cell r="J83">
            <v>0.57999999999999996</v>
          </cell>
          <cell r="K83">
            <v>130</v>
          </cell>
        </row>
        <row r="84">
          <cell r="A84" t="str">
            <v>1.2.3.2</v>
          </cell>
          <cell r="B84" t="str">
            <v>COMP-17562084</v>
          </cell>
          <cell r="C84" t="str">
            <v>DEMOLIÇÃO MANUAL DE CONCRETO SIMPLES</v>
          </cell>
          <cell r="D84" t="str">
            <v>M3</v>
          </cell>
          <cell r="E84">
            <v>2.15</v>
          </cell>
          <cell r="F84">
            <v>190.89</v>
          </cell>
          <cell r="G84">
            <v>235.92</v>
          </cell>
          <cell r="H84">
            <v>507.23</v>
          </cell>
          <cell r="I84">
            <v>212.24</v>
          </cell>
          <cell r="J84">
            <v>249.53</v>
          </cell>
          <cell r="K84">
            <v>536.49</v>
          </cell>
        </row>
        <row r="85">
          <cell r="A85" t="str">
            <v>1.2.3.3</v>
          </cell>
          <cell r="B85" t="str">
            <v>COMP-01471766</v>
          </cell>
          <cell r="C85" t="str">
            <v>DEMOLIÇÃO DE MEIO-FIO</v>
          </cell>
          <cell r="D85" t="str">
            <v>M</v>
          </cell>
          <cell r="E85">
            <v>38.4</v>
          </cell>
          <cell r="F85">
            <v>10.02</v>
          </cell>
          <cell r="G85">
            <v>12.38</v>
          </cell>
          <cell r="H85">
            <v>475.39</v>
          </cell>
          <cell r="I85">
            <v>11.13</v>
          </cell>
          <cell r="J85">
            <v>13.09</v>
          </cell>
          <cell r="K85">
            <v>502.66</v>
          </cell>
        </row>
        <row r="86">
          <cell r="A86" t="str">
            <v>1.2.3.4</v>
          </cell>
          <cell r="B86" t="str">
            <v>COMP-35145154</v>
          </cell>
          <cell r="C86" t="str">
            <v>CARGA E DESCARGA MECANICA DE SOLO UTILIZANDO CAMINHAO BASCULANTE 14,0M3/36T E PA CARREGADEIRA SOBRE PNEUS 128 HP, CAPACIDADE DA CAÇAMBA 1,7 A 2,8 M3, PESO OPERACIONAL 11632 KH</v>
          </cell>
          <cell r="D86" t="str">
            <v>M3</v>
          </cell>
          <cell r="E86">
            <v>4.8499999999999996</v>
          </cell>
          <cell r="F86">
            <v>2.83</v>
          </cell>
          <cell r="G86">
            <v>3.5</v>
          </cell>
          <cell r="H86">
            <v>16.98</v>
          </cell>
          <cell r="I86">
            <v>2.9</v>
          </cell>
          <cell r="J86">
            <v>3.41</v>
          </cell>
          <cell r="K86">
            <v>16.54</v>
          </cell>
        </row>
        <row r="87">
          <cell r="A87" t="str">
            <v>1.2.3.5</v>
          </cell>
          <cell r="B87">
            <v>95876</v>
          </cell>
          <cell r="C87" t="str">
            <v>TRANSPORTE COM CAMINHÃO BASCULANTE DE 14 M³, EM VIA URBANA PAVIMENTADA, DMT ATÉ 30 KM (UNIDADE: M3XKM). AF_07/2020</v>
          </cell>
          <cell r="D87" t="str">
            <v>M3XKM</v>
          </cell>
          <cell r="E87">
            <v>28.13</v>
          </cell>
          <cell r="F87">
            <v>2.2400000000000002</v>
          </cell>
          <cell r="G87">
            <v>2.77</v>
          </cell>
          <cell r="H87">
            <v>77.92</v>
          </cell>
          <cell r="I87">
            <v>2.27</v>
          </cell>
          <cell r="J87">
            <v>2.67</v>
          </cell>
          <cell r="K87">
            <v>75.11</v>
          </cell>
        </row>
        <row r="88">
          <cell r="A88" t="str">
            <v>1.2.4</v>
          </cell>
          <cell r="B88"/>
          <cell r="C88" t="str">
            <v>TERRAPLANAGEM</v>
          </cell>
          <cell r="D88"/>
          <cell r="E88"/>
          <cell r="F88"/>
          <cell r="G88"/>
          <cell r="H88">
            <v>19258.419999999998</v>
          </cell>
          <cell r="I88"/>
          <cell r="J88"/>
          <cell r="K88">
            <v>18611.169999999998</v>
          </cell>
        </row>
        <row r="89">
          <cell r="A89" t="str">
            <v>1.2.4.1</v>
          </cell>
          <cell r="B89" t="str">
            <v>CP-74205/001-17324935</v>
          </cell>
          <cell r="C89" t="str">
            <v>ESCAVAÇÃO MECÂNICA DE MATERIAL 1A. CATEGORIA, PROVENIENTE DE CORTE DE SUBLEITO (C/TRATOR ESTEIRAS  160HP)</v>
          </cell>
          <cell r="D89" t="str">
            <v>M3</v>
          </cell>
          <cell r="E89">
            <v>697.83</v>
          </cell>
          <cell r="F89">
            <v>2.54</v>
          </cell>
          <cell r="G89">
            <v>3.14</v>
          </cell>
          <cell r="H89">
            <v>2191.19</v>
          </cell>
          <cell r="I89">
            <v>2.59</v>
          </cell>
          <cell r="J89">
            <v>3.05</v>
          </cell>
          <cell r="K89">
            <v>2128.38</v>
          </cell>
        </row>
        <row r="90">
          <cell r="A90" t="str">
            <v>1.2.4.2</v>
          </cell>
          <cell r="B90" t="str">
            <v>COMP-35145154</v>
          </cell>
          <cell r="C90" t="str">
            <v>CARGA E DESCARGA MECANICA DE SOLO UTILIZANDO CAMINHAO BASCULANTE 14,0M3/36T E PA CARREGADEIRA SOBRE PNEUS 128 HP, CAPACIDADE DA CAÇAMBA 1,7 A 2,8 M3, PESO OPERACIONAL 11632 KH</v>
          </cell>
          <cell r="D90" t="str">
            <v>M3</v>
          </cell>
          <cell r="E90">
            <v>872.29</v>
          </cell>
          <cell r="F90">
            <v>2.83</v>
          </cell>
          <cell r="G90">
            <v>3.5</v>
          </cell>
          <cell r="H90">
            <v>3053.02</v>
          </cell>
          <cell r="I90">
            <v>2.9</v>
          </cell>
          <cell r="J90">
            <v>3.41</v>
          </cell>
          <cell r="K90">
            <v>2974.51</v>
          </cell>
        </row>
        <row r="91">
          <cell r="A91" t="str">
            <v>1.2.4.3</v>
          </cell>
          <cell r="B91">
            <v>95876</v>
          </cell>
          <cell r="C91" t="str">
            <v>TRANSPORTE COM CAMINHÃO BASCULANTE DE 14 M³, EM VIA URBANA PAVIMENTADA, DMT ATÉ 30 KM (UNIDADE: M3XKM). AF_07/2020</v>
          </cell>
          <cell r="D91" t="str">
            <v>M3XKM</v>
          </cell>
          <cell r="E91">
            <v>5059.28</v>
          </cell>
          <cell r="F91">
            <v>2.2400000000000002</v>
          </cell>
          <cell r="G91">
            <v>2.77</v>
          </cell>
          <cell r="H91">
            <v>14014.21</v>
          </cell>
          <cell r="I91">
            <v>2.27</v>
          </cell>
          <cell r="J91">
            <v>2.67</v>
          </cell>
          <cell r="K91">
            <v>13508.28</v>
          </cell>
        </row>
        <row r="92">
          <cell r="A92" t="str">
            <v>1.2.5</v>
          </cell>
          <cell r="B92"/>
          <cell r="C92" t="str">
            <v>PAVIMENTAÇÃO</v>
          </cell>
          <cell r="D92"/>
          <cell r="E92"/>
          <cell r="F92"/>
          <cell r="G92"/>
          <cell r="H92">
            <v>106730.31</v>
          </cell>
          <cell r="I92"/>
          <cell r="J92"/>
          <cell r="K92">
            <v>105028</v>
          </cell>
        </row>
        <row r="93">
          <cell r="A93" t="str">
            <v>1.2.5.1</v>
          </cell>
          <cell r="B93">
            <v>100576</v>
          </cell>
          <cell r="C93" t="str">
            <v>REGULARIZAÇÃO E COMPACTAÇÃO DE SUBLEITO DE SOLO  PREDOMINANTEMENTE ARGILOSO. AF_11/2019</v>
          </cell>
          <cell r="D93" t="str">
            <v>M2</v>
          </cell>
          <cell r="E93">
            <v>1202.25</v>
          </cell>
          <cell r="F93">
            <v>2.64</v>
          </cell>
          <cell r="G93">
            <v>3.26</v>
          </cell>
          <cell r="H93">
            <v>3919.34</v>
          </cell>
          <cell r="I93">
            <v>2.79</v>
          </cell>
          <cell r="J93">
            <v>3.28</v>
          </cell>
          <cell r="K93">
            <v>3943.38</v>
          </cell>
        </row>
        <row r="94">
          <cell r="A94" t="str">
            <v>1.2.5.2</v>
          </cell>
          <cell r="B94" t="str">
            <v>COMP-47176600</v>
          </cell>
          <cell r="C94" t="str">
            <v xml:space="preserve">EXEC. DE ATERRO COM AREIA COM ADENSAMENTO HIDRAULICO </v>
          </cell>
          <cell r="D94" t="str">
            <v xml:space="preserve">M3    </v>
          </cell>
          <cell r="E94">
            <v>146.54</v>
          </cell>
          <cell r="F94">
            <v>103.23</v>
          </cell>
          <cell r="G94">
            <v>127.58</v>
          </cell>
          <cell r="H94">
            <v>18695.57</v>
          </cell>
          <cell r="I94">
            <v>104.33</v>
          </cell>
          <cell r="J94">
            <v>122.66</v>
          </cell>
          <cell r="K94">
            <v>17974.599999999999</v>
          </cell>
        </row>
        <row r="95">
          <cell r="A95" t="str">
            <v>1.2.5.3</v>
          </cell>
          <cell r="B95" t="str">
            <v>COMP-28881239</v>
          </cell>
          <cell r="C95" t="str">
            <v>Base ou sub-base de macadame hidráulico com brita comercial - EXCLUSIVE MATERIAL, CARGA E TRANSPORTE - NÃO DESONERADO</v>
          </cell>
          <cell r="D95" t="str">
            <v>M3</v>
          </cell>
          <cell r="E95">
            <v>211.14</v>
          </cell>
          <cell r="F95">
            <v>11.24</v>
          </cell>
          <cell r="G95">
            <v>13.89</v>
          </cell>
          <cell r="H95">
            <v>2932.73</v>
          </cell>
          <cell r="I95">
            <v>11.4</v>
          </cell>
          <cell r="J95">
            <v>13.4</v>
          </cell>
          <cell r="K95">
            <v>2829.28</v>
          </cell>
        </row>
        <row r="96">
          <cell r="A96" t="str">
            <v>1.2.5.4</v>
          </cell>
          <cell r="B96" t="str">
            <v>CP-96396-26507981</v>
          </cell>
          <cell r="C96" t="str">
            <v>EXECUÇÃO E COMPACTAÇÃO DE BASE E OU SUB BASE PARA PAVIMENTAÇÃO DE BRITA GRADUADA SIMPLES - EXCLUSIVE MATERIAL, CARGA E TRANSPORTE</v>
          </cell>
          <cell r="D96" t="str">
            <v>M3</v>
          </cell>
          <cell r="E96">
            <v>186.19</v>
          </cell>
          <cell r="F96">
            <v>13.86</v>
          </cell>
          <cell r="G96">
            <v>17.13</v>
          </cell>
          <cell r="H96">
            <v>3189.43</v>
          </cell>
          <cell r="I96">
            <v>14.44</v>
          </cell>
          <cell r="J96">
            <v>16.98</v>
          </cell>
          <cell r="K96">
            <v>3161.51</v>
          </cell>
        </row>
        <row r="97">
          <cell r="A97" t="str">
            <v>1.2.5.5</v>
          </cell>
          <cell r="B97" t="str">
            <v>COMP-35145154</v>
          </cell>
          <cell r="C97" t="str">
            <v>CARGA E DESCARGA MECANICA DE SOLO UTILIZANDO CAMINHAO BASCULANTE 14,0M3/36T E PA CARREGADEIRA SOBRE PNEUS 128 HP, CAPACIDADE DA CAÇAMBA 1,7 A 2,8 M3, PESO OPERACIONAL 11632 KH</v>
          </cell>
          <cell r="D97" t="str">
            <v>M3</v>
          </cell>
          <cell r="E97">
            <v>496.66</v>
          </cell>
          <cell r="F97">
            <v>2.83</v>
          </cell>
          <cell r="G97">
            <v>3.5</v>
          </cell>
          <cell r="H97">
            <v>1738.31</v>
          </cell>
          <cell r="I97">
            <v>2.9</v>
          </cell>
          <cell r="J97">
            <v>3.41</v>
          </cell>
          <cell r="K97">
            <v>1693.61</v>
          </cell>
        </row>
        <row r="98">
          <cell r="A98" t="str">
            <v>1.2.5.6</v>
          </cell>
          <cell r="B98" t="str">
            <v>COMP-83526730</v>
          </cell>
          <cell r="C98" t="str">
            <v>TRANSPORTE COMERCIAL DE BRITA</v>
          </cell>
          <cell r="D98" t="str">
            <v>M3XKM</v>
          </cell>
          <cell r="E98">
            <v>5512.93</v>
          </cell>
          <cell r="F98">
            <v>1.36</v>
          </cell>
          <cell r="G98">
            <v>1.68</v>
          </cell>
          <cell r="H98">
            <v>9261.7199999999993</v>
          </cell>
          <cell r="I98">
            <v>1.37</v>
          </cell>
          <cell r="J98">
            <v>1.61</v>
          </cell>
          <cell r="K98">
            <v>8875.82</v>
          </cell>
        </row>
        <row r="99">
          <cell r="A99" t="str">
            <v>1.2.5.7</v>
          </cell>
          <cell r="B99" t="str">
            <v>CP-92399-27762594</v>
          </cell>
          <cell r="C99" t="str">
            <v>EXECUÇÃO DE VIA EM PISO INTERTRAVADO, COM BLOCO RETANGULAR COR NATURAL/COLORIDO DE 20 X 10 CM, ESPESSURA 8 CM - (SEM O MATERIAL BLOQUETE/PISO INTERTRAVADO)</v>
          </cell>
          <cell r="D99" t="str">
            <v>M2</v>
          </cell>
          <cell r="E99">
            <v>616.1</v>
          </cell>
          <cell r="F99">
            <v>19.170000000000002</v>
          </cell>
          <cell r="G99">
            <v>23.69</v>
          </cell>
          <cell r="H99">
            <v>14595.41</v>
          </cell>
          <cell r="I99">
            <v>20.41</v>
          </cell>
          <cell r="J99">
            <v>24</v>
          </cell>
          <cell r="K99">
            <v>14786.4</v>
          </cell>
        </row>
        <row r="100">
          <cell r="A100" t="str">
            <v>1.2.5.8</v>
          </cell>
          <cell r="B100" t="str">
            <v>COMP-62038505</v>
          </cell>
          <cell r="C100" t="str">
            <v>EXECUÇÃO DE IMPRIMAÇÃO COM ASFALTO DILUÍDO CM-30 - SERVIÇO UTILIZADO NOS LOTES</v>
          </cell>
          <cell r="D100" t="str">
            <v>M2</v>
          </cell>
          <cell r="E100">
            <v>403.64</v>
          </cell>
          <cell r="F100">
            <v>7.56</v>
          </cell>
          <cell r="G100">
            <v>9.34</v>
          </cell>
          <cell r="H100">
            <v>3770</v>
          </cell>
          <cell r="I100">
            <v>7.62</v>
          </cell>
          <cell r="J100">
            <v>8.9600000000000009</v>
          </cell>
          <cell r="K100">
            <v>3616.61</v>
          </cell>
        </row>
        <row r="101">
          <cell r="A101" t="str">
            <v>1.2.5.9</v>
          </cell>
          <cell r="B101" t="str">
            <v>CP-95995-51339760</v>
          </cell>
          <cell r="C101" t="str">
            <v>EXECUÇÃO DE PAVIMENTO COM APLICAÇÃO DE CONCRETO ASFÁLTICO, CAMADA DE ROLAMENTO - EXCLUSIVE CARGA E TRANSPORTE E CONCRETO BETUMINOSO</v>
          </cell>
          <cell r="D101" t="str">
            <v>M3</v>
          </cell>
          <cell r="E101">
            <v>20.18</v>
          </cell>
          <cell r="F101">
            <v>127.58</v>
          </cell>
          <cell r="G101">
            <v>157.68</v>
          </cell>
          <cell r="H101">
            <v>3181.98</v>
          </cell>
          <cell r="I101">
            <v>133.37</v>
          </cell>
          <cell r="J101">
            <v>156.80000000000001</v>
          </cell>
          <cell r="K101">
            <v>3164.22</v>
          </cell>
        </row>
        <row r="102">
          <cell r="A102" t="str">
            <v>1.2.5.10</v>
          </cell>
          <cell r="B102" t="str">
            <v>COMP-10034101</v>
          </cell>
          <cell r="C102" t="str">
            <v>CARGA, MANOBRAS E DESCARGA DE MISTURA BETUMINOSA A QUENTE, COM CAMINHAO BASCULANTE 6 M3, DESCARGA EM VIBRO-ACABADORA</v>
          </cell>
          <cell r="D102" t="str">
            <v>M3</v>
          </cell>
          <cell r="E102">
            <v>20.18</v>
          </cell>
          <cell r="F102">
            <v>7.74</v>
          </cell>
          <cell r="G102">
            <v>9.57</v>
          </cell>
          <cell r="H102">
            <v>193.12</v>
          </cell>
          <cell r="I102">
            <v>7.86</v>
          </cell>
          <cell r="J102">
            <v>9.24</v>
          </cell>
          <cell r="K102">
            <v>186.46</v>
          </cell>
        </row>
        <row r="103">
          <cell r="A103" t="str">
            <v>1.2.5.11</v>
          </cell>
          <cell r="B103" t="str">
            <v>CP-95303-56931542</v>
          </cell>
          <cell r="C103" t="str">
            <v>TRANSPORTE COM CAMINHÃO BASCULANTE 10 M3 DE MASSA ASFALTICA PARA PAVIMENTAÇÃO URBANA</v>
          </cell>
          <cell r="D103" t="str">
            <v>M3XKM</v>
          </cell>
          <cell r="E103">
            <v>308.75</v>
          </cell>
          <cell r="F103">
            <v>1.75</v>
          </cell>
          <cell r="G103">
            <v>2.16</v>
          </cell>
          <cell r="H103">
            <v>666.9</v>
          </cell>
          <cell r="I103">
            <v>1.77</v>
          </cell>
          <cell r="J103">
            <v>2.08</v>
          </cell>
          <cell r="K103">
            <v>642.20000000000005</v>
          </cell>
        </row>
        <row r="104">
          <cell r="A104" t="str">
            <v>1.2.5.12</v>
          </cell>
          <cell r="B104" t="str">
            <v>CP-97084-89637704</v>
          </cell>
          <cell r="C104" t="str">
            <v>REGULARIZACAO E COMPACTAÇÃO MANUAL DE TERRENO COM PLACA VIBRATÓRIA</v>
          </cell>
          <cell r="D104" t="str">
            <v>M2</v>
          </cell>
          <cell r="E104">
            <v>481.72</v>
          </cell>
          <cell r="F104">
            <v>0.59</v>
          </cell>
          <cell r="G104">
            <v>0.73</v>
          </cell>
          <cell r="H104">
            <v>351.66</v>
          </cell>
          <cell r="I104">
            <v>0.65</v>
          </cell>
          <cell r="J104">
            <v>0.76</v>
          </cell>
          <cell r="K104">
            <v>366.11</v>
          </cell>
        </row>
        <row r="105">
          <cell r="A105" t="str">
            <v>1.2.5.13</v>
          </cell>
          <cell r="B105" t="str">
            <v>CP-94991-12549457</v>
          </cell>
          <cell r="C105" t="str">
            <v>EXECUÇÃO DE PASSEIO (CALÇADA) OU PISO DE CONCRETO COM CONCRETO MOLDADO IN LOCO, USINADO, ACABAMENTO CONVENCIONAL, NÃO ARMADO - EXCLUINDO O CONCRETO USINADO 20MPA</v>
          </cell>
          <cell r="D105" t="str">
            <v>M3</v>
          </cell>
          <cell r="E105">
            <v>33.5</v>
          </cell>
          <cell r="F105">
            <v>104.6</v>
          </cell>
          <cell r="G105">
            <v>129.28</v>
          </cell>
          <cell r="H105">
            <v>4330.88</v>
          </cell>
          <cell r="I105">
            <v>112.75</v>
          </cell>
          <cell r="J105">
            <v>132.56</v>
          </cell>
          <cell r="K105">
            <v>4440.76</v>
          </cell>
        </row>
        <row r="106">
          <cell r="A106" t="str">
            <v>1.2.5.14</v>
          </cell>
          <cell r="B106">
            <v>94273</v>
          </cell>
          <cell r="C106" t="str">
            <v>ASSENTAMENTO DE GUIA (MEIO-FIO) EM TRECHO RETO, CONFECCIONADA EM CONCRETO PRÉ-FABRICADO, DIMENSÕES 100X15X13X30 CM (COMPRIMENTO X BASE INFERIOR X BASE SUPERIOR X ALTURA), PARA VIAS URBANAS (USO VIÁRIO). AF_06/2016</v>
          </cell>
          <cell r="D106" t="str">
            <v>M</v>
          </cell>
          <cell r="E106">
            <v>448.18</v>
          </cell>
          <cell r="F106">
            <v>54.61</v>
          </cell>
          <cell r="G106">
            <v>67.489999999999995</v>
          </cell>
          <cell r="H106">
            <v>30247.67</v>
          </cell>
          <cell r="I106">
            <v>56.47</v>
          </cell>
          <cell r="J106">
            <v>66.39</v>
          </cell>
          <cell r="K106">
            <v>29754.67</v>
          </cell>
        </row>
        <row r="107">
          <cell r="A107" t="str">
            <v>1.2.5.15</v>
          </cell>
          <cell r="B107">
            <v>94274</v>
          </cell>
          <cell r="C107" t="str">
            <v>ASSENTAMENTO DE GUIA (MEIO-FIO) EM TRECHO CURVO, CONFECCIONADA EM CONCRETO PRÉ-FABRICADO, DIMENSÕES 100X15X13X30 CM (COMPRIMENTO X BASE INFERIOR X BASE SUPERIOR X ALTURA), PARA VIAS URBANAS (USO VIÁRIO). AF_06/2016</v>
          </cell>
          <cell r="D107" t="str">
            <v>M</v>
          </cell>
          <cell r="E107">
            <v>13.99</v>
          </cell>
          <cell r="F107">
            <v>58.17</v>
          </cell>
          <cell r="G107">
            <v>71.89</v>
          </cell>
          <cell r="H107">
            <v>1005.74</v>
          </cell>
          <cell r="I107">
            <v>60.43</v>
          </cell>
          <cell r="J107">
            <v>71.05</v>
          </cell>
          <cell r="K107">
            <v>993.99</v>
          </cell>
        </row>
        <row r="108">
          <cell r="A108" t="str">
            <v>1.2.5.16</v>
          </cell>
          <cell r="B108">
            <v>94275</v>
          </cell>
          <cell r="C108" t="str">
            <v>ASSENTAMENTO DE GUIA (MEIO-FIO) EM TRECHO RETO, CONFECCIONADA EM CONCRETO PRÉ-FABRICADO, DIMENSÕES 100X15X13X20 CM (COMPRIMENTO X BASE INFERIOR X BASE SUPERIOR X ALTURA), PARA URBANIZAÇÃO INTERNA DE EMPREENDIMENTOS. AF_06/2016_P</v>
          </cell>
          <cell r="D108" t="str">
            <v>M</v>
          </cell>
          <cell r="E108">
            <v>28</v>
          </cell>
          <cell r="F108">
            <v>52.64</v>
          </cell>
          <cell r="G108">
            <v>65.06</v>
          </cell>
          <cell r="H108">
            <v>1821.68</v>
          </cell>
          <cell r="I108">
            <v>54.31</v>
          </cell>
          <cell r="J108">
            <v>63.85</v>
          </cell>
          <cell r="K108">
            <v>1787.8</v>
          </cell>
        </row>
        <row r="109">
          <cell r="A109" t="str">
            <v>1.2.5.17</v>
          </cell>
          <cell r="B109">
            <v>94287</v>
          </cell>
          <cell r="C109" t="str">
            <v>EXECUÇÃO DE SARJETA DE CONCRETO USINADO, MOLDADA  IN LOCO  EM TRECHO RETO, 30 CM BASE X 10 CM ALTURA. AF_06/2016</v>
          </cell>
          <cell r="D109" t="str">
            <v>M</v>
          </cell>
          <cell r="E109">
            <v>112.47</v>
          </cell>
          <cell r="F109">
            <v>37.69</v>
          </cell>
          <cell r="G109">
            <v>46.58</v>
          </cell>
          <cell r="H109">
            <v>5238.8500000000004</v>
          </cell>
          <cell r="I109">
            <v>39.770000000000003</v>
          </cell>
          <cell r="J109">
            <v>46.76</v>
          </cell>
          <cell r="K109">
            <v>5259.1</v>
          </cell>
        </row>
        <row r="110">
          <cell r="A110" t="str">
            <v>1.2.5.18</v>
          </cell>
          <cell r="B110">
            <v>94288</v>
          </cell>
          <cell r="C110" t="str">
            <v>EXECUÇÃO DE SARJETA DE CONCRETO USINADO, MOLDADA  IN LOCO  EM TRECHO CURVO, 30 CM BASE X 10 CM ALTURA. AF_06/2016</v>
          </cell>
          <cell r="D110" t="str">
            <v>M</v>
          </cell>
          <cell r="E110">
            <v>4.76</v>
          </cell>
          <cell r="F110">
            <v>47.14</v>
          </cell>
          <cell r="G110">
            <v>58.26</v>
          </cell>
          <cell r="H110">
            <v>277.32</v>
          </cell>
          <cell r="I110">
            <v>50.32</v>
          </cell>
          <cell r="J110">
            <v>59.16</v>
          </cell>
          <cell r="K110">
            <v>281.60000000000002</v>
          </cell>
        </row>
        <row r="111">
          <cell r="A111" t="str">
            <v>1.2.5.19</v>
          </cell>
          <cell r="B111">
            <v>98511</v>
          </cell>
          <cell r="C111" t="str">
            <v>PLANTIO DE ÁRVORE ORNAMENTAL COM ALTURA DE MUDA MAIOR QUE 2,00 M E MENOR OU IGUAL A 4,00 M. AF_05/2018</v>
          </cell>
          <cell r="D111" t="str">
            <v>UN</v>
          </cell>
          <cell r="E111">
            <v>4</v>
          </cell>
          <cell r="F111">
            <v>198.4</v>
          </cell>
          <cell r="G111">
            <v>245.2</v>
          </cell>
          <cell r="H111">
            <v>980.8</v>
          </cell>
          <cell r="I111">
            <v>201.05</v>
          </cell>
          <cell r="J111">
            <v>236.37</v>
          </cell>
          <cell r="K111">
            <v>945.48</v>
          </cell>
        </row>
        <row r="112">
          <cell r="A112" t="str">
            <v>1.2.5.20</v>
          </cell>
          <cell r="B112">
            <v>98504</v>
          </cell>
          <cell r="C112" t="str">
            <v>PLANTIO DE GRAMA BATATAIS EM PLACAS. AF_05/2018</v>
          </cell>
          <cell r="D112" t="str">
            <v>M2</v>
          </cell>
          <cell r="E112">
            <v>20</v>
          </cell>
          <cell r="F112">
            <v>13.4</v>
          </cell>
          <cell r="G112">
            <v>16.559999999999999</v>
          </cell>
          <cell r="H112">
            <v>331.2</v>
          </cell>
          <cell r="I112">
            <v>13.8</v>
          </cell>
          <cell r="J112">
            <v>16.22</v>
          </cell>
          <cell r="K112">
            <v>324.39999999999998</v>
          </cell>
        </row>
        <row r="113">
          <cell r="A113" t="str">
            <v>1.2.6</v>
          </cell>
          <cell r="B113"/>
          <cell r="C113" t="str">
            <v>DRENAGEM</v>
          </cell>
          <cell r="D113"/>
          <cell r="E113"/>
          <cell r="F113"/>
          <cell r="G113"/>
          <cell r="H113">
            <v>7564.71</v>
          </cell>
          <cell r="I113"/>
          <cell r="J113"/>
          <cell r="K113">
            <v>7441.58</v>
          </cell>
        </row>
        <row r="114">
          <cell r="A114" t="str">
            <v>1.2.6.1</v>
          </cell>
          <cell r="B114">
            <v>93358</v>
          </cell>
          <cell r="C114" t="str">
            <v>ESCAVAÇÃO MANUAL DE VALA COM PROFUNDIDADE MENOR OU IGUAL A 1,30 M. AF_02/2021</v>
          </cell>
          <cell r="D114" t="str">
            <v>M3</v>
          </cell>
          <cell r="E114">
            <v>3.42</v>
          </cell>
          <cell r="F114">
            <v>70.53</v>
          </cell>
          <cell r="G114">
            <v>87.17</v>
          </cell>
          <cell r="H114">
            <v>298.12</v>
          </cell>
          <cell r="I114">
            <v>78.319999999999993</v>
          </cell>
          <cell r="J114">
            <v>92.08</v>
          </cell>
          <cell r="K114">
            <v>314.91000000000003</v>
          </cell>
        </row>
        <row r="115">
          <cell r="A115" t="str">
            <v>1.2.6.2</v>
          </cell>
          <cell r="B115">
            <v>94971</v>
          </cell>
          <cell r="C115" t="str">
            <v>CONCRETO FCK = 25MPA, TRAÇO 1:2,3:2,7 (EM MASSA SECA DE CIMENTO/ AREIA MÉDIA/ BRITA 1) - PREPARO MECÂNICO COM BETONEIRA 600 L. AF_05/2021</v>
          </cell>
          <cell r="D115" t="str">
            <v>M3</v>
          </cell>
          <cell r="E115">
            <v>3.42</v>
          </cell>
          <cell r="F115">
            <v>464.88</v>
          </cell>
          <cell r="G115">
            <v>574.54999999999995</v>
          </cell>
          <cell r="H115">
            <v>1964.96</v>
          </cell>
          <cell r="I115">
            <v>472.74</v>
          </cell>
          <cell r="J115">
            <v>555.79999999999995</v>
          </cell>
          <cell r="K115">
            <v>1900.84</v>
          </cell>
        </row>
        <row r="116">
          <cell r="A116" t="str">
            <v>1.2.6.3</v>
          </cell>
          <cell r="B116" t="str">
            <v>CP-S03639-45770834</v>
          </cell>
          <cell r="C116" t="str">
            <v>Fornecimento e instalação de tela aço soldada nervurada CA-60, Q-283, malha 10x10cm, ferro 6.02mm (4,48 kg/m2), painel 2,45x6,0m, Telcon ou similar</v>
          </cell>
          <cell r="D116" t="str">
            <v>M2</v>
          </cell>
          <cell r="E116">
            <v>42.76</v>
          </cell>
          <cell r="F116">
            <v>63.95</v>
          </cell>
          <cell r="G116">
            <v>79.040000000000006</v>
          </cell>
          <cell r="H116">
            <v>3379.75</v>
          </cell>
          <cell r="I116">
            <v>65.25</v>
          </cell>
          <cell r="J116">
            <v>76.709999999999994</v>
          </cell>
          <cell r="K116">
            <v>3280.12</v>
          </cell>
        </row>
        <row r="117">
          <cell r="A117" t="str">
            <v>1.2.6.4</v>
          </cell>
          <cell r="B117">
            <v>94974</v>
          </cell>
          <cell r="C117" t="str">
            <v>CONCRETO MAGRO PARA LASTRO, TRAÇO 1:4,5:4,5 (EM MASSA SECA DE CIMENTO/ AREIA MÉDIA/ BRITA 1) - PREPARO MANUAL. AF_05/2021</v>
          </cell>
          <cell r="D117" t="str">
            <v>M3</v>
          </cell>
          <cell r="E117">
            <v>2.14</v>
          </cell>
          <cell r="F117">
            <v>423.75</v>
          </cell>
          <cell r="G117">
            <v>523.71</v>
          </cell>
          <cell r="H117">
            <v>1120.74</v>
          </cell>
          <cell r="I117">
            <v>436.13</v>
          </cell>
          <cell r="J117">
            <v>512.76</v>
          </cell>
          <cell r="K117">
            <v>1097.31</v>
          </cell>
        </row>
        <row r="118">
          <cell r="A118" t="str">
            <v>1.2.6.5</v>
          </cell>
          <cell r="B118" t="str">
            <v>CP-74157/004-48264518</v>
          </cell>
          <cell r="C118" t="str">
            <v>LANCAMENTO/APLICACAO MANUAL DE CONCRETO EM FUNDACOES (concreto magro)</v>
          </cell>
          <cell r="D118" t="str">
            <v>M3</v>
          </cell>
          <cell r="E118">
            <v>5.56</v>
          </cell>
          <cell r="F118">
            <v>116.59</v>
          </cell>
          <cell r="G118">
            <v>144.09</v>
          </cell>
          <cell r="H118">
            <v>801.14</v>
          </cell>
          <cell r="I118">
            <v>129.79</v>
          </cell>
          <cell r="J118">
            <v>152.59</v>
          </cell>
          <cell r="K118">
            <v>848.4</v>
          </cell>
        </row>
        <row r="119">
          <cell r="A119" t="str">
            <v>1.2.7</v>
          </cell>
          <cell r="B119"/>
          <cell r="C119" t="str">
            <v>SINALIZAÇÃO</v>
          </cell>
          <cell r="D119"/>
          <cell r="E119"/>
          <cell r="F119"/>
          <cell r="G119"/>
          <cell r="H119">
            <v>5497.24</v>
          </cell>
          <cell r="I119"/>
          <cell r="J119"/>
          <cell r="K119">
            <v>5381.98</v>
          </cell>
        </row>
        <row r="120">
          <cell r="A120" t="str">
            <v>1.2.7.1</v>
          </cell>
          <cell r="B120">
            <v>5213421</v>
          </cell>
          <cell r="C120" t="str">
            <v>Confecção de placa em aço nº 16 galvanizado, com película tipo I + IV</v>
          </cell>
          <cell r="D120" t="str">
            <v xml:space="preserve">M2    </v>
          </cell>
          <cell r="E120">
            <v>3.1</v>
          </cell>
          <cell r="F120">
            <v>343.8</v>
          </cell>
          <cell r="G120">
            <v>424.9</v>
          </cell>
          <cell r="H120">
            <v>1317.19</v>
          </cell>
          <cell r="I120">
            <v>347.25</v>
          </cell>
          <cell r="J120">
            <v>408.26</v>
          </cell>
          <cell r="K120">
            <v>1265.6099999999999</v>
          </cell>
        </row>
        <row r="121">
          <cell r="A121" t="str">
            <v>1.2.7.2</v>
          </cell>
          <cell r="B121">
            <v>5216111</v>
          </cell>
          <cell r="C121" t="str">
            <v>FORNECIMENTO E IMPLANTAÇÃO DE SUPORTE E TRAVESSA PARA PLACA DE SINALIZAÇÃO EM MADEIRA DE LEI TRATADA 8 X 8 CM</v>
          </cell>
          <cell r="D121" t="str">
            <v>UND</v>
          </cell>
          <cell r="E121">
            <v>6</v>
          </cell>
          <cell r="F121">
            <v>119.1379</v>
          </cell>
          <cell r="G121">
            <v>147.24</v>
          </cell>
          <cell r="H121">
            <v>883.44</v>
          </cell>
          <cell r="I121">
            <v>121.48</v>
          </cell>
          <cell r="J121">
            <v>142.82</v>
          </cell>
          <cell r="K121">
            <v>856.92</v>
          </cell>
        </row>
        <row r="122">
          <cell r="A122" t="str">
            <v>1.2.7.3</v>
          </cell>
          <cell r="B122" t="str">
            <v>COMP-58084869</v>
          </cell>
          <cell r="C122" t="str">
            <v>PLACA ESMALTADA PARA IDENTIFICAÇÃO NR DE RUA, DIMENSÕES 45X25CM</v>
          </cell>
          <cell r="D122" t="str">
            <v>UND</v>
          </cell>
          <cell r="E122">
            <v>4</v>
          </cell>
          <cell r="F122">
            <v>155.54</v>
          </cell>
          <cell r="G122">
            <v>192.23</v>
          </cell>
          <cell r="H122">
            <v>768.92</v>
          </cell>
          <cell r="I122">
            <v>156.33000000000001</v>
          </cell>
          <cell r="J122">
            <v>183.8</v>
          </cell>
          <cell r="K122">
            <v>735.2</v>
          </cell>
        </row>
        <row r="123">
          <cell r="A123" t="str">
            <v>1.2.7.4</v>
          </cell>
          <cell r="B123" t="str">
            <v>CP-72947-21572945</v>
          </cell>
          <cell r="C123" t="str">
            <v>SINALIZACAO HORIZONTAL COM TINTA RETRORREFLETIVA A BASE DE RESINA ACRILICA COM MICROESFERAS DE VIDRO</v>
          </cell>
          <cell r="D123" t="str">
            <v>M2</v>
          </cell>
          <cell r="E123">
            <v>1.8</v>
          </cell>
          <cell r="F123">
            <v>20.2</v>
          </cell>
          <cell r="G123">
            <v>24.97</v>
          </cell>
          <cell r="H123">
            <v>44.95</v>
          </cell>
          <cell r="I123">
            <v>20.3</v>
          </cell>
          <cell r="J123">
            <v>23.87</v>
          </cell>
          <cell r="K123">
            <v>42.97</v>
          </cell>
        </row>
        <row r="124">
          <cell r="A124" t="str">
            <v>1.2.7.5</v>
          </cell>
          <cell r="B124">
            <v>102512</v>
          </cell>
          <cell r="C124" t="str">
            <v>PINTURA DE EIXO VIÁRIO SOBRE ASFALTO COM TINTA RETRORREFLETIVA A BASE DE RESINA ACRÍLICA COM MICROESFERAS DE VIDRO, APLICAÇÃO MECÂNICA COM DEMARCADORA AUTOPROPELIDA. AF_05/2021</v>
          </cell>
          <cell r="D124" t="str">
            <v>M</v>
          </cell>
          <cell r="E124">
            <v>300.64999999999998</v>
          </cell>
          <cell r="F124">
            <v>5.22</v>
          </cell>
          <cell r="G124">
            <v>6.45</v>
          </cell>
          <cell r="H124">
            <v>1939.19</v>
          </cell>
          <cell r="I124">
            <v>5.48</v>
          </cell>
          <cell r="J124">
            <v>6.44</v>
          </cell>
          <cell r="K124">
            <v>1936.19</v>
          </cell>
        </row>
        <row r="125">
          <cell r="A125" t="str">
            <v>1.2.7.6</v>
          </cell>
          <cell r="B125">
            <v>102509</v>
          </cell>
          <cell r="C125" t="str">
            <v>PINTURA DE FAIXA DE PEDESTRE OU ZEBRADA TINTA RETRORREFLETIVA A BASE DE RESINA ACRÍLICA COM MICROESFERAS DE VIDRO, E = 30 CM, APLICAÇÃO MANUAL. AF_05/2021</v>
          </cell>
          <cell r="D125" t="str">
            <v>M2</v>
          </cell>
          <cell r="E125">
            <v>19.2</v>
          </cell>
          <cell r="F125">
            <v>22.91</v>
          </cell>
          <cell r="G125">
            <v>28.31</v>
          </cell>
          <cell r="H125">
            <v>543.54999999999995</v>
          </cell>
          <cell r="I125">
            <v>24.15</v>
          </cell>
          <cell r="J125">
            <v>28.39</v>
          </cell>
          <cell r="K125">
            <v>545.09</v>
          </cell>
        </row>
        <row r="126">
          <cell r="A126" t="str">
            <v>1.2.8</v>
          </cell>
          <cell r="B126"/>
          <cell r="C126" t="str">
            <v>ACESSIBILIDADE</v>
          </cell>
          <cell r="D126"/>
          <cell r="E126"/>
          <cell r="F126"/>
          <cell r="G126"/>
          <cell r="H126">
            <v>419.05</v>
          </cell>
          <cell r="I126"/>
          <cell r="J126"/>
          <cell r="K126">
            <v>412.09</v>
          </cell>
        </row>
        <row r="127">
          <cell r="A127" t="str">
            <v>1.2.8.1</v>
          </cell>
          <cell r="B127" t="str">
            <v>CP-S12039-81921471</v>
          </cell>
          <cell r="C127" t="str">
            <v>Piso tátil direcional e/ou alerta, de concreto, na cor natural, p/deficientes visuais, dimensões 40x40cm, aplicado com argamassa industrializada ac-ii, rejuntado, exclusive regularização de base</v>
          </cell>
          <cell r="D127" t="str">
            <v>M2</v>
          </cell>
          <cell r="E127">
            <v>3.12</v>
          </cell>
          <cell r="F127">
            <v>108.67</v>
          </cell>
          <cell r="G127">
            <v>134.31</v>
          </cell>
          <cell r="H127">
            <v>419.05</v>
          </cell>
          <cell r="I127">
            <v>112.34</v>
          </cell>
          <cell r="J127">
            <v>132.08000000000001</v>
          </cell>
          <cell r="K127">
            <v>412.09</v>
          </cell>
        </row>
        <row r="128">
          <cell r="A128" t="str">
            <v>1.2.9</v>
          </cell>
          <cell r="B128"/>
          <cell r="C128" t="str">
            <v>MATERIAIS</v>
          </cell>
          <cell r="D128"/>
          <cell r="E128"/>
          <cell r="F128"/>
          <cell r="G128"/>
          <cell r="H128">
            <v>132874.41</v>
          </cell>
          <cell r="I128"/>
          <cell r="J128"/>
          <cell r="K128">
            <v>126668.1</v>
          </cell>
        </row>
        <row r="129">
          <cell r="A129" t="str">
            <v>1.2.9.1</v>
          </cell>
          <cell r="B129">
            <v>10776</v>
          </cell>
          <cell r="C129" t="str">
            <v xml:space="preserve">LOCACAO DE CONTAINER 2,30 X 6,00 M, ALT. 2,50 M, PARA ESCRITORIO, SEM DIVISORIAS INTERNAS E SEM SANITARIO (NAO INCLUI MOBILIZACAO/DESMOBILIZACAO)                                                                                                                                                                                                                                                                                                                                                         </v>
          </cell>
          <cell r="D129" t="str">
            <v xml:space="preserve">MES   </v>
          </cell>
          <cell r="E129">
            <v>2</v>
          </cell>
          <cell r="F129">
            <v>648.42999999999995</v>
          </cell>
          <cell r="G129">
            <v>748.68</v>
          </cell>
          <cell r="H129">
            <v>1497.36</v>
          </cell>
          <cell r="I129">
            <v>648.42999999999995</v>
          </cell>
          <cell r="J129">
            <v>713.73</v>
          </cell>
          <cell r="K129">
            <v>1427.46</v>
          </cell>
        </row>
        <row r="130">
          <cell r="A130" t="str">
            <v>1.2.9.2</v>
          </cell>
          <cell r="B130">
            <v>10775</v>
          </cell>
          <cell r="C130" t="str">
            <v xml:space="preserve">LOCACAO DE CONTAINER 2,30 X 6,00 M, ALT. 2,50 M, COM 1 SANITARIO, PARA ESCRITORIO, COMPLETO, SEM DIVISORIAS INTERNAS (NAO INCLUI MOBILIZACAO/DESMOBILIZACAO)                                                                                                                                                                                                                                                                                                                                              </v>
          </cell>
          <cell r="D130" t="str">
            <v xml:space="preserve">MES   </v>
          </cell>
          <cell r="E130">
            <v>2</v>
          </cell>
          <cell r="F130">
            <v>830</v>
          </cell>
          <cell r="G130">
            <v>958.32</v>
          </cell>
          <cell r="H130">
            <v>1916.64</v>
          </cell>
          <cell r="I130">
            <v>830</v>
          </cell>
          <cell r="J130">
            <v>913.58</v>
          </cell>
          <cell r="K130">
            <v>1827.16</v>
          </cell>
        </row>
        <row r="131">
          <cell r="A131" t="str">
            <v>1.2.9.3</v>
          </cell>
          <cell r="B131">
            <v>36170</v>
          </cell>
          <cell r="C131" t="str">
            <v xml:space="preserve">BLOQUETE/PISO INTERTRAVADO DE CONCRETO - MODELO ONDA/16 FACES/RETANGULAR/TIJOLINHO/PAVER/HOLANDES/PARALELEPIPEDO, *22 CM X 11* CM, E = 8 CM, RESISTENCIA DE 35 MPA (NBR 9781), COR NATURAL                                                                                                                                                                                                                                                                                                                </v>
          </cell>
          <cell r="D131" t="str">
            <v xml:space="preserve">M2    </v>
          </cell>
          <cell r="E131">
            <v>494.14</v>
          </cell>
          <cell r="F131">
            <v>49</v>
          </cell>
          <cell r="G131">
            <v>56.58</v>
          </cell>
          <cell r="H131">
            <v>27958.44</v>
          </cell>
          <cell r="I131">
            <v>49</v>
          </cell>
          <cell r="J131">
            <v>53.93</v>
          </cell>
          <cell r="K131">
            <v>26648.97</v>
          </cell>
        </row>
        <row r="132">
          <cell r="A132" t="str">
            <v>1.2.9.4</v>
          </cell>
          <cell r="B132">
            <v>36154</v>
          </cell>
          <cell r="C132" t="str">
            <v xml:space="preserve">BLOQUETE/PISO INTERTRAVADO DE CONCRETO - MODELO ONDA/16 FACES/RETANGULAR/TIJOLINHO/PAVER/HOLANDES/PARALELEPIPEDO, 20 CM X 10 CM, E = 8 CM, RESISTENCIA DE 35 MPA (NBR 9781), COLORIDO                                                                                                                                                                                                                                                                                                                     </v>
          </cell>
          <cell r="D132" t="str">
            <v xml:space="preserve">M2    </v>
          </cell>
          <cell r="E132">
            <v>130.03</v>
          </cell>
          <cell r="F132">
            <v>53.92</v>
          </cell>
          <cell r="G132">
            <v>62.26</v>
          </cell>
          <cell r="H132">
            <v>8095.67</v>
          </cell>
          <cell r="I132">
            <v>53.92</v>
          </cell>
          <cell r="J132">
            <v>59.35</v>
          </cell>
          <cell r="K132">
            <v>7717.28</v>
          </cell>
        </row>
        <row r="133">
          <cell r="A133" t="str">
            <v>1.2.9.5</v>
          </cell>
          <cell r="B133">
            <v>1518</v>
          </cell>
          <cell r="C133" t="str">
            <v xml:space="preserve">CONCRETO BETUMINOSO USINADO A QUENTE (CBUQ) PARA PAVIMENTACAO ASFALTICA, PADRAO DNIT, FAIXA C, COM CAP 50/70 - AQUISICAO POSTO USINA                                                                                                                                                                                                                                                                                                                                                                      </v>
          </cell>
          <cell r="D133" t="str">
            <v xml:space="preserve">T     </v>
          </cell>
          <cell r="E133">
            <v>51.56</v>
          </cell>
          <cell r="F133">
            <v>522.5</v>
          </cell>
          <cell r="G133">
            <v>603.28</v>
          </cell>
          <cell r="H133">
            <v>31105.119999999999</v>
          </cell>
          <cell r="I133">
            <v>522.5</v>
          </cell>
          <cell r="J133">
            <v>575.12</v>
          </cell>
          <cell r="K133">
            <v>29653.19</v>
          </cell>
        </row>
        <row r="134">
          <cell r="A134" t="str">
            <v>1.2.9.6</v>
          </cell>
          <cell r="B134" t="str">
            <v>INS-185032</v>
          </cell>
          <cell r="C134" t="str">
            <v>BRITA GRADUADA SIMPLES (BGS)</v>
          </cell>
          <cell r="D134" t="str">
            <v>M3</v>
          </cell>
          <cell r="E134">
            <v>186.19</v>
          </cell>
          <cell r="F134">
            <v>56.099999999999994</v>
          </cell>
          <cell r="G134">
            <v>64.77</v>
          </cell>
          <cell r="H134">
            <v>12059.53</v>
          </cell>
          <cell r="I134">
            <v>56.099999999999994</v>
          </cell>
          <cell r="J134">
            <v>61.75</v>
          </cell>
          <cell r="K134">
            <v>11497.23</v>
          </cell>
        </row>
        <row r="135">
          <cell r="A135" t="str">
            <v>1.2.9.7</v>
          </cell>
          <cell r="B135" t="str">
            <v>M0808</v>
          </cell>
          <cell r="C135" t="str">
            <v>Brita 4</v>
          </cell>
          <cell r="D135" t="str">
            <v>M3</v>
          </cell>
          <cell r="E135">
            <v>266.04000000000002</v>
          </cell>
          <cell r="F135">
            <v>90.74</v>
          </cell>
          <cell r="G135">
            <v>104.77</v>
          </cell>
          <cell r="H135">
            <v>27873.01</v>
          </cell>
          <cell r="I135">
            <v>90.74</v>
          </cell>
          <cell r="J135">
            <v>99.88</v>
          </cell>
          <cell r="K135">
            <v>26572.080000000002</v>
          </cell>
        </row>
        <row r="136">
          <cell r="A136" t="str">
            <v>1.2.9.8</v>
          </cell>
          <cell r="B136" t="str">
            <v>M1135</v>
          </cell>
          <cell r="C136" t="str">
            <v>Pó de pedra</v>
          </cell>
          <cell r="D136" t="str">
            <v>M3</v>
          </cell>
          <cell r="E136">
            <v>29.56</v>
          </cell>
          <cell r="F136">
            <v>74.53</v>
          </cell>
          <cell r="G136">
            <v>86.05</v>
          </cell>
          <cell r="H136">
            <v>2543.64</v>
          </cell>
          <cell r="I136">
            <v>74.53</v>
          </cell>
          <cell r="J136">
            <v>82.04</v>
          </cell>
          <cell r="K136">
            <v>2425.1</v>
          </cell>
        </row>
        <row r="137">
          <cell r="A137" t="str">
            <v>1.2.9.9</v>
          </cell>
          <cell r="B137">
            <v>34492</v>
          </cell>
          <cell r="C137" t="str">
            <v xml:space="preserve">CONCRETO USINADO BOMBEAVEL, CLASSE DE RESISTENCIA C20, COM BRITA 0 E 1, SLUMP = 100 +/- 20 MM, EXCLUI SERVICO DE BOMBEAMENTO (NBR 8953)                                                                                                                                                                                                                                                                                                                                                                   </v>
          </cell>
          <cell r="D137" t="str">
            <v xml:space="preserve">M3    </v>
          </cell>
          <cell r="E137">
            <v>40.64</v>
          </cell>
          <cell r="F137">
            <v>422.5</v>
          </cell>
          <cell r="G137">
            <v>487.82</v>
          </cell>
          <cell r="H137">
            <v>19825</v>
          </cell>
          <cell r="I137">
            <v>422.5</v>
          </cell>
          <cell r="J137">
            <v>465.05</v>
          </cell>
          <cell r="K137">
            <v>18899.63</v>
          </cell>
        </row>
        <row r="138">
          <cell r="A138" t="str">
            <v>1.3</v>
          </cell>
          <cell r="B138"/>
          <cell r="C138" t="str">
            <v>RUA RENASCENÇA - CAJUEIRO SECO</v>
          </cell>
          <cell r="D138"/>
          <cell r="E138"/>
          <cell r="F138"/>
          <cell r="G138"/>
          <cell r="H138">
            <v>1090635.21</v>
          </cell>
          <cell r="I138"/>
          <cell r="J138"/>
          <cell r="K138">
            <v>1062806.7</v>
          </cell>
        </row>
        <row r="139">
          <cell r="A139" t="str">
            <v>1.3.1</v>
          </cell>
          <cell r="B139"/>
          <cell r="C139" t="str">
            <v>INSTALAÇÕES PROVISÓRIAS</v>
          </cell>
          <cell r="D139"/>
          <cell r="E139"/>
          <cell r="F139"/>
          <cell r="G139"/>
          <cell r="H139">
            <v>10711.26</v>
          </cell>
          <cell r="I139"/>
          <cell r="J139"/>
          <cell r="K139">
            <v>10252.02</v>
          </cell>
        </row>
        <row r="140">
          <cell r="A140" t="str">
            <v>1.3.1.1</v>
          </cell>
          <cell r="B140" t="str">
            <v>CP-74209/001-15055090</v>
          </cell>
          <cell r="C140" t="str">
            <v>PLACA DE OBRA EM CHAPA DE ACO GALVANIZADO</v>
          </cell>
          <cell r="D140" t="str">
            <v xml:space="preserve">M2    </v>
          </cell>
          <cell r="E140">
            <v>8</v>
          </cell>
          <cell r="F140">
            <v>558.35</v>
          </cell>
          <cell r="G140">
            <v>690.06</v>
          </cell>
          <cell r="H140">
            <v>5520.48</v>
          </cell>
          <cell r="I140">
            <v>564.99</v>
          </cell>
          <cell r="J140">
            <v>664.26</v>
          </cell>
          <cell r="K140">
            <v>5314.08</v>
          </cell>
        </row>
        <row r="141">
          <cell r="A141" t="str">
            <v>1.3.1.2</v>
          </cell>
          <cell r="B141" t="str">
            <v>COMP-07440249</v>
          </cell>
          <cell r="C141" t="str">
            <v>BANHEIRO QUÍMICO, COM LOCAÇÃO, TRANSPORTE E LIMPEZA</v>
          </cell>
          <cell r="D141" t="str">
            <v>MÊS</v>
          </cell>
          <cell r="E141">
            <v>6</v>
          </cell>
          <cell r="F141">
            <v>700</v>
          </cell>
          <cell r="G141">
            <v>865.13</v>
          </cell>
          <cell r="H141">
            <v>5190.78</v>
          </cell>
          <cell r="I141">
            <v>700</v>
          </cell>
          <cell r="J141">
            <v>822.99</v>
          </cell>
          <cell r="K141">
            <v>4937.9399999999996</v>
          </cell>
        </row>
        <row r="142">
          <cell r="A142" t="str">
            <v>1.3.2</v>
          </cell>
          <cell r="B142"/>
          <cell r="C142" t="str">
            <v>ADMINISTRAÇÃO LOCAL</v>
          </cell>
          <cell r="D142"/>
          <cell r="E142"/>
          <cell r="F142"/>
          <cell r="G142"/>
          <cell r="H142">
            <v>35021.089999999997</v>
          </cell>
          <cell r="I142"/>
          <cell r="J142"/>
          <cell r="K142">
            <v>38363.51</v>
          </cell>
        </row>
        <row r="143">
          <cell r="A143" t="str">
            <v>1.3.2.1</v>
          </cell>
          <cell r="B143">
            <v>93565</v>
          </cell>
          <cell r="C143" t="str">
            <v>ENGENHEIRO CIVIL DE OBRA JUNIOR COM ENCARGOS COMPLEMENTARES</v>
          </cell>
          <cell r="D143" t="str">
            <v>MES</v>
          </cell>
          <cell r="E143">
            <v>0.75</v>
          </cell>
          <cell r="F143">
            <v>14549.96</v>
          </cell>
          <cell r="G143">
            <v>17982.3</v>
          </cell>
          <cell r="H143">
            <v>13486.73</v>
          </cell>
          <cell r="I143">
            <v>16819.14</v>
          </cell>
          <cell r="J143">
            <v>19774.259999999998</v>
          </cell>
          <cell r="K143">
            <v>14830.7</v>
          </cell>
        </row>
        <row r="144">
          <cell r="A144" t="str">
            <v>1.3.2.2</v>
          </cell>
          <cell r="B144">
            <v>93572</v>
          </cell>
          <cell r="C144" t="str">
            <v>ENCARREGADO GERAL DE OBRAS COM ENCARGOS COMPLEMENTARES</v>
          </cell>
          <cell r="D144" t="str">
            <v>MES</v>
          </cell>
          <cell r="E144">
            <v>3</v>
          </cell>
          <cell r="F144">
            <v>5808.01</v>
          </cell>
          <cell r="G144">
            <v>7178.12</v>
          </cell>
          <cell r="H144">
            <v>21534.36</v>
          </cell>
          <cell r="I144">
            <v>6672</v>
          </cell>
          <cell r="J144">
            <v>7844.27</v>
          </cell>
          <cell r="K144">
            <v>23532.81</v>
          </cell>
        </row>
        <row r="145">
          <cell r="A145" t="str">
            <v>1.3.3</v>
          </cell>
          <cell r="B145"/>
          <cell r="C145" t="str">
            <v>SERVIÇOS PRELIMINARES</v>
          </cell>
          <cell r="D145"/>
          <cell r="E145"/>
          <cell r="F145"/>
          <cell r="G145"/>
          <cell r="H145">
            <v>47862.36</v>
          </cell>
          <cell r="I145"/>
          <cell r="J145"/>
          <cell r="K145">
            <v>48932.82</v>
          </cell>
        </row>
        <row r="146">
          <cell r="A146" t="str">
            <v>1.3.3.1</v>
          </cell>
          <cell r="B146">
            <v>99064</v>
          </cell>
          <cell r="C146" t="str">
            <v>LOCAÇÃO DE PAVIMENTAÇÃO. AF_10/2018</v>
          </cell>
          <cell r="D146" t="str">
            <v>M</v>
          </cell>
          <cell r="E146">
            <v>711.46</v>
          </cell>
          <cell r="F146">
            <v>0.43</v>
          </cell>
          <cell r="G146">
            <v>0.53</v>
          </cell>
          <cell r="H146">
            <v>377.07</v>
          </cell>
          <cell r="I146">
            <v>0.49</v>
          </cell>
          <cell r="J146">
            <v>0.57999999999999996</v>
          </cell>
          <cell r="K146">
            <v>412.65</v>
          </cell>
        </row>
        <row r="147">
          <cell r="A147" t="str">
            <v>1.3.3.2</v>
          </cell>
          <cell r="B147">
            <v>98529</v>
          </cell>
          <cell r="C147" t="str">
            <v>CORTE RASO E RECORTE DE ÁRVORE COM DIÂMETRO DE TRONCO MAIOR OU IGUAL A 0,20 M E MENOR QUE 0,40 M.AF_05/2018</v>
          </cell>
          <cell r="D147" t="str">
            <v>UN</v>
          </cell>
          <cell r="E147">
            <v>11</v>
          </cell>
          <cell r="F147">
            <v>58.17</v>
          </cell>
          <cell r="G147">
            <v>71.89</v>
          </cell>
          <cell r="H147">
            <v>790.79</v>
          </cell>
          <cell r="I147">
            <v>64.73</v>
          </cell>
          <cell r="J147">
            <v>76.099999999999994</v>
          </cell>
          <cell r="K147">
            <v>837.1</v>
          </cell>
        </row>
        <row r="148">
          <cell r="A148" t="str">
            <v>1.3.3.3</v>
          </cell>
          <cell r="B148">
            <v>97625</v>
          </cell>
          <cell r="C148" t="str">
            <v>DEMOLIÇÃO DE ALVENARIA PARA QUALQUER TIPO DE BLOCO, DE FORMA MECANIZADA, SEM REAPROVEITAMENTO. AF_12/2017</v>
          </cell>
          <cell r="D148" t="str">
            <v>M3</v>
          </cell>
          <cell r="E148">
            <v>222.19</v>
          </cell>
          <cell r="F148">
            <v>59.79</v>
          </cell>
          <cell r="G148">
            <v>73.89</v>
          </cell>
          <cell r="H148">
            <v>16417.62</v>
          </cell>
          <cell r="I148">
            <v>61.29</v>
          </cell>
          <cell r="J148">
            <v>72.06</v>
          </cell>
          <cell r="K148">
            <v>16011.01</v>
          </cell>
        </row>
        <row r="149">
          <cell r="A149" t="str">
            <v>1.3.3.4</v>
          </cell>
          <cell r="B149" t="str">
            <v>COMP-17562084</v>
          </cell>
          <cell r="C149" t="str">
            <v>DEMOLIÇÃO MANUAL DE CONCRETO SIMPLES</v>
          </cell>
          <cell r="D149" t="str">
            <v>M3</v>
          </cell>
          <cell r="E149">
            <v>103.05</v>
          </cell>
          <cell r="F149">
            <v>190.89</v>
          </cell>
          <cell r="G149">
            <v>235.92</v>
          </cell>
          <cell r="H149">
            <v>24311.56</v>
          </cell>
          <cell r="I149">
            <v>212.24</v>
          </cell>
          <cell r="J149">
            <v>249.53</v>
          </cell>
          <cell r="K149">
            <v>25714.07</v>
          </cell>
        </row>
        <row r="150">
          <cell r="A150" t="str">
            <v>1.3.3.5</v>
          </cell>
          <cell r="B150" t="str">
            <v>COMP-01471766</v>
          </cell>
          <cell r="C150" t="str">
            <v>DEMOLIÇÃO DE MEIO-FIO</v>
          </cell>
          <cell r="D150" t="str">
            <v>M</v>
          </cell>
          <cell r="E150">
            <v>166.64</v>
          </cell>
          <cell r="F150">
            <v>10.02</v>
          </cell>
          <cell r="G150">
            <v>12.38</v>
          </cell>
          <cell r="H150">
            <v>2063</v>
          </cell>
          <cell r="I150">
            <v>11.13</v>
          </cell>
          <cell r="J150">
            <v>13.09</v>
          </cell>
          <cell r="K150">
            <v>2181.3200000000002</v>
          </cell>
        </row>
        <row r="151">
          <cell r="A151" t="str">
            <v>1.3.3.6</v>
          </cell>
          <cell r="B151" t="str">
            <v>COMP-35145154</v>
          </cell>
          <cell r="C151" t="str">
            <v>CARGA E DESCARGA MECANICA DE SOLO UTILIZANDO CAMINHAO BASCULANTE 14,0M3/36T E PA CARREGADEIRA SOBRE PNEUS 128 HP, CAPACIDADE DA CAÇAMBA 1,7 A 2,8 M3, PESO OPERACIONAL 11632 KH</v>
          </cell>
          <cell r="D151" t="str">
            <v>M3</v>
          </cell>
          <cell r="E151">
            <v>418.84</v>
          </cell>
          <cell r="F151">
            <v>2.83</v>
          </cell>
          <cell r="G151">
            <v>3.5</v>
          </cell>
          <cell r="H151">
            <v>1465.94</v>
          </cell>
          <cell r="I151">
            <v>2.9</v>
          </cell>
          <cell r="J151">
            <v>3.41</v>
          </cell>
          <cell r="K151">
            <v>1428.24</v>
          </cell>
        </row>
        <row r="152">
          <cell r="A152" t="str">
            <v>1.3.3.7</v>
          </cell>
          <cell r="B152">
            <v>95876</v>
          </cell>
          <cell r="C152" t="str">
            <v>TRANSPORTE COM CAMINHÃO BASCULANTE DE 14 M³, EM VIA URBANA PAVIMENTADA, DMT ATÉ 30 KM (UNIDADE: M3XKM). AF_07/2020</v>
          </cell>
          <cell r="D152" t="str">
            <v>M3XKM</v>
          </cell>
          <cell r="E152">
            <v>879.56</v>
          </cell>
          <cell r="F152">
            <v>2.2400000000000002</v>
          </cell>
          <cell r="G152">
            <v>2.77</v>
          </cell>
          <cell r="H152">
            <v>2436.38</v>
          </cell>
          <cell r="I152">
            <v>2.27</v>
          </cell>
          <cell r="J152">
            <v>2.67</v>
          </cell>
          <cell r="K152">
            <v>2348.4299999999998</v>
          </cell>
        </row>
        <row r="153">
          <cell r="A153" t="str">
            <v>1.3.4</v>
          </cell>
          <cell r="B153"/>
          <cell r="C153" t="str">
            <v>TERRAPLANAGEM</v>
          </cell>
          <cell r="D153"/>
          <cell r="E153"/>
          <cell r="F153"/>
          <cell r="G153"/>
          <cell r="H153">
            <v>34323.97</v>
          </cell>
          <cell r="I153"/>
          <cell r="J153"/>
          <cell r="K153">
            <v>33250.019999999997</v>
          </cell>
        </row>
        <row r="154">
          <cell r="A154" t="str">
            <v>1.3.4.1</v>
          </cell>
          <cell r="B154" t="str">
            <v>CP-74205/001-17324935</v>
          </cell>
          <cell r="C154" t="str">
            <v>ESCAVAÇÃO MECÂNICA DE MATERIAL 1A. CATEGORIA, PROVENIENTE DE CORTE DE SUBLEITO (C/TRATOR ESTEIRAS  160HP)</v>
          </cell>
          <cell r="D154" t="str">
            <v>M3</v>
          </cell>
          <cell r="E154">
            <v>2318.38</v>
          </cell>
          <cell r="F154">
            <v>2.54</v>
          </cell>
          <cell r="G154">
            <v>3.14</v>
          </cell>
          <cell r="H154">
            <v>7279.71</v>
          </cell>
          <cell r="I154">
            <v>2.59</v>
          </cell>
          <cell r="J154">
            <v>3.05</v>
          </cell>
          <cell r="K154">
            <v>7071.06</v>
          </cell>
        </row>
        <row r="155">
          <cell r="A155" t="str">
            <v>1.3.4.2</v>
          </cell>
          <cell r="B155" t="str">
            <v>COMP-35145154</v>
          </cell>
          <cell r="C155" t="str">
            <v>CARGA E DESCARGA MECANICA DE SOLO UTILIZANDO CAMINHAO BASCULANTE 14,0M3/36T E PA CARREGADEIRA SOBRE PNEUS 128 HP, CAPACIDADE DA CAÇAMBA 1,7 A 2,8 M3, PESO OPERACIONAL 11632 KH</v>
          </cell>
          <cell r="D155" t="str">
            <v>M3</v>
          </cell>
          <cell r="E155">
            <v>2883.15</v>
          </cell>
          <cell r="F155">
            <v>2.83</v>
          </cell>
          <cell r="G155">
            <v>3.5</v>
          </cell>
          <cell r="H155">
            <v>10091.030000000001</v>
          </cell>
          <cell r="I155">
            <v>2.9</v>
          </cell>
          <cell r="J155">
            <v>3.41</v>
          </cell>
          <cell r="K155">
            <v>9831.5400000000009</v>
          </cell>
        </row>
        <row r="156">
          <cell r="A156" t="str">
            <v>1.3.4.3</v>
          </cell>
          <cell r="B156">
            <v>95876</v>
          </cell>
          <cell r="C156" t="str">
            <v>TRANSPORTE COM CAMINHÃO BASCULANTE DE 14 M³, EM VIA URBANA PAVIMENTADA, DMT ATÉ 30 KM (UNIDADE: M3XKM). AF_07/2020</v>
          </cell>
          <cell r="D156" t="str">
            <v>M3XKM</v>
          </cell>
          <cell r="E156">
            <v>6054.62</v>
          </cell>
          <cell r="F156">
            <v>2.2400000000000002</v>
          </cell>
          <cell r="G156">
            <v>2.77</v>
          </cell>
          <cell r="H156">
            <v>16771.3</v>
          </cell>
          <cell r="I156">
            <v>2.27</v>
          </cell>
          <cell r="J156">
            <v>2.67</v>
          </cell>
          <cell r="K156">
            <v>16165.84</v>
          </cell>
        </row>
        <row r="157">
          <cell r="A157" t="str">
            <v>1.3.4.4</v>
          </cell>
          <cell r="B157">
            <v>96385</v>
          </cell>
          <cell r="C157" t="str">
            <v>EXECUÇÃO E COMPACTAÇÃO DE ATERRO COM SOLO PREDOMINANTEMENTE ARGILOSO - EXCLUSIVE SOLO, ESCAVAÇÃO, CARGA E TRANSPORTE. AF_11/2019</v>
          </cell>
          <cell r="D157" t="str">
            <v>M3</v>
          </cell>
          <cell r="E157">
            <v>11.86</v>
          </cell>
          <cell r="F157">
            <v>12.41</v>
          </cell>
          <cell r="G157">
            <v>15.34</v>
          </cell>
          <cell r="H157">
            <v>181.93</v>
          </cell>
          <cell r="I157">
            <v>13.02</v>
          </cell>
          <cell r="J157">
            <v>15.31</v>
          </cell>
          <cell r="K157">
            <v>181.58</v>
          </cell>
        </row>
        <row r="158">
          <cell r="A158" t="str">
            <v>1.3.5</v>
          </cell>
          <cell r="B158"/>
          <cell r="C158" t="str">
            <v>PAVIMENTAÇÃO</v>
          </cell>
          <cell r="D158"/>
          <cell r="E158"/>
          <cell r="F158"/>
          <cell r="G158"/>
          <cell r="H158">
            <v>329268.28999999998</v>
          </cell>
          <cell r="I158"/>
          <cell r="J158"/>
          <cell r="K158">
            <v>325867.65999999997</v>
          </cell>
        </row>
        <row r="159">
          <cell r="A159" t="str">
            <v>1.3.5.1</v>
          </cell>
          <cell r="B159">
            <v>100576</v>
          </cell>
          <cell r="C159" t="str">
            <v>REGULARIZAÇÃO E COMPACTAÇÃO DE SUBLEITO DE SOLO  PREDOMINANTEMENTE ARGILOSO. AF_11/2019</v>
          </cell>
          <cell r="D159" t="str">
            <v>M2</v>
          </cell>
          <cell r="E159">
            <v>5178.2700000000004</v>
          </cell>
          <cell r="F159">
            <v>2.64</v>
          </cell>
          <cell r="G159">
            <v>3.26</v>
          </cell>
          <cell r="H159">
            <v>16881.16</v>
          </cell>
          <cell r="I159">
            <v>2.79</v>
          </cell>
          <cell r="J159">
            <v>3.28</v>
          </cell>
          <cell r="K159">
            <v>16984.73</v>
          </cell>
        </row>
        <row r="160">
          <cell r="A160" t="str">
            <v>1.3.5.2</v>
          </cell>
          <cell r="B160" t="str">
            <v>COMP-28881239</v>
          </cell>
          <cell r="C160" t="str">
            <v>Base ou sub-base de macadame hidráulico com brita comercial - EXCLUSIVE MATERIAL, CARGA E TRANSPORTE - NÃO DESONERADO</v>
          </cell>
          <cell r="D160" t="str">
            <v>M3</v>
          </cell>
          <cell r="E160">
            <v>554.66</v>
          </cell>
          <cell r="F160">
            <v>11.24</v>
          </cell>
          <cell r="G160">
            <v>13.89</v>
          </cell>
          <cell r="H160">
            <v>7704.23</v>
          </cell>
          <cell r="I160">
            <v>11.4</v>
          </cell>
          <cell r="J160">
            <v>13.4</v>
          </cell>
          <cell r="K160">
            <v>7432.44</v>
          </cell>
        </row>
        <row r="161">
          <cell r="A161" t="str">
            <v>1.3.5.3</v>
          </cell>
          <cell r="B161" t="str">
            <v>CP-96396-26507981</v>
          </cell>
          <cell r="C161" t="str">
            <v>EXECUÇÃO E COMPACTAÇÃO DE BASE E OU SUB BASE PARA PAVIMENTAÇÃO DE BRITA GRADUADA SIMPLES - EXCLUSIVE MATERIAL, CARGA E TRANSPORTE</v>
          </cell>
          <cell r="D161" t="str">
            <v>M3</v>
          </cell>
          <cell r="E161">
            <v>924.35</v>
          </cell>
          <cell r="F161">
            <v>13.86</v>
          </cell>
          <cell r="G161">
            <v>17.13</v>
          </cell>
          <cell r="H161">
            <v>15834.12</v>
          </cell>
          <cell r="I161">
            <v>14.44</v>
          </cell>
          <cell r="J161">
            <v>16.98</v>
          </cell>
          <cell r="K161">
            <v>15695.46</v>
          </cell>
        </row>
        <row r="162">
          <cell r="A162" t="str">
            <v>1.3.5.4</v>
          </cell>
          <cell r="B162" t="str">
            <v>COMP-35145154</v>
          </cell>
          <cell r="C162" t="str">
            <v>CARGA E DESCARGA MECANICA DE SOLO UTILIZANDO CAMINHAO BASCULANTE 14,0M3/36T E PA CARREGADEIRA SOBRE PNEUS 128 HP, CAPACIDADE DA CAÇAMBA 1,7 A 2,8 M3, PESO OPERACIONAL 11632 KH</v>
          </cell>
          <cell r="D162" t="str">
            <v>M3</v>
          </cell>
          <cell r="E162">
            <v>1848.76</v>
          </cell>
          <cell r="F162">
            <v>2.83</v>
          </cell>
          <cell r="G162">
            <v>3.5</v>
          </cell>
          <cell r="H162">
            <v>6470.66</v>
          </cell>
          <cell r="I162">
            <v>2.9</v>
          </cell>
          <cell r="J162">
            <v>3.41</v>
          </cell>
          <cell r="K162">
            <v>6304.27</v>
          </cell>
        </row>
        <row r="163">
          <cell r="A163" t="str">
            <v>1.3.5.5</v>
          </cell>
          <cell r="B163" t="str">
            <v>COMP-83526730</v>
          </cell>
          <cell r="C163" t="str">
            <v>TRANSPORTE COMERCIAL DE BRITA</v>
          </cell>
          <cell r="D163" t="str">
            <v>M3XKM</v>
          </cell>
          <cell r="E163">
            <v>13126.2</v>
          </cell>
          <cell r="F163">
            <v>1.36</v>
          </cell>
          <cell r="G163">
            <v>1.68</v>
          </cell>
          <cell r="H163">
            <v>22052.02</v>
          </cell>
          <cell r="I163">
            <v>1.37</v>
          </cell>
          <cell r="J163">
            <v>1.61</v>
          </cell>
          <cell r="K163">
            <v>21133.18</v>
          </cell>
        </row>
        <row r="164">
          <cell r="A164" t="str">
            <v>1.3.5.6</v>
          </cell>
          <cell r="B164" t="str">
            <v>CP-92399-27762594</v>
          </cell>
          <cell r="C164" t="str">
            <v>EXECUÇÃO DE VIA EM PISO INTERTRAVADO, COM BLOCO RETANGULAR COR NATURAL/COLORIDO DE 20 X 10 CM, ESPESSURA 8 CM - (SEM O MATERIAL BLOQUETE/PISO INTERTRAVADO)</v>
          </cell>
          <cell r="D164" t="str">
            <v>M2</v>
          </cell>
          <cell r="E164">
            <v>1480.51</v>
          </cell>
          <cell r="F164">
            <v>19.170000000000002</v>
          </cell>
          <cell r="G164">
            <v>23.69</v>
          </cell>
          <cell r="H164">
            <v>35073.279999999999</v>
          </cell>
          <cell r="I164">
            <v>20.41</v>
          </cell>
          <cell r="J164">
            <v>24</v>
          </cell>
          <cell r="K164">
            <v>35532.239999999998</v>
          </cell>
        </row>
        <row r="165">
          <cell r="A165" t="str">
            <v>1.3.5.7</v>
          </cell>
          <cell r="B165" t="str">
            <v>COMP-62038505</v>
          </cell>
          <cell r="C165" t="str">
            <v>EXECUÇÃO DE IMPRIMAÇÃO COM ASFALTO DILUÍDO CM-30 - SERVIÇO UTILIZADO NOS LOTES</v>
          </cell>
          <cell r="D165" t="str">
            <v>M2</v>
          </cell>
          <cell r="E165">
            <v>3029.02</v>
          </cell>
          <cell r="F165">
            <v>7.56</v>
          </cell>
          <cell r="G165">
            <v>9.34</v>
          </cell>
          <cell r="H165">
            <v>28291.05</v>
          </cell>
          <cell r="I165">
            <v>7.62</v>
          </cell>
          <cell r="J165">
            <v>8.9600000000000009</v>
          </cell>
          <cell r="K165">
            <v>27140.02</v>
          </cell>
        </row>
        <row r="166">
          <cell r="A166" t="str">
            <v>1.3.5.8</v>
          </cell>
          <cell r="B166" t="str">
            <v>CP-95995-51339760</v>
          </cell>
          <cell r="C166" t="str">
            <v>EXECUÇÃO DE PAVIMENTO COM APLICAÇÃO DE CONCRETO ASFÁLTICO, CAMADA DE ROLAMENTO - EXCLUSIVE CARGA E TRANSPORTE E CONCRETO BETUMINOSO</v>
          </cell>
          <cell r="D166" t="str">
            <v>M3</v>
          </cell>
          <cell r="E166">
            <v>151.44999999999999</v>
          </cell>
          <cell r="F166">
            <v>127.58</v>
          </cell>
          <cell r="G166">
            <v>157.68</v>
          </cell>
          <cell r="H166">
            <v>23880.639999999999</v>
          </cell>
          <cell r="I166">
            <v>133.37</v>
          </cell>
          <cell r="J166">
            <v>156.80000000000001</v>
          </cell>
          <cell r="K166">
            <v>23747.360000000001</v>
          </cell>
        </row>
        <row r="167">
          <cell r="A167" t="str">
            <v>1.3.5.9</v>
          </cell>
          <cell r="B167" t="str">
            <v>COMP-10034101</v>
          </cell>
          <cell r="C167" t="str">
            <v>CARGA, MANOBRAS E DESCARGA DE MISTURA BETUMINOSA A QUENTE, COM CAMINHAO BASCULANTE 6 M3, DESCARGA EM VIBRO-ACABADORA</v>
          </cell>
          <cell r="D167" t="str">
            <v>M3</v>
          </cell>
          <cell r="E167">
            <v>151.44999999999999</v>
          </cell>
          <cell r="F167">
            <v>7.74</v>
          </cell>
          <cell r="G167">
            <v>9.57</v>
          </cell>
          <cell r="H167">
            <v>1449.38</v>
          </cell>
          <cell r="I167">
            <v>7.86</v>
          </cell>
          <cell r="J167">
            <v>9.24</v>
          </cell>
          <cell r="K167">
            <v>1399.4</v>
          </cell>
        </row>
        <row r="168">
          <cell r="A168" t="str">
            <v>1.3.5.10</v>
          </cell>
          <cell r="B168" t="str">
            <v>CP-95303-56931542</v>
          </cell>
          <cell r="C168" t="str">
            <v>TRANSPORTE COM CAMINHÃO BASCULANTE 10 M3 DE MASSA ASFALTICA PARA PAVIMENTAÇÃO URBANA</v>
          </cell>
          <cell r="D168" t="str">
            <v>M3XKM</v>
          </cell>
          <cell r="E168">
            <v>2468.64</v>
          </cell>
          <cell r="F168">
            <v>1.75</v>
          </cell>
          <cell r="G168">
            <v>2.16</v>
          </cell>
          <cell r="H168">
            <v>5332.26</v>
          </cell>
          <cell r="I168">
            <v>1.77</v>
          </cell>
          <cell r="J168">
            <v>2.08</v>
          </cell>
          <cell r="K168">
            <v>5134.7700000000004</v>
          </cell>
        </row>
        <row r="169">
          <cell r="A169" t="str">
            <v>1.3.5.11</v>
          </cell>
          <cell r="B169" t="str">
            <v>CP-97084-89637704</v>
          </cell>
          <cell r="C169" t="str">
            <v>REGULARIZACAO E COMPACTAÇÃO MANUAL DE TERRENO COM PLACA VIBRATÓRIA</v>
          </cell>
          <cell r="D169" t="str">
            <v>M2</v>
          </cell>
          <cell r="E169">
            <v>2014.65</v>
          </cell>
          <cell r="F169">
            <v>0.59</v>
          </cell>
          <cell r="G169">
            <v>0.73</v>
          </cell>
          <cell r="H169">
            <v>1470.69</v>
          </cell>
          <cell r="I169">
            <v>0.65</v>
          </cell>
          <cell r="J169">
            <v>0.76</v>
          </cell>
          <cell r="K169">
            <v>1531.13</v>
          </cell>
        </row>
        <row r="170">
          <cell r="A170" t="str">
            <v>1.3.5.12</v>
          </cell>
          <cell r="B170" t="str">
            <v>CP-94991-12549457</v>
          </cell>
          <cell r="C170" t="str">
            <v>EXECUÇÃO DE PASSEIO (CALÇADA) OU PISO DE CONCRETO COM CONCRETO MOLDADO IN LOCO, USINADO, ACABAMENTO CONVENCIONAL, NÃO ARMADO - EXCLUINDO O CONCRETO USINADO 20MPA</v>
          </cell>
          <cell r="D170" t="str">
            <v>M3</v>
          </cell>
          <cell r="E170">
            <v>139.88999999999999</v>
          </cell>
          <cell r="F170">
            <v>104.6</v>
          </cell>
          <cell r="G170">
            <v>129.28</v>
          </cell>
          <cell r="H170">
            <v>18084.98</v>
          </cell>
          <cell r="I170">
            <v>112.75</v>
          </cell>
          <cell r="J170">
            <v>132.56</v>
          </cell>
          <cell r="K170">
            <v>18543.82</v>
          </cell>
        </row>
        <row r="171">
          <cell r="A171" t="str">
            <v>1.3.5.13</v>
          </cell>
          <cell r="B171">
            <v>94273</v>
          </cell>
          <cell r="C171" t="str">
            <v>ASSENTAMENTO DE GUIA (MEIO-FIO) EM TRECHO RETO, CONFECCIONADA EM CONCRETO PRÉ-FABRICADO, DIMENSÕES 100X15X13X30 CM (COMPRIMENTO X BASE INFERIOR X BASE SUPERIOR X ALTURA), PARA VIAS URBANAS (USO VIÁRIO). AF_06/2016</v>
          </cell>
          <cell r="D171" t="str">
            <v>M</v>
          </cell>
          <cell r="E171">
            <v>1475.02</v>
          </cell>
          <cell r="F171">
            <v>54.61</v>
          </cell>
          <cell r="G171">
            <v>67.489999999999995</v>
          </cell>
          <cell r="H171">
            <v>99549.1</v>
          </cell>
          <cell r="I171">
            <v>56.47</v>
          </cell>
          <cell r="J171">
            <v>66.39</v>
          </cell>
          <cell r="K171">
            <v>97926.58</v>
          </cell>
        </row>
        <row r="172">
          <cell r="A172" t="str">
            <v>1.3.5.14</v>
          </cell>
          <cell r="B172">
            <v>94274</v>
          </cell>
          <cell r="C172" t="str">
            <v>ASSENTAMENTO DE GUIA (MEIO-FIO) EM TRECHO CURVO, CONFECCIONADA EM CONCRETO PRÉ-FABRICADO, DIMENSÕES 100X15X13X30 CM (COMPRIMENTO X BASE INFERIOR X BASE SUPERIOR X ALTURA), PARA VIAS URBANAS (USO VIÁRIO). AF_06/2016</v>
          </cell>
          <cell r="D172" t="str">
            <v>M</v>
          </cell>
          <cell r="E172">
            <v>33.479999999999997</v>
          </cell>
          <cell r="F172">
            <v>58.17</v>
          </cell>
          <cell r="G172">
            <v>71.89</v>
          </cell>
          <cell r="H172">
            <v>2406.88</v>
          </cell>
          <cell r="I172">
            <v>60.43</v>
          </cell>
          <cell r="J172">
            <v>71.05</v>
          </cell>
          <cell r="K172">
            <v>2378.75</v>
          </cell>
        </row>
        <row r="173">
          <cell r="A173" t="str">
            <v>1.3.5.15</v>
          </cell>
          <cell r="B173">
            <v>94287</v>
          </cell>
          <cell r="C173" t="str">
            <v>EXECUÇÃO DE SARJETA DE CONCRETO USINADO, MOLDADA  IN LOCO  EM TRECHO RETO, 30 CM BASE X 10 CM ALTURA. AF_06/2016</v>
          </cell>
          <cell r="D173" t="str">
            <v>M</v>
          </cell>
          <cell r="E173">
            <v>919.65</v>
          </cell>
          <cell r="F173">
            <v>37.69</v>
          </cell>
          <cell r="G173">
            <v>46.58</v>
          </cell>
          <cell r="H173">
            <v>42837.3</v>
          </cell>
          <cell r="I173">
            <v>39.770000000000003</v>
          </cell>
          <cell r="J173">
            <v>46.76</v>
          </cell>
          <cell r="K173">
            <v>43002.83</v>
          </cell>
        </row>
        <row r="174">
          <cell r="A174" t="str">
            <v>1.3.5.16</v>
          </cell>
          <cell r="B174">
            <v>94288</v>
          </cell>
          <cell r="C174" t="str">
            <v>EXECUÇÃO DE SARJETA DE CONCRETO USINADO, MOLDADA  IN LOCO  EM TRECHO CURVO, 30 CM BASE X 10 CM ALTURA. AF_06/2016</v>
          </cell>
          <cell r="D174" t="str">
            <v>M</v>
          </cell>
          <cell r="E174">
            <v>33.479999999999997</v>
          </cell>
          <cell r="F174">
            <v>47.14</v>
          </cell>
          <cell r="G174">
            <v>58.26</v>
          </cell>
          <cell r="H174">
            <v>1950.54</v>
          </cell>
          <cell r="I174">
            <v>50.32</v>
          </cell>
          <cell r="J174">
            <v>59.16</v>
          </cell>
          <cell r="K174">
            <v>1980.68</v>
          </cell>
        </row>
        <row r="175">
          <cell r="A175" t="str">
            <v>1.3.6</v>
          </cell>
          <cell r="B175"/>
          <cell r="C175" t="str">
            <v>DRENAGEM</v>
          </cell>
          <cell r="D175"/>
          <cell r="E175"/>
          <cell r="F175"/>
          <cell r="G175"/>
          <cell r="H175">
            <v>58565.14</v>
          </cell>
          <cell r="I175"/>
          <cell r="J175"/>
          <cell r="K175">
            <v>57581.57</v>
          </cell>
        </row>
        <row r="176">
          <cell r="A176" t="str">
            <v>1.3.6.1</v>
          </cell>
          <cell r="B176">
            <v>93358</v>
          </cell>
          <cell r="C176" t="str">
            <v>ESCAVAÇÃO MANUAL DE VALA COM PROFUNDIDADE MENOR OU IGUAL A 1,30 M. AF_02/2021</v>
          </cell>
          <cell r="D176" t="str">
            <v>M3</v>
          </cell>
          <cell r="E176">
            <v>4.76</v>
          </cell>
          <cell r="F176">
            <v>70.53</v>
          </cell>
          <cell r="G176">
            <v>87.17</v>
          </cell>
          <cell r="H176">
            <v>414.93</v>
          </cell>
          <cell r="I176">
            <v>78.319999999999993</v>
          </cell>
          <cell r="J176">
            <v>92.08</v>
          </cell>
          <cell r="K176">
            <v>438.3</v>
          </cell>
        </row>
        <row r="177">
          <cell r="A177" t="str">
            <v>1.3.6.2</v>
          </cell>
          <cell r="B177">
            <v>90091</v>
          </cell>
          <cell r="C177" t="str">
            <v>ESCAVAÇÃO MECANIZADA DE VALA COM PROF. ATÉ 1,5 M (MÉDIA MONTANTE E JUSANTE/UMA COMPOSIÇÃO POR TRECHO), ESCAVADEIRA (0,8 M3), LARG. DE 1,5 M A 2,5 M, EM SOLO DE 1A CATEGORIA, LOCAIS COM BAIXO NÍVEL DE INTERFERÊNCIA. AF_02/2021</v>
          </cell>
          <cell r="D177" t="str">
            <v>M3</v>
          </cell>
          <cell r="E177">
            <v>33.19</v>
          </cell>
          <cell r="F177">
            <v>6.24</v>
          </cell>
          <cell r="G177">
            <v>7.71</v>
          </cell>
          <cell r="H177">
            <v>255.89</v>
          </cell>
          <cell r="I177">
            <v>6.48</v>
          </cell>
          <cell r="J177">
            <v>7.62</v>
          </cell>
          <cell r="K177">
            <v>252.91</v>
          </cell>
        </row>
        <row r="178">
          <cell r="A178" t="str">
            <v>1.3.6.3</v>
          </cell>
          <cell r="B178">
            <v>93367</v>
          </cell>
          <cell r="C178" t="str">
            <v>REATERRO MECANIZADO DE VALA COM ESCAVADEIRA HIDRÁULICA (CAPACIDADE DA CAÇAMBA: 0,8 M³ / POTÊNCIA: 111 HP), LARGURA DE 1,5 A 2,5 M, PROFUNDIDADE ATÉ 1,5 M, COM SOLO DE 1ª CATEGORIA EM LOCAIS COM BAIXO NÍVEL DE INTERFERÊNCIA. AF_04/2016</v>
          </cell>
          <cell r="D178" t="str">
            <v>M3</v>
          </cell>
          <cell r="E178">
            <v>12.44</v>
          </cell>
          <cell r="F178">
            <v>22.53</v>
          </cell>
          <cell r="G178">
            <v>27.84</v>
          </cell>
          <cell r="H178">
            <v>346.33</v>
          </cell>
          <cell r="I178">
            <v>23.75</v>
          </cell>
          <cell r="J178">
            <v>27.92</v>
          </cell>
          <cell r="K178">
            <v>347.32</v>
          </cell>
        </row>
        <row r="179">
          <cell r="A179" t="str">
            <v>1.3.6.4</v>
          </cell>
          <cell r="B179" t="str">
            <v>COMP-35145154</v>
          </cell>
          <cell r="C179" t="str">
            <v>CARGA E DESCARGA MECANICA DE SOLO UTILIZANDO CAMINHAO BASCULANTE 14,0M3/36T E PA CARREGADEIRA SOBRE PNEUS 128 HP, CAPACIDADE DA CAÇAMBA 1,7 A 2,8 M3, PESO OPERACIONAL 11632 KH</v>
          </cell>
          <cell r="D179" t="str">
            <v>M3</v>
          </cell>
          <cell r="E179">
            <v>25.94</v>
          </cell>
          <cell r="F179">
            <v>2.83</v>
          </cell>
          <cell r="G179">
            <v>3.5</v>
          </cell>
          <cell r="H179">
            <v>90.79</v>
          </cell>
          <cell r="I179">
            <v>2.9</v>
          </cell>
          <cell r="J179">
            <v>3.41</v>
          </cell>
          <cell r="K179">
            <v>88.46</v>
          </cell>
        </row>
        <row r="180">
          <cell r="A180" t="str">
            <v>1.3.6.5</v>
          </cell>
          <cell r="B180">
            <v>95876</v>
          </cell>
          <cell r="C180" t="str">
            <v>TRANSPORTE COM CAMINHÃO BASCULANTE DE 14 M³, EM VIA URBANA PAVIMENTADA, DMT ATÉ 30 KM (UNIDADE: M3XKM). AF_07/2020</v>
          </cell>
          <cell r="D180" t="str">
            <v>M3XKM</v>
          </cell>
          <cell r="E180">
            <v>54.47</v>
          </cell>
          <cell r="F180">
            <v>2.2400000000000002</v>
          </cell>
          <cell r="G180">
            <v>2.77</v>
          </cell>
          <cell r="H180">
            <v>150.88</v>
          </cell>
          <cell r="I180">
            <v>2.27</v>
          </cell>
          <cell r="J180">
            <v>2.67</v>
          </cell>
          <cell r="K180">
            <v>145.43</v>
          </cell>
        </row>
        <row r="181">
          <cell r="A181" t="str">
            <v>1.3.6.6</v>
          </cell>
          <cell r="B181">
            <v>94974</v>
          </cell>
          <cell r="C181" t="str">
            <v>CONCRETO MAGRO PARA LASTRO, TRAÇO 1:4,5:4,5 (EM MASSA SECA DE CIMENTO/ AREIA MÉDIA/ BRITA 1) - PREPARO MANUAL. AF_05/2021</v>
          </cell>
          <cell r="D181" t="str">
            <v>M3</v>
          </cell>
          <cell r="E181">
            <v>14.19</v>
          </cell>
          <cell r="F181">
            <v>423.75</v>
          </cell>
          <cell r="G181">
            <v>523.71</v>
          </cell>
          <cell r="H181">
            <v>7431.44</v>
          </cell>
          <cell r="I181">
            <v>436.13</v>
          </cell>
          <cell r="J181">
            <v>512.76</v>
          </cell>
          <cell r="K181">
            <v>7276.06</v>
          </cell>
        </row>
        <row r="182">
          <cell r="A182" t="str">
            <v>1.3.6.7</v>
          </cell>
          <cell r="B182">
            <v>94971</v>
          </cell>
          <cell r="C182" t="str">
            <v>CONCRETO FCK = 25MPA, TRAÇO 1:2,3:2,7 (EM MASSA SECA DE CIMENTO/ AREIA MÉDIA/ BRITA 1) - PREPARO MECÂNICO COM BETONEIRA 600 L. AF_05/2021</v>
          </cell>
          <cell r="D182" t="str">
            <v>M3</v>
          </cell>
          <cell r="E182">
            <v>16.78</v>
          </cell>
          <cell r="F182">
            <v>464.88</v>
          </cell>
          <cell r="G182">
            <v>574.54999999999995</v>
          </cell>
          <cell r="H182">
            <v>9640.9500000000007</v>
          </cell>
          <cell r="I182">
            <v>472.74</v>
          </cell>
          <cell r="J182">
            <v>555.79999999999995</v>
          </cell>
          <cell r="K182">
            <v>9326.32</v>
          </cell>
        </row>
        <row r="183">
          <cell r="A183" t="str">
            <v>1.3.6.8</v>
          </cell>
          <cell r="B183" t="str">
            <v>CP-74157/004-48264518</v>
          </cell>
          <cell r="C183" t="str">
            <v>LANCAMENTO/APLICACAO MANUAL DE CONCRETO EM FUNDACOES (concreto magro)</v>
          </cell>
          <cell r="D183" t="str">
            <v>M3</v>
          </cell>
          <cell r="E183">
            <v>38.99</v>
          </cell>
          <cell r="F183">
            <v>116.59</v>
          </cell>
          <cell r="G183">
            <v>144.09</v>
          </cell>
          <cell r="H183">
            <v>5618.07</v>
          </cell>
          <cell r="I183">
            <v>129.79</v>
          </cell>
          <cell r="J183">
            <v>152.59</v>
          </cell>
          <cell r="K183">
            <v>5949.48</v>
          </cell>
        </row>
        <row r="184">
          <cell r="A184" t="str">
            <v>1.3.6.9</v>
          </cell>
          <cell r="B184" t="str">
            <v>CP-S03639-45770834</v>
          </cell>
          <cell r="C184" t="str">
            <v>Fornecimento e instalação de tela aço soldada nervurada CA-60, Q-283, malha 10x10cm, ferro 6.02mm (4,48 kg/m2), painel 2,45x6,0m, Telcon ou similar</v>
          </cell>
          <cell r="D184" t="str">
            <v>M2</v>
          </cell>
          <cell r="E184">
            <v>59.54</v>
          </cell>
          <cell r="F184">
            <v>63.95</v>
          </cell>
          <cell r="G184">
            <v>79.040000000000006</v>
          </cell>
          <cell r="H184">
            <v>4706.04</v>
          </cell>
          <cell r="I184">
            <v>65.25</v>
          </cell>
          <cell r="J184">
            <v>76.709999999999994</v>
          </cell>
          <cell r="K184">
            <v>4567.3100000000004</v>
          </cell>
        </row>
        <row r="185">
          <cell r="A185" t="str">
            <v>1.3.6.10</v>
          </cell>
          <cell r="B185">
            <v>92771</v>
          </cell>
          <cell r="C185" t="str">
            <v>ARMAÇÃO DE LAJE DE ESTRUTURA CONVENCIONAL DE CONCRETO ARMADO UTILIZANDO AÇO CA-50 DE 10,0 MM - MONTAGEM. AF_06/2022</v>
          </cell>
          <cell r="D185" t="str">
            <v>KG</v>
          </cell>
          <cell r="E185">
            <v>716.68</v>
          </cell>
          <cell r="F185">
            <v>15.04</v>
          </cell>
          <cell r="G185">
            <v>18.59</v>
          </cell>
          <cell r="H185">
            <v>13323.08</v>
          </cell>
          <cell r="I185">
            <v>15.14</v>
          </cell>
          <cell r="J185">
            <v>17.8</v>
          </cell>
          <cell r="K185">
            <v>12756.9</v>
          </cell>
        </row>
        <row r="186">
          <cell r="A186" t="str">
            <v>1.3.6.11</v>
          </cell>
          <cell r="B186" t="str">
            <v>CP-92268-29291149</v>
          </cell>
          <cell r="C186" t="str">
            <v>FABRICAÇÃO DE FÔRMA PARA LAJES, EM CHAPA DE MADEIRA COMPENSADA PLASTIFICADA, E = 18 MM - EXCLUINDO O PAINEL DE MADEIRA COMPENSADA PLASTIFICADA DE 2200 x 1100 MM, E = *17* MM</v>
          </cell>
          <cell r="D186" t="str">
            <v>M2</v>
          </cell>
          <cell r="E186">
            <v>56.58</v>
          </cell>
          <cell r="F186">
            <v>0.98</v>
          </cell>
          <cell r="G186">
            <v>1.21</v>
          </cell>
          <cell r="H186">
            <v>68.459999999999994</v>
          </cell>
          <cell r="I186">
            <v>1.1000000000000001</v>
          </cell>
          <cell r="J186">
            <v>1.29</v>
          </cell>
          <cell r="K186">
            <v>72.989999999999995</v>
          </cell>
        </row>
        <row r="187">
          <cell r="A187" t="str">
            <v>1.3.6.12</v>
          </cell>
          <cell r="B187">
            <v>103320</v>
          </cell>
          <cell r="C187" t="str">
            <v>ALVENARIA DE VEDAÇÃO DE BLOCOS VAZADOS DE CONCRETO DE 19X19X39 CM (ESPESSURA 19 CM) E ARGAMASSA DE ASSENTAMENTO COM PREPARO EM BETONEIRA. AF_12/2021</v>
          </cell>
          <cell r="D187" t="str">
            <v>M2</v>
          </cell>
          <cell r="E187">
            <v>75.44</v>
          </cell>
          <cell r="F187">
            <v>101.36</v>
          </cell>
          <cell r="G187">
            <v>125.27</v>
          </cell>
          <cell r="H187">
            <v>9450.3700000000008</v>
          </cell>
          <cell r="I187">
            <v>105.62</v>
          </cell>
          <cell r="J187">
            <v>124.18</v>
          </cell>
          <cell r="K187">
            <v>9368.14</v>
          </cell>
        </row>
        <row r="188">
          <cell r="A188" t="str">
            <v>1.3.6.13</v>
          </cell>
          <cell r="B188">
            <v>87879</v>
          </cell>
          <cell r="C188" t="str">
            <v>CHAPISCO APLICADO EM ALVENARIAS E ESTRUTURAS DE CONCRETO INTERNAS, COM COLHER DE PEDREIRO.  ARGAMASSA TRAÇO 1:3 COM PREPARO EM BETONEIRA 400L. AF_06/2014</v>
          </cell>
          <cell r="D188" t="str">
            <v>M2</v>
          </cell>
          <cell r="E188">
            <v>75.44</v>
          </cell>
          <cell r="F188">
            <v>3.85</v>
          </cell>
          <cell r="G188">
            <v>4.76</v>
          </cell>
          <cell r="H188">
            <v>359.09</v>
          </cell>
          <cell r="I188">
            <v>4.0999999999999996</v>
          </cell>
          <cell r="J188">
            <v>4.82</v>
          </cell>
          <cell r="K188">
            <v>363.62</v>
          </cell>
        </row>
        <row r="189">
          <cell r="A189" t="str">
            <v>1.3.6.14</v>
          </cell>
          <cell r="B189">
            <v>87547</v>
          </cell>
          <cell r="C189" t="str">
            <v>MASSA ÚNICA, PARA RECEBIMENTO DE PINTURA, EM ARGAMASSA TRAÇO 1:2:8, PREPARO MECÂNICO COM BETONEIRA 400L, APLICADA MANUALMENTE EM FACES INTERNAS DE PAREDES, ESPESSURA DE 10MM, COM EXECUÇÃO DE TALISCAS. AF_06/2014</v>
          </cell>
          <cell r="D189" t="str">
            <v>M2</v>
          </cell>
          <cell r="E189">
            <v>75.44</v>
          </cell>
          <cell r="F189">
            <v>23.35</v>
          </cell>
          <cell r="G189">
            <v>28.86</v>
          </cell>
          <cell r="H189">
            <v>2177.1999999999998</v>
          </cell>
          <cell r="I189">
            <v>24.83</v>
          </cell>
          <cell r="J189">
            <v>29.19</v>
          </cell>
          <cell r="K189">
            <v>2202.09</v>
          </cell>
        </row>
        <row r="190">
          <cell r="A190" t="str">
            <v>1.3.6.15</v>
          </cell>
          <cell r="B190">
            <v>94975</v>
          </cell>
          <cell r="C190" t="str">
            <v>CONCRETO FCK = 15MPA, TRAÇO 1:3,4:3,5 (EM MASSA SECA DE CIMENTO/ AREIA MÉDIA/ BRITA 1) - PREPARO MANUAL. AF_05/2021</v>
          </cell>
          <cell r="D190" t="str">
            <v>M3</v>
          </cell>
          <cell r="E190">
            <v>8.02</v>
          </cell>
          <cell r="F190">
            <v>457.19</v>
          </cell>
          <cell r="G190">
            <v>565.04</v>
          </cell>
          <cell r="H190">
            <v>4531.62</v>
          </cell>
          <cell r="I190">
            <v>469.42</v>
          </cell>
          <cell r="J190">
            <v>551.9</v>
          </cell>
          <cell r="K190">
            <v>4426.24</v>
          </cell>
        </row>
        <row r="191">
          <cell r="A191" t="str">
            <v>1.3.7</v>
          </cell>
          <cell r="B191"/>
          <cell r="C191" t="str">
            <v>SINALIZAÇÃO</v>
          </cell>
          <cell r="D191"/>
          <cell r="E191"/>
          <cell r="F191"/>
          <cell r="G191"/>
          <cell r="H191">
            <v>14262.55</v>
          </cell>
          <cell r="I191"/>
          <cell r="J191"/>
          <cell r="K191">
            <v>14049.6</v>
          </cell>
        </row>
        <row r="192">
          <cell r="A192" t="str">
            <v>1.3.7.1</v>
          </cell>
          <cell r="B192">
            <v>5213416</v>
          </cell>
          <cell r="C192" t="str">
            <v>Confecção de placa em aço nº 16 galvanizado, com película tipo I + I</v>
          </cell>
          <cell r="D192" t="str">
            <v xml:space="preserve">M2    </v>
          </cell>
          <cell r="E192">
            <v>0.6</v>
          </cell>
          <cell r="F192">
            <v>351.9</v>
          </cell>
          <cell r="G192">
            <v>434.91</v>
          </cell>
          <cell r="H192">
            <v>260.95</v>
          </cell>
          <cell r="I192">
            <v>355.35</v>
          </cell>
          <cell r="J192">
            <v>417.78</v>
          </cell>
          <cell r="K192">
            <v>250.67</v>
          </cell>
        </row>
        <row r="193">
          <cell r="A193" t="str">
            <v>1.3.7.2</v>
          </cell>
          <cell r="B193">
            <v>5213421</v>
          </cell>
          <cell r="C193" t="str">
            <v>Confecção de placa em aço nº 16 galvanizado, com película tipo I + IV</v>
          </cell>
          <cell r="D193" t="str">
            <v xml:space="preserve">M2    </v>
          </cell>
          <cell r="E193">
            <v>4.3</v>
          </cell>
          <cell r="F193">
            <v>343.8</v>
          </cell>
          <cell r="G193">
            <v>424.9</v>
          </cell>
          <cell r="H193">
            <v>1827.07</v>
          </cell>
          <cell r="I193">
            <v>347.25</v>
          </cell>
          <cell r="J193">
            <v>408.26</v>
          </cell>
          <cell r="K193">
            <v>1755.52</v>
          </cell>
        </row>
        <row r="194">
          <cell r="A194" t="str">
            <v>1.3.7.3</v>
          </cell>
          <cell r="B194">
            <v>5216111</v>
          </cell>
          <cell r="C194" t="str">
            <v>FORNECIMENTO E IMPLANTAÇÃO DE SUPORTE E TRAVESSA PARA PLACA DE SINALIZAÇÃO EM MADEIRA DE LEI TRATADA 8 X 8 CM</v>
          </cell>
          <cell r="D194" t="str">
            <v>UND</v>
          </cell>
          <cell r="E194">
            <v>16</v>
          </cell>
          <cell r="F194">
            <v>119.1379</v>
          </cell>
          <cell r="G194">
            <v>147.24</v>
          </cell>
          <cell r="H194">
            <v>2355.84</v>
          </cell>
          <cell r="I194">
            <v>121.48</v>
          </cell>
          <cell r="J194">
            <v>142.82</v>
          </cell>
          <cell r="K194">
            <v>2285.12</v>
          </cell>
        </row>
        <row r="195">
          <cell r="A195" t="str">
            <v>1.3.7.4</v>
          </cell>
          <cell r="B195" t="str">
            <v>COMP-58084869</v>
          </cell>
          <cell r="C195" t="str">
            <v>PLACA ESMALTADA PARA IDENTIFICAÇÃO NR DE RUA, DIMENSÕES 45X25CM</v>
          </cell>
          <cell r="D195" t="str">
            <v>UND</v>
          </cell>
          <cell r="E195">
            <v>5</v>
          </cell>
          <cell r="F195">
            <v>155.54</v>
          </cell>
          <cell r="G195">
            <v>192.23</v>
          </cell>
          <cell r="H195">
            <v>961.15</v>
          </cell>
          <cell r="I195">
            <v>156.33000000000001</v>
          </cell>
          <cell r="J195">
            <v>183.8</v>
          </cell>
          <cell r="K195">
            <v>919</v>
          </cell>
        </row>
        <row r="196">
          <cell r="A196" t="str">
            <v>1.3.7.5</v>
          </cell>
          <cell r="B196" t="str">
            <v>CP-72947-21572945</v>
          </cell>
          <cell r="C196" t="str">
            <v>SINALIZACAO HORIZONTAL COM TINTA RETRORREFLETIVA A BASE DE RESINA ACRILICA COM MICROESFERAS DE VIDRO</v>
          </cell>
          <cell r="D196" t="str">
            <v>M2</v>
          </cell>
          <cell r="E196">
            <v>9.7200000000000006</v>
          </cell>
          <cell r="F196">
            <v>20.2</v>
          </cell>
          <cell r="G196">
            <v>24.97</v>
          </cell>
          <cell r="H196">
            <v>242.71</v>
          </cell>
          <cell r="I196">
            <v>20.3</v>
          </cell>
          <cell r="J196">
            <v>23.87</v>
          </cell>
          <cell r="K196">
            <v>232.02</v>
          </cell>
        </row>
        <row r="197">
          <cell r="A197" t="str">
            <v>1.3.7.6</v>
          </cell>
          <cell r="B197">
            <v>102512</v>
          </cell>
          <cell r="C197" t="str">
            <v>PINTURA DE EIXO VIÁRIO SOBRE ASFALTO COM TINTA RETRORREFLETIVA A BASE DE RESINA ACRÍLICA COM MICROESFERAS DE VIDRO, APLICAÇÃO MECÂNICA COM DEMARCADORA AUTOPROPELIDA. AF_05/2021</v>
          </cell>
          <cell r="D197" t="str">
            <v>M</v>
          </cell>
          <cell r="E197">
            <v>1130.22</v>
          </cell>
          <cell r="F197">
            <v>5.22</v>
          </cell>
          <cell r="G197">
            <v>6.45</v>
          </cell>
          <cell r="H197">
            <v>7289.92</v>
          </cell>
          <cell r="I197">
            <v>5.48</v>
          </cell>
          <cell r="J197">
            <v>6.44</v>
          </cell>
          <cell r="K197">
            <v>7278.62</v>
          </cell>
        </row>
        <row r="198">
          <cell r="A198" t="str">
            <v>1.3.7.7</v>
          </cell>
          <cell r="B198">
            <v>102509</v>
          </cell>
          <cell r="C198" t="str">
            <v>PINTURA DE FAIXA DE PEDESTRE OU ZEBRADA TINTA RETRORREFLETIVA A BASE DE RESINA ACRÍLICA COM MICROESFERAS DE VIDRO, E = 30 CM, APLICAÇÃO MANUAL. AF_05/2021</v>
          </cell>
          <cell r="D198" t="str">
            <v>M2</v>
          </cell>
          <cell r="E198">
            <v>46.8</v>
          </cell>
          <cell r="F198">
            <v>22.91</v>
          </cell>
          <cell r="G198">
            <v>28.31</v>
          </cell>
          <cell r="H198">
            <v>1324.91</v>
          </cell>
          <cell r="I198">
            <v>24.15</v>
          </cell>
          <cell r="J198">
            <v>28.39</v>
          </cell>
          <cell r="K198">
            <v>1328.65</v>
          </cell>
        </row>
        <row r="199">
          <cell r="A199" t="str">
            <v>1.3.8</v>
          </cell>
          <cell r="B199"/>
          <cell r="C199" t="str">
            <v>ACESSIBILIDADE</v>
          </cell>
          <cell r="D199"/>
          <cell r="E199"/>
          <cell r="F199"/>
          <cell r="G199"/>
          <cell r="H199">
            <v>2191.94</v>
          </cell>
          <cell r="I199"/>
          <cell r="J199"/>
          <cell r="K199">
            <v>2155.5500000000002</v>
          </cell>
        </row>
        <row r="200">
          <cell r="A200" t="str">
            <v>1.3.8.1</v>
          </cell>
          <cell r="B200" t="str">
            <v>CP-S12039-81921471</v>
          </cell>
          <cell r="C200" t="str">
            <v>Piso tátil direcional e/ou alerta, de concreto, na cor natural, p/deficientes visuais, dimensões 40x40cm, aplicado com argamassa industrializada ac-ii, rejuntado, exclusive regularização de base</v>
          </cell>
          <cell r="D200" t="str">
            <v>M2</v>
          </cell>
          <cell r="E200">
            <v>16.32</v>
          </cell>
          <cell r="F200">
            <v>108.67</v>
          </cell>
          <cell r="G200">
            <v>134.31</v>
          </cell>
          <cell r="H200">
            <v>2191.94</v>
          </cell>
          <cell r="I200">
            <v>112.34</v>
          </cell>
          <cell r="J200">
            <v>132.08000000000001</v>
          </cell>
          <cell r="K200">
            <v>2155.5500000000002</v>
          </cell>
        </row>
        <row r="201">
          <cell r="A201" t="str">
            <v>1.3.9</v>
          </cell>
          <cell r="B201"/>
          <cell r="C201" t="str">
            <v>MATERIAIS</v>
          </cell>
          <cell r="D201"/>
          <cell r="E201"/>
          <cell r="F201"/>
          <cell r="G201"/>
          <cell r="H201">
            <v>558428.61</v>
          </cell>
          <cell r="I201"/>
          <cell r="J201"/>
          <cell r="K201">
            <v>532353.94999999995</v>
          </cell>
        </row>
        <row r="202">
          <cell r="A202" t="str">
            <v>1.3.9.1</v>
          </cell>
          <cell r="B202">
            <v>10775</v>
          </cell>
          <cell r="C202" t="str">
            <v xml:space="preserve">LOCACAO DE CONTAINER 2,30 X 6,00 M, ALT. 2,50 M, COM 1 SANITARIO, PARA ESCRITORIO, COMPLETO, SEM DIVISORIAS INTERNAS (NAO INCLUI MOBILIZACAO/DESMOBILIZACAO)                                                                                                                                                                                                                                                                                                                                              </v>
          </cell>
          <cell r="D202" t="str">
            <v xml:space="preserve">MES   </v>
          </cell>
          <cell r="E202">
            <v>6</v>
          </cell>
          <cell r="F202">
            <v>830</v>
          </cell>
          <cell r="G202">
            <v>958.32</v>
          </cell>
          <cell r="H202">
            <v>5749.92</v>
          </cell>
          <cell r="I202">
            <v>830</v>
          </cell>
          <cell r="J202">
            <v>913.58</v>
          </cell>
          <cell r="K202">
            <v>5481.48</v>
          </cell>
        </row>
        <row r="203">
          <cell r="A203" t="str">
            <v>1.3.9.2</v>
          </cell>
          <cell r="B203">
            <v>10776</v>
          </cell>
          <cell r="C203" t="str">
            <v xml:space="preserve">LOCACAO DE CONTAINER 2,30 X 6,00 M, ALT. 2,50 M, PARA ESCRITORIO, SEM DIVISORIAS INTERNAS E SEM SANITARIO (NAO INCLUI MOBILIZACAO/DESMOBILIZACAO)                                                                                                                                                                                                                                                                                                                                                         </v>
          </cell>
          <cell r="D203" t="str">
            <v xml:space="preserve">MES   </v>
          </cell>
          <cell r="E203">
            <v>6</v>
          </cell>
          <cell r="F203">
            <v>648.42999999999995</v>
          </cell>
          <cell r="G203">
            <v>748.68</v>
          </cell>
          <cell r="H203">
            <v>4492.08</v>
          </cell>
          <cell r="I203">
            <v>648.42999999999995</v>
          </cell>
          <cell r="J203">
            <v>713.73</v>
          </cell>
          <cell r="K203">
            <v>4282.38</v>
          </cell>
        </row>
        <row r="204">
          <cell r="A204" t="str">
            <v>1.3.9.3</v>
          </cell>
          <cell r="B204">
            <v>36170</v>
          </cell>
          <cell r="C204" t="str">
            <v xml:space="preserve">BLOQUETE/PISO INTERTRAVADO DE CONCRETO - MODELO ONDA/16 FACES/RETANGULAR/TIJOLINHO/PAVER/HOLANDES/PARALELEPIPEDO, *22 CM X 11* CM, E = 8 CM, RESISTENCIA DE 35 MPA (NBR 9781), COR NATURAL                                                                                                                                                                                                                                                                                                                </v>
          </cell>
          <cell r="D204" t="str">
            <v xml:space="preserve">M2    </v>
          </cell>
          <cell r="E204">
            <v>1345.79</v>
          </cell>
          <cell r="F204">
            <v>49</v>
          </cell>
          <cell r="G204">
            <v>56.58</v>
          </cell>
          <cell r="H204">
            <v>76144.800000000003</v>
          </cell>
          <cell r="I204">
            <v>49</v>
          </cell>
          <cell r="J204">
            <v>53.93</v>
          </cell>
          <cell r="K204">
            <v>72578.45</v>
          </cell>
        </row>
        <row r="205">
          <cell r="A205" t="str">
            <v>1.3.9.4</v>
          </cell>
          <cell r="B205">
            <v>36154</v>
          </cell>
          <cell r="C205" t="str">
            <v xml:space="preserve">BLOQUETE/PISO INTERTRAVADO DE CONCRETO - MODELO ONDA/16 FACES/RETANGULAR/TIJOLINHO/PAVER/HOLANDES/PARALELEPIPEDO, 20 CM X 10 CM, E = 8 CM, RESISTENCIA DE 35 MPA (NBR 9781), COLORIDO                                                                                                                                                                                                                                                                                                                     </v>
          </cell>
          <cell r="D205" t="str">
            <v xml:space="preserve">M2    </v>
          </cell>
          <cell r="E205">
            <v>154.11000000000001</v>
          </cell>
          <cell r="F205">
            <v>53.92</v>
          </cell>
          <cell r="G205">
            <v>62.26</v>
          </cell>
          <cell r="H205">
            <v>9594.89</v>
          </cell>
          <cell r="I205">
            <v>53.92</v>
          </cell>
          <cell r="J205">
            <v>59.35</v>
          </cell>
          <cell r="K205">
            <v>9146.43</v>
          </cell>
        </row>
        <row r="206">
          <cell r="A206" t="str">
            <v>1.3.9.5</v>
          </cell>
          <cell r="B206">
            <v>1518</v>
          </cell>
          <cell r="C206" t="str">
            <v xml:space="preserve">CONCRETO BETUMINOSO USINADO A QUENTE (CBUQ) PARA PAVIMENTACAO ASFALTICA, PADRAO DNIT, FAIXA C, COM CAP 50/70 - AQUISICAO POSTO USINA                                                                                                                                                                                                                                                                                                                                                                      </v>
          </cell>
          <cell r="D206" t="str">
            <v xml:space="preserve">T     </v>
          </cell>
          <cell r="E206">
            <v>386.92</v>
          </cell>
          <cell r="F206">
            <v>522.5</v>
          </cell>
          <cell r="G206">
            <v>603.28</v>
          </cell>
          <cell r="H206">
            <v>233421.1</v>
          </cell>
          <cell r="I206">
            <v>522.5</v>
          </cell>
          <cell r="J206">
            <v>575.12</v>
          </cell>
          <cell r="K206">
            <v>222525.43</v>
          </cell>
        </row>
        <row r="207">
          <cell r="A207" t="str">
            <v>1.3.9.6</v>
          </cell>
          <cell r="B207" t="str">
            <v>INS-185032</v>
          </cell>
          <cell r="C207" t="str">
            <v>BRITA GRADUADA SIMPLES (BGS)</v>
          </cell>
          <cell r="D207" t="str">
            <v>M3</v>
          </cell>
          <cell r="E207">
            <v>924.35</v>
          </cell>
          <cell r="F207">
            <v>56.099999999999994</v>
          </cell>
          <cell r="G207">
            <v>64.77</v>
          </cell>
          <cell r="H207">
            <v>59870.15</v>
          </cell>
          <cell r="I207">
            <v>56.099999999999994</v>
          </cell>
          <cell r="J207">
            <v>61.75</v>
          </cell>
          <cell r="K207">
            <v>57078.61</v>
          </cell>
        </row>
        <row r="208">
          <cell r="A208" t="str">
            <v>1.3.9.7</v>
          </cell>
          <cell r="B208" t="str">
            <v>M0808</v>
          </cell>
          <cell r="C208" t="str">
            <v>Brita 4</v>
          </cell>
          <cell r="D208" t="str">
            <v>M3</v>
          </cell>
          <cell r="E208">
            <v>698.87</v>
          </cell>
          <cell r="F208">
            <v>90.74</v>
          </cell>
          <cell r="G208">
            <v>104.77</v>
          </cell>
          <cell r="H208">
            <v>73220.61</v>
          </cell>
          <cell r="I208">
            <v>90.74</v>
          </cell>
          <cell r="J208">
            <v>99.88</v>
          </cell>
          <cell r="K208">
            <v>69803.14</v>
          </cell>
        </row>
        <row r="209">
          <cell r="A209" t="str">
            <v>1.3.9.8</v>
          </cell>
          <cell r="B209" t="str">
            <v>M1135</v>
          </cell>
          <cell r="C209" t="str">
            <v>Pó de pedra</v>
          </cell>
          <cell r="D209" t="str">
            <v>M3</v>
          </cell>
          <cell r="E209">
            <v>77.650000000000006</v>
          </cell>
          <cell r="F209">
            <v>74.53</v>
          </cell>
          <cell r="G209">
            <v>86.05</v>
          </cell>
          <cell r="H209">
            <v>6681.78</v>
          </cell>
          <cell r="I209">
            <v>74.53</v>
          </cell>
          <cell r="J209">
            <v>82.04</v>
          </cell>
          <cell r="K209">
            <v>6370.41</v>
          </cell>
        </row>
        <row r="210">
          <cell r="A210" t="str">
            <v>1.3.9.9</v>
          </cell>
          <cell r="B210">
            <v>34492</v>
          </cell>
          <cell r="C210" t="str">
            <v xml:space="preserve">CONCRETO USINADO BOMBEAVEL, CLASSE DE RESISTENCIA C20, COM BRITA 0 E 1, SLUMP = 100 +/- 20 MM, EXCLUI SERVICO DE BOMBEAMENTO (NBR 8953)                                                                                                                                                                                                                                                                                                                                                                   </v>
          </cell>
          <cell r="D210" t="str">
            <v xml:space="preserve">M3    </v>
          </cell>
          <cell r="E210">
            <v>169.69</v>
          </cell>
          <cell r="F210">
            <v>422.5</v>
          </cell>
          <cell r="G210">
            <v>487.82</v>
          </cell>
          <cell r="H210">
            <v>82778.179999999993</v>
          </cell>
          <cell r="I210">
            <v>422.5</v>
          </cell>
          <cell r="J210">
            <v>465.05</v>
          </cell>
          <cell r="K210">
            <v>78914.33</v>
          </cell>
        </row>
        <row r="211">
          <cell r="A211" t="str">
            <v>1.3.9.10</v>
          </cell>
          <cell r="B211">
            <v>1345</v>
          </cell>
          <cell r="C211" t="str">
            <v xml:space="preserve">CHAPA/PAINEL DE MADEIRA COMPENSADA PLASTIFICADA (MADEIRITE PLASTIFICADO) PARA FORMA DE CONCRETO, DE 2200 x 1100 MM, E = *17* MM                                                                                                                                                                                                                                                                                                                                                                           </v>
          </cell>
          <cell r="D211" t="str">
            <v xml:space="preserve">M2    </v>
          </cell>
          <cell r="E211">
            <v>59.41</v>
          </cell>
          <cell r="F211">
            <v>94.4</v>
          </cell>
          <cell r="G211">
            <v>108.99</v>
          </cell>
          <cell r="H211">
            <v>6475.1</v>
          </cell>
          <cell r="I211">
            <v>94.4</v>
          </cell>
          <cell r="J211">
            <v>103.91</v>
          </cell>
          <cell r="K211">
            <v>6173.29</v>
          </cell>
        </row>
        <row r="212">
          <cell r="A212" t="str">
            <v>1.4</v>
          </cell>
          <cell r="B212"/>
          <cell r="C212" t="str">
            <v>RUA MARACANÃ - SOTAVE</v>
          </cell>
          <cell r="D212"/>
          <cell r="E212"/>
          <cell r="F212"/>
          <cell r="G212"/>
          <cell r="H212">
            <v>1034679.12</v>
          </cell>
          <cell r="I212"/>
          <cell r="J212"/>
          <cell r="K212">
            <v>1007912.41</v>
          </cell>
        </row>
        <row r="213">
          <cell r="A213" t="str">
            <v>1.4.1</v>
          </cell>
          <cell r="B213"/>
          <cell r="C213" t="str">
            <v>INSTALAÇÕES PROVISÓRIAS</v>
          </cell>
          <cell r="D213"/>
          <cell r="E213"/>
          <cell r="F213"/>
          <cell r="G213"/>
          <cell r="H213">
            <v>9846.1299999999992</v>
          </cell>
          <cell r="I213"/>
          <cell r="J213"/>
          <cell r="K213">
            <v>9429.0300000000007</v>
          </cell>
        </row>
        <row r="214">
          <cell r="A214" t="str">
            <v>1.4.1.1</v>
          </cell>
          <cell r="B214" t="str">
            <v>CP-74209/001-15055090</v>
          </cell>
          <cell r="C214" t="str">
            <v>PLACA DE OBRA EM CHAPA DE ACO GALVANIZADO</v>
          </cell>
          <cell r="D214" t="str">
            <v xml:space="preserve">M2    </v>
          </cell>
          <cell r="E214">
            <v>8</v>
          </cell>
          <cell r="F214">
            <v>558.35</v>
          </cell>
          <cell r="G214">
            <v>690.06</v>
          </cell>
          <cell r="H214">
            <v>5520.48</v>
          </cell>
          <cell r="I214">
            <v>564.99</v>
          </cell>
          <cell r="J214">
            <v>664.26</v>
          </cell>
          <cell r="K214">
            <v>5314.08</v>
          </cell>
        </row>
        <row r="215">
          <cell r="A215" t="str">
            <v>1.4.1.2</v>
          </cell>
          <cell r="B215" t="str">
            <v>COMP-07440249</v>
          </cell>
          <cell r="C215" t="str">
            <v>BANHEIRO QUÍMICO, COM LOCAÇÃO, TRANSPORTE E LIMPEZA</v>
          </cell>
          <cell r="D215" t="str">
            <v>MÊS</v>
          </cell>
          <cell r="E215">
            <v>5</v>
          </cell>
          <cell r="F215">
            <v>700</v>
          </cell>
          <cell r="G215">
            <v>865.13</v>
          </cell>
          <cell r="H215">
            <v>4325.6499999999996</v>
          </cell>
          <cell r="I215">
            <v>700</v>
          </cell>
          <cell r="J215">
            <v>822.99</v>
          </cell>
          <cell r="K215">
            <v>4114.95</v>
          </cell>
        </row>
        <row r="216">
          <cell r="A216" t="str">
            <v>1.4.2</v>
          </cell>
          <cell r="B216"/>
          <cell r="C216" t="str">
            <v>ADMINISTRAÇÃO LOCAL</v>
          </cell>
          <cell r="D216"/>
          <cell r="E216"/>
          <cell r="F216"/>
          <cell r="G216"/>
          <cell r="H216">
            <v>29274.15</v>
          </cell>
          <cell r="I216"/>
          <cell r="J216"/>
          <cell r="K216">
            <v>32068.46</v>
          </cell>
        </row>
        <row r="217">
          <cell r="A217" t="str">
            <v>1.4.2.1</v>
          </cell>
          <cell r="B217">
            <v>93565</v>
          </cell>
          <cell r="C217" t="str">
            <v>ENGENHEIRO CIVIL DE OBRA JUNIOR COM ENCARGOS COMPLEMENTARES</v>
          </cell>
          <cell r="D217" t="str">
            <v>MES</v>
          </cell>
          <cell r="E217">
            <v>0.63</v>
          </cell>
          <cell r="F217">
            <v>14549.96</v>
          </cell>
          <cell r="G217">
            <v>17982.3</v>
          </cell>
          <cell r="H217">
            <v>11328.85</v>
          </cell>
          <cell r="I217">
            <v>16819.14</v>
          </cell>
          <cell r="J217">
            <v>19774.259999999998</v>
          </cell>
          <cell r="K217">
            <v>12457.78</v>
          </cell>
        </row>
        <row r="218">
          <cell r="A218" t="str">
            <v>1.4.2.2</v>
          </cell>
          <cell r="B218">
            <v>93572</v>
          </cell>
          <cell r="C218" t="str">
            <v>ENCARREGADO GERAL DE OBRAS COM ENCARGOS COMPLEMENTARES</v>
          </cell>
          <cell r="D218" t="str">
            <v>MES</v>
          </cell>
          <cell r="E218">
            <v>2.5</v>
          </cell>
          <cell r="F218">
            <v>5808.01</v>
          </cell>
          <cell r="G218">
            <v>7178.12</v>
          </cell>
          <cell r="H218">
            <v>17945.3</v>
          </cell>
          <cell r="I218">
            <v>6672</v>
          </cell>
          <cell r="J218">
            <v>7844.27</v>
          </cell>
          <cell r="K218">
            <v>19610.68</v>
          </cell>
        </row>
        <row r="219">
          <cell r="A219" t="str">
            <v>1.4.3</v>
          </cell>
          <cell r="B219"/>
          <cell r="C219" t="str">
            <v>SERVIÇOS PRELIMINARES</v>
          </cell>
          <cell r="D219"/>
          <cell r="E219"/>
          <cell r="F219"/>
          <cell r="G219"/>
          <cell r="H219">
            <v>2463.8200000000002</v>
          </cell>
          <cell r="I219"/>
          <cell r="J219"/>
          <cell r="K219">
            <v>2593.17</v>
          </cell>
        </row>
        <row r="220">
          <cell r="A220" t="str">
            <v>1.4.3.1</v>
          </cell>
          <cell r="B220">
            <v>99064</v>
          </cell>
          <cell r="C220" t="str">
            <v>LOCAÇÃO DE PAVIMENTAÇÃO. AF_10/2018</v>
          </cell>
          <cell r="D220" t="str">
            <v>M</v>
          </cell>
          <cell r="E220">
            <v>524.27</v>
          </cell>
          <cell r="F220">
            <v>0.43</v>
          </cell>
          <cell r="G220">
            <v>0.53</v>
          </cell>
          <cell r="H220">
            <v>277.86</v>
          </cell>
          <cell r="I220">
            <v>0.49</v>
          </cell>
          <cell r="J220">
            <v>0.57999999999999996</v>
          </cell>
          <cell r="K220">
            <v>304.08</v>
          </cell>
        </row>
        <row r="221">
          <cell r="A221" t="str">
            <v>1.4.3.2</v>
          </cell>
          <cell r="B221" t="str">
            <v>COMP-17562084</v>
          </cell>
          <cell r="C221" t="str">
            <v>DEMOLIÇÃO MANUAL DE CONCRETO SIMPLES</v>
          </cell>
          <cell r="D221" t="str">
            <v>M3</v>
          </cell>
          <cell r="E221">
            <v>8.2100000000000009</v>
          </cell>
          <cell r="F221">
            <v>190.89</v>
          </cell>
          <cell r="G221">
            <v>235.92</v>
          </cell>
          <cell r="H221">
            <v>1936.9</v>
          </cell>
          <cell r="I221">
            <v>212.24</v>
          </cell>
          <cell r="J221">
            <v>249.53</v>
          </cell>
          <cell r="K221">
            <v>2048.64</v>
          </cell>
        </row>
        <row r="222">
          <cell r="A222" t="str">
            <v>1.4.3.3</v>
          </cell>
          <cell r="B222" t="str">
            <v>COMP-35145154</v>
          </cell>
          <cell r="C222" t="str">
            <v>CARGA E DESCARGA MECANICA DE SOLO UTILIZANDO CAMINHAO BASCULANTE 14,0M3/36T E PA CARREGADEIRA SOBRE PNEUS 128 HP, CAPACIDADE DA CAÇAMBA 1,7 A 2,8 M3, PESO OPERACIONAL 11632 KH</v>
          </cell>
          <cell r="D222" t="str">
            <v>M3</v>
          </cell>
          <cell r="E222">
            <v>10.26</v>
          </cell>
          <cell r="F222">
            <v>2.83</v>
          </cell>
          <cell r="G222">
            <v>3.5</v>
          </cell>
          <cell r="H222">
            <v>35.909999999999997</v>
          </cell>
          <cell r="I222">
            <v>2.9</v>
          </cell>
          <cell r="J222">
            <v>3.41</v>
          </cell>
          <cell r="K222">
            <v>34.99</v>
          </cell>
        </row>
        <row r="223">
          <cell r="A223" t="str">
            <v>1.4.3.4</v>
          </cell>
          <cell r="B223">
            <v>95876</v>
          </cell>
          <cell r="C223" t="str">
            <v>TRANSPORTE COM CAMINHÃO BASCULANTE DE 14 M³, EM VIA URBANA PAVIMENTADA, DMT ATÉ 30 KM (UNIDADE: M3XKM). AF_07/2020</v>
          </cell>
          <cell r="D223" t="str">
            <v>M3XKM</v>
          </cell>
          <cell r="E223">
            <v>76.95</v>
          </cell>
          <cell r="F223">
            <v>2.2400000000000002</v>
          </cell>
          <cell r="G223">
            <v>2.77</v>
          </cell>
          <cell r="H223">
            <v>213.15</v>
          </cell>
          <cell r="I223">
            <v>2.27</v>
          </cell>
          <cell r="J223">
            <v>2.67</v>
          </cell>
          <cell r="K223">
            <v>205.46</v>
          </cell>
        </row>
        <row r="224">
          <cell r="A224" t="str">
            <v>1.4.4</v>
          </cell>
          <cell r="B224"/>
          <cell r="C224" t="str">
            <v>TERRAPLENAGEM</v>
          </cell>
          <cell r="D224"/>
          <cell r="E224"/>
          <cell r="F224"/>
          <cell r="G224"/>
          <cell r="H224">
            <v>87823.71</v>
          </cell>
          <cell r="I224"/>
          <cell r="J224"/>
          <cell r="K224">
            <v>84837.95</v>
          </cell>
        </row>
        <row r="225">
          <cell r="A225" t="str">
            <v>1.4.4.1</v>
          </cell>
          <cell r="B225" t="str">
            <v>CP-74205/001-17324935</v>
          </cell>
          <cell r="C225" t="str">
            <v>ESCAVAÇÃO MECÂNICA DE MATERIAL 1A. CATEGORIA, PROVENIENTE DE CORTE DE SUBLEITO (C/TRATOR ESTEIRAS  160HP)</v>
          </cell>
          <cell r="D225" t="str">
            <v>M3</v>
          </cell>
          <cell r="E225">
            <v>2626.68</v>
          </cell>
          <cell r="F225">
            <v>2.54</v>
          </cell>
          <cell r="G225">
            <v>3.14</v>
          </cell>
          <cell r="H225">
            <v>8247.7800000000007</v>
          </cell>
          <cell r="I225">
            <v>2.59</v>
          </cell>
          <cell r="J225">
            <v>3.05</v>
          </cell>
          <cell r="K225">
            <v>8011.37</v>
          </cell>
        </row>
        <row r="226">
          <cell r="A226" t="str">
            <v>1.4.4.2</v>
          </cell>
          <cell r="B226" t="str">
            <v>COMP-35145154</v>
          </cell>
          <cell r="C226" t="str">
            <v>CARGA E DESCARGA MECANICA DE SOLO UTILIZANDO CAMINHAO BASCULANTE 14,0M3/36T E PA CARREGADEIRA SOBRE PNEUS 128 HP, CAPACIDADE DA CAÇAMBA 1,7 A 2,8 M3, PESO OPERACIONAL 11632 KH</v>
          </cell>
          <cell r="D226" t="str">
            <v>M3</v>
          </cell>
          <cell r="E226">
            <v>3272.73</v>
          </cell>
          <cell r="F226">
            <v>2.83</v>
          </cell>
          <cell r="G226">
            <v>3.5</v>
          </cell>
          <cell r="H226">
            <v>11454.56</v>
          </cell>
          <cell r="I226">
            <v>2.9</v>
          </cell>
          <cell r="J226">
            <v>3.41</v>
          </cell>
          <cell r="K226">
            <v>11160.01</v>
          </cell>
        </row>
        <row r="227">
          <cell r="A227" t="str">
            <v>1.4.4.3</v>
          </cell>
          <cell r="B227">
            <v>95876</v>
          </cell>
          <cell r="C227" t="str">
            <v>TRANSPORTE COM CAMINHÃO BASCULANTE DE 14 M³, EM VIA URBANA PAVIMENTADA, DMT ATÉ 30 KM (UNIDADE: M3XKM). AF_07/2020</v>
          </cell>
          <cell r="D227" t="str">
            <v>M3XKM</v>
          </cell>
          <cell r="E227">
            <v>24545.48</v>
          </cell>
          <cell r="F227">
            <v>2.2400000000000002</v>
          </cell>
          <cell r="G227">
            <v>2.77</v>
          </cell>
          <cell r="H227">
            <v>67990.98</v>
          </cell>
          <cell r="I227">
            <v>2.27</v>
          </cell>
          <cell r="J227">
            <v>2.67</v>
          </cell>
          <cell r="K227">
            <v>65536.429999999993</v>
          </cell>
        </row>
        <row r="228">
          <cell r="A228" t="str">
            <v>1.4.4.4</v>
          </cell>
          <cell r="B228">
            <v>96385</v>
          </cell>
          <cell r="C228" t="str">
            <v>EXECUÇÃO E COMPACTAÇÃO DE ATERRO COM SOLO PREDOMINANTEMENTE ARGILOSO - EXCLUSIVE SOLO, ESCAVAÇÃO, CARGA E TRANSPORTE. AF_11/2019</v>
          </cell>
          <cell r="D228" t="str">
            <v>M3</v>
          </cell>
          <cell r="E228">
            <v>8.5</v>
          </cell>
          <cell r="F228">
            <v>12.41</v>
          </cell>
          <cell r="G228">
            <v>15.34</v>
          </cell>
          <cell r="H228">
            <v>130.38999999999999</v>
          </cell>
          <cell r="I228">
            <v>13.02</v>
          </cell>
          <cell r="J228">
            <v>15.31</v>
          </cell>
          <cell r="K228">
            <v>130.13999999999999</v>
          </cell>
        </row>
        <row r="229">
          <cell r="A229" t="str">
            <v>1.4.5</v>
          </cell>
          <cell r="B229"/>
          <cell r="C229" t="str">
            <v>PAVIMENTAÇÃO</v>
          </cell>
          <cell r="D229"/>
          <cell r="E229"/>
          <cell r="F229"/>
          <cell r="G229"/>
          <cell r="H229">
            <v>235827.38</v>
          </cell>
          <cell r="I229"/>
          <cell r="J229"/>
          <cell r="K229">
            <v>234283.49</v>
          </cell>
        </row>
        <row r="230">
          <cell r="A230" t="str">
            <v>1.4.5.1</v>
          </cell>
          <cell r="B230">
            <v>100576</v>
          </cell>
          <cell r="C230" t="str">
            <v>REGULARIZAÇÃO E COMPACTAÇÃO DE SUBLEITO DE SOLO  PREDOMINANTEMENTE ARGILOSO. AF_11/2019</v>
          </cell>
          <cell r="D230" t="str">
            <v>M2</v>
          </cell>
          <cell r="E230">
            <v>4417.3999999999996</v>
          </cell>
          <cell r="F230">
            <v>2.64</v>
          </cell>
          <cell r="G230">
            <v>3.26</v>
          </cell>
          <cell r="H230">
            <v>14400.72</v>
          </cell>
          <cell r="I230">
            <v>2.79</v>
          </cell>
          <cell r="J230">
            <v>3.28</v>
          </cell>
          <cell r="K230">
            <v>14489.07</v>
          </cell>
        </row>
        <row r="231">
          <cell r="A231" t="str">
            <v>1.4.5.2</v>
          </cell>
          <cell r="B231" t="str">
            <v>COMP-28881239</v>
          </cell>
          <cell r="C231" t="str">
            <v>Base ou sub-base de macadame hidráulico com brita comercial - EXCLUSIVE MATERIAL, CARGA E TRANSPORTE - NÃO DESONERADO</v>
          </cell>
          <cell r="D231" t="str">
            <v>M3</v>
          </cell>
          <cell r="E231">
            <v>798.57</v>
          </cell>
          <cell r="F231">
            <v>11.24</v>
          </cell>
          <cell r="G231">
            <v>13.89</v>
          </cell>
          <cell r="H231">
            <v>11092.14</v>
          </cell>
          <cell r="I231">
            <v>11.4</v>
          </cell>
          <cell r="J231">
            <v>13.4</v>
          </cell>
          <cell r="K231">
            <v>10700.84</v>
          </cell>
        </row>
        <row r="232">
          <cell r="A232" t="str">
            <v>1.4.5.3</v>
          </cell>
          <cell r="B232" t="str">
            <v>CP-96396-26507981</v>
          </cell>
          <cell r="C232" t="str">
            <v>EXECUÇÃO E COMPACTAÇÃO DE BASE E OU SUB BASE PARA PAVIMENTAÇÃO DE BRITA GRADUADA SIMPLES - EXCLUSIVE MATERIAL, CARGA E TRANSPORTE</v>
          </cell>
          <cell r="D232" t="str">
            <v>M3</v>
          </cell>
          <cell r="E232">
            <v>798.57</v>
          </cell>
          <cell r="F232">
            <v>13.86</v>
          </cell>
          <cell r="G232">
            <v>17.13</v>
          </cell>
          <cell r="H232">
            <v>13679.5</v>
          </cell>
          <cell r="I232">
            <v>14.44</v>
          </cell>
          <cell r="J232">
            <v>16.98</v>
          </cell>
          <cell r="K232">
            <v>13559.72</v>
          </cell>
        </row>
        <row r="233">
          <cell r="A233" t="str">
            <v>1.4.5.4</v>
          </cell>
          <cell r="B233" t="str">
            <v>COMP-35145154</v>
          </cell>
          <cell r="C233" t="str">
            <v>CARGA E DESCARGA MECANICA DE SOLO UTILIZANDO CAMINHAO BASCULANTE 14,0M3/36T E PA CARREGADEIRA SOBRE PNEUS 128 HP, CAPACIDADE DA CAÇAMBA 1,7 A 2,8 M3, PESO OPERACIONAL 11632 KH</v>
          </cell>
          <cell r="D233" t="str">
            <v>M3</v>
          </cell>
          <cell r="E233">
            <v>1996.43</v>
          </cell>
          <cell r="F233">
            <v>2.83</v>
          </cell>
          <cell r="G233">
            <v>3.5</v>
          </cell>
          <cell r="H233">
            <v>6987.51</v>
          </cell>
          <cell r="I233">
            <v>2.9</v>
          </cell>
          <cell r="J233">
            <v>3.41</v>
          </cell>
          <cell r="K233">
            <v>6807.83</v>
          </cell>
        </row>
        <row r="234">
          <cell r="A234" t="str">
            <v>1.4.5.5</v>
          </cell>
          <cell r="B234" t="str">
            <v>COMP-83526730</v>
          </cell>
          <cell r="C234" t="str">
            <v>TRANSPORTE COMERCIAL DE BRITA</v>
          </cell>
          <cell r="D234" t="str">
            <v>M3XKM</v>
          </cell>
          <cell r="E234">
            <v>14773.58</v>
          </cell>
          <cell r="F234">
            <v>1.36</v>
          </cell>
          <cell r="G234">
            <v>1.68</v>
          </cell>
          <cell r="H234">
            <v>24819.61</v>
          </cell>
          <cell r="I234">
            <v>1.37</v>
          </cell>
          <cell r="J234">
            <v>1.61</v>
          </cell>
          <cell r="K234">
            <v>23785.46</v>
          </cell>
        </row>
        <row r="235">
          <cell r="A235" t="str">
            <v>1.4.5.6</v>
          </cell>
          <cell r="B235" t="str">
            <v>CP-92399-27762594</v>
          </cell>
          <cell r="C235" t="str">
            <v>EXECUÇÃO DE VIA EM PISO INTERTRAVADO, COM BLOCO RETANGULAR COR NATURAL/COLORIDO DE 20 X 10 CM, ESPESSURA 8 CM - (SEM O MATERIAL BLOQUETE/PISO INTERTRAVADO)</v>
          </cell>
          <cell r="D235" t="str">
            <v>M2</v>
          </cell>
          <cell r="E235">
            <v>3992.83</v>
          </cell>
          <cell r="F235">
            <v>19.170000000000002</v>
          </cell>
          <cell r="G235">
            <v>23.69</v>
          </cell>
          <cell r="H235">
            <v>94590.14</v>
          </cell>
          <cell r="I235">
            <v>20.41</v>
          </cell>
          <cell r="J235">
            <v>24</v>
          </cell>
          <cell r="K235">
            <v>95827.92</v>
          </cell>
        </row>
        <row r="236">
          <cell r="A236" t="str">
            <v>1.4.5.7</v>
          </cell>
          <cell r="B236">
            <v>94273</v>
          </cell>
          <cell r="C236" t="str">
            <v>ASSENTAMENTO DE GUIA (MEIO-FIO) EM TRECHO RETO, CONFECCIONADA EM CONCRETO PRÉ-FABRICADO, DIMENSÕES 100X15X13X30 CM (COMPRIMENTO X BASE INFERIOR X BASE SUPERIOR X ALTURA), PARA VIAS URBANAS (USO VIÁRIO). AF_06/2016</v>
          </cell>
          <cell r="D236" t="str">
            <v>M</v>
          </cell>
          <cell r="E236">
            <v>1041.01</v>
          </cell>
          <cell r="F236">
            <v>54.61</v>
          </cell>
          <cell r="G236">
            <v>67.489999999999995</v>
          </cell>
          <cell r="H236">
            <v>70257.759999999995</v>
          </cell>
          <cell r="I236">
            <v>56.47</v>
          </cell>
          <cell r="J236">
            <v>66.39</v>
          </cell>
          <cell r="K236">
            <v>69112.649999999994</v>
          </cell>
        </row>
        <row r="237">
          <cell r="A237" t="str">
            <v>1.4.6</v>
          </cell>
          <cell r="B237"/>
          <cell r="C237" t="str">
            <v>DRENAGEM</v>
          </cell>
          <cell r="D237"/>
          <cell r="E237"/>
          <cell r="F237"/>
          <cell r="G237"/>
          <cell r="H237">
            <v>225062.74</v>
          </cell>
          <cell r="I237"/>
          <cell r="J237"/>
          <cell r="K237">
            <v>221037.63</v>
          </cell>
        </row>
        <row r="238">
          <cell r="A238" t="str">
            <v>1.4.6.1</v>
          </cell>
          <cell r="B238">
            <v>93358</v>
          </cell>
          <cell r="C238" t="str">
            <v>ESCAVAÇÃO MANUAL DE VALA COM PROFUNDIDADE MENOR OU IGUAL A 1,30 M. AF_02/2021</v>
          </cell>
          <cell r="D238" t="str">
            <v>M3</v>
          </cell>
          <cell r="E238">
            <v>4.16</v>
          </cell>
          <cell r="F238">
            <v>70.53</v>
          </cell>
          <cell r="G238">
            <v>87.17</v>
          </cell>
          <cell r="H238">
            <v>362.63</v>
          </cell>
          <cell r="I238">
            <v>78.319999999999993</v>
          </cell>
          <cell r="J238">
            <v>92.08</v>
          </cell>
          <cell r="K238">
            <v>383.05</v>
          </cell>
        </row>
        <row r="239">
          <cell r="A239" t="str">
            <v>1.4.6.2</v>
          </cell>
          <cell r="B239">
            <v>90091</v>
          </cell>
          <cell r="C239" t="str">
            <v>ESCAVAÇÃO MECANIZADA DE VALA COM PROF. ATÉ 1,5 M (MÉDIA MONTANTE E JUSANTE/UMA COMPOSIÇÃO POR TRECHO), ESCAVADEIRA (0,8 M3), LARG. DE 1,5 M A 2,5 M, EM SOLO DE 1A CATEGORIA, LOCAIS COM BAIXO NÍVEL DE INTERFERÊNCIA. AF_02/2021</v>
          </cell>
          <cell r="D239" t="str">
            <v>M3</v>
          </cell>
          <cell r="E239">
            <v>37.32</v>
          </cell>
          <cell r="F239">
            <v>6.24</v>
          </cell>
          <cell r="G239">
            <v>7.71</v>
          </cell>
          <cell r="H239">
            <v>287.74</v>
          </cell>
          <cell r="I239">
            <v>6.48</v>
          </cell>
          <cell r="J239">
            <v>7.62</v>
          </cell>
          <cell r="K239">
            <v>284.38</v>
          </cell>
        </row>
        <row r="240">
          <cell r="A240" t="str">
            <v>1.4.6.3</v>
          </cell>
          <cell r="B240">
            <v>93367</v>
          </cell>
          <cell r="C240" t="str">
            <v>REATERRO MECANIZADO DE VALA COM ESCAVADEIRA HIDRÁULICA (CAPACIDADE DA CAÇAMBA: 0,8 M³ / POTÊNCIA: 111 HP), LARGURA DE 1,5 A 2,5 M, PROFUNDIDADE ATÉ 1,5 M, COM SOLO DE 1ª CATEGORIA EM LOCAIS COM BAIXO NÍVEL DE INTERFERÊNCIA. AF_04/2016</v>
          </cell>
          <cell r="D240" t="str">
            <v>M3</v>
          </cell>
          <cell r="E240">
            <v>12.79</v>
          </cell>
          <cell r="F240">
            <v>22.53</v>
          </cell>
          <cell r="G240">
            <v>27.84</v>
          </cell>
          <cell r="H240">
            <v>356.07</v>
          </cell>
          <cell r="I240">
            <v>23.75</v>
          </cell>
          <cell r="J240">
            <v>27.92</v>
          </cell>
          <cell r="K240">
            <v>357.1</v>
          </cell>
        </row>
        <row r="241">
          <cell r="A241" t="str">
            <v>1.4.6.4</v>
          </cell>
          <cell r="B241" t="str">
            <v>COMP-35145154</v>
          </cell>
          <cell r="C241" t="str">
            <v>CARGA E DESCARGA MECANICA DE SOLO UTILIZANDO CAMINHAO BASCULANTE 14,0M3/36T E PA CARREGADEIRA SOBRE PNEUS 128 HP, CAPACIDADE DA CAÇAMBA 1,7 A 2,8 M3, PESO OPERACIONAL 11632 KH</v>
          </cell>
          <cell r="D241" t="str">
            <v>M3</v>
          </cell>
          <cell r="E241">
            <v>30.66</v>
          </cell>
          <cell r="F241">
            <v>2.83</v>
          </cell>
          <cell r="G241">
            <v>3.5</v>
          </cell>
          <cell r="H241">
            <v>107.31</v>
          </cell>
          <cell r="I241">
            <v>2.9</v>
          </cell>
          <cell r="J241">
            <v>3.41</v>
          </cell>
          <cell r="K241">
            <v>104.55</v>
          </cell>
        </row>
        <row r="242">
          <cell r="A242" t="str">
            <v>1.4.6.5</v>
          </cell>
          <cell r="B242">
            <v>95876</v>
          </cell>
          <cell r="C242" t="str">
            <v>TRANSPORTE COM CAMINHÃO BASCULANTE DE 14 M³, EM VIA URBANA PAVIMENTADA, DMT ATÉ 30 KM (UNIDADE: M3XKM). AF_07/2020</v>
          </cell>
          <cell r="D242" t="str">
            <v>M3XKM</v>
          </cell>
          <cell r="E242">
            <v>229.95</v>
          </cell>
          <cell r="F242">
            <v>2.2400000000000002</v>
          </cell>
          <cell r="G242">
            <v>2.77</v>
          </cell>
          <cell r="H242">
            <v>636.96</v>
          </cell>
          <cell r="I242">
            <v>2.27</v>
          </cell>
          <cell r="J242">
            <v>2.67</v>
          </cell>
          <cell r="K242">
            <v>613.97</v>
          </cell>
        </row>
        <row r="243">
          <cell r="A243" t="str">
            <v>1.4.6.6</v>
          </cell>
          <cell r="B243">
            <v>94971</v>
          </cell>
          <cell r="C243" t="str">
            <v>CONCRETO FCK = 25MPA, TRAÇO 1:2,3:2,7 (EM MASSA SECA DE CIMENTO/ AREIA MÉDIA/ BRITA 1) - PREPARO MECÂNICO COM BETONEIRA 600 L. AF_05/2021</v>
          </cell>
          <cell r="D243" t="str">
            <v>M3</v>
          </cell>
          <cell r="E243">
            <v>58.88</v>
          </cell>
          <cell r="F243">
            <v>464.88</v>
          </cell>
          <cell r="G243">
            <v>574.54999999999995</v>
          </cell>
          <cell r="H243">
            <v>33829.5</v>
          </cell>
          <cell r="I243">
            <v>472.74</v>
          </cell>
          <cell r="J243">
            <v>555.79999999999995</v>
          </cell>
          <cell r="K243">
            <v>32725.5</v>
          </cell>
        </row>
        <row r="244">
          <cell r="A244" t="str">
            <v>1.4.6.7</v>
          </cell>
          <cell r="B244" t="str">
            <v>CP-S03639-45770834</v>
          </cell>
          <cell r="C244" t="str">
            <v>Fornecimento e instalação de tela aço soldada nervurada CA-60, Q-283, malha 10x10cm, ferro 6.02mm (4,48 kg/m2), painel 2,45x6,0m, Telcon ou similar</v>
          </cell>
          <cell r="D244" t="str">
            <v>M2</v>
          </cell>
          <cell r="E244">
            <v>52.02</v>
          </cell>
          <cell r="F244">
            <v>63.95</v>
          </cell>
          <cell r="G244">
            <v>79.040000000000006</v>
          </cell>
          <cell r="H244">
            <v>4111.66</v>
          </cell>
          <cell r="I244">
            <v>65.25</v>
          </cell>
          <cell r="J244">
            <v>76.709999999999994</v>
          </cell>
          <cell r="K244">
            <v>3990.45</v>
          </cell>
        </row>
        <row r="245">
          <cell r="A245" t="str">
            <v>1.4.6.8</v>
          </cell>
          <cell r="B245">
            <v>94974</v>
          </cell>
          <cell r="C245" t="str">
            <v>CONCRETO MAGRO PARA LASTRO, TRAÇO 1:4,5:4,5 (EM MASSA SECA DE CIMENTO/ AREIA MÉDIA/ BRITA 1) - PREPARO MANUAL. AF_05/2021</v>
          </cell>
          <cell r="D245" t="str">
            <v>M3</v>
          </cell>
          <cell r="E245">
            <v>45.06</v>
          </cell>
          <cell r="F245">
            <v>423.75</v>
          </cell>
          <cell r="G245">
            <v>523.71</v>
          </cell>
          <cell r="H245">
            <v>23598.37</v>
          </cell>
          <cell r="I245">
            <v>436.13</v>
          </cell>
          <cell r="J245">
            <v>512.76</v>
          </cell>
          <cell r="K245">
            <v>23104.97</v>
          </cell>
        </row>
        <row r="246">
          <cell r="A246" t="str">
            <v>1.4.6.9</v>
          </cell>
          <cell r="B246">
            <v>92771</v>
          </cell>
          <cell r="C246" t="str">
            <v>ARMAÇÃO DE LAJE DE ESTRUTURA CONVENCIONAL DE CONCRETO ARMADO UTILIZANDO AÇO CA-50 DE 10,0 MM - MONTAGEM. AF_06/2022</v>
          </cell>
          <cell r="D246" t="str">
            <v>KG</v>
          </cell>
          <cell r="E246">
            <v>3532.04</v>
          </cell>
          <cell r="F246">
            <v>15.04</v>
          </cell>
          <cell r="G246">
            <v>18.59</v>
          </cell>
          <cell r="H246">
            <v>65660.62</v>
          </cell>
          <cell r="I246">
            <v>15.14</v>
          </cell>
          <cell r="J246">
            <v>17.8</v>
          </cell>
          <cell r="K246">
            <v>62870.31</v>
          </cell>
        </row>
        <row r="247">
          <cell r="A247" t="str">
            <v>1.4.6.10</v>
          </cell>
          <cell r="B247" t="str">
            <v>CP-92268-29291149</v>
          </cell>
          <cell r="C247" t="str">
            <v>FABRICAÇÃO DE FÔRMA PARA LAJES, EM CHAPA DE MADEIRA COMPENSADA PLASTIFICADA, E = 18 MM - EXCLUINDO O PAINEL DE MADEIRA COMPENSADA PLASTIFICADA DE 2200 x 1100 MM, E = *17* MM</v>
          </cell>
          <cell r="D247" t="str">
            <v>M2</v>
          </cell>
          <cell r="E247">
            <v>246.73</v>
          </cell>
          <cell r="F247">
            <v>0.98</v>
          </cell>
          <cell r="G247">
            <v>1.21</v>
          </cell>
          <cell r="H247">
            <v>298.54000000000002</v>
          </cell>
          <cell r="I247">
            <v>1.1000000000000001</v>
          </cell>
          <cell r="J247">
            <v>1.29</v>
          </cell>
          <cell r="K247">
            <v>318.27999999999997</v>
          </cell>
        </row>
        <row r="248">
          <cell r="A248" t="str">
            <v>1.4.6.11</v>
          </cell>
          <cell r="B248">
            <v>103320</v>
          </cell>
          <cell r="C248" t="str">
            <v>ALVENARIA DE VEDAÇÃO DE BLOCOS VAZADOS DE CONCRETO DE 19X19X39 CM (ESPESSURA 19 CM) E ARGAMASSA DE ASSENTAMENTO COM PREPARO EM BETONEIRA. AF_12/2021</v>
          </cell>
          <cell r="D248" t="str">
            <v>M2</v>
          </cell>
          <cell r="E248">
            <v>345.01</v>
          </cell>
          <cell r="F248">
            <v>101.36</v>
          </cell>
          <cell r="G248">
            <v>125.27</v>
          </cell>
          <cell r="H248">
            <v>43219.4</v>
          </cell>
          <cell r="I248">
            <v>105.62</v>
          </cell>
          <cell r="J248">
            <v>124.18</v>
          </cell>
          <cell r="K248">
            <v>42843.34</v>
          </cell>
        </row>
        <row r="249">
          <cell r="A249" t="str">
            <v>1.4.6.12</v>
          </cell>
          <cell r="B249">
            <v>87879</v>
          </cell>
          <cell r="C249" t="str">
            <v>CHAPISCO APLICADO EM ALVENARIAS E ESTRUTURAS DE CONCRETO INTERNAS, COM COLHER DE PEDREIRO.  ARGAMASSA TRAÇO 1:3 COM PREPARO EM BETONEIRA 400L. AF_06/2014</v>
          </cell>
          <cell r="D249" t="str">
            <v>M2</v>
          </cell>
          <cell r="E249">
            <v>345.01</v>
          </cell>
          <cell r="F249">
            <v>3.85</v>
          </cell>
          <cell r="G249">
            <v>4.76</v>
          </cell>
          <cell r="H249">
            <v>1642.25</v>
          </cell>
          <cell r="I249">
            <v>4.0999999999999996</v>
          </cell>
          <cell r="J249">
            <v>4.82</v>
          </cell>
          <cell r="K249">
            <v>1662.95</v>
          </cell>
        </row>
        <row r="250">
          <cell r="A250" t="str">
            <v>1.4.6.13</v>
          </cell>
          <cell r="B250">
            <v>87547</v>
          </cell>
          <cell r="C250" t="str">
            <v>MASSA ÚNICA, PARA RECEBIMENTO DE PINTURA, EM ARGAMASSA TRAÇO 1:2:8, PREPARO MECÂNICO COM BETONEIRA 400L, APLICADA MANUALMENTE EM FACES INTERNAS DE PAREDES, ESPESSURA DE 10MM, COM EXECUÇÃO DE TALISCAS. AF_06/2014</v>
          </cell>
          <cell r="D250" t="str">
            <v>M2</v>
          </cell>
          <cell r="E250">
            <v>345.01</v>
          </cell>
          <cell r="F250">
            <v>23.35</v>
          </cell>
          <cell r="G250">
            <v>28.86</v>
          </cell>
          <cell r="H250">
            <v>9956.99</v>
          </cell>
          <cell r="I250">
            <v>24.83</v>
          </cell>
          <cell r="J250">
            <v>29.19</v>
          </cell>
          <cell r="K250">
            <v>10070.84</v>
          </cell>
        </row>
        <row r="251">
          <cell r="A251" t="str">
            <v>1.4.6.14</v>
          </cell>
          <cell r="B251">
            <v>94975</v>
          </cell>
          <cell r="C251" t="str">
            <v>CONCRETO FCK = 15MPA, TRAÇO 1:3,4:3,5 (EM MASSA SECA DE CIMENTO/ AREIA MÉDIA/ BRITA 1) - PREPARO MANUAL. AF_05/2021</v>
          </cell>
          <cell r="D251" t="str">
            <v>M3</v>
          </cell>
          <cell r="E251">
            <v>36.69</v>
          </cell>
          <cell r="F251">
            <v>457.19</v>
          </cell>
          <cell r="G251">
            <v>565.04</v>
          </cell>
          <cell r="H251">
            <v>20731.32</v>
          </cell>
          <cell r="I251">
            <v>469.42</v>
          </cell>
          <cell r="J251">
            <v>551.9</v>
          </cell>
          <cell r="K251">
            <v>20249.21</v>
          </cell>
        </row>
        <row r="252">
          <cell r="A252" t="str">
            <v>1.4.6.15</v>
          </cell>
          <cell r="B252" t="str">
            <v>CP-74157/004-48264518</v>
          </cell>
          <cell r="C252" t="str">
            <v>LANCAMENTO/APLICACAO MANUAL DE CONCRETO EM FUNDACOES (concreto magro)</v>
          </cell>
          <cell r="D252" t="str">
            <v>M3</v>
          </cell>
          <cell r="E252">
            <v>140.63</v>
          </cell>
          <cell r="F252">
            <v>116.59</v>
          </cell>
          <cell r="G252">
            <v>144.09</v>
          </cell>
          <cell r="H252">
            <v>20263.38</v>
          </cell>
          <cell r="I252">
            <v>129.79</v>
          </cell>
          <cell r="J252">
            <v>152.59</v>
          </cell>
          <cell r="K252">
            <v>21458.73</v>
          </cell>
        </row>
        <row r="253">
          <cell r="A253" t="str">
            <v>1.4.7</v>
          </cell>
          <cell r="B253"/>
          <cell r="C253" t="str">
            <v>SINALIZAÇÃO</v>
          </cell>
          <cell r="D253"/>
          <cell r="E253"/>
          <cell r="F253"/>
          <cell r="G253"/>
          <cell r="H253">
            <v>4598.62</v>
          </cell>
          <cell r="I253"/>
          <cell r="J253"/>
          <cell r="K253">
            <v>4432.12</v>
          </cell>
        </row>
        <row r="254">
          <cell r="A254" t="str">
            <v>1.4.7.1</v>
          </cell>
          <cell r="B254">
            <v>5213421</v>
          </cell>
          <cell r="C254" t="str">
            <v>Confecção de placa em aço nº 16 galvanizado, com película tipo I + IV</v>
          </cell>
          <cell r="D254" t="str">
            <v xml:space="preserve">M2    </v>
          </cell>
          <cell r="E254">
            <v>5.4</v>
          </cell>
          <cell r="F254">
            <v>343.8</v>
          </cell>
          <cell r="G254">
            <v>424.9</v>
          </cell>
          <cell r="H254">
            <v>2294.46</v>
          </cell>
          <cell r="I254">
            <v>347.25</v>
          </cell>
          <cell r="J254">
            <v>408.26</v>
          </cell>
          <cell r="K254">
            <v>2204.6</v>
          </cell>
        </row>
        <row r="255">
          <cell r="A255" t="str">
            <v>1.4.7.2</v>
          </cell>
          <cell r="B255">
            <v>5216111</v>
          </cell>
          <cell r="C255" t="str">
            <v>FORNECIMENTO E IMPLANTAÇÃO DE SUPORTE E TRAVESSA PARA PLACA DE SINALIZAÇÃO EM MADEIRA DE LEI TRATADA 8 X 8 CM</v>
          </cell>
          <cell r="D255" t="str">
            <v>UND</v>
          </cell>
          <cell r="E255">
            <v>12</v>
          </cell>
          <cell r="F255">
            <v>119.1379</v>
          </cell>
          <cell r="G255">
            <v>147.24</v>
          </cell>
          <cell r="H255">
            <v>1766.88</v>
          </cell>
          <cell r="I255">
            <v>121.48</v>
          </cell>
          <cell r="J255">
            <v>142.82</v>
          </cell>
          <cell r="K255">
            <v>1713.84</v>
          </cell>
        </row>
        <row r="256">
          <cell r="A256" t="str">
            <v>1.4.7.3</v>
          </cell>
          <cell r="B256" t="str">
            <v>COMP-58084869</v>
          </cell>
          <cell r="C256" t="str">
            <v>PLACA ESMALTADA PARA IDENTIFICAÇÃO NR DE RUA, DIMENSÕES 45X25CM</v>
          </cell>
          <cell r="D256" t="str">
            <v>UND</v>
          </cell>
          <cell r="E256">
            <v>2</v>
          </cell>
          <cell r="F256">
            <v>155.54</v>
          </cell>
          <cell r="G256">
            <v>192.23</v>
          </cell>
          <cell r="H256">
            <v>384.46</v>
          </cell>
          <cell r="I256">
            <v>156.33000000000001</v>
          </cell>
          <cell r="J256">
            <v>183.8</v>
          </cell>
          <cell r="K256">
            <v>367.6</v>
          </cell>
        </row>
        <row r="257">
          <cell r="A257" t="str">
            <v>1.4.7.4</v>
          </cell>
          <cell r="B257" t="str">
            <v>CP-72947-21572945</v>
          </cell>
          <cell r="C257" t="str">
            <v>SINALIZACAO HORIZONTAL COM TINTA RETRORREFLETIVA A BASE DE RESINA ACRILICA COM MICROESFERAS DE VIDRO</v>
          </cell>
          <cell r="D257" t="str">
            <v>M2</v>
          </cell>
          <cell r="E257">
            <v>6.12</v>
          </cell>
          <cell r="F257">
            <v>20.2</v>
          </cell>
          <cell r="G257">
            <v>24.97</v>
          </cell>
          <cell r="H257">
            <v>152.82</v>
          </cell>
          <cell r="I257">
            <v>20.3</v>
          </cell>
          <cell r="J257">
            <v>23.87</v>
          </cell>
          <cell r="K257">
            <v>146.08000000000001</v>
          </cell>
        </row>
        <row r="258">
          <cell r="A258" t="str">
            <v>1.4.8</v>
          </cell>
          <cell r="B258"/>
          <cell r="C258" t="str">
            <v>MATERIAIS</v>
          </cell>
          <cell r="D258"/>
          <cell r="E258"/>
          <cell r="F258"/>
          <cell r="G258"/>
          <cell r="H258">
            <v>439782.57</v>
          </cell>
          <cell r="I258"/>
          <cell r="J258"/>
          <cell r="K258">
            <v>419230.56</v>
          </cell>
        </row>
        <row r="259">
          <cell r="A259" t="str">
            <v>1.4.8.1</v>
          </cell>
          <cell r="B259">
            <v>10775</v>
          </cell>
          <cell r="C259" t="str">
            <v xml:space="preserve">LOCACAO DE CONTAINER 2,30 X 6,00 M, ALT. 2,50 M, COM 1 SANITARIO, PARA ESCRITORIO, COMPLETO, SEM DIVISORIAS INTERNAS (NAO INCLUI MOBILIZACAO/DESMOBILIZACAO)                                                                                                                                                                                                                                                                                                                                              </v>
          </cell>
          <cell r="D259" t="str">
            <v xml:space="preserve">MES   </v>
          </cell>
          <cell r="E259">
            <v>5</v>
          </cell>
          <cell r="F259">
            <v>830</v>
          </cell>
          <cell r="G259">
            <v>958.32</v>
          </cell>
          <cell r="H259">
            <v>4791.6000000000004</v>
          </cell>
          <cell r="I259">
            <v>830</v>
          </cell>
          <cell r="J259">
            <v>913.58</v>
          </cell>
          <cell r="K259">
            <v>4567.8999999999996</v>
          </cell>
        </row>
        <row r="260">
          <cell r="A260" t="str">
            <v>1.4.8.2</v>
          </cell>
          <cell r="B260">
            <v>10776</v>
          </cell>
          <cell r="C260" t="str">
            <v xml:space="preserve">LOCACAO DE CONTAINER 2,30 X 6,00 M, ALT. 2,50 M, PARA ESCRITORIO, SEM DIVISORIAS INTERNAS E SEM SANITARIO (NAO INCLUI MOBILIZACAO/DESMOBILIZACAO)                                                                                                                                                                                                                                                                                                                                                         </v>
          </cell>
          <cell r="D260" t="str">
            <v xml:space="preserve">MES   </v>
          </cell>
          <cell r="E260">
            <v>5</v>
          </cell>
          <cell r="F260">
            <v>648.42999999999995</v>
          </cell>
          <cell r="G260">
            <v>748.68</v>
          </cell>
          <cell r="H260">
            <v>3743.4</v>
          </cell>
          <cell r="I260">
            <v>648.42999999999995</v>
          </cell>
          <cell r="J260">
            <v>713.73</v>
          </cell>
          <cell r="K260">
            <v>3568.65</v>
          </cell>
        </row>
        <row r="261">
          <cell r="A261" t="str">
            <v>1.4.8.3</v>
          </cell>
          <cell r="B261">
            <v>36170</v>
          </cell>
          <cell r="C261" t="str">
            <v xml:space="preserve">BLOQUETE/PISO INTERTRAVADO DE CONCRETO - MODELO ONDA/16 FACES/RETANGULAR/TIJOLINHO/PAVER/HOLANDES/PARALELEPIPEDO, *22 CM X 11* CM, E = 8 CM, RESISTENCIA DE 35 MPA (NBR 9781), COR NATURAL                                                                                                                                                                                                                                                                                                                </v>
          </cell>
          <cell r="D261" t="str">
            <v xml:space="preserve">M2    </v>
          </cell>
          <cell r="E261">
            <v>2746.87</v>
          </cell>
          <cell r="F261">
            <v>49</v>
          </cell>
          <cell r="G261">
            <v>56.58</v>
          </cell>
          <cell r="H261">
            <v>155417.9</v>
          </cell>
          <cell r="I261">
            <v>49</v>
          </cell>
          <cell r="J261">
            <v>53.93</v>
          </cell>
          <cell r="K261">
            <v>148138.70000000001</v>
          </cell>
        </row>
        <row r="262">
          <cell r="A262" t="str">
            <v>1.4.8.4</v>
          </cell>
          <cell r="B262">
            <v>36154</v>
          </cell>
          <cell r="C262" t="str">
            <v xml:space="preserve">BLOQUETE/PISO INTERTRAVADO DE CONCRETO - MODELO ONDA/16 FACES/RETANGULAR/TIJOLINHO/PAVER/HOLANDES/PARALELEPIPEDO, 20 CM X 10 CM, E = 8 CM, RESISTENCIA DE 35 MPA (NBR 9781), COLORIDO                                                                                                                                                                                                                                                                                                                     </v>
          </cell>
          <cell r="D262" t="str">
            <v xml:space="preserve">M2    </v>
          </cell>
          <cell r="E262">
            <v>1298.27</v>
          </cell>
          <cell r="F262">
            <v>53.92</v>
          </cell>
          <cell r="G262">
            <v>62.26</v>
          </cell>
          <cell r="H262">
            <v>80830.289999999994</v>
          </cell>
          <cell r="I262">
            <v>53.92</v>
          </cell>
          <cell r="J262">
            <v>59.35</v>
          </cell>
          <cell r="K262">
            <v>77052.320000000007</v>
          </cell>
        </row>
        <row r="263">
          <cell r="A263" t="str">
            <v>1.4.8.5</v>
          </cell>
          <cell r="B263" t="str">
            <v>INS-185032</v>
          </cell>
          <cell r="C263" t="str">
            <v>BRITA GRADUADA SIMPLES (BGS)</v>
          </cell>
          <cell r="D263" t="str">
            <v>M3</v>
          </cell>
          <cell r="E263">
            <v>798.57</v>
          </cell>
          <cell r="F263">
            <v>56.099999999999994</v>
          </cell>
          <cell r="G263">
            <v>64.77</v>
          </cell>
          <cell r="H263">
            <v>51723.38</v>
          </cell>
          <cell r="I263">
            <v>56.099999999999994</v>
          </cell>
          <cell r="J263">
            <v>61.75</v>
          </cell>
          <cell r="K263">
            <v>49311.7</v>
          </cell>
        </row>
        <row r="264">
          <cell r="A264" t="str">
            <v>1.4.8.6</v>
          </cell>
          <cell r="B264" t="str">
            <v>M0808</v>
          </cell>
          <cell r="C264" t="str">
            <v>Brita 4</v>
          </cell>
          <cell r="D264" t="str">
            <v>M3</v>
          </cell>
          <cell r="E264">
            <v>1006.2</v>
          </cell>
          <cell r="F264">
            <v>90.74</v>
          </cell>
          <cell r="G264">
            <v>104.77</v>
          </cell>
          <cell r="H264">
            <v>105419.57</v>
          </cell>
          <cell r="I264">
            <v>90.74</v>
          </cell>
          <cell r="J264">
            <v>99.88</v>
          </cell>
          <cell r="K264">
            <v>100499.26</v>
          </cell>
        </row>
        <row r="265">
          <cell r="A265" t="str">
            <v>1.4.8.7</v>
          </cell>
          <cell r="B265" t="str">
            <v>M1135</v>
          </cell>
          <cell r="C265" t="str">
            <v>Pó de pedra</v>
          </cell>
          <cell r="D265" t="str">
            <v>M3</v>
          </cell>
          <cell r="E265">
            <v>111.8</v>
          </cell>
          <cell r="F265">
            <v>74.53</v>
          </cell>
          <cell r="G265">
            <v>86.05</v>
          </cell>
          <cell r="H265">
            <v>9620.39</v>
          </cell>
          <cell r="I265">
            <v>74.53</v>
          </cell>
          <cell r="J265">
            <v>82.04</v>
          </cell>
          <cell r="K265">
            <v>9172.07</v>
          </cell>
        </row>
        <row r="266">
          <cell r="A266" t="str">
            <v>1.4.8.8</v>
          </cell>
          <cell r="B266">
            <v>1345</v>
          </cell>
          <cell r="C266" t="str">
            <v xml:space="preserve">CHAPA/PAINEL DE MADEIRA COMPENSADA PLASTIFICADA (MADEIRITE PLASTIFICADO) PARA FORMA DE CONCRETO, DE 2200 x 1100 MM, E = *17* MM                                                                                                                                                                                                                                                                                                                                                                           </v>
          </cell>
          <cell r="D266" t="str">
            <v xml:space="preserve">M2    </v>
          </cell>
          <cell r="E266">
            <v>259.07</v>
          </cell>
          <cell r="F266">
            <v>94.4</v>
          </cell>
          <cell r="G266">
            <v>108.99</v>
          </cell>
          <cell r="H266">
            <v>28236.04</v>
          </cell>
          <cell r="I266">
            <v>94.4</v>
          </cell>
          <cell r="J266">
            <v>103.91</v>
          </cell>
          <cell r="K266">
            <v>26919.96</v>
          </cell>
        </row>
        <row r="267">
          <cell r="A267" t="str">
            <v>1.5</v>
          </cell>
          <cell r="B267"/>
          <cell r="C267" t="str">
            <v>RUA MARANDANE - SOTAVE</v>
          </cell>
          <cell r="D267"/>
          <cell r="E267"/>
          <cell r="F267"/>
          <cell r="G267"/>
          <cell r="H267">
            <v>351567.51</v>
          </cell>
          <cell r="I267"/>
          <cell r="J267"/>
          <cell r="K267">
            <v>342941.99</v>
          </cell>
        </row>
        <row r="268">
          <cell r="A268" t="str">
            <v>1.5.1</v>
          </cell>
          <cell r="B268"/>
          <cell r="C268" t="str">
            <v>INSTALAÇÕES PROVISÓRIAS</v>
          </cell>
          <cell r="D268"/>
          <cell r="E268"/>
          <cell r="F268"/>
          <cell r="G268"/>
          <cell r="H268">
            <v>8115.87</v>
          </cell>
          <cell r="I268"/>
          <cell r="J268"/>
          <cell r="K268">
            <v>7783.05</v>
          </cell>
        </row>
        <row r="269">
          <cell r="A269" t="str">
            <v>1.5.1.1</v>
          </cell>
          <cell r="B269" t="str">
            <v>CP-74209/001-15055090</v>
          </cell>
          <cell r="C269" t="str">
            <v>PLACA DE OBRA EM CHAPA DE ACO GALVANIZADO</v>
          </cell>
          <cell r="D269" t="str">
            <v xml:space="preserve">M2    </v>
          </cell>
          <cell r="E269">
            <v>8</v>
          </cell>
          <cell r="F269">
            <v>558.35</v>
          </cell>
          <cell r="G269">
            <v>690.06</v>
          </cell>
          <cell r="H269">
            <v>5520.48</v>
          </cell>
          <cell r="I269">
            <v>564.99</v>
          </cell>
          <cell r="J269">
            <v>664.26</v>
          </cell>
          <cell r="K269">
            <v>5314.08</v>
          </cell>
        </row>
        <row r="270">
          <cell r="A270" t="str">
            <v>1.5.1.2</v>
          </cell>
          <cell r="B270" t="str">
            <v>COMP-07440249</v>
          </cell>
          <cell r="C270" t="str">
            <v>BANHEIRO QUÍMICO, COM LOCAÇÃO, TRANSPORTE E LIMPEZA</v>
          </cell>
          <cell r="D270" t="str">
            <v>MÊS</v>
          </cell>
          <cell r="E270">
            <v>3</v>
          </cell>
          <cell r="F270">
            <v>700</v>
          </cell>
          <cell r="G270">
            <v>865.13</v>
          </cell>
          <cell r="H270">
            <v>2595.39</v>
          </cell>
          <cell r="I270">
            <v>700</v>
          </cell>
          <cell r="J270">
            <v>822.99</v>
          </cell>
          <cell r="K270">
            <v>2468.9699999999998</v>
          </cell>
        </row>
        <row r="271">
          <cell r="A271" t="str">
            <v>1.5.2</v>
          </cell>
          <cell r="B271"/>
          <cell r="C271" t="str">
            <v>ADMINISTRAÇÃO LOCAL</v>
          </cell>
          <cell r="D271"/>
          <cell r="E271"/>
          <cell r="F271"/>
          <cell r="G271"/>
          <cell r="H271">
            <v>14944.55</v>
          </cell>
          <cell r="I271"/>
          <cell r="J271"/>
          <cell r="K271">
            <v>16378.25</v>
          </cell>
        </row>
        <row r="272">
          <cell r="A272" t="str">
            <v>1.5.2.1</v>
          </cell>
          <cell r="B272">
            <v>93565</v>
          </cell>
          <cell r="C272" t="str">
            <v>ENGENHEIRO CIVIL DE OBRA JUNIOR COM ENCARGOS COMPLEMENTARES</v>
          </cell>
          <cell r="D272" t="str">
            <v>MES</v>
          </cell>
          <cell r="E272">
            <v>0.38</v>
          </cell>
          <cell r="F272">
            <v>14549.96</v>
          </cell>
          <cell r="G272">
            <v>17982.3</v>
          </cell>
          <cell r="H272">
            <v>6833.27</v>
          </cell>
          <cell r="I272">
            <v>16819.14</v>
          </cell>
          <cell r="J272">
            <v>19774.259999999998</v>
          </cell>
          <cell r="K272">
            <v>7514.22</v>
          </cell>
        </row>
        <row r="273">
          <cell r="A273" t="str">
            <v>1.5.2.2</v>
          </cell>
          <cell r="B273">
            <v>93572</v>
          </cell>
          <cell r="C273" t="str">
            <v>ENCARREGADO GERAL DE OBRAS COM ENCARGOS COMPLEMENTARES</v>
          </cell>
          <cell r="D273" t="str">
            <v>MES</v>
          </cell>
          <cell r="E273">
            <v>1.1299999999999999</v>
          </cell>
          <cell r="F273">
            <v>5808.01</v>
          </cell>
          <cell r="G273">
            <v>7178.12</v>
          </cell>
          <cell r="H273">
            <v>8111.28</v>
          </cell>
          <cell r="I273">
            <v>6672</v>
          </cell>
          <cell r="J273">
            <v>7844.27</v>
          </cell>
          <cell r="K273">
            <v>8864.0300000000007</v>
          </cell>
        </row>
        <row r="274">
          <cell r="A274" t="str">
            <v>1.5.3</v>
          </cell>
          <cell r="B274"/>
          <cell r="C274" t="str">
            <v>SERVIÇOS PRELIMINARES</v>
          </cell>
          <cell r="D274"/>
          <cell r="E274"/>
          <cell r="F274"/>
          <cell r="G274"/>
          <cell r="H274">
            <v>4964.75</v>
          </cell>
          <cell r="I274"/>
          <cell r="J274"/>
          <cell r="K274">
            <v>5203.0200000000004</v>
          </cell>
        </row>
        <row r="275">
          <cell r="A275" t="str">
            <v>1.5.3.1</v>
          </cell>
          <cell r="B275">
            <v>99064</v>
          </cell>
          <cell r="C275" t="str">
            <v>LOCAÇÃO DE PAVIMENTAÇÃO. AF_10/2018</v>
          </cell>
          <cell r="D275" t="str">
            <v>M</v>
          </cell>
          <cell r="E275">
            <v>246.96</v>
          </cell>
          <cell r="F275">
            <v>0.43</v>
          </cell>
          <cell r="G275">
            <v>0.53</v>
          </cell>
          <cell r="H275">
            <v>130.88999999999999</v>
          </cell>
          <cell r="I275">
            <v>0.49</v>
          </cell>
          <cell r="J275">
            <v>0.57999999999999996</v>
          </cell>
          <cell r="K275">
            <v>143.24</v>
          </cell>
        </row>
        <row r="276">
          <cell r="A276" t="str">
            <v>1.5.3.2</v>
          </cell>
          <cell r="B276" t="str">
            <v>COMP-17562084</v>
          </cell>
          <cell r="C276" t="str">
            <v>DEMOLIÇÃO MANUAL DE CONCRETO SIMPLES</v>
          </cell>
          <cell r="D276" t="str">
            <v>M3</v>
          </cell>
          <cell r="E276">
            <v>18.059999999999999</v>
          </cell>
          <cell r="F276">
            <v>190.89</v>
          </cell>
          <cell r="G276">
            <v>235.92</v>
          </cell>
          <cell r="H276">
            <v>4260.72</v>
          </cell>
          <cell r="I276">
            <v>212.24</v>
          </cell>
          <cell r="J276">
            <v>249.53</v>
          </cell>
          <cell r="K276">
            <v>4506.51</v>
          </cell>
        </row>
        <row r="277">
          <cell r="A277" t="str">
            <v>1.5.3.3</v>
          </cell>
          <cell r="B277" t="str">
            <v>COMP-35145154</v>
          </cell>
          <cell r="C277" t="str">
            <v>CARGA E DESCARGA MECANICA DE SOLO UTILIZANDO CAMINHAO BASCULANTE 14,0M3/36T E PA CARREGADEIRA SOBRE PNEUS 128 HP, CAPACIDADE DA CAÇAMBA 1,7 A 2,8 M3, PESO OPERACIONAL 11632 KH</v>
          </cell>
          <cell r="D277" t="str">
            <v>M3</v>
          </cell>
          <cell r="E277">
            <v>22.58</v>
          </cell>
          <cell r="F277">
            <v>2.83</v>
          </cell>
          <cell r="G277">
            <v>3.5</v>
          </cell>
          <cell r="H277">
            <v>79.03</v>
          </cell>
          <cell r="I277">
            <v>2.9</v>
          </cell>
          <cell r="J277">
            <v>3.41</v>
          </cell>
          <cell r="K277">
            <v>77</v>
          </cell>
        </row>
        <row r="278">
          <cell r="A278" t="str">
            <v>1.5.3.4</v>
          </cell>
          <cell r="B278">
            <v>95876</v>
          </cell>
          <cell r="C278" t="str">
            <v>TRANSPORTE COM CAMINHÃO BASCULANTE DE 14 M³, EM VIA URBANA PAVIMENTADA, DMT ATÉ 30 KM (UNIDADE: M3XKM). AF_07/2020</v>
          </cell>
          <cell r="D278" t="str">
            <v>M3XKM</v>
          </cell>
          <cell r="E278">
            <v>178.38</v>
          </cell>
          <cell r="F278">
            <v>2.2400000000000002</v>
          </cell>
          <cell r="G278">
            <v>2.77</v>
          </cell>
          <cell r="H278">
            <v>494.11</v>
          </cell>
          <cell r="I278">
            <v>2.27</v>
          </cell>
          <cell r="J278">
            <v>2.67</v>
          </cell>
          <cell r="K278">
            <v>476.27</v>
          </cell>
        </row>
        <row r="279">
          <cell r="A279" t="str">
            <v>1.5.4</v>
          </cell>
          <cell r="B279"/>
          <cell r="C279" t="str">
            <v>TERRAPLENAGEM</v>
          </cell>
          <cell r="D279"/>
          <cell r="E279"/>
          <cell r="F279"/>
          <cell r="G279"/>
          <cell r="H279">
            <v>20344.830000000002</v>
          </cell>
          <cell r="I279"/>
          <cell r="J279"/>
          <cell r="K279">
            <v>19653</v>
          </cell>
        </row>
        <row r="280">
          <cell r="A280" t="str">
            <v>1.5.4.1</v>
          </cell>
          <cell r="B280" t="str">
            <v>CP-74205/001-17324935</v>
          </cell>
          <cell r="C280" t="str">
            <v>ESCAVAÇÃO MECÂNICA DE MATERIAL 1A. CATEGORIA, PROVENIENTE DE CORTE DE SUBLEITO (C/TRATOR ESTEIRAS  160HP)</v>
          </cell>
          <cell r="D280" t="str">
            <v>M3</v>
          </cell>
          <cell r="E280">
            <v>585.77</v>
          </cell>
          <cell r="F280">
            <v>2.54</v>
          </cell>
          <cell r="G280">
            <v>3.14</v>
          </cell>
          <cell r="H280">
            <v>1839.32</v>
          </cell>
          <cell r="I280">
            <v>2.59</v>
          </cell>
          <cell r="J280">
            <v>3.05</v>
          </cell>
          <cell r="K280">
            <v>1786.6</v>
          </cell>
        </row>
        <row r="281">
          <cell r="A281" t="str">
            <v>1.5.4.2</v>
          </cell>
          <cell r="B281" t="str">
            <v>COMP-35145154</v>
          </cell>
          <cell r="C281" t="str">
            <v>CARGA E DESCARGA MECANICA DE SOLO UTILIZANDO CAMINHAO BASCULANTE 14,0M3/36T E PA CARREGADEIRA SOBRE PNEUS 128 HP, CAPACIDADE DA CAÇAMBA 1,7 A 2,8 M3, PESO OPERACIONAL 11632 KH</v>
          </cell>
          <cell r="D281" t="str">
            <v>M3</v>
          </cell>
          <cell r="E281">
            <v>726.09</v>
          </cell>
          <cell r="F281">
            <v>2.83</v>
          </cell>
          <cell r="G281">
            <v>3.5</v>
          </cell>
          <cell r="H281">
            <v>2541.3200000000002</v>
          </cell>
          <cell r="I281">
            <v>2.9</v>
          </cell>
          <cell r="J281">
            <v>3.41</v>
          </cell>
          <cell r="K281">
            <v>2475.9699999999998</v>
          </cell>
        </row>
        <row r="282">
          <cell r="A282" t="str">
            <v>1.5.4.3</v>
          </cell>
          <cell r="B282">
            <v>95876</v>
          </cell>
          <cell r="C282" t="str">
            <v>TRANSPORTE COM CAMINHÃO BASCULANTE DE 14 M³, EM VIA URBANA PAVIMENTADA, DMT ATÉ 30 KM (UNIDADE: M3XKM). AF_07/2020</v>
          </cell>
          <cell r="D282" t="str">
            <v>M3XKM</v>
          </cell>
          <cell r="E282">
            <v>5736.11</v>
          </cell>
          <cell r="F282">
            <v>2.2400000000000002</v>
          </cell>
          <cell r="G282">
            <v>2.77</v>
          </cell>
          <cell r="H282">
            <v>15889.02</v>
          </cell>
          <cell r="I282">
            <v>2.27</v>
          </cell>
          <cell r="J282">
            <v>2.67</v>
          </cell>
          <cell r="K282">
            <v>15315.41</v>
          </cell>
        </row>
        <row r="283">
          <cell r="A283" t="str">
            <v>1.5.4.4</v>
          </cell>
          <cell r="B283">
            <v>96385</v>
          </cell>
          <cell r="C283" t="str">
            <v>EXECUÇÃO E COMPACTAÇÃO DE ATERRO COM SOLO PREDOMINANTEMENTE ARGILOSO - EXCLUSIVE SOLO, ESCAVAÇÃO, CARGA E TRANSPORTE. AF_11/2019</v>
          </cell>
          <cell r="D283" t="str">
            <v>M3</v>
          </cell>
          <cell r="E283">
            <v>4.9000000000000004</v>
          </cell>
          <cell r="F283">
            <v>12.41</v>
          </cell>
          <cell r="G283">
            <v>15.34</v>
          </cell>
          <cell r="H283">
            <v>75.17</v>
          </cell>
          <cell r="I283">
            <v>13.02</v>
          </cell>
          <cell r="J283">
            <v>15.31</v>
          </cell>
          <cell r="K283">
            <v>75.02</v>
          </cell>
        </row>
        <row r="284">
          <cell r="A284" t="str">
            <v>1.5.5</v>
          </cell>
          <cell r="B284"/>
          <cell r="C284" t="str">
            <v>PAVIMENTAÇÃO</v>
          </cell>
          <cell r="D284"/>
          <cell r="E284"/>
          <cell r="F284"/>
          <cell r="G284"/>
          <cell r="H284">
            <v>80729.19</v>
          </cell>
          <cell r="I284"/>
          <cell r="J284"/>
          <cell r="K284">
            <v>80528.63</v>
          </cell>
        </row>
        <row r="285">
          <cell r="A285" t="str">
            <v>1.5.5.1</v>
          </cell>
          <cell r="B285">
            <v>100576</v>
          </cell>
          <cell r="C285" t="str">
            <v>REGULARIZAÇÃO E COMPACTAÇÃO DE SUBLEITO DE SOLO  PREDOMINANTEMENTE ARGILOSO. AF_11/2019</v>
          </cell>
          <cell r="D285" t="str">
            <v>M2</v>
          </cell>
          <cell r="E285">
            <v>1828.39</v>
          </cell>
          <cell r="F285">
            <v>2.64</v>
          </cell>
          <cell r="G285">
            <v>3.26</v>
          </cell>
          <cell r="H285">
            <v>5960.55</v>
          </cell>
          <cell r="I285">
            <v>2.79</v>
          </cell>
          <cell r="J285">
            <v>3.28</v>
          </cell>
          <cell r="K285">
            <v>5997.12</v>
          </cell>
        </row>
        <row r="286">
          <cell r="A286" t="str">
            <v>1.5.5.2</v>
          </cell>
          <cell r="B286" t="str">
            <v>COMP-28881239</v>
          </cell>
          <cell r="C286" t="str">
            <v>Base ou sub-base de macadame hidráulico com brita comercial - EXCLUSIVE MATERIAL, CARGA E TRANSPORTE - NÃO DESONERADO</v>
          </cell>
          <cell r="D286" t="str">
            <v>M3</v>
          </cell>
          <cell r="E286">
            <v>75.06</v>
          </cell>
          <cell r="F286">
            <v>11.24</v>
          </cell>
          <cell r="G286">
            <v>13.89</v>
          </cell>
          <cell r="H286">
            <v>1042.58</v>
          </cell>
          <cell r="I286">
            <v>11.4</v>
          </cell>
          <cell r="J286">
            <v>13.4</v>
          </cell>
          <cell r="K286">
            <v>1005.8</v>
          </cell>
        </row>
        <row r="287">
          <cell r="A287" t="str">
            <v>1.5.5.3</v>
          </cell>
          <cell r="B287" t="str">
            <v>CP-96396-26507981</v>
          </cell>
          <cell r="C287" t="str">
            <v>EXECUÇÃO E COMPACTAÇÃO DE BASE E OU SUB BASE PARA PAVIMENTAÇÃO DE BRITA GRADUADA SIMPLES - EXCLUSIVE MATERIAL, CARGA E TRANSPORTE</v>
          </cell>
          <cell r="D287" t="str">
            <v>M3</v>
          </cell>
          <cell r="E287">
            <v>351.38</v>
          </cell>
          <cell r="F287">
            <v>13.86</v>
          </cell>
          <cell r="G287">
            <v>17.13</v>
          </cell>
          <cell r="H287">
            <v>6019.14</v>
          </cell>
          <cell r="I287">
            <v>14.44</v>
          </cell>
          <cell r="J287">
            <v>16.98</v>
          </cell>
          <cell r="K287">
            <v>5966.43</v>
          </cell>
        </row>
        <row r="288">
          <cell r="A288" t="str">
            <v>1.5.5.4</v>
          </cell>
          <cell r="B288" t="str">
            <v>COMP-35145154</v>
          </cell>
          <cell r="C288" t="str">
            <v>CARGA E DESCARGA MECANICA DE SOLO UTILIZANDO CAMINHAO BASCULANTE 14,0M3/36T E PA CARREGADEIRA SOBRE PNEUS 128 HP, CAPACIDADE DA CAÇAMBA 1,7 A 2,8 M3, PESO OPERACIONAL 11632 KH</v>
          </cell>
          <cell r="D288" t="str">
            <v>M3</v>
          </cell>
          <cell r="E288">
            <v>533.04999999999995</v>
          </cell>
          <cell r="F288">
            <v>2.83</v>
          </cell>
          <cell r="G288">
            <v>3.5</v>
          </cell>
          <cell r="H288">
            <v>1865.68</v>
          </cell>
          <cell r="I288">
            <v>2.9</v>
          </cell>
          <cell r="J288">
            <v>3.41</v>
          </cell>
          <cell r="K288">
            <v>1817.7</v>
          </cell>
        </row>
        <row r="289">
          <cell r="A289" t="str">
            <v>1.5.5.5</v>
          </cell>
          <cell r="B289" t="str">
            <v>COMP-83526730</v>
          </cell>
          <cell r="C289" t="str">
            <v>TRANSPORTE COMERCIAL DE BRITA</v>
          </cell>
          <cell r="D289" t="str">
            <v>M3XKM</v>
          </cell>
          <cell r="E289">
            <v>2985.08</v>
          </cell>
          <cell r="F289">
            <v>1.36</v>
          </cell>
          <cell r="G289">
            <v>1.68</v>
          </cell>
          <cell r="H289">
            <v>5014.93</v>
          </cell>
          <cell r="I289">
            <v>1.37</v>
          </cell>
          <cell r="J289">
            <v>1.61</v>
          </cell>
          <cell r="K289">
            <v>4805.9799999999996</v>
          </cell>
        </row>
        <row r="290">
          <cell r="A290" t="str">
            <v>1.5.5.6</v>
          </cell>
          <cell r="B290" t="str">
            <v>CP-92399-27762594</v>
          </cell>
          <cell r="C290" t="str">
            <v>EXECUÇÃO DE VIA EM PISO INTERTRAVADO, COM BLOCO RETANGULAR COR NATURAL/COLORIDO DE 20 X 10 CM, ESPESSURA 8 CM - (SEM O MATERIAL BLOQUETE/PISO INTERTRAVADO)</v>
          </cell>
          <cell r="D290" t="str">
            <v>M2</v>
          </cell>
          <cell r="E290">
            <v>1327.96</v>
          </cell>
          <cell r="F290">
            <v>19.170000000000002</v>
          </cell>
          <cell r="G290">
            <v>23.69</v>
          </cell>
          <cell r="H290">
            <v>31459.37</v>
          </cell>
          <cell r="I290">
            <v>20.41</v>
          </cell>
          <cell r="J290">
            <v>24</v>
          </cell>
          <cell r="K290">
            <v>31871.040000000001</v>
          </cell>
        </row>
        <row r="291">
          <cell r="A291" t="str">
            <v>1.5.5.7</v>
          </cell>
          <cell r="B291" t="str">
            <v>COMP-62038505</v>
          </cell>
          <cell r="C291" t="str">
            <v>EXECUÇÃO DE IMPRIMAÇÃO COM ASFALTO DILUÍDO CM-30 - SERVIÇO UTILIZADO NOS LOTES</v>
          </cell>
          <cell r="D291" t="str">
            <v>M2</v>
          </cell>
          <cell r="E291">
            <v>407.19</v>
          </cell>
          <cell r="F291">
            <v>7.56</v>
          </cell>
          <cell r="G291">
            <v>9.34</v>
          </cell>
          <cell r="H291">
            <v>3803.15</v>
          </cell>
          <cell r="I291">
            <v>7.62</v>
          </cell>
          <cell r="J291">
            <v>8.9600000000000009</v>
          </cell>
          <cell r="K291">
            <v>3648.42</v>
          </cell>
        </row>
        <row r="292">
          <cell r="A292" t="str">
            <v>1.5.5.8</v>
          </cell>
          <cell r="B292" t="str">
            <v>CP-95995-51339760</v>
          </cell>
          <cell r="C292" t="str">
            <v>EXECUÇÃO DE PAVIMENTO COM APLICAÇÃO DE CONCRETO ASFÁLTICO, CAMADA DE ROLAMENTO - EXCLUSIVE CARGA E TRANSPORTE E CONCRETO BETUMINOSO</v>
          </cell>
          <cell r="D292" t="str">
            <v>M3</v>
          </cell>
          <cell r="E292">
            <v>20.36</v>
          </cell>
          <cell r="F292">
            <v>127.58</v>
          </cell>
          <cell r="G292">
            <v>157.68</v>
          </cell>
          <cell r="H292">
            <v>3210.36</v>
          </cell>
          <cell r="I292">
            <v>133.37</v>
          </cell>
          <cell r="J292">
            <v>156.80000000000001</v>
          </cell>
          <cell r="K292">
            <v>3192.45</v>
          </cell>
        </row>
        <row r="293">
          <cell r="A293" t="str">
            <v>1.5.5.9</v>
          </cell>
          <cell r="B293" t="str">
            <v>COMP-10034101</v>
          </cell>
          <cell r="C293" t="str">
            <v>CARGA, MANOBRAS E DESCARGA DE MISTURA BETUMINOSA A QUENTE, COM CAMINHAO BASCULANTE 6 M3, DESCARGA EM VIBRO-ACABADORA</v>
          </cell>
          <cell r="D293" t="str">
            <v>M3</v>
          </cell>
          <cell r="E293">
            <v>20.36</v>
          </cell>
          <cell r="F293">
            <v>7.74</v>
          </cell>
          <cell r="G293">
            <v>9.57</v>
          </cell>
          <cell r="H293">
            <v>194.85</v>
          </cell>
          <cell r="I293">
            <v>7.86</v>
          </cell>
          <cell r="J293">
            <v>9.24</v>
          </cell>
          <cell r="K293">
            <v>188.13</v>
          </cell>
        </row>
        <row r="294">
          <cell r="A294" t="str">
            <v>1.5.5.10</v>
          </cell>
          <cell r="B294" t="str">
            <v>CP-95303-56931542</v>
          </cell>
          <cell r="C294" t="str">
            <v>TRANSPORTE COM CAMINHÃO BASCULANTE 10 M3 DE MASSA ASFALTICA PARA PAVIMENTAÇÃO URBANA</v>
          </cell>
          <cell r="D294" t="str">
            <v>M3XKM</v>
          </cell>
          <cell r="E294">
            <v>374.62</v>
          </cell>
          <cell r="F294">
            <v>1.75</v>
          </cell>
          <cell r="G294">
            <v>2.16</v>
          </cell>
          <cell r="H294">
            <v>809.18</v>
          </cell>
          <cell r="I294">
            <v>1.77</v>
          </cell>
          <cell r="J294">
            <v>2.08</v>
          </cell>
          <cell r="K294">
            <v>779.21</v>
          </cell>
        </row>
        <row r="295">
          <cell r="A295" t="str">
            <v>1.5.5.11</v>
          </cell>
          <cell r="B295" t="str">
            <v>CP-97084-89637704</v>
          </cell>
          <cell r="C295" t="str">
            <v>REGULARIZACAO E COMPACTAÇÃO MANUAL DE TERRENO COM PLACA VIBRATÓRIA</v>
          </cell>
          <cell r="D295" t="str">
            <v>M2</v>
          </cell>
          <cell r="E295">
            <v>264.83999999999997</v>
          </cell>
          <cell r="F295">
            <v>0.59</v>
          </cell>
          <cell r="G295">
            <v>0.73</v>
          </cell>
          <cell r="H295">
            <v>193.33</v>
          </cell>
          <cell r="I295">
            <v>0.65</v>
          </cell>
          <cell r="J295">
            <v>0.76</v>
          </cell>
          <cell r="K295">
            <v>201.28</v>
          </cell>
        </row>
        <row r="296">
          <cell r="A296" t="str">
            <v>1.5.5.12</v>
          </cell>
          <cell r="B296" t="str">
            <v>CP-94991-12549457</v>
          </cell>
          <cell r="C296" t="str">
            <v>EXECUÇÃO DE PASSEIO (CALÇADA) OU PISO DE CONCRETO COM CONCRETO MOLDADO IN LOCO, USINADO, ACABAMENTO CONVENCIONAL, NÃO ARMADO - EXCLUINDO O CONCRETO USINADO 20MPA</v>
          </cell>
          <cell r="D296" t="str">
            <v>M3</v>
          </cell>
          <cell r="E296">
            <v>17.77</v>
          </cell>
          <cell r="F296">
            <v>104.6</v>
          </cell>
          <cell r="G296">
            <v>129.28</v>
          </cell>
          <cell r="H296">
            <v>2297.31</v>
          </cell>
          <cell r="I296">
            <v>112.75</v>
          </cell>
          <cell r="J296">
            <v>132.56</v>
          </cell>
          <cell r="K296">
            <v>2355.59</v>
          </cell>
        </row>
        <row r="297">
          <cell r="A297" t="str">
            <v>1.5.5.13</v>
          </cell>
          <cell r="B297">
            <v>94273</v>
          </cell>
          <cell r="C297" t="str">
            <v>ASSENTAMENTO DE GUIA (MEIO-FIO) EM TRECHO RETO, CONFECCIONADA EM CONCRETO PRÉ-FABRICADO, DIMENSÕES 100X15X13X30 CM (COMPRIMENTO X BASE INFERIOR X BASE SUPERIOR X ALTURA), PARA VIAS URBANAS (USO VIÁRIO). AF_06/2016</v>
          </cell>
          <cell r="D297" t="str">
            <v>M</v>
          </cell>
          <cell r="E297">
            <v>163.01</v>
          </cell>
          <cell r="F297">
            <v>54.61</v>
          </cell>
          <cell r="G297">
            <v>67.489999999999995</v>
          </cell>
          <cell r="H297">
            <v>11001.54</v>
          </cell>
          <cell r="I297">
            <v>56.47</v>
          </cell>
          <cell r="J297">
            <v>66.39</v>
          </cell>
          <cell r="K297">
            <v>10822.23</v>
          </cell>
        </row>
        <row r="298">
          <cell r="A298" t="str">
            <v>1.5.5.14</v>
          </cell>
          <cell r="B298">
            <v>94274</v>
          </cell>
          <cell r="C298" t="str">
            <v>ASSENTAMENTO DE GUIA (MEIO-FIO) EM TRECHO CURVO, CONFECCIONADA EM CONCRETO PRÉ-FABRICADO, DIMENSÕES 100X15X13X30 CM (COMPRIMENTO X BASE INFERIOR X BASE SUPERIOR X ALTURA), PARA VIAS URBANAS (USO VIÁRIO). AF_06/2016</v>
          </cell>
          <cell r="D298" t="str">
            <v>M</v>
          </cell>
          <cell r="E298">
            <v>12.59</v>
          </cell>
          <cell r="F298">
            <v>58.17</v>
          </cell>
          <cell r="G298">
            <v>71.89</v>
          </cell>
          <cell r="H298">
            <v>905.1</v>
          </cell>
          <cell r="I298">
            <v>60.43</v>
          </cell>
          <cell r="J298">
            <v>71.05</v>
          </cell>
          <cell r="K298">
            <v>894.52</v>
          </cell>
        </row>
        <row r="299">
          <cell r="A299" t="str">
            <v>1.5.5.15</v>
          </cell>
          <cell r="B299">
            <v>94275</v>
          </cell>
          <cell r="C299" t="str">
            <v>ASSENTAMENTO DE GUIA (MEIO-FIO) EM TRECHO RETO, CONFECCIONADA EM CONCRETO PRÉ-FABRICADO, DIMENSÕES 100X15X13X20 CM (COMPRIMENTO X BASE INFERIOR X BASE SUPERIOR X ALTURA), PARA URBANIZAÇÃO INTERNA DE EMPREENDIMENTOS. AF_06/2016_P</v>
          </cell>
          <cell r="D299" t="str">
            <v>M</v>
          </cell>
          <cell r="E299">
            <v>1.8</v>
          </cell>
          <cell r="F299">
            <v>52.64</v>
          </cell>
          <cell r="G299">
            <v>65.06</v>
          </cell>
          <cell r="H299">
            <v>117.11</v>
          </cell>
          <cell r="I299">
            <v>54.31</v>
          </cell>
          <cell r="J299">
            <v>63.85</v>
          </cell>
          <cell r="K299">
            <v>114.93</v>
          </cell>
        </row>
        <row r="300">
          <cell r="A300" t="str">
            <v>1.5.5.16</v>
          </cell>
          <cell r="B300">
            <v>94287</v>
          </cell>
          <cell r="C300" t="str">
            <v>EXECUÇÃO DE SARJETA DE CONCRETO USINADO, MOLDADA  IN LOCO  EM TRECHO RETO, 30 CM BASE X 10 CM ALTURA. AF_06/2016</v>
          </cell>
          <cell r="D300" t="str">
            <v>M</v>
          </cell>
          <cell r="E300">
            <v>134.93</v>
          </cell>
          <cell r="F300">
            <v>37.69</v>
          </cell>
          <cell r="G300">
            <v>46.58</v>
          </cell>
          <cell r="H300">
            <v>6285.04</v>
          </cell>
          <cell r="I300">
            <v>39.770000000000003</v>
          </cell>
          <cell r="J300">
            <v>46.76</v>
          </cell>
          <cell r="K300">
            <v>6309.33</v>
          </cell>
        </row>
        <row r="301">
          <cell r="A301" t="str">
            <v>1.5.5.17</v>
          </cell>
          <cell r="B301">
            <v>94288</v>
          </cell>
          <cell r="C301" t="str">
            <v>EXECUÇÃO DE SARJETA DE CONCRETO USINADO, MOLDADA  IN LOCO  EM TRECHO CURVO, 30 CM BASE X 10 CM ALTURA. AF_06/2016</v>
          </cell>
          <cell r="D301" t="str">
            <v>M</v>
          </cell>
          <cell r="E301">
            <v>9.44</v>
          </cell>
          <cell r="F301">
            <v>47.14</v>
          </cell>
          <cell r="G301">
            <v>58.26</v>
          </cell>
          <cell r="H301">
            <v>549.97</v>
          </cell>
          <cell r="I301">
            <v>50.32</v>
          </cell>
          <cell r="J301">
            <v>59.16</v>
          </cell>
          <cell r="K301">
            <v>558.47</v>
          </cell>
        </row>
        <row r="302">
          <cell r="A302" t="str">
            <v>1.5.6</v>
          </cell>
          <cell r="B302"/>
          <cell r="C302" t="str">
            <v>DRENAGEM</v>
          </cell>
          <cell r="D302"/>
          <cell r="E302"/>
          <cell r="F302"/>
          <cell r="G302"/>
          <cell r="H302">
            <v>33353.67</v>
          </cell>
          <cell r="I302"/>
          <cell r="J302"/>
          <cell r="K302">
            <v>32973.9</v>
          </cell>
        </row>
        <row r="303">
          <cell r="A303" t="str">
            <v>1.5.6.1</v>
          </cell>
          <cell r="B303">
            <v>93358</v>
          </cell>
          <cell r="C303" t="str">
            <v>ESCAVAÇÃO MANUAL DE VALA COM PROFUNDIDADE MENOR OU IGUAL A 1,30 M. AF_02/2021</v>
          </cell>
          <cell r="D303" t="str">
            <v>M3</v>
          </cell>
          <cell r="E303">
            <v>5.62</v>
          </cell>
          <cell r="F303">
            <v>70.53</v>
          </cell>
          <cell r="G303">
            <v>87.17</v>
          </cell>
          <cell r="H303">
            <v>489.9</v>
          </cell>
          <cell r="I303">
            <v>78.319999999999993</v>
          </cell>
          <cell r="J303">
            <v>92.08</v>
          </cell>
          <cell r="K303">
            <v>517.49</v>
          </cell>
        </row>
        <row r="304">
          <cell r="A304" t="str">
            <v>1.5.6.2</v>
          </cell>
          <cell r="B304">
            <v>94971</v>
          </cell>
          <cell r="C304" t="str">
            <v>CONCRETO FCK = 25MPA, TRAÇO 1:2,3:2,7 (EM MASSA SECA DE CIMENTO/ AREIA MÉDIA/ BRITA 1) - PREPARO MECÂNICO COM BETONEIRA 600 L. AF_05/2021</v>
          </cell>
          <cell r="D304" t="str">
            <v>M3</v>
          </cell>
          <cell r="E304">
            <v>6.71</v>
          </cell>
          <cell r="F304">
            <v>464.88</v>
          </cell>
          <cell r="G304">
            <v>574.54999999999995</v>
          </cell>
          <cell r="H304">
            <v>3855.23</v>
          </cell>
          <cell r="I304">
            <v>472.74</v>
          </cell>
          <cell r="J304">
            <v>555.79999999999995</v>
          </cell>
          <cell r="K304">
            <v>3729.42</v>
          </cell>
        </row>
        <row r="305">
          <cell r="A305" t="str">
            <v>1.5.6.3</v>
          </cell>
          <cell r="B305" t="str">
            <v>CP-S03639-45770834</v>
          </cell>
          <cell r="C305" t="str">
            <v>Fornecimento e instalação de tela aço soldada nervurada CA-60, Q-283, malha 10x10cm, ferro 6.02mm (4,48 kg/m2), painel 2,45x6,0m, Telcon ou similar</v>
          </cell>
          <cell r="D305" t="str">
            <v>M2</v>
          </cell>
          <cell r="E305">
            <v>70.19</v>
          </cell>
          <cell r="F305">
            <v>63.95</v>
          </cell>
          <cell r="G305">
            <v>79.040000000000006</v>
          </cell>
          <cell r="H305">
            <v>5547.82</v>
          </cell>
          <cell r="I305">
            <v>65.25</v>
          </cell>
          <cell r="J305">
            <v>76.709999999999994</v>
          </cell>
          <cell r="K305">
            <v>5384.27</v>
          </cell>
        </row>
        <row r="306">
          <cell r="A306" t="str">
            <v>1.5.6.4</v>
          </cell>
          <cell r="B306">
            <v>90105</v>
          </cell>
          <cell r="C306" t="str">
            <v>ESCAVAÇÃO MECANIZADA DE VALA COM PROFUNDIDADE ATÉ 1,5 M (MÉDIA MONTANTE E JUSANTE/UMA COMPOSIÇÃO POR TRECHO), RETROESCAV. (0,26 M3), LARGURA MENOR QUE 0,8 M, EM SOLO DE 1A CATEGORIA, LOCAIS COM BAIXO NÍVEL DE INTERFERÊNCIA. AF_02/2021</v>
          </cell>
          <cell r="D306" t="str">
            <v>M3</v>
          </cell>
          <cell r="E306">
            <v>67.33</v>
          </cell>
          <cell r="F306">
            <v>9.58</v>
          </cell>
          <cell r="G306">
            <v>11.84</v>
          </cell>
          <cell r="H306">
            <v>797.19</v>
          </cell>
          <cell r="I306">
            <v>10.039999999999999</v>
          </cell>
          <cell r="J306">
            <v>11.8</v>
          </cell>
          <cell r="K306">
            <v>794.49</v>
          </cell>
        </row>
        <row r="307">
          <cell r="A307" t="str">
            <v>1.5.6.5</v>
          </cell>
          <cell r="B307">
            <v>93378</v>
          </cell>
          <cell r="C307" t="str">
            <v>REATERRO MECANIZADO DE VALA COM RETROESCAVADEIRA (CAPACIDADE DA CAÇAMBA DA RETRO: 0,26 M³ / POTÊNCIA: 88 HP), LARGURA ATÉ 0,8 M, PROFUNDIDADE ATÉ 1,5 M, COM SOLO DE 1ª CATEGORIA EM LOCAIS COM BAIXO NÍVEL DE INTERFERÊNCIA. AF_04/2016</v>
          </cell>
          <cell r="D307" t="str">
            <v>M3</v>
          </cell>
          <cell r="E307">
            <v>53.05</v>
          </cell>
          <cell r="F307">
            <v>27.22</v>
          </cell>
          <cell r="G307">
            <v>33.64</v>
          </cell>
          <cell r="H307">
            <v>1784.6</v>
          </cell>
          <cell r="I307">
            <v>29.29</v>
          </cell>
          <cell r="J307">
            <v>34.44</v>
          </cell>
          <cell r="K307">
            <v>1827.04</v>
          </cell>
        </row>
        <row r="308">
          <cell r="A308" t="str">
            <v>1.5.6.6</v>
          </cell>
          <cell r="B308">
            <v>93379</v>
          </cell>
          <cell r="C308" t="str">
            <v>REATERRO MECANIZADO DE VALA COM RETROESCAVADEIRA (CAPACIDADE DA CAÇAMBA DA RETRO: 0,26 M³ / POTÊNCIA: 88 HP), LARGURA DE 0,8 A 1,5 M, PROFUNDIDADE ATÉ 1,5 M, COM SOLO DE 1ª CATEGORIA EM LOCAIS COM BAIXO NÍVEL DE INTERFERÊNCIA. AF_04/2016</v>
          </cell>
          <cell r="D308" t="str">
            <v>M3</v>
          </cell>
          <cell r="E308">
            <v>9.5500000000000007</v>
          </cell>
          <cell r="F308">
            <v>21.03</v>
          </cell>
          <cell r="G308">
            <v>25.99</v>
          </cell>
          <cell r="H308">
            <v>248.2</v>
          </cell>
          <cell r="I308">
            <v>22.62</v>
          </cell>
          <cell r="J308">
            <v>26.59</v>
          </cell>
          <cell r="K308">
            <v>253.93</v>
          </cell>
        </row>
        <row r="309">
          <cell r="A309" t="str">
            <v>1.5.6.7</v>
          </cell>
          <cell r="B309" t="str">
            <v>COMP-35145154</v>
          </cell>
          <cell r="C309" t="str">
            <v>CARGA E DESCARGA MECANICA DE SOLO UTILIZANDO CAMINHAO BASCULANTE 14,0M3/36T E PA CARREGADEIRA SOBRE PNEUS 128 HP, CAPACIDADE DA CAÇAMBA 1,7 A 2,8 M3, PESO OPERACIONAL 11632 KH</v>
          </cell>
          <cell r="D309" t="str">
            <v>M3</v>
          </cell>
          <cell r="E309">
            <v>29.31</v>
          </cell>
          <cell r="F309">
            <v>2.83</v>
          </cell>
          <cell r="G309">
            <v>3.5</v>
          </cell>
          <cell r="H309">
            <v>102.59</v>
          </cell>
          <cell r="I309">
            <v>2.9</v>
          </cell>
          <cell r="J309">
            <v>3.41</v>
          </cell>
          <cell r="K309">
            <v>99.95</v>
          </cell>
        </row>
        <row r="310">
          <cell r="A310" t="str">
            <v>1.5.6.8</v>
          </cell>
          <cell r="B310">
            <v>95876</v>
          </cell>
          <cell r="C310" t="str">
            <v>TRANSPORTE COM CAMINHÃO BASCULANTE DE 14 M³, EM VIA URBANA PAVIMENTADA, DMT ATÉ 30 KM (UNIDADE: M3XKM). AF_07/2020</v>
          </cell>
          <cell r="D310" t="str">
            <v>M3XKM</v>
          </cell>
          <cell r="E310">
            <v>231.55</v>
          </cell>
          <cell r="F310">
            <v>2.2400000000000002</v>
          </cell>
          <cell r="G310">
            <v>2.77</v>
          </cell>
          <cell r="H310">
            <v>641.39</v>
          </cell>
          <cell r="I310">
            <v>2.27</v>
          </cell>
          <cell r="J310">
            <v>2.67</v>
          </cell>
          <cell r="K310">
            <v>618.24</v>
          </cell>
        </row>
        <row r="311">
          <cell r="A311" t="str">
            <v>1.5.6.9</v>
          </cell>
          <cell r="B311">
            <v>94974</v>
          </cell>
          <cell r="C311" t="str">
            <v>CONCRETO MAGRO PARA LASTRO, TRAÇO 1:4,5:4,5 (EM MASSA SECA DE CIMENTO/ AREIA MÉDIA/ BRITA 1) - PREPARO MANUAL. AF_05/2021</v>
          </cell>
          <cell r="D311" t="str">
            <v>M3</v>
          </cell>
          <cell r="E311">
            <v>4.53</v>
          </cell>
          <cell r="F311">
            <v>423.75</v>
          </cell>
          <cell r="G311">
            <v>523.71</v>
          </cell>
          <cell r="H311">
            <v>2372.41</v>
          </cell>
          <cell r="I311">
            <v>436.13</v>
          </cell>
          <cell r="J311">
            <v>512.76</v>
          </cell>
          <cell r="K311">
            <v>2322.8000000000002</v>
          </cell>
        </row>
        <row r="312">
          <cell r="A312" t="str">
            <v>1.5.6.10</v>
          </cell>
          <cell r="B312">
            <v>97994</v>
          </cell>
          <cell r="C312" t="str">
            <v>BASE PARA POÇO DE VISITA RETANGULAR PARA  ESGOTO, EM ALVENARIA COM BLOCOS DE CONCRETO, DIMENSÕES INTERNAS = 1X1 M, PROFUNDIDADE = 1,40 M, EXCLUINDO TAMPÃO. AF_12/2020</v>
          </cell>
          <cell r="D312" t="str">
            <v>UN</v>
          </cell>
          <cell r="E312">
            <v>4</v>
          </cell>
          <cell r="F312">
            <v>2465.7199999999998</v>
          </cell>
          <cell r="G312">
            <v>3047.38</v>
          </cell>
          <cell r="H312">
            <v>12189.52</v>
          </cell>
          <cell r="I312">
            <v>2575.58</v>
          </cell>
          <cell r="J312">
            <v>3028.11</v>
          </cell>
          <cell r="K312">
            <v>12112.44</v>
          </cell>
        </row>
        <row r="313">
          <cell r="A313" t="str">
            <v>1.5.6.11</v>
          </cell>
          <cell r="B313">
            <v>92522</v>
          </cell>
          <cell r="C313" t="str">
            <v>MONTAGEM E DESMONTAGEM DE FÔRMA DE LAJE MACIÇA, PÉ-DIREITO SIMPLES, EM CHAPA DE MADEIRA COMPENSADA RESINADA, 8 UTILIZAÇÕES. AF_09/2020</v>
          </cell>
          <cell r="D313" t="str">
            <v>M2</v>
          </cell>
          <cell r="E313">
            <v>5.04</v>
          </cell>
          <cell r="F313">
            <v>37.97</v>
          </cell>
          <cell r="G313">
            <v>46.93</v>
          </cell>
          <cell r="H313">
            <v>236.53</v>
          </cell>
          <cell r="I313">
            <v>39.6</v>
          </cell>
          <cell r="J313">
            <v>46.56</v>
          </cell>
          <cell r="K313">
            <v>234.66</v>
          </cell>
        </row>
        <row r="314">
          <cell r="A314" t="str">
            <v>1.5.6.12</v>
          </cell>
          <cell r="B314">
            <v>92771</v>
          </cell>
          <cell r="C314" t="str">
            <v>ARMAÇÃO DE LAJE DE ESTRUTURA CONVENCIONAL DE CONCRETO ARMADO UTILIZANDO AÇO CA-50 DE 10,0 MM - MONTAGEM. AF_06/2022</v>
          </cell>
          <cell r="D314" t="str">
            <v>KG</v>
          </cell>
          <cell r="E314">
            <v>165.44</v>
          </cell>
          <cell r="F314">
            <v>15.04</v>
          </cell>
          <cell r="G314">
            <v>18.59</v>
          </cell>
          <cell r="H314">
            <v>3075.53</v>
          </cell>
          <cell r="I314">
            <v>15.14</v>
          </cell>
          <cell r="J314">
            <v>17.8</v>
          </cell>
          <cell r="K314">
            <v>2944.83</v>
          </cell>
        </row>
        <row r="315">
          <cell r="A315" t="str">
            <v>1.5.6.13</v>
          </cell>
          <cell r="B315" t="str">
            <v>CP-74157/004-48264518</v>
          </cell>
          <cell r="C315" t="str">
            <v>LANCAMENTO/APLICACAO MANUAL DE CONCRETO EM FUNDACOES (concreto magro)</v>
          </cell>
          <cell r="D315" t="str">
            <v>M3</v>
          </cell>
          <cell r="E315">
            <v>11.24</v>
          </cell>
          <cell r="F315">
            <v>116.59</v>
          </cell>
          <cell r="G315">
            <v>144.09</v>
          </cell>
          <cell r="H315">
            <v>1619.57</v>
          </cell>
          <cell r="I315">
            <v>129.79</v>
          </cell>
          <cell r="J315">
            <v>152.59</v>
          </cell>
          <cell r="K315">
            <v>1715.11</v>
          </cell>
        </row>
        <row r="316">
          <cell r="A316" t="str">
            <v>1.5.6.14</v>
          </cell>
          <cell r="B316">
            <v>90746</v>
          </cell>
          <cell r="C316" t="str">
            <v>ASSENTAMENTO DE TUBO DE PEAD CORRUGADO DE DUPLA PAREDE PARA REDE COLETORA DE ESGOTO, DN 450 MM, JUNTA ELÁSTICA INTEGRADA (NÃO INCLUI FORNECIMENTO). AF_01/2021</v>
          </cell>
          <cell r="D316" t="str">
            <v>M</v>
          </cell>
          <cell r="E316">
            <v>89.77</v>
          </cell>
          <cell r="F316">
            <v>3.54</v>
          </cell>
          <cell r="G316">
            <v>4.38</v>
          </cell>
          <cell r="H316">
            <v>393.19</v>
          </cell>
          <cell r="I316">
            <v>3.97</v>
          </cell>
          <cell r="J316">
            <v>4.67</v>
          </cell>
          <cell r="K316">
            <v>419.23</v>
          </cell>
        </row>
        <row r="317">
          <cell r="A317" t="str">
            <v>1.5.7</v>
          </cell>
          <cell r="B317"/>
          <cell r="C317" t="str">
            <v>SINALIZAÇÃO</v>
          </cell>
          <cell r="D317"/>
          <cell r="E317"/>
          <cell r="F317"/>
          <cell r="G317"/>
          <cell r="H317">
            <v>4890.3100000000004</v>
          </cell>
          <cell r="I317"/>
          <cell r="J317"/>
          <cell r="K317">
            <v>4761.17</v>
          </cell>
        </row>
        <row r="318">
          <cell r="A318" t="str">
            <v>1.5.7.1</v>
          </cell>
          <cell r="B318">
            <v>5213421</v>
          </cell>
          <cell r="C318" t="str">
            <v>Confecção de placa em aço nº 16 galvanizado, com película tipo I + IV</v>
          </cell>
          <cell r="D318" t="str">
            <v xml:space="preserve">M2    </v>
          </cell>
          <cell r="E318">
            <v>3.54</v>
          </cell>
          <cell r="F318">
            <v>343.8</v>
          </cell>
          <cell r="G318">
            <v>424.9</v>
          </cell>
          <cell r="H318">
            <v>1504.15</v>
          </cell>
          <cell r="I318">
            <v>347.25</v>
          </cell>
          <cell r="J318">
            <v>408.26</v>
          </cell>
          <cell r="K318">
            <v>1445.24</v>
          </cell>
        </row>
        <row r="319">
          <cell r="A319" t="str">
            <v>1.5.7.2</v>
          </cell>
          <cell r="B319">
            <v>5216111</v>
          </cell>
          <cell r="C319" t="str">
            <v>FORNECIMENTO E IMPLANTAÇÃO DE SUPORTE E TRAVESSA PARA PLACA DE SINALIZAÇÃO EM MADEIRA DE LEI TRATADA 8 X 8 CM</v>
          </cell>
          <cell r="D319" t="str">
            <v>UND</v>
          </cell>
          <cell r="E319">
            <v>10</v>
          </cell>
          <cell r="F319">
            <v>119.1379</v>
          </cell>
          <cell r="G319">
            <v>147.24</v>
          </cell>
          <cell r="H319">
            <v>1472.4</v>
          </cell>
          <cell r="I319">
            <v>121.48</v>
          </cell>
          <cell r="J319">
            <v>142.82</v>
          </cell>
          <cell r="K319">
            <v>1428.2</v>
          </cell>
        </row>
        <row r="320">
          <cell r="A320" t="str">
            <v>1.5.7.3</v>
          </cell>
          <cell r="B320" t="str">
            <v>COMP-58084869</v>
          </cell>
          <cell r="C320" t="str">
            <v>PLACA ESMALTADA PARA IDENTIFICAÇÃO NR DE RUA, DIMENSÕES 45X25CM</v>
          </cell>
          <cell r="D320" t="str">
            <v>UND</v>
          </cell>
          <cell r="E320">
            <v>3</v>
          </cell>
          <cell r="F320">
            <v>155.54</v>
          </cell>
          <cell r="G320">
            <v>192.23</v>
          </cell>
          <cell r="H320">
            <v>576.69000000000005</v>
          </cell>
          <cell r="I320">
            <v>156.33000000000001</v>
          </cell>
          <cell r="J320">
            <v>183.8</v>
          </cell>
          <cell r="K320">
            <v>551.4</v>
          </cell>
        </row>
        <row r="321">
          <cell r="A321" t="str">
            <v>1.5.7.4</v>
          </cell>
          <cell r="B321">
            <v>102512</v>
          </cell>
          <cell r="C321" t="str">
            <v>PINTURA DE EIXO VIÁRIO SOBRE ASFALTO COM TINTA RETRORREFLETIVA A BASE DE RESINA ACRÍLICA COM MICROESFERAS DE VIDRO, APLICAÇÃO MECÂNICA COM DEMARCADORA AUTOPROPELIDA. AF_05/2021</v>
          </cell>
          <cell r="D321" t="str">
            <v>M</v>
          </cell>
          <cell r="E321">
            <v>160.07</v>
          </cell>
          <cell r="F321">
            <v>5.22</v>
          </cell>
          <cell r="G321">
            <v>6.45</v>
          </cell>
          <cell r="H321">
            <v>1032.45</v>
          </cell>
          <cell r="I321">
            <v>5.48</v>
          </cell>
          <cell r="J321">
            <v>6.44</v>
          </cell>
          <cell r="K321">
            <v>1030.8499999999999</v>
          </cell>
        </row>
        <row r="322">
          <cell r="A322" t="str">
            <v>1.5.7.5</v>
          </cell>
          <cell r="B322">
            <v>102509</v>
          </cell>
          <cell r="C322" t="str">
            <v>PINTURA DE FAIXA DE PEDESTRE OU ZEBRADA TINTA RETRORREFLETIVA A BASE DE RESINA ACRÍLICA COM MICROESFERAS DE VIDRO, E = 30 CM, APLICAÇÃO MANUAL. AF_05/2021</v>
          </cell>
          <cell r="D322" t="str">
            <v>M2</v>
          </cell>
          <cell r="E322">
            <v>10.76</v>
          </cell>
          <cell r="F322">
            <v>22.91</v>
          </cell>
          <cell r="G322">
            <v>28.31</v>
          </cell>
          <cell r="H322">
            <v>304.62</v>
          </cell>
          <cell r="I322">
            <v>24.15</v>
          </cell>
          <cell r="J322">
            <v>28.39</v>
          </cell>
          <cell r="K322">
            <v>305.48</v>
          </cell>
        </row>
        <row r="323">
          <cell r="A323" t="str">
            <v>1.5.8</v>
          </cell>
          <cell r="B323"/>
          <cell r="C323" t="str">
            <v>ACESSIBILIDADE</v>
          </cell>
          <cell r="D323"/>
          <cell r="E323"/>
          <cell r="F323"/>
          <cell r="G323"/>
          <cell r="H323">
            <v>1477.41</v>
          </cell>
          <cell r="I323"/>
          <cell r="J323"/>
          <cell r="K323">
            <v>1452.88</v>
          </cell>
        </row>
        <row r="324">
          <cell r="A324" t="str">
            <v>1.5.8.1</v>
          </cell>
          <cell r="B324" t="str">
            <v>CP-S12039-81921471</v>
          </cell>
          <cell r="C324" t="str">
            <v>Piso tátil direcional e/ou alerta, de concreto, na cor natural, p/deficientes visuais, dimensões 40x40cm, aplicado com argamassa industrializada ac-ii, rejuntado, exclusive regularização de base</v>
          </cell>
          <cell r="D324" t="str">
            <v>M2</v>
          </cell>
          <cell r="E324">
            <v>11</v>
          </cell>
          <cell r="F324">
            <v>108.67</v>
          </cell>
          <cell r="G324">
            <v>134.31</v>
          </cell>
          <cell r="H324">
            <v>1477.41</v>
          </cell>
          <cell r="I324">
            <v>112.34</v>
          </cell>
          <cell r="J324">
            <v>132.08000000000001</v>
          </cell>
          <cell r="K324">
            <v>1452.88</v>
          </cell>
        </row>
        <row r="325">
          <cell r="A325" t="str">
            <v>1.5.9</v>
          </cell>
          <cell r="B325"/>
          <cell r="C325" t="str">
            <v>MATERIAIS</v>
          </cell>
          <cell r="D325"/>
          <cell r="E325"/>
          <cell r="F325"/>
          <cell r="G325"/>
          <cell r="H325">
            <v>182746.93</v>
          </cell>
          <cell r="I325"/>
          <cell r="J325"/>
          <cell r="K325">
            <v>174208.09</v>
          </cell>
        </row>
        <row r="326">
          <cell r="A326" t="str">
            <v>1.5.9.1</v>
          </cell>
          <cell r="B326">
            <v>10775</v>
          </cell>
          <cell r="C326" t="str">
            <v xml:space="preserve">LOCACAO DE CONTAINER 2,30 X 6,00 M, ALT. 2,50 M, COM 1 SANITARIO, PARA ESCRITORIO, COMPLETO, SEM DIVISORIAS INTERNAS (NAO INCLUI MOBILIZACAO/DESMOBILIZACAO)                                                                                                                                                                                                                                                                                                                                              </v>
          </cell>
          <cell r="D326" t="str">
            <v xml:space="preserve">MES   </v>
          </cell>
          <cell r="E326">
            <v>3</v>
          </cell>
          <cell r="F326">
            <v>830</v>
          </cell>
          <cell r="G326">
            <v>958.32</v>
          </cell>
          <cell r="H326">
            <v>2874.96</v>
          </cell>
          <cell r="I326">
            <v>830</v>
          </cell>
          <cell r="J326">
            <v>913.58</v>
          </cell>
          <cell r="K326">
            <v>2740.74</v>
          </cell>
        </row>
        <row r="327">
          <cell r="A327" t="str">
            <v>1.5.9.2</v>
          </cell>
          <cell r="B327">
            <v>10776</v>
          </cell>
          <cell r="C327" t="str">
            <v xml:space="preserve">LOCACAO DE CONTAINER 2,30 X 6,00 M, ALT. 2,50 M, PARA ESCRITORIO, SEM DIVISORIAS INTERNAS E SEM SANITARIO (NAO INCLUI MOBILIZACAO/DESMOBILIZACAO)                                                                                                                                                                                                                                                                                                                                                         </v>
          </cell>
          <cell r="D327" t="str">
            <v xml:space="preserve">MES   </v>
          </cell>
          <cell r="E327">
            <v>3</v>
          </cell>
          <cell r="F327">
            <v>648.42999999999995</v>
          </cell>
          <cell r="G327">
            <v>748.68</v>
          </cell>
          <cell r="H327">
            <v>2246.04</v>
          </cell>
          <cell r="I327">
            <v>648.42999999999995</v>
          </cell>
          <cell r="J327">
            <v>713.73</v>
          </cell>
          <cell r="K327">
            <v>2141.19</v>
          </cell>
        </row>
        <row r="328">
          <cell r="A328" t="str">
            <v>1.5.9.3</v>
          </cell>
          <cell r="B328">
            <v>36170</v>
          </cell>
          <cell r="C328" t="str">
            <v xml:space="preserve">BLOQUETE/PISO INTERTRAVADO DE CONCRETO - MODELO ONDA/16 FACES/RETANGULAR/TIJOLINHO/PAVER/HOLANDES/PARALELEPIPEDO, *22 CM X 11* CM, E = 8 CM, RESISTENCIA DE 35 MPA (NBR 9781), COR NATURAL                                                                                                                                                                                                                                                                                                                </v>
          </cell>
          <cell r="D328" t="str">
            <v xml:space="preserve">M2    </v>
          </cell>
          <cell r="E328">
            <v>920.11</v>
          </cell>
          <cell r="F328">
            <v>49</v>
          </cell>
          <cell r="G328">
            <v>56.58</v>
          </cell>
          <cell r="H328">
            <v>52059.82</v>
          </cell>
          <cell r="I328">
            <v>49</v>
          </cell>
          <cell r="J328">
            <v>53.93</v>
          </cell>
          <cell r="K328">
            <v>49621.53</v>
          </cell>
        </row>
        <row r="329">
          <cell r="A329" t="str">
            <v>1.5.9.4</v>
          </cell>
          <cell r="B329">
            <v>36154</v>
          </cell>
          <cell r="C329" t="str">
            <v xml:space="preserve">BLOQUETE/PISO INTERTRAVADO DE CONCRETO - MODELO ONDA/16 FACES/RETANGULAR/TIJOLINHO/PAVER/HOLANDES/PARALELEPIPEDO, 20 CM X 10 CM, E = 8 CM, RESISTENCIA DE 35 MPA (NBR 9781), COLORIDO                                                                                                                                                                                                                                                                                                                     </v>
          </cell>
          <cell r="D329" t="str">
            <v xml:space="preserve">M2    </v>
          </cell>
          <cell r="E329">
            <v>425.25</v>
          </cell>
          <cell r="F329">
            <v>53.92</v>
          </cell>
          <cell r="G329">
            <v>62.26</v>
          </cell>
          <cell r="H329">
            <v>26476.07</v>
          </cell>
          <cell r="I329">
            <v>53.92</v>
          </cell>
          <cell r="J329">
            <v>59.35</v>
          </cell>
          <cell r="K329">
            <v>25238.59</v>
          </cell>
        </row>
        <row r="330">
          <cell r="A330" t="str">
            <v>1.5.9.5</v>
          </cell>
          <cell r="B330">
            <v>1518</v>
          </cell>
          <cell r="C330" t="str">
            <v xml:space="preserve">CONCRETO BETUMINOSO USINADO A QUENTE (CBUQ) PARA PAVIMENTACAO ASFALTICA, PADRAO DNIT, FAIXA C, COM CAP 50/70 - AQUISICAO POSTO USINA                                                                                                                                                                                                                                                                                                                                                                      </v>
          </cell>
          <cell r="D330" t="str">
            <v xml:space="preserve">T     </v>
          </cell>
          <cell r="E330">
            <v>52.02</v>
          </cell>
          <cell r="F330">
            <v>522.5</v>
          </cell>
          <cell r="G330">
            <v>603.28</v>
          </cell>
          <cell r="H330">
            <v>31382.63</v>
          </cell>
          <cell r="I330">
            <v>522.5</v>
          </cell>
          <cell r="J330">
            <v>575.12</v>
          </cell>
          <cell r="K330">
            <v>29917.74</v>
          </cell>
        </row>
        <row r="331">
          <cell r="A331" t="str">
            <v>1.5.9.6</v>
          </cell>
          <cell r="B331" t="str">
            <v>M0132</v>
          </cell>
          <cell r="C331" t="str">
            <v xml:space="preserve">	Tubo PEAD corrugado com paredes estruturadas para drenagem - D = 450 mm</v>
          </cell>
          <cell r="D331" t="str">
            <v>M</v>
          </cell>
          <cell r="E331">
            <v>89.77</v>
          </cell>
          <cell r="F331">
            <v>227.86</v>
          </cell>
          <cell r="G331">
            <v>263.08999999999997</v>
          </cell>
          <cell r="H331">
            <v>23617.59</v>
          </cell>
          <cell r="I331">
            <v>227.86</v>
          </cell>
          <cell r="J331">
            <v>250.81</v>
          </cell>
          <cell r="K331">
            <v>22515.21</v>
          </cell>
        </row>
        <row r="332">
          <cell r="A332" t="str">
            <v>1.5.9.7</v>
          </cell>
          <cell r="B332" t="str">
            <v>INS-185032</v>
          </cell>
          <cell r="C332" t="str">
            <v>BRITA GRADUADA SIMPLES (BGS)</v>
          </cell>
          <cell r="D332" t="str">
            <v>M3</v>
          </cell>
          <cell r="E332">
            <v>351.38</v>
          </cell>
          <cell r="F332">
            <v>56.099999999999994</v>
          </cell>
          <cell r="G332">
            <v>64.77</v>
          </cell>
          <cell r="H332">
            <v>22758.880000000001</v>
          </cell>
          <cell r="I332">
            <v>56.099999999999994</v>
          </cell>
          <cell r="J332">
            <v>61.75</v>
          </cell>
          <cell r="K332">
            <v>21697.72</v>
          </cell>
        </row>
        <row r="333">
          <cell r="A333" t="str">
            <v>1.5.9.8</v>
          </cell>
          <cell r="B333" t="str">
            <v>M0808</v>
          </cell>
          <cell r="C333" t="str">
            <v>Brita 4</v>
          </cell>
          <cell r="D333" t="str">
            <v>M3</v>
          </cell>
          <cell r="E333">
            <v>94.58</v>
          </cell>
          <cell r="F333">
            <v>90.74</v>
          </cell>
          <cell r="G333">
            <v>104.77</v>
          </cell>
          <cell r="H333">
            <v>9909.15</v>
          </cell>
          <cell r="I333">
            <v>90.74</v>
          </cell>
          <cell r="J333">
            <v>99.88</v>
          </cell>
          <cell r="K333">
            <v>9446.65</v>
          </cell>
        </row>
        <row r="334">
          <cell r="A334" t="str">
            <v>1.5.9.9</v>
          </cell>
          <cell r="B334" t="str">
            <v>M1135</v>
          </cell>
          <cell r="C334" t="str">
            <v>Pó de pedra</v>
          </cell>
          <cell r="D334" t="str">
            <v>M3</v>
          </cell>
          <cell r="E334">
            <v>10.51</v>
          </cell>
          <cell r="F334">
            <v>74.53</v>
          </cell>
          <cell r="G334">
            <v>86.05</v>
          </cell>
          <cell r="H334">
            <v>904.39</v>
          </cell>
          <cell r="I334">
            <v>74.53</v>
          </cell>
          <cell r="J334">
            <v>82.04</v>
          </cell>
          <cell r="K334">
            <v>862.24</v>
          </cell>
        </row>
        <row r="335">
          <cell r="A335" t="str">
            <v>1.5.9.10</v>
          </cell>
          <cell r="B335">
            <v>34492</v>
          </cell>
          <cell r="C335" t="str">
            <v xml:space="preserve">CONCRETO USINADO BOMBEAVEL, CLASSE DE RESISTENCIA C20, COM BRITA 0 E 1, SLUMP = 100 +/- 20 MM, EXCLUI SERVICO DE BOMBEAMENTO (NBR 8953)                                                                                                                                                                                                                                                                                                                                                                   </v>
          </cell>
          <cell r="D335" t="str">
            <v xml:space="preserve">M3    </v>
          </cell>
          <cell r="E335">
            <v>21.56</v>
          </cell>
          <cell r="F335">
            <v>422.5</v>
          </cell>
          <cell r="G335">
            <v>487.82</v>
          </cell>
          <cell r="H335">
            <v>10517.4</v>
          </cell>
          <cell r="I335">
            <v>422.5</v>
          </cell>
          <cell r="J335">
            <v>465.05</v>
          </cell>
          <cell r="K335">
            <v>10026.48</v>
          </cell>
        </row>
        <row r="336">
          <cell r="A336" t="str">
            <v>1.6</v>
          </cell>
          <cell r="B336"/>
          <cell r="C336" t="str">
            <v>RUA NOVA VIDA - GUARARAPES</v>
          </cell>
          <cell r="D336"/>
          <cell r="E336"/>
          <cell r="F336"/>
          <cell r="G336"/>
          <cell r="H336">
            <v>394703.75</v>
          </cell>
          <cell r="I336"/>
          <cell r="J336"/>
          <cell r="K336">
            <v>384780.74</v>
          </cell>
        </row>
        <row r="337">
          <cell r="A337" t="str">
            <v>1.6.1</v>
          </cell>
          <cell r="B337"/>
          <cell r="C337" t="str">
            <v>INSTALAÇÕES PROVISÓRIAS</v>
          </cell>
          <cell r="D337"/>
          <cell r="E337"/>
          <cell r="F337"/>
          <cell r="G337"/>
          <cell r="H337">
            <v>8115.87</v>
          </cell>
          <cell r="I337"/>
          <cell r="J337"/>
          <cell r="K337">
            <v>7783.05</v>
          </cell>
        </row>
        <row r="338">
          <cell r="A338" t="str">
            <v>1.6.1.1</v>
          </cell>
          <cell r="B338" t="str">
            <v>CP-74209/001-15055090</v>
          </cell>
          <cell r="C338" t="str">
            <v>PLACA DE OBRA EM CHAPA DE ACO GALVANIZADO</v>
          </cell>
          <cell r="D338" t="str">
            <v xml:space="preserve">M2    </v>
          </cell>
          <cell r="E338">
            <v>8</v>
          </cell>
          <cell r="F338">
            <v>558.35</v>
          </cell>
          <cell r="G338">
            <v>690.06</v>
          </cell>
          <cell r="H338">
            <v>5520.48</v>
          </cell>
          <cell r="I338">
            <v>564.99</v>
          </cell>
          <cell r="J338">
            <v>664.26</v>
          </cell>
          <cell r="K338">
            <v>5314.08</v>
          </cell>
        </row>
        <row r="339">
          <cell r="A339" t="str">
            <v>1.6.1.2</v>
          </cell>
          <cell r="B339" t="str">
            <v>COMP-07440249</v>
          </cell>
          <cell r="C339" t="str">
            <v>BANHEIRO QUÍMICO, COM LOCAÇÃO, TRANSPORTE E LIMPEZA</v>
          </cell>
          <cell r="D339" t="str">
            <v>MÊS</v>
          </cell>
          <cell r="E339">
            <v>3</v>
          </cell>
          <cell r="F339">
            <v>700</v>
          </cell>
          <cell r="G339">
            <v>865.13</v>
          </cell>
          <cell r="H339">
            <v>2595.39</v>
          </cell>
          <cell r="I339">
            <v>700</v>
          </cell>
          <cell r="J339">
            <v>822.99</v>
          </cell>
          <cell r="K339">
            <v>2468.9699999999998</v>
          </cell>
        </row>
        <row r="340">
          <cell r="A340" t="str">
            <v>1.6.2</v>
          </cell>
          <cell r="B340"/>
          <cell r="C340" t="str">
            <v>ADMINISTRAÇÃO LOCAL</v>
          </cell>
          <cell r="D340"/>
          <cell r="E340"/>
          <cell r="F340"/>
          <cell r="G340"/>
          <cell r="H340">
            <v>14944.55</v>
          </cell>
          <cell r="I340"/>
          <cell r="J340"/>
          <cell r="K340">
            <v>16378.25</v>
          </cell>
        </row>
        <row r="341">
          <cell r="A341" t="str">
            <v>1.6.2.1</v>
          </cell>
          <cell r="B341">
            <v>93565</v>
          </cell>
          <cell r="C341" t="str">
            <v>ENGENHEIRO CIVIL DE OBRA JUNIOR COM ENCARGOS COMPLEMENTARES</v>
          </cell>
          <cell r="D341" t="str">
            <v>MES</v>
          </cell>
          <cell r="E341">
            <v>0.38</v>
          </cell>
          <cell r="F341">
            <v>14549.96</v>
          </cell>
          <cell r="G341">
            <v>17982.3</v>
          </cell>
          <cell r="H341">
            <v>6833.27</v>
          </cell>
          <cell r="I341">
            <v>16819.14</v>
          </cell>
          <cell r="J341">
            <v>19774.259999999998</v>
          </cell>
          <cell r="K341">
            <v>7514.22</v>
          </cell>
        </row>
        <row r="342">
          <cell r="A342" t="str">
            <v>1.6.2.2</v>
          </cell>
          <cell r="B342">
            <v>93572</v>
          </cell>
          <cell r="C342" t="str">
            <v>ENCARREGADO GERAL DE OBRAS COM ENCARGOS COMPLEMENTARES</v>
          </cell>
          <cell r="D342" t="str">
            <v>MES</v>
          </cell>
          <cell r="E342">
            <v>1.1299999999999999</v>
          </cell>
          <cell r="F342">
            <v>5808.01</v>
          </cell>
          <cell r="G342">
            <v>7178.12</v>
          </cell>
          <cell r="H342">
            <v>8111.28</v>
          </cell>
          <cell r="I342">
            <v>6672</v>
          </cell>
          <cell r="J342">
            <v>7844.27</v>
          </cell>
          <cell r="K342">
            <v>8864.0300000000007</v>
          </cell>
        </row>
        <row r="343">
          <cell r="A343" t="str">
            <v>1.6.3</v>
          </cell>
          <cell r="B343"/>
          <cell r="C343" t="str">
            <v>SERVIÇOS PRELIMINARES</v>
          </cell>
          <cell r="D343"/>
          <cell r="E343"/>
          <cell r="F343"/>
          <cell r="G343"/>
          <cell r="H343">
            <v>4106.9399999999996</v>
          </cell>
          <cell r="I343"/>
          <cell r="J343"/>
          <cell r="K343">
            <v>4094.66</v>
          </cell>
        </row>
        <row r="344">
          <cell r="A344" t="str">
            <v>1.6.3.1</v>
          </cell>
          <cell r="B344">
            <v>99064</v>
          </cell>
          <cell r="C344" t="str">
            <v>LOCAÇÃO DE PAVIMENTAÇÃO. AF_10/2018</v>
          </cell>
          <cell r="D344" t="str">
            <v>M</v>
          </cell>
          <cell r="E344">
            <v>394.19</v>
          </cell>
          <cell r="F344">
            <v>0.43</v>
          </cell>
          <cell r="G344">
            <v>0.53</v>
          </cell>
          <cell r="H344">
            <v>208.92</v>
          </cell>
          <cell r="I344">
            <v>0.49</v>
          </cell>
          <cell r="J344">
            <v>0.57999999999999996</v>
          </cell>
          <cell r="K344">
            <v>228.63</v>
          </cell>
        </row>
        <row r="345">
          <cell r="A345" t="str">
            <v>1.6.3.2</v>
          </cell>
          <cell r="B345" t="str">
            <v>CP-97636-91696385</v>
          </cell>
          <cell r="C345" t="str">
            <v>DEMOLIÇÃO DE PAVIMENTOS DIVERSOS, DE FORMA MECANIZADA, SEM REAPROVEITAMENTO.</v>
          </cell>
          <cell r="D345" t="str">
            <v>M2</v>
          </cell>
          <cell r="E345">
            <v>109.34</v>
          </cell>
          <cell r="F345">
            <v>19.7</v>
          </cell>
          <cell r="G345">
            <v>24.35</v>
          </cell>
          <cell r="H345">
            <v>2662.43</v>
          </cell>
          <cell r="I345">
            <v>20.77</v>
          </cell>
          <cell r="J345">
            <v>24.42</v>
          </cell>
          <cell r="K345">
            <v>2670.08</v>
          </cell>
        </row>
        <row r="346">
          <cell r="A346" t="str">
            <v>1.6.3.3</v>
          </cell>
          <cell r="B346" t="str">
            <v>COMP-35145154</v>
          </cell>
          <cell r="C346" t="str">
            <v>CARGA E DESCARGA MECANICA DE SOLO UTILIZANDO CAMINHAO BASCULANTE 14,0M3/36T E PA CARREGADEIRA SOBRE PNEUS 128 HP, CAPACIDADE DA CAÇAMBA 1,7 A 2,8 M3, PESO OPERACIONAL 11632 KH</v>
          </cell>
          <cell r="D346" t="str">
            <v>M3</v>
          </cell>
          <cell r="E346">
            <v>136.68</v>
          </cell>
          <cell r="F346">
            <v>2.83</v>
          </cell>
          <cell r="G346">
            <v>3.5</v>
          </cell>
          <cell r="H346">
            <v>478.38</v>
          </cell>
          <cell r="I346">
            <v>2.9</v>
          </cell>
          <cell r="J346">
            <v>3.41</v>
          </cell>
          <cell r="K346">
            <v>466.08</v>
          </cell>
        </row>
        <row r="347">
          <cell r="A347" t="str">
            <v>1.6.3.4</v>
          </cell>
          <cell r="B347">
            <v>95876</v>
          </cell>
          <cell r="C347" t="str">
            <v>TRANSPORTE COM CAMINHÃO BASCULANTE DE 14 M³, EM VIA URBANA PAVIMENTADA, DMT ATÉ 30 KM (UNIDADE: M3XKM). AF_07/2020</v>
          </cell>
          <cell r="D347" t="str">
            <v>M3XKM</v>
          </cell>
          <cell r="E347">
            <v>273.36</v>
          </cell>
          <cell r="F347">
            <v>2.2400000000000002</v>
          </cell>
          <cell r="G347">
            <v>2.77</v>
          </cell>
          <cell r="H347">
            <v>757.21</v>
          </cell>
          <cell r="I347">
            <v>2.27</v>
          </cell>
          <cell r="J347">
            <v>2.67</v>
          </cell>
          <cell r="K347">
            <v>729.87</v>
          </cell>
        </row>
        <row r="348">
          <cell r="A348" t="str">
            <v>1.6.4</v>
          </cell>
          <cell r="B348"/>
          <cell r="C348" t="str">
            <v>TERRAPLENAGEM</v>
          </cell>
          <cell r="D348"/>
          <cell r="E348"/>
          <cell r="F348"/>
          <cell r="G348"/>
          <cell r="H348">
            <v>11947.9</v>
          </cell>
          <cell r="I348"/>
          <cell r="J348"/>
          <cell r="K348">
            <v>11573.85</v>
          </cell>
        </row>
        <row r="349">
          <cell r="A349" t="str">
            <v>1.6.4.1</v>
          </cell>
          <cell r="B349" t="str">
            <v>CP-74205/001-17324935</v>
          </cell>
          <cell r="C349" t="str">
            <v>ESCAVAÇÃO MECÂNICA DE MATERIAL 1A. CATEGORIA, PROVENIENTE DE CORTE DE SUBLEITO (C/TRATOR ESTEIRAS  160HP)</v>
          </cell>
          <cell r="D349" t="str">
            <v>M3</v>
          </cell>
          <cell r="E349">
            <v>827.2</v>
          </cell>
          <cell r="F349">
            <v>2.54</v>
          </cell>
          <cell r="G349">
            <v>3.14</v>
          </cell>
          <cell r="H349">
            <v>2597.41</v>
          </cell>
          <cell r="I349">
            <v>2.59</v>
          </cell>
          <cell r="J349">
            <v>3.05</v>
          </cell>
          <cell r="K349">
            <v>2522.96</v>
          </cell>
        </row>
        <row r="350">
          <cell r="A350" t="str">
            <v>1.6.4.2</v>
          </cell>
          <cell r="B350" t="str">
            <v>COMP-35145154</v>
          </cell>
          <cell r="C350" t="str">
            <v>CARGA E DESCARGA MECANICA DE SOLO UTILIZANDO CAMINHAO BASCULANTE 14,0M3/36T E PA CARREGADEIRA SOBRE PNEUS 128 HP, CAPACIDADE DA CAÇAMBA 1,7 A 2,8 M3, PESO OPERACIONAL 11632 KH</v>
          </cell>
          <cell r="D350" t="str">
            <v>M3</v>
          </cell>
          <cell r="E350">
            <v>1033.04</v>
          </cell>
          <cell r="F350">
            <v>2.83</v>
          </cell>
          <cell r="G350">
            <v>3.5</v>
          </cell>
          <cell r="H350">
            <v>3615.64</v>
          </cell>
          <cell r="I350">
            <v>2.9</v>
          </cell>
          <cell r="J350">
            <v>3.41</v>
          </cell>
          <cell r="K350">
            <v>3522.67</v>
          </cell>
        </row>
        <row r="351">
          <cell r="A351" t="str">
            <v>1.6.4.3</v>
          </cell>
          <cell r="B351">
            <v>95876</v>
          </cell>
          <cell r="C351" t="str">
            <v>TRANSPORTE COM CAMINHÃO BASCULANTE DE 14 M³, EM VIA URBANA PAVIMENTADA, DMT ATÉ 30 KM (UNIDADE: M3XKM). AF_07/2020</v>
          </cell>
          <cell r="D351" t="str">
            <v>M3XKM</v>
          </cell>
          <cell r="E351">
            <v>2066.08</v>
          </cell>
          <cell r="F351">
            <v>2.2400000000000002</v>
          </cell>
          <cell r="G351">
            <v>2.77</v>
          </cell>
          <cell r="H351">
            <v>5723.04</v>
          </cell>
          <cell r="I351">
            <v>2.27</v>
          </cell>
          <cell r="J351">
            <v>2.67</v>
          </cell>
          <cell r="K351">
            <v>5516.43</v>
          </cell>
        </row>
        <row r="352">
          <cell r="A352" t="str">
            <v>1.6.4.4</v>
          </cell>
          <cell r="B352">
            <v>96385</v>
          </cell>
          <cell r="C352" t="str">
            <v>EXECUÇÃO E COMPACTAÇÃO DE ATERRO COM SOLO PREDOMINANTEMENTE ARGILOSO - EXCLUSIVE SOLO, ESCAVAÇÃO, CARGA E TRANSPORTE. AF_11/2019</v>
          </cell>
          <cell r="D352" t="str">
            <v>M3</v>
          </cell>
          <cell r="E352">
            <v>0.77</v>
          </cell>
          <cell r="F352">
            <v>12.41</v>
          </cell>
          <cell r="G352">
            <v>15.34</v>
          </cell>
          <cell r="H352">
            <v>11.81</v>
          </cell>
          <cell r="I352">
            <v>13.02</v>
          </cell>
          <cell r="J352">
            <v>15.31</v>
          </cell>
          <cell r="K352">
            <v>11.79</v>
          </cell>
        </row>
        <row r="353">
          <cell r="A353" t="str">
            <v>1.6.5</v>
          </cell>
          <cell r="B353"/>
          <cell r="C353" t="str">
            <v>PAVIMENTAÇÃO</v>
          </cell>
          <cell r="D353"/>
          <cell r="E353"/>
          <cell r="F353"/>
          <cell r="G353"/>
          <cell r="H353">
            <v>123840.87</v>
          </cell>
          <cell r="I353"/>
          <cell r="J353"/>
          <cell r="K353">
            <v>123164.56</v>
          </cell>
        </row>
        <row r="354">
          <cell r="A354" t="str">
            <v>1.6.5.1</v>
          </cell>
          <cell r="B354">
            <v>100576</v>
          </cell>
          <cell r="C354" t="str">
            <v>REGULARIZAÇÃO E COMPACTAÇÃO DE SUBLEITO DE SOLO  PREDOMINANTEMENTE ARGILOSO. AF_11/2019</v>
          </cell>
          <cell r="D354" t="str">
            <v>M2</v>
          </cell>
          <cell r="E354">
            <v>2181.41</v>
          </cell>
          <cell r="F354">
            <v>2.64</v>
          </cell>
          <cell r="G354">
            <v>3.26</v>
          </cell>
          <cell r="H354">
            <v>7111.4</v>
          </cell>
          <cell r="I354">
            <v>2.79</v>
          </cell>
          <cell r="J354">
            <v>3.28</v>
          </cell>
          <cell r="K354">
            <v>7155.02</v>
          </cell>
        </row>
        <row r="355">
          <cell r="A355" t="str">
            <v>1.6.5.2</v>
          </cell>
          <cell r="B355" t="str">
            <v>COMP-28881239</v>
          </cell>
          <cell r="C355" t="str">
            <v>Base ou sub-base de macadame hidráulico com brita comercial - EXCLUSIVE MATERIAL, CARGA E TRANSPORTE - NÃO DESONERADO</v>
          </cell>
          <cell r="D355" t="str">
            <v>M3</v>
          </cell>
          <cell r="E355">
            <v>327.20999999999998</v>
          </cell>
          <cell r="F355">
            <v>11.24</v>
          </cell>
          <cell r="G355">
            <v>13.89</v>
          </cell>
          <cell r="H355">
            <v>4544.95</v>
          </cell>
          <cell r="I355">
            <v>11.4</v>
          </cell>
          <cell r="J355">
            <v>13.4</v>
          </cell>
          <cell r="K355">
            <v>4384.6099999999997</v>
          </cell>
        </row>
        <row r="356">
          <cell r="A356" t="str">
            <v>1.6.5.3</v>
          </cell>
          <cell r="B356" t="str">
            <v>CP-96396-26507981</v>
          </cell>
          <cell r="C356" t="str">
            <v>EXECUÇÃO E COMPACTAÇÃO DE BASE E OU SUB BASE PARA PAVIMENTAÇÃO DE BRITA GRADUADA SIMPLES - EXCLUSIVE MATERIAL, CARGA E TRANSPORTE</v>
          </cell>
          <cell r="D356" t="str">
            <v>M3</v>
          </cell>
          <cell r="E356">
            <v>327.20999999999998</v>
          </cell>
          <cell r="F356">
            <v>13.86</v>
          </cell>
          <cell r="G356">
            <v>17.13</v>
          </cell>
          <cell r="H356">
            <v>5605.11</v>
          </cell>
          <cell r="I356">
            <v>14.44</v>
          </cell>
          <cell r="J356">
            <v>16.98</v>
          </cell>
          <cell r="K356">
            <v>5556.03</v>
          </cell>
        </row>
        <row r="357">
          <cell r="A357" t="str">
            <v>1.6.5.4</v>
          </cell>
          <cell r="B357" t="str">
            <v>COMP-35145154</v>
          </cell>
          <cell r="C357" t="str">
            <v>CARGA E DESCARGA MECANICA DE SOLO UTILIZANDO CAMINHAO BASCULANTE 14,0M3/36T E PA CARREGADEIRA SOBRE PNEUS 128 HP, CAPACIDADE DA CAÇAMBA 1,7 A 2,8 M3, PESO OPERACIONAL 11632 KH</v>
          </cell>
          <cell r="D357" t="str">
            <v>M3</v>
          </cell>
          <cell r="E357">
            <v>818.03</v>
          </cell>
          <cell r="F357">
            <v>2.83</v>
          </cell>
          <cell r="G357">
            <v>3.5</v>
          </cell>
          <cell r="H357">
            <v>2863.11</v>
          </cell>
          <cell r="I357">
            <v>2.9</v>
          </cell>
          <cell r="J357">
            <v>3.41</v>
          </cell>
          <cell r="K357">
            <v>2789.48</v>
          </cell>
        </row>
        <row r="358">
          <cell r="A358" t="str">
            <v>1.6.5.5</v>
          </cell>
          <cell r="B358" t="str">
            <v>COMP-83526730</v>
          </cell>
          <cell r="C358" t="str">
            <v>TRANSPORTE COMERCIAL DE BRITA</v>
          </cell>
          <cell r="D358" t="str">
            <v>M3XKM</v>
          </cell>
          <cell r="E358">
            <v>6217.03</v>
          </cell>
          <cell r="F358">
            <v>1.36</v>
          </cell>
          <cell r="G358">
            <v>1.68</v>
          </cell>
          <cell r="H358">
            <v>10444.61</v>
          </cell>
          <cell r="I358">
            <v>1.37</v>
          </cell>
          <cell r="J358">
            <v>1.61</v>
          </cell>
          <cell r="K358">
            <v>10009.42</v>
          </cell>
        </row>
        <row r="359">
          <cell r="A359" t="str">
            <v>1.6.5.6</v>
          </cell>
          <cell r="B359" t="str">
            <v>CP-92399-27762594</v>
          </cell>
          <cell r="C359" t="str">
            <v>EXECUÇÃO DE VIA EM PISO INTERTRAVADO, COM BLOCO RETANGULAR COR NATURAL/COLORIDO DE 20 X 10 CM, ESPESSURA 8 CM - (SEM O MATERIAL BLOQUETE/PISO INTERTRAVADO)</v>
          </cell>
          <cell r="D359" t="str">
            <v>M2</v>
          </cell>
          <cell r="E359">
            <v>2181.41</v>
          </cell>
          <cell r="F359">
            <v>19.170000000000002</v>
          </cell>
          <cell r="G359">
            <v>23.69</v>
          </cell>
          <cell r="H359">
            <v>51677.599999999999</v>
          </cell>
          <cell r="I359">
            <v>20.41</v>
          </cell>
          <cell r="J359">
            <v>24</v>
          </cell>
          <cell r="K359">
            <v>52353.84</v>
          </cell>
        </row>
        <row r="360">
          <cell r="A360" t="str">
            <v>1.6.5.7</v>
          </cell>
          <cell r="B360">
            <v>94273</v>
          </cell>
          <cell r="C360" t="str">
            <v>ASSENTAMENTO DE GUIA (MEIO-FIO) EM TRECHO RETO, CONFECCIONADA EM CONCRETO PRÉ-FABRICADO, DIMENSÕES 100X15X13X30 CM (COMPRIMENTO X BASE INFERIOR X BASE SUPERIOR X ALTURA), PARA VIAS URBANAS (USO VIÁRIO). AF_06/2016</v>
          </cell>
          <cell r="D360" t="str">
            <v>M</v>
          </cell>
          <cell r="E360">
            <v>616.29999999999995</v>
          </cell>
          <cell r="F360">
            <v>54.61</v>
          </cell>
          <cell r="G360">
            <v>67.489999999999995</v>
          </cell>
          <cell r="H360">
            <v>41594.089999999997</v>
          </cell>
          <cell r="I360">
            <v>56.47</v>
          </cell>
          <cell r="J360">
            <v>66.39</v>
          </cell>
          <cell r="K360">
            <v>40916.160000000003</v>
          </cell>
        </row>
        <row r="361">
          <cell r="A361" t="str">
            <v>1.6.6</v>
          </cell>
          <cell r="B361"/>
          <cell r="C361" t="str">
            <v>DRENAGEM</v>
          </cell>
          <cell r="D361"/>
          <cell r="E361"/>
          <cell r="F361"/>
          <cell r="G361"/>
          <cell r="H361">
            <v>27973.599999999999</v>
          </cell>
          <cell r="I361"/>
          <cell r="J361"/>
          <cell r="K361">
            <v>27518.25</v>
          </cell>
        </row>
        <row r="362">
          <cell r="A362" t="str">
            <v>1.6.6.1</v>
          </cell>
          <cell r="B362">
            <v>93358</v>
          </cell>
          <cell r="C362" t="str">
            <v>ESCAVAÇÃO MANUAL DE VALA COM PROFUNDIDADE MENOR OU IGUAL A 1,30 M. AF_02/2021</v>
          </cell>
          <cell r="D362" t="str">
            <v>M3</v>
          </cell>
          <cell r="E362">
            <v>12.65</v>
          </cell>
          <cell r="F362">
            <v>70.53</v>
          </cell>
          <cell r="G362">
            <v>87.17</v>
          </cell>
          <cell r="H362">
            <v>1102.7</v>
          </cell>
          <cell r="I362">
            <v>78.319999999999993</v>
          </cell>
          <cell r="J362">
            <v>92.08</v>
          </cell>
          <cell r="K362">
            <v>1164.81</v>
          </cell>
        </row>
        <row r="363">
          <cell r="A363" t="str">
            <v>1.6.6.2</v>
          </cell>
          <cell r="B363">
            <v>94974</v>
          </cell>
          <cell r="C363" t="str">
            <v>CONCRETO MAGRO PARA LASTRO, TRAÇO 1:4,5:4,5 (EM MASSA SECA DE CIMENTO/ AREIA MÉDIA/ BRITA 1) - PREPARO MANUAL. AF_05/2021</v>
          </cell>
          <cell r="D363" t="str">
            <v>M3</v>
          </cell>
          <cell r="E363">
            <v>7.91</v>
          </cell>
          <cell r="F363">
            <v>423.75</v>
          </cell>
          <cell r="G363">
            <v>523.71</v>
          </cell>
          <cell r="H363">
            <v>4142.55</v>
          </cell>
          <cell r="I363">
            <v>436.13</v>
          </cell>
          <cell r="J363">
            <v>512.76</v>
          </cell>
          <cell r="K363">
            <v>4055.93</v>
          </cell>
        </row>
        <row r="364">
          <cell r="A364" t="str">
            <v>1.6.6.3</v>
          </cell>
          <cell r="B364">
            <v>94971</v>
          </cell>
          <cell r="C364" t="str">
            <v>CONCRETO FCK = 25MPA, TRAÇO 1:2,3:2,7 (EM MASSA SECA DE CIMENTO/ AREIA MÉDIA/ BRITA 1) - PREPARO MECÂNICO COM BETONEIRA 600 L. AF_05/2021</v>
          </cell>
          <cell r="D364" t="str">
            <v>M3</v>
          </cell>
          <cell r="E364">
            <v>12.65</v>
          </cell>
          <cell r="F364">
            <v>464.88</v>
          </cell>
          <cell r="G364">
            <v>574.54999999999995</v>
          </cell>
          <cell r="H364">
            <v>7268.06</v>
          </cell>
          <cell r="I364">
            <v>472.74</v>
          </cell>
          <cell r="J364">
            <v>555.79999999999995</v>
          </cell>
          <cell r="K364">
            <v>7030.87</v>
          </cell>
        </row>
        <row r="365">
          <cell r="A365" t="str">
            <v>1.6.6.4</v>
          </cell>
          <cell r="B365" t="str">
            <v>CP-74157/004-48264518</v>
          </cell>
          <cell r="C365" t="str">
            <v>LANCAMENTO/APLICACAO MANUAL DE CONCRETO EM FUNDACOES (concreto magro)</v>
          </cell>
          <cell r="D365" t="str">
            <v>M3</v>
          </cell>
          <cell r="E365">
            <v>20.56</v>
          </cell>
          <cell r="F365">
            <v>116.59</v>
          </cell>
          <cell r="G365">
            <v>144.09</v>
          </cell>
          <cell r="H365">
            <v>2962.49</v>
          </cell>
          <cell r="I365">
            <v>129.79</v>
          </cell>
          <cell r="J365">
            <v>152.59</v>
          </cell>
          <cell r="K365">
            <v>3137.25</v>
          </cell>
        </row>
        <row r="366">
          <cell r="A366" t="str">
            <v>1.6.6.5</v>
          </cell>
          <cell r="B366" t="str">
            <v>CP-S03639-45770834</v>
          </cell>
          <cell r="C366" t="str">
            <v>Fornecimento e instalação de tela aço soldada nervurada CA-60, Q-283, malha 10x10cm, ferro 6.02mm (4,48 kg/m2), painel 2,45x6,0m, Telcon ou similar</v>
          </cell>
          <cell r="D366" t="str">
            <v>M2</v>
          </cell>
          <cell r="E366">
            <v>158.12</v>
          </cell>
          <cell r="F366">
            <v>63.95</v>
          </cell>
          <cell r="G366">
            <v>79.040000000000006</v>
          </cell>
          <cell r="H366">
            <v>12497.8</v>
          </cell>
          <cell r="I366">
            <v>65.25</v>
          </cell>
          <cell r="J366">
            <v>76.709999999999994</v>
          </cell>
          <cell r="K366">
            <v>12129.39</v>
          </cell>
        </row>
        <row r="367">
          <cell r="A367" t="str">
            <v>1.6.7</v>
          </cell>
          <cell r="B367"/>
          <cell r="C367" t="str">
            <v>SINALIZAÇÃO</v>
          </cell>
          <cell r="D367"/>
          <cell r="E367"/>
          <cell r="F367"/>
          <cell r="G367"/>
          <cell r="H367">
            <v>2439.71</v>
          </cell>
          <cell r="I367"/>
          <cell r="J367"/>
          <cell r="K367">
            <v>2347.36</v>
          </cell>
        </row>
        <row r="368">
          <cell r="A368" t="str">
            <v>1.6.7.1</v>
          </cell>
          <cell r="B368">
            <v>5213421</v>
          </cell>
          <cell r="C368" t="str">
            <v>Confecção de placa em aço nº 16 galvanizado, com película tipo I + IV</v>
          </cell>
          <cell r="D368" t="str">
            <v xml:space="preserve">M2    </v>
          </cell>
          <cell r="E368">
            <v>2.25</v>
          </cell>
          <cell r="F368">
            <v>343.8</v>
          </cell>
          <cell r="G368">
            <v>424.9</v>
          </cell>
          <cell r="H368">
            <v>956.03</v>
          </cell>
          <cell r="I368">
            <v>347.25</v>
          </cell>
          <cell r="J368">
            <v>408.26</v>
          </cell>
          <cell r="K368">
            <v>918.59</v>
          </cell>
        </row>
        <row r="369">
          <cell r="A369" t="str">
            <v>1.6.7.2</v>
          </cell>
          <cell r="B369">
            <v>5216111</v>
          </cell>
          <cell r="C369" t="str">
            <v>FORNECIMENTO E IMPLANTAÇÃO DE SUPORTE E TRAVESSA PARA PLACA DE SINALIZAÇÃO EM MADEIRA DE LEI TRATADA 8 X 8 CM</v>
          </cell>
          <cell r="D369" t="str">
            <v>UND</v>
          </cell>
          <cell r="E369">
            <v>5</v>
          </cell>
          <cell r="F369">
            <v>119.1379</v>
          </cell>
          <cell r="G369">
            <v>147.24</v>
          </cell>
          <cell r="H369">
            <v>736.2</v>
          </cell>
          <cell r="I369">
            <v>121.48</v>
          </cell>
          <cell r="J369">
            <v>142.82</v>
          </cell>
          <cell r="K369">
            <v>714.1</v>
          </cell>
        </row>
        <row r="370">
          <cell r="A370" t="str">
            <v>1.6.7.3</v>
          </cell>
          <cell r="B370" t="str">
            <v>COMP-58084869</v>
          </cell>
          <cell r="C370" t="str">
            <v>PLACA ESMALTADA PARA IDENTIFICAÇÃO NR DE RUA, DIMENSÕES 45X25CM</v>
          </cell>
          <cell r="D370" t="str">
            <v>UND</v>
          </cell>
          <cell r="E370">
            <v>3</v>
          </cell>
          <cell r="F370">
            <v>155.54</v>
          </cell>
          <cell r="G370">
            <v>192.23</v>
          </cell>
          <cell r="H370">
            <v>576.69000000000005</v>
          </cell>
          <cell r="I370">
            <v>156.33000000000001</v>
          </cell>
          <cell r="J370">
            <v>183.8</v>
          </cell>
          <cell r="K370">
            <v>551.4</v>
          </cell>
        </row>
        <row r="371">
          <cell r="A371" t="str">
            <v>1.6.7.4</v>
          </cell>
          <cell r="B371" t="str">
            <v>CP-72947-21572945</v>
          </cell>
          <cell r="C371" t="str">
            <v>SINALIZACAO HORIZONTAL COM TINTA RETRORREFLETIVA A BASE DE RESINA ACRILICA COM MICROESFERAS DE VIDRO</v>
          </cell>
          <cell r="D371" t="str">
            <v>M2</v>
          </cell>
          <cell r="E371">
            <v>6.84</v>
          </cell>
          <cell r="F371">
            <v>20.2</v>
          </cell>
          <cell r="G371">
            <v>24.97</v>
          </cell>
          <cell r="H371">
            <v>170.79</v>
          </cell>
          <cell r="I371">
            <v>20.3</v>
          </cell>
          <cell r="J371">
            <v>23.87</v>
          </cell>
          <cell r="K371">
            <v>163.27000000000001</v>
          </cell>
        </row>
        <row r="372">
          <cell r="A372" t="str">
            <v>1.6.8</v>
          </cell>
          <cell r="B372"/>
          <cell r="C372" t="str">
            <v>MATERIAIS</v>
          </cell>
          <cell r="D372"/>
          <cell r="E372"/>
          <cell r="F372"/>
          <cell r="G372"/>
          <cell r="H372">
            <v>201334.31</v>
          </cell>
          <cell r="I372"/>
          <cell r="J372"/>
          <cell r="K372">
            <v>191920.76</v>
          </cell>
        </row>
        <row r="373">
          <cell r="A373" t="str">
            <v>1.6.8.1</v>
          </cell>
          <cell r="B373">
            <v>10775</v>
          </cell>
          <cell r="C373" t="str">
            <v xml:space="preserve">LOCACAO DE CONTAINER 2,30 X 6,00 M, ALT. 2,50 M, COM 1 SANITARIO, PARA ESCRITORIO, COMPLETO, SEM DIVISORIAS INTERNAS (NAO INCLUI MOBILIZACAO/DESMOBILIZACAO)                                                                                                                                                                                                                                                                                                                                              </v>
          </cell>
          <cell r="D373" t="str">
            <v xml:space="preserve">MES   </v>
          </cell>
          <cell r="E373">
            <v>3</v>
          </cell>
          <cell r="F373">
            <v>830</v>
          </cell>
          <cell r="G373">
            <v>958.32</v>
          </cell>
          <cell r="H373">
            <v>2874.96</v>
          </cell>
          <cell r="I373">
            <v>830</v>
          </cell>
          <cell r="J373">
            <v>913.58</v>
          </cell>
          <cell r="K373">
            <v>2740.74</v>
          </cell>
        </row>
        <row r="374">
          <cell r="A374" t="str">
            <v>1.6.8.2</v>
          </cell>
          <cell r="B374">
            <v>10776</v>
          </cell>
          <cell r="C374" t="str">
            <v xml:space="preserve">LOCACAO DE CONTAINER 2,30 X 6,00 M, ALT. 2,50 M, PARA ESCRITORIO, SEM DIVISORIAS INTERNAS E SEM SANITARIO (NAO INCLUI MOBILIZACAO/DESMOBILIZACAO)                                                                                                                                                                                                                                                                                                                                                         </v>
          </cell>
          <cell r="D374" t="str">
            <v xml:space="preserve">MES   </v>
          </cell>
          <cell r="E374">
            <v>3</v>
          </cell>
          <cell r="F374">
            <v>648.42999999999995</v>
          </cell>
          <cell r="G374">
            <v>748.68</v>
          </cell>
          <cell r="H374">
            <v>2246.04</v>
          </cell>
          <cell r="I374">
            <v>648.42999999999995</v>
          </cell>
          <cell r="J374">
            <v>713.73</v>
          </cell>
          <cell r="K374">
            <v>2141.19</v>
          </cell>
        </row>
        <row r="375">
          <cell r="A375" t="str">
            <v>1.6.8.3</v>
          </cell>
          <cell r="B375">
            <v>36170</v>
          </cell>
          <cell r="C375" t="str">
            <v xml:space="preserve">BLOQUETE/PISO INTERTRAVADO DE CONCRETO - MODELO ONDA/16 FACES/RETANGULAR/TIJOLINHO/PAVER/HOLANDES/PARALELEPIPEDO, *22 CM X 11* CM, E = 8 CM, RESISTENCIA DE 35 MPA (NBR 9781), COR NATURAL                                                                                                                                                                                                                                                                                                                </v>
          </cell>
          <cell r="D375" t="str">
            <v xml:space="preserve">M2    </v>
          </cell>
          <cell r="E375">
            <v>1709.5</v>
          </cell>
          <cell r="F375">
            <v>49</v>
          </cell>
          <cell r="G375">
            <v>56.58</v>
          </cell>
          <cell r="H375">
            <v>96723.51</v>
          </cell>
          <cell r="I375">
            <v>49</v>
          </cell>
          <cell r="J375">
            <v>53.93</v>
          </cell>
          <cell r="K375">
            <v>92193.34</v>
          </cell>
        </row>
        <row r="376">
          <cell r="A376" t="str">
            <v>1.6.8.4</v>
          </cell>
          <cell r="B376">
            <v>36154</v>
          </cell>
          <cell r="C376" t="str">
            <v xml:space="preserve">BLOQUETE/PISO INTERTRAVADO DE CONCRETO - MODELO ONDA/16 FACES/RETANGULAR/TIJOLINHO/PAVER/HOLANDES/PARALELEPIPEDO, 20 CM X 10 CM, E = 8 CM, RESISTENCIA DE 35 MPA (NBR 9781), COLORIDO                                                                                                                                                                                                                                                                                                                     </v>
          </cell>
          <cell r="D376" t="str">
            <v xml:space="preserve">M2    </v>
          </cell>
          <cell r="E376">
            <v>500.48</v>
          </cell>
          <cell r="F376">
            <v>53.92</v>
          </cell>
          <cell r="G376">
            <v>62.26</v>
          </cell>
          <cell r="H376">
            <v>31159.88</v>
          </cell>
          <cell r="I376">
            <v>53.92</v>
          </cell>
          <cell r="J376">
            <v>59.35</v>
          </cell>
          <cell r="K376">
            <v>29703.49</v>
          </cell>
        </row>
        <row r="377">
          <cell r="A377" t="str">
            <v>1.6.8.5</v>
          </cell>
          <cell r="B377" t="str">
            <v>INS-185032</v>
          </cell>
          <cell r="C377" t="str">
            <v>BRITA GRADUADA SIMPLES (BGS)</v>
          </cell>
          <cell r="D377" t="str">
            <v>M3</v>
          </cell>
          <cell r="E377">
            <v>327.20999999999998</v>
          </cell>
          <cell r="F377">
            <v>56.099999999999994</v>
          </cell>
          <cell r="G377">
            <v>64.77</v>
          </cell>
          <cell r="H377">
            <v>21193.39</v>
          </cell>
          <cell r="I377">
            <v>56.099999999999994</v>
          </cell>
          <cell r="J377">
            <v>61.75</v>
          </cell>
          <cell r="K377">
            <v>20205.22</v>
          </cell>
        </row>
        <row r="378">
          <cell r="A378" t="str">
            <v>1.6.8.6</v>
          </cell>
          <cell r="B378" t="str">
            <v>M0808</v>
          </cell>
          <cell r="C378" t="str">
            <v>Brita 4</v>
          </cell>
          <cell r="D378" t="str">
            <v>M3</v>
          </cell>
          <cell r="E378">
            <v>412.28</v>
          </cell>
          <cell r="F378">
            <v>90.74</v>
          </cell>
          <cell r="G378">
            <v>104.77</v>
          </cell>
          <cell r="H378">
            <v>43194.58</v>
          </cell>
          <cell r="I378">
            <v>90.74</v>
          </cell>
          <cell r="J378">
            <v>99.88</v>
          </cell>
          <cell r="K378">
            <v>41178.53</v>
          </cell>
        </row>
        <row r="379">
          <cell r="A379" t="str">
            <v>1.6.8.7</v>
          </cell>
          <cell r="B379" t="str">
            <v>M1135</v>
          </cell>
          <cell r="C379" t="str">
            <v>Pó de pedra</v>
          </cell>
          <cell r="D379" t="str">
            <v>M3</v>
          </cell>
          <cell r="E379">
            <v>45.81</v>
          </cell>
          <cell r="F379">
            <v>74.53</v>
          </cell>
          <cell r="G379">
            <v>86.05</v>
          </cell>
          <cell r="H379">
            <v>3941.95</v>
          </cell>
          <cell r="I379">
            <v>74.53</v>
          </cell>
          <cell r="J379">
            <v>82.04</v>
          </cell>
          <cell r="K379">
            <v>3758.25</v>
          </cell>
        </row>
        <row r="380">
          <cell r="A380" t="str">
            <v>1.7</v>
          </cell>
          <cell r="B380"/>
          <cell r="C380" t="str">
            <v>RUA VALMIRO PAULO DA SILVA - BARRA DE JANGADA</v>
          </cell>
          <cell r="D380"/>
          <cell r="E380"/>
          <cell r="F380"/>
          <cell r="G380"/>
          <cell r="H380">
            <v>476147.12</v>
          </cell>
          <cell r="I380"/>
          <cell r="J380"/>
          <cell r="K380">
            <v>464222.44</v>
          </cell>
        </row>
        <row r="381">
          <cell r="A381" t="str">
            <v>1.7.1</v>
          </cell>
          <cell r="B381"/>
          <cell r="C381" t="str">
            <v>INSTALAÇÕES PROVISÓRIAS</v>
          </cell>
          <cell r="D381"/>
          <cell r="E381"/>
          <cell r="F381"/>
          <cell r="G381"/>
          <cell r="H381">
            <v>8115.87</v>
          </cell>
          <cell r="I381"/>
          <cell r="J381"/>
          <cell r="K381">
            <v>7783.05</v>
          </cell>
        </row>
        <row r="382">
          <cell r="A382" t="str">
            <v>1.7.1.1</v>
          </cell>
          <cell r="B382" t="str">
            <v>CP-74209/001-15055090</v>
          </cell>
          <cell r="C382" t="str">
            <v>PLACA DE OBRA EM CHAPA DE ACO GALVANIZADO</v>
          </cell>
          <cell r="D382" t="str">
            <v xml:space="preserve">M2    </v>
          </cell>
          <cell r="E382">
            <v>8</v>
          </cell>
          <cell r="F382">
            <v>558.35</v>
          </cell>
          <cell r="G382">
            <v>690.06</v>
          </cell>
          <cell r="H382">
            <v>5520.48</v>
          </cell>
          <cell r="I382">
            <v>564.99</v>
          </cell>
          <cell r="J382">
            <v>664.26</v>
          </cell>
          <cell r="K382">
            <v>5314.08</v>
          </cell>
        </row>
        <row r="383">
          <cell r="A383" t="str">
            <v>1.7.1.2</v>
          </cell>
          <cell r="B383" t="str">
            <v>COMP-07440249</v>
          </cell>
          <cell r="C383" t="str">
            <v>BANHEIRO QUÍMICO, COM LOCAÇÃO, TRANSPORTE E LIMPEZA</v>
          </cell>
          <cell r="D383" t="str">
            <v>MÊS</v>
          </cell>
          <cell r="E383">
            <v>3</v>
          </cell>
          <cell r="F383">
            <v>700</v>
          </cell>
          <cell r="G383">
            <v>865.13</v>
          </cell>
          <cell r="H383">
            <v>2595.39</v>
          </cell>
          <cell r="I383">
            <v>700</v>
          </cell>
          <cell r="J383">
            <v>822.99</v>
          </cell>
          <cell r="K383">
            <v>2468.9699999999998</v>
          </cell>
        </row>
        <row r="384">
          <cell r="A384" t="str">
            <v>1.7.2</v>
          </cell>
          <cell r="B384"/>
          <cell r="C384" t="str">
            <v>ADMINISTRAÇÃO LOCAL</v>
          </cell>
          <cell r="D384"/>
          <cell r="E384"/>
          <cell r="F384"/>
          <cell r="G384"/>
          <cell r="H384">
            <v>17600.45</v>
          </cell>
          <cell r="I384"/>
          <cell r="J384"/>
          <cell r="K384">
            <v>19280.63</v>
          </cell>
        </row>
        <row r="385">
          <cell r="A385" t="str">
            <v>1.7.2.1</v>
          </cell>
          <cell r="B385">
            <v>93565</v>
          </cell>
          <cell r="C385" t="str">
            <v>ENGENHEIRO CIVIL DE OBRA JUNIOR COM ENCARGOS COMPLEMENTARES</v>
          </cell>
          <cell r="D385" t="str">
            <v>MES</v>
          </cell>
          <cell r="E385">
            <v>0.38</v>
          </cell>
          <cell r="F385">
            <v>14549.96</v>
          </cell>
          <cell r="G385">
            <v>17982.3</v>
          </cell>
          <cell r="H385">
            <v>6833.27</v>
          </cell>
          <cell r="I385">
            <v>16819.14</v>
          </cell>
          <cell r="J385">
            <v>19774.259999999998</v>
          </cell>
          <cell r="K385">
            <v>7514.22</v>
          </cell>
        </row>
        <row r="386">
          <cell r="A386" t="str">
            <v>1.7.2.2</v>
          </cell>
          <cell r="B386">
            <v>93572</v>
          </cell>
          <cell r="C386" t="str">
            <v>ENCARREGADO GERAL DE OBRAS COM ENCARGOS COMPLEMENTARES</v>
          </cell>
          <cell r="D386" t="str">
            <v>MES</v>
          </cell>
          <cell r="E386">
            <v>1.5</v>
          </cell>
          <cell r="F386">
            <v>5808.01</v>
          </cell>
          <cell r="G386">
            <v>7178.12</v>
          </cell>
          <cell r="H386">
            <v>10767.18</v>
          </cell>
          <cell r="I386">
            <v>6672</v>
          </cell>
          <cell r="J386">
            <v>7844.27</v>
          </cell>
          <cell r="K386">
            <v>11766.41</v>
          </cell>
        </row>
        <row r="387">
          <cell r="A387" t="str">
            <v>1.7.3</v>
          </cell>
          <cell r="B387"/>
          <cell r="C387" t="str">
            <v>SERVIÇOS PRELIMINARES</v>
          </cell>
          <cell r="D387"/>
          <cell r="E387"/>
          <cell r="F387"/>
          <cell r="G387"/>
          <cell r="H387">
            <v>3363.12</v>
          </cell>
          <cell r="I387"/>
          <cell r="J387"/>
          <cell r="K387">
            <v>3525.39</v>
          </cell>
        </row>
        <row r="388">
          <cell r="A388" t="str">
            <v>1.7.3.1</v>
          </cell>
          <cell r="B388">
            <v>99064</v>
          </cell>
          <cell r="C388" t="str">
            <v>LOCAÇÃO DE PAVIMENTAÇÃO. AF_10/2018</v>
          </cell>
          <cell r="D388" t="str">
            <v>M</v>
          </cell>
          <cell r="E388">
            <v>386.41</v>
          </cell>
          <cell r="F388">
            <v>0.43</v>
          </cell>
          <cell r="G388">
            <v>0.53</v>
          </cell>
          <cell r="H388">
            <v>204.8</v>
          </cell>
          <cell r="I388">
            <v>0.49</v>
          </cell>
          <cell r="J388">
            <v>0.57999999999999996</v>
          </cell>
          <cell r="K388">
            <v>224.12</v>
          </cell>
        </row>
        <row r="389">
          <cell r="A389" t="str">
            <v>1.7.3.2</v>
          </cell>
          <cell r="B389" t="str">
            <v>COMP-17562084</v>
          </cell>
          <cell r="C389" t="str">
            <v>DEMOLIÇÃO MANUAL DE CONCRETO SIMPLES</v>
          </cell>
          <cell r="D389" t="str">
            <v>M3</v>
          </cell>
          <cell r="E389">
            <v>11.59</v>
          </cell>
          <cell r="F389">
            <v>190.89</v>
          </cell>
          <cell r="G389">
            <v>235.92</v>
          </cell>
          <cell r="H389">
            <v>2734.31</v>
          </cell>
          <cell r="I389">
            <v>212.24</v>
          </cell>
          <cell r="J389">
            <v>249.53</v>
          </cell>
          <cell r="K389">
            <v>2892.05</v>
          </cell>
        </row>
        <row r="390">
          <cell r="A390" t="str">
            <v>1.7.3.3</v>
          </cell>
          <cell r="B390" t="str">
            <v>COMP-35145154</v>
          </cell>
          <cell r="C390" t="str">
            <v>CARGA E DESCARGA MECANICA DE SOLO UTILIZANDO CAMINHAO BASCULANTE 14,0M3/36T E PA CARREGADEIRA SOBRE PNEUS 128 HP, CAPACIDADE DA CAÇAMBA 1,7 A 2,8 M3, PESO OPERACIONAL 11632 KH</v>
          </cell>
          <cell r="D390" t="str">
            <v>M3</v>
          </cell>
          <cell r="E390">
            <v>14.49</v>
          </cell>
          <cell r="F390">
            <v>2.83</v>
          </cell>
          <cell r="G390">
            <v>3.5</v>
          </cell>
          <cell r="H390">
            <v>50.72</v>
          </cell>
          <cell r="I390">
            <v>2.9</v>
          </cell>
          <cell r="J390">
            <v>3.41</v>
          </cell>
          <cell r="K390">
            <v>49.41</v>
          </cell>
        </row>
        <row r="391">
          <cell r="A391" t="str">
            <v>1.7.3.4</v>
          </cell>
          <cell r="B391">
            <v>95876</v>
          </cell>
          <cell r="C391" t="str">
            <v>TRANSPORTE COM CAMINHÃO BASCULANTE DE 14 M³, EM VIA URBANA PAVIMENTADA, DMT ATÉ 30 KM (UNIDADE: M3XKM). AF_07/2020</v>
          </cell>
          <cell r="D391" t="str">
            <v>M3XKM</v>
          </cell>
          <cell r="E391">
            <v>134.76</v>
          </cell>
          <cell r="F391">
            <v>2.2400000000000002</v>
          </cell>
          <cell r="G391">
            <v>2.77</v>
          </cell>
          <cell r="H391">
            <v>373.29</v>
          </cell>
          <cell r="I391">
            <v>2.27</v>
          </cell>
          <cell r="J391">
            <v>2.67</v>
          </cell>
          <cell r="K391">
            <v>359.81</v>
          </cell>
        </row>
        <row r="392">
          <cell r="A392" t="str">
            <v>1.7.4</v>
          </cell>
          <cell r="B392"/>
          <cell r="C392" t="str">
            <v>TERRAPLENAGEM</v>
          </cell>
          <cell r="D392"/>
          <cell r="E392"/>
          <cell r="F392"/>
          <cell r="G392"/>
          <cell r="H392">
            <v>14771.19</v>
          </cell>
          <cell r="I392"/>
          <cell r="J392"/>
          <cell r="K392">
            <v>14273.67</v>
          </cell>
        </row>
        <row r="393">
          <cell r="A393" t="str">
            <v>1.7.4.1</v>
          </cell>
          <cell r="B393" t="str">
            <v>CP-74205/001-17324935</v>
          </cell>
          <cell r="C393" t="str">
            <v>ESCAVAÇÃO MECÂNICA DE MATERIAL 1A. CATEGORIA, PROVENIENTE DE CORTE DE SUBLEITO (C/TRATOR ESTEIRAS  160HP)</v>
          </cell>
          <cell r="D393" t="str">
            <v>M3</v>
          </cell>
          <cell r="E393">
            <v>382.45</v>
          </cell>
          <cell r="F393">
            <v>2.54</v>
          </cell>
          <cell r="G393">
            <v>3.14</v>
          </cell>
          <cell r="H393">
            <v>1200.8900000000001</v>
          </cell>
          <cell r="I393">
            <v>2.59</v>
          </cell>
          <cell r="J393">
            <v>3.05</v>
          </cell>
          <cell r="K393">
            <v>1166.47</v>
          </cell>
        </row>
        <row r="394">
          <cell r="A394" t="str">
            <v>1.7.4.2</v>
          </cell>
          <cell r="B394" t="str">
            <v>COMP-35145154</v>
          </cell>
          <cell r="C394" t="str">
            <v>CARGA E DESCARGA MECANICA DE SOLO UTILIZANDO CAMINHAO BASCULANTE 14,0M3/36T E PA CARREGADEIRA SOBRE PNEUS 128 HP, CAPACIDADE DA CAÇAMBA 1,7 A 2,8 M3, PESO OPERACIONAL 11632 KH</v>
          </cell>
          <cell r="D394" t="str">
            <v>M3</v>
          </cell>
          <cell r="E394">
            <v>453.44</v>
          </cell>
          <cell r="F394">
            <v>2.83</v>
          </cell>
          <cell r="G394">
            <v>3.5</v>
          </cell>
          <cell r="H394">
            <v>1587.04</v>
          </cell>
          <cell r="I394">
            <v>2.9</v>
          </cell>
          <cell r="J394">
            <v>3.41</v>
          </cell>
          <cell r="K394">
            <v>1546.23</v>
          </cell>
        </row>
        <row r="395">
          <cell r="A395" t="str">
            <v>1.7.4.3</v>
          </cell>
          <cell r="B395">
            <v>95876</v>
          </cell>
          <cell r="C395" t="str">
            <v>TRANSPORTE COM CAMINHÃO BASCULANTE DE 14 M³, EM VIA URBANA PAVIMENTADA, DMT ATÉ 30 KM (UNIDADE: M3XKM). AF_07/2020</v>
          </cell>
          <cell r="D395" t="str">
            <v>M3XKM</v>
          </cell>
          <cell r="E395">
            <v>4216.99</v>
          </cell>
          <cell r="F395">
            <v>2.2400000000000002</v>
          </cell>
          <cell r="G395">
            <v>2.77</v>
          </cell>
          <cell r="H395">
            <v>11681.06</v>
          </cell>
          <cell r="I395">
            <v>2.27</v>
          </cell>
          <cell r="J395">
            <v>2.67</v>
          </cell>
          <cell r="K395">
            <v>11259.36</v>
          </cell>
        </row>
        <row r="396">
          <cell r="A396" t="str">
            <v>1.7.4.4</v>
          </cell>
          <cell r="B396">
            <v>96385</v>
          </cell>
          <cell r="C396" t="str">
            <v>EXECUÇÃO E COMPACTAÇÃO DE ATERRO COM SOLO PREDOMINANTEMENTE ARGILOSO - EXCLUSIVE SOLO, ESCAVAÇÃO, CARGA E TRANSPORTE. AF_11/2019</v>
          </cell>
          <cell r="D396" t="str">
            <v>M3</v>
          </cell>
          <cell r="E396">
            <v>19.7</v>
          </cell>
          <cell r="F396">
            <v>12.41</v>
          </cell>
          <cell r="G396">
            <v>15.34</v>
          </cell>
          <cell r="H396">
            <v>302.2</v>
          </cell>
          <cell r="I396">
            <v>13.02</v>
          </cell>
          <cell r="J396">
            <v>15.31</v>
          </cell>
          <cell r="K396">
            <v>301.61</v>
          </cell>
        </row>
        <row r="397">
          <cell r="A397" t="str">
            <v>1.7.5</v>
          </cell>
          <cell r="B397"/>
          <cell r="C397" t="str">
            <v>PAVIMENTAÇÃO</v>
          </cell>
          <cell r="D397"/>
          <cell r="E397"/>
          <cell r="F397"/>
          <cell r="G397"/>
          <cell r="H397">
            <v>135388.42000000001</v>
          </cell>
          <cell r="I397"/>
          <cell r="J397"/>
          <cell r="K397">
            <v>134743.32999999999</v>
          </cell>
        </row>
        <row r="398">
          <cell r="A398" t="str">
            <v>1.7.5.1</v>
          </cell>
          <cell r="B398">
            <v>100576</v>
          </cell>
          <cell r="C398" t="str">
            <v>REGULARIZAÇÃO E COMPACTAÇÃO DE SUBLEITO DE SOLO  PREDOMINANTEMENTE ARGILOSO. AF_11/2019</v>
          </cell>
          <cell r="D398" t="str">
            <v>M2</v>
          </cell>
          <cell r="E398">
            <v>2706</v>
          </cell>
          <cell r="F398">
            <v>2.64</v>
          </cell>
          <cell r="G398">
            <v>3.26</v>
          </cell>
          <cell r="H398">
            <v>8821.56</v>
          </cell>
          <cell r="I398">
            <v>2.79</v>
          </cell>
          <cell r="J398">
            <v>3.28</v>
          </cell>
          <cell r="K398">
            <v>8875.68</v>
          </cell>
        </row>
        <row r="399">
          <cell r="A399" t="str">
            <v>1.7.5.2</v>
          </cell>
          <cell r="B399" t="str">
            <v>CP-96396-26507981</v>
          </cell>
          <cell r="C399" t="str">
            <v>EXECUÇÃO E COMPACTAÇÃO DE BASE E OU SUB BASE PARA PAVIMENTAÇÃO DE BRITA GRADUADA SIMPLES - EXCLUSIVE MATERIAL, CARGA E TRANSPORTE</v>
          </cell>
          <cell r="D399" t="str">
            <v>M3</v>
          </cell>
          <cell r="E399">
            <v>345.15</v>
          </cell>
          <cell r="F399">
            <v>13.86</v>
          </cell>
          <cell r="G399">
            <v>17.13</v>
          </cell>
          <cell r="H399">
            <v>5912.42</v>
          </cell>
          <cell r="I399">
            <v>14.44</v>
          </cell>
          <cell r="J399">
            <v>16.98</v>
          </cell>
          <cell r="K399">
            <v>5860.65</v>
          </cell>
        </row>
        <row r="400">
          <cell r="A400" t="str">
            <v>1.7.5.3</v>
          </cell>
          <cell r="B400" t="str">
            <v>COMP-35145154</v>
          </cell>
          <cell r="C400" t="str">
            <v>CARGA E DESCARGA MECANICA DE SOLO UTILIZANDO CAMINHAO BASCULANTE 14,0M3/36T E PA CARREGADEIRA SOBRE PNEUS 128 HP, CAPACIDADE DA CAÇAMBA 1,7 A 2,8 M3, PESO OPERACIONAL 11632 KH</v>
          </cell>
          <cell r="D400" t="str">
            <v>M3</v>
          </cell>
          <cell r="E400">
            <v>431.44</v>
          </cell>
          <cell r="F400">
            <v>2.83</v>
          </cell>
          <cell r="G400">
            <v>3.5</v>
          </cell>
          <cell r="H400">
            <v>1510.04</v>
          </cell>
          <cell r="I400">
            <v>2.9</v>
          </cell>
          <cell r="J400">
            <v>3.41</v>
          </cell>
          <cell r="K400">
            <v>1471.21</v>
          </cell>
        </row>
        <row r="401">
          <cell r="A401" t="str">
            <v>1.7.5.4</v>
          </cell>
          <cell r="B401" t="str">
            <v>COMP-83526730</v>
          </cell>
          <cell r="C401" t="str">
            <v>TRANSPORTE COMERCIAL DE BRITA</v>
          </cell>
          <cell r="D401" t="str">
            <v>M3XKM</v>
          </cell>
          <cell r="E401">
            <v>6299.02</v>
          </cell>
          <cell r="F401">
            <v>1.36</v>
          </cell>
          <cell r="G401">
            <v>1.68</v>
          </cell>
          <cell r="H401">
            <v>10582.35</v>
          </cell>
          <cell r="I401">
            <v>1.37</v>
          </cell>
          <cell r="J401">
            <v>1.61</v>
          </cell>
          <cell r="K401">
            <v>10141.42</v>
          </cell>
        </row>
        <row r="402">
          <cell r="A402" t="str">
            <v>1.7.5.5</v>
          </cell>
          <cell r="B402" t="str">
            <v>CP-92399-27762594</v>
          </cell>
          <cell r="C402" t="str">
            <v>EXECUÇÃO DE VIA EM PISO INTERTRAVADO, COM BLOCO RETANGULAR COR NATURAL/COLORIDO DE 20 X 10 CM, ESPESSURA 8 CM - (SEM O MATERIAL BLOQUETE/PISO INTERTRAVADO)</v>
          </cell>
          <cell r="D402" t="str">
            <v>M2</v>
          </cell>
          <cell r="E402">
            <v>2300.9699999999998</v>
          </cell>
          <cell r="F402">
            <v>19.170000000000002</v>
          </cell>
          <cell r="G402">
            <v>23.69</v>
          </cell>
          <cell r="H402">
            <v>54509.98</v>
          </cell>
          <cell r="I402">
            <v>20.41</v>
          </cell>
          <cell r="J402">
            <v>24</v>
          </cell>
          <cell r="K402">
            <v>55223.28</v>
          </cell>
        </row>
        <row r="403">
          <cell r="A403" t="str">
            <v>1.7.5.6</v>
          </cell>
          <cell r="B403">
            <v>94273</v>
          </cell>
          <cell r="C403" t="str">
            <v>ASSENTAMENTO DE GUIA (MEIO-FIO) EM TRECHO RETO, CONFECCIONADA EM CONCRETO PRÉ-FABRICADO, DIMENSÕES 100X15X13X30 CM (COMPRIMENTO X BASE INFERIOR X BASE SUPERIOR X ALTURA), PARA VIAS URBANAS (USO VIÁRIO). AF_06/2016</v>
          </cell>
          <cell r="D403" t="str">
            <v>M</v>
          </cell>
          <cell r="E403">
            <v>800.89</v>
          </cell>
          <cell r="F403">
            <v>54.61</v>
          </cell>
          <cell r="G403">
            <v>67.489999999999995</v>
          </cell>
          <cell r="H403">
            <v>54052.07</v>
          </cell>
          <cell r="I403">
            <v>56.47</v>
          </cell>
          <cell r="J403">
            <v>66.39</v>
          </cell>
          <cell r="K403">
            <v>53171.09</v>
          </cell>
        </row>
        <row r="404">
          <cell r="A404" t="str">
            <v>1.7.6</v>
          </cell>
          <cell r="B404"/>
          <cell r="C404" t="str">
            <v>DRENAGEM</v>
          </cell>
          <cell r="D404"/>
          <cell r="E404"/>
          <cell r="F404"/>
          <cell r="G404"/>
          <cell r="H404">
            <v>101222.01</v>
          </cell>
          <cell r="I404"/>
          <cell r="J404"/>
          <cell r="K404">
            <v>98051.15</v>
          </cell>
        </row>
        <row r="405">
          <cell r="A405" t="str">
            <v>1.7.6.1</v>
          </cell>
          <cell r="B405">
            <v>94971</v>
          </cell>
          <cell r="C405" t="str">
            <v>CONCRETO FCK = 25MPA, TRAÇO 1:2,3:2,7 (EM MASSA SECA DE CIMENTO/ AREIA MÉDIA/ BRITA 1) - PREPARO MECÂNICO COM BETONEIRA 600 L. AF_05/2021</v>
          </cell>
          <cell r="D405" t="str">
            <v>M3</v>
          </cell>
          <cell r="E405">
            <v>51.61</v>
          </cell>
          <cell r="F405">
            <v>464.88</v>
          </cell>
          <cell r="G405">
            <v>574.54999999999995</v>
          </cell>
          <cell r="H405">
            <v>29652.53</v>
          </cell>
          <cell r="I405">
            <v>472.74</v>
          </cell>
          <cell r="J405">
            <v>555.79999999999995</v>
          </cell>
          <cell r="K405">
            <v>28684.84</v>
          </cell>
        </row>
        <row r="406">
          <cell r="A406" t="str">
            <v>1.7.6.2</v>
          </cell>
          <cell r="B406">
            <v>90091</v>
          </cell>
          <cell r="C406" t="str">
            <v>ESCAVAÇÃO MECANIZADA DE VALA COM PROF. ATÉ 1,5 M (MÉDIA MONTANTE E JUSANTE/UMA COMPOSIÇÃO POR TRECHO), ESCAVADEIRA (0,8 M3), LARG. DE 1,5 M A 2,5 M, EM SOLO DE 1A CATEGORIA, LOCAIS COM BAIXO NÍVEL DE INTERFERÊNCIA. AF_02/2021</v>
          </cell>
          <cell r="D406" t="str">
            <v>M3</v>
          </cell>
          <cell r="E406">
            <v>3.05</v>
          </cell>
          <cell r="F406">
            <v>6.24</v>
          </cell>
          <cell r="G406">
            <v>7.71</v>
          </cell>
          <cell r="H406">
            <v>23.52</v>
          </cell>
          <cell r="I406">
            <v>6.48</v>
          </cell>
          <cell r="J406">
            <v>7.62</v>
          </cell>
          <cell r="K406">
            <v>23.24</v>
          </cell>
        </row>
        <row r="407">
          <cell r="A407" t="str">
            <v>1.7.6.3</v>
          </cell>
          <cell r="B407">
            <v>93367</v>
          </cell>
          <cell r="C407" t="str">
            <v>REATERRO MECANIZADO DE VALA COM ESCAVADEIRA HIDRÁULICA (CAPACIDADE DA CAÇAMBA: 0,8 M³ / POTÊNCIA: 111 HP), LARGURA DE 1,5 A 2,5 M, PROFUNDIDADE ATÉ 1,5 M, COM SOLO DE 1ª CATEGORIA EM LOCAIS COM BAIXO NÍVEL DE INTERFERÊNCIA. AF_04/2016</v>
          </cell>
          <cell r="D407" t="str">
            <v>M3</v>
          </cell>
          <cell r="E407">
            <v>1.1399999999999999</v>
          </cell>
          <cell r="F407">
            <v>22.53</v>
          </cell>
          <cell r="G407">
            <v>27.84</v>
          </cell>
          <cell r="H407">
            <v>31.74</v>
          </cell>
          <cell r="I407">
            <v>23.75</v>
          </cell>
          <cell r="J407">
            <v>27.92</v>
          </cell>
          <cell r="K407">
            <v>31.83</v>
          </cell>
        </row>
        <row r="408">
          <cell r="A408" t="str">
            <v>1.7.6.4</v>
          </cell>
          <cell r="B408" t="str">
            <v>COMP-35145154</v>
          </cell>
          <cell r="C408" t="str">
            <v>CARGA E DESCARGA MECANICA DE SOLO UTILIZANDO CAMINHAO BASCULANTE 14,0M3/36T E PA CARREGADEIRA SOBRE PNEUS 128 HP, CAPACIDADE DA CAÇAMBA 1,7 A 2,8 M3, PESO OPERACIONAL 11632 KH</v>
          </cell>
          <cell r="D408" t="str">
            <v>M3</v>
          </cell>
          <cell r="E408">
            <v>2.39</v>
          </cell>
          <cell r="F408">
            <v>2.83</v>
          </cell>
          <cell r="G408">
            <v>3.5</v>
          </cell>
          <cell r="H408">
            <v>8.3699999999999992</v>
          </cell>
          <cell r="I408">
            <v>2.9</v>
          </cell>
          <cell r="J408">
            <v>3.41</v>
          </cell>
          <cell r="K408">
            <v>8.15</v>
          </cell>
        </row>
        <row r="409">
          <cell r="A409" t="str">
            <v>1.7.6.5</v>
          </cell>
          <cell r="B409">
            <v>95876</v>
          </cell>
          <cell r="C409" t="str">
            <v>TRANSPORTE COM CAMINHÃO BASCULANTE DE 14 M³, EM VIA URBANA PAVIMENTADA, DMT ATÉ 30 KM (UNIDADE: M3XKM). AF_07/2020</v>
          </cell>
          <cell r="D409" t="str">
            <v>M3XKM</v>
          </cell>
          <cell r="E409">
            <v>22.23</v>
          </cell>
          <cell r="F409">
            <v>2.2400000000000002</v>
          </cell>
          <cell r="G409">
            <v>2.77</v>
          </cell>
          <cell r="H409">
            <v>61.58</v>
          </cell>
          <cell r="I409">
            <v>2.27</v>
          </cell>
          <cell r="J409">
            <v>2.67</v>
          </cell>
          <cell r="K409">
            <v>59.35</v>
          </cell>
        </row>
        <row r="410">
          <cell r="A410" t="str">
            <v>1.7.6.6</v>
          </cell>
          <cell r="B410">
            <v>94974</v>
          </cell>
          <cell r="C410" t="str">
            <v>CONCRETO MAGRO PARA LASTRO, TRAÇO 1:4,5:4,5 (EM MASSA SECA DE CIMENTO/ AREIA MÉDIA/ BRITA 1) - PREPARO MANUAL. AF_05/2021</v>
          </cell>
          <cell r="D410" t="str">
            <v>M3</v>
          </cell>
          <cell r="E410">
            <v>0.52</v>
          </cell>
          <cell r="F410">
            <v>423.75</v>
          </cell>
          <cell r="G410">
            <v>523.71</v>
          </cell>
          <cell r="H410">
            <v>272.33</v>
          </cell>
          <cell r="I410">
            <v>436.13</v>
          </cell>
          <cell r="J410">
            <v>512.76</v>
          </cell>
          <cell r="K410">
            <v>266.64</v>
          </cell>
        </row>
        <row r="411">
          <cell r="A411" t="str">
            <v>1.7.6.7</v>
          </cell>
          <cell r="B411">
            <v>92771</v>
          </cell>
          <cell r="C411" t="str">
            <v>ARMAÇÃO DE LAJE DE ESTRUTURA CONVENCIONAL DE CONCRETO ARMADO UTILIZANDO AÇO CA-50 DE 10,0 MM - MONTAGEM. AF_06/2022</v>
          </cell>
          <cell r="D411" t="str">
            <v>KG</v>
          </cell>
          <cell r="E411">
            <v>3357.7</v>
          </cell>
          <cell r="F411">
            <v>15.04</v>
          </cell>
          <cell r="G411">
            <v>18.59</v>
          </cell>
          <cell r="H411">
            <v>62419.64</v>
          </cell>
          <cell r="I411">
            <v>15.14</v>
          </cell>
          <cell r="J411">
            <v>17.8</v>
          </cell>
          <cell r="K411">
            <v>59767.06</v>
          </cell>
        </row>
        <row r="412">
          <cell r="A412" t="str">
            <v>1.7.6.8</v>
          </cell>
          <cell r="B412" t="str">
            <v>CP-92268-29291149</v>
          </cell>
          <cell r="C412" t="str">
            <v>FABRICAÇÃO DE FÔRMA PARA LAJES, EM CHAPA DE MADEIRA COMPENSADA PLASTIFICADA, E = 18 MM - EXCLUINDO O PAINEL DE MADEIRA COMPENSADA PLASTIFICADA DE 2200 x 1100 MM, E = *17* MM</v>
          </cell>
          <cell r="D412" t="str">
            <v>M2</v>
          </cell>
          <cell r="E412">
            <v>243.02</v>
          </cell>
          <cell r="F412">
            <v>0.98</v>
          </cell>
          <cell r="G412">
            <v>1.21</v>
          </cell>
          <cell r="H412">
            <v>294.05</v>
          </cell>
          <cell r="I412">
            <v>1.1000000000000001</v>
          </cell>
          <cell r="J412">
            <v>1.29</v>
          </cell>
          <cell r="K412">
            <v>313.5</v>
          </cell>
        </row>
        <row r="413">
          <cell r="A413" t="str">
            <v>1.7.6.9</v>
          </cell>
          <cell r="B413">
            <v>103320</v>
          </cell>
          <cell r="C413" t="str">
            <v>ALVENARIA DE VEDAÇÃO DE BLOCOS VAZADOS DE CONCRETO DE 19X19X39 CM (ESPESSURA 19 CM) E ARGAMASSA DE ASSENTAMENTO COM PREPARO EM BETONEIRA. AF_12/2021</v>
          </cell>
          <cell r="D413" t="str">
            <v>M2</v>
          </cell>
          <cell r="E413">
            <v>4.04</v>
          </cell>
          <cell r="F413">
            <v>101.36</v>
          </cell>
          <cell r="G413">
            <v>125.27</v>
          </cell>
          <cell r="H413">
            <v>506.09</v>
          </cell>
          <cell r="I413">
            <v>105.62</v>
          </cell>
          <cell r="J413">
            <v>124.18</v>
          </cell>
          <cell r="K413">
            <v>501.69</v>
          </cell>
        </row>
        <row r="414">
          <cell r="A414" t="str">
            <v>1.7.6.10</v>
          </cell>
          <cell r="B414">
            <v>87879</v>
          </cell>
          <cell r="C414" t="str">
            <v>CHAPISCO APLICADO EM ALVENARIAS E ESTRUTURAS DE CONCRETO INTERNAS, COM COLHER DE PEDREIRO.  ARGAMASSA TRAÇO 1:3 COM PREPARO EM BETONEIRA 400L. AF_06/2014</v>
          </cell>
          <cell r="D414" t="str">
            <v>M2</v>
          </cell>
          <cell r="E414">
            <v>4.04</v>
          </cell>
          <cell r="F414">
            <v>3.85</v>
          </cell>
          <cell r="G414">
            <v>4.76</v>
          </cell>
          <cell r="H414">
            <v>19.23</v>
          </cell>
          <cell r="I414">
            <v>4.0999999999999996</v>
          </cell>
          <cell r="J414">
            <v>4.82</v>
          </cell>
          <cell r="K414">
            <v>19.47</v>
          </cell>
        </row>
        <row r="415">
          <cell r="A415" t="str">
            <v>1.7.6.11</v>
          </cell>
          <cell r="B415">
            <v>87547</v>
          </cell>
          <cell r="C415" t="str">
            <v>MASSA ÚNICA, PARA RECEBIMENTO DE PINTURA, EM ARGAMASSA TRAÇO 1:2:8, PREPARO MECÂNICO COM BETONEIRA 400L, APLICADA MANUALMENTE EM FACES INTERNAS DE PAREDES, ESPESSURA DE 10MM, COM EXECUÇÃO DE TALISCAS. AF_06/2014</v>
          </cell>
          <cell r="D415" t="str">
            <v>M2</v>
          </cell>
          <cell r="E415">
            <v>4.04</v>
          </cell>
          <cell r="F415">
            <v>23.35</v>
          </cell>
          <cell r="G415">
            <v>28.86</v>
          </cell>
          <cell r="H415">
            <v>116.59</v>
          </cell>
          <cell r="I415">
            <v>24.83</v>
          </cell>
          <cell r="J415">
            <v>29.19</v>
          </cell>
          <cell r="K415">
            <v>117.93</v>
          </cell>
        </row>
        <row r="416">
          <cell r="A416" t="str">
            <v>1.7.6.12</v>
          </cell>
          <cell r="B416">
            <v>94975</v>
          </cell>
          <cell r="C416" t="str">
            <v>CONCRETO FCK = 15MPA, TRAÇO 1:3,4:3,5 (EM MASSA SECA DE CIMENTO/ AREIA MÉDIA/ BRITA 1) - PREPARO MANUAL. AF_05/2021</v>
          </cell>
          <cell r="D416" t="str">
            <v>M3</v>
          </cell>
          <cell r="E416">
            <v>0.43</v>
          </cell>
          <cell r="F416">
            <v>457.19</v>
          </cell>
          <cell r="G416">
            <v>565.04</v>
          </cell>
          <cell r="H416">
            <v>242.97</v>
          </cell>
          <cell r="I416">
            <v>469.42</v>
          </cell>
          <cell r="J416">
            <v>551.9</v>
          </cell>
          <cell r="K416">
            <v>237.32</v>
          </cell>
        </row>
        <row r="417">
          <cell r="A417" t="str">
            <v>1.7.6.13</v>
          </cell>
          <cell r="B417" t="str">
            <v>CP-74157/004-48264518</v>
          </cell>
          <cell r="C417" t="str">
            <v>LANCAMENTO/APLICACAO MANUAL DE CONCRETO EM FUNDACOES (concreto magro)</v>
          </cell>
          <cell r="D417" t="str">
            <v>M3</v>
          </cell>
          <cell r="E417">
            <v>52.56</v>
          </cell>
          <cell r="F417">
            <v>116.59</v>
          </cell>
          <cell r="G417">
            <v>144.09</v>
          </cell>
          <cell r="H417">
            <v>7573.37</v>
          </cell>
          <cell r="I417">
            <v>129.79</v>
          </cell>
          <cell r="J417">
            <v>152.59</v>
          </cell>
          <cell r="K417">
            <v>8020.13</v>
          </cell>
        </row>
        <row r="418">
          <cell r="A418" t="str">
            <v>1.7.7</v>
          </cell>
          <cell r="B418"/>
          <cell r="C418" t="str">
            <v>SINALIZAÇÃO</v>
          </cell>
          <cell r="D418"/>
          <cell r="E418"/>
          <cell r="F418"/>
          <cell r="G418"/>
          <cell r="H418">
            <v>3135.65</v>
          </cell>
          <cell r="I418"/>
          <cell r="J418"/>
          <cell r="K418">
            <v>3015.71</v>
          </cell>
        </row>
        <row r="419">
          <cell r="A419" t="str">
            <v>1.7.7.1</v>
          </cell>
          <cell r="B419">
            <v>5213421</v>
          </cell>
          <cell r="C419" t="str">
            <v>Confecção de placa em aço nº 16 galvanizado, com película tipo I + IV</v>
          </cell>
          <cell r="D419" t="str">
            <v xml:space="preserve">M2    </v>
          </cell>
          <cell r="E419">
            <v>2.7</v>
          </cell>
          <cell r="F419">
            <v>343.8</v>
          </cell>
          <cell r="G419">
            <v>424.9</v>
          </cell>
          <cell r="H419">
            <v>1147.23</v>
          </cell>
          <cell r="I419">
            <v>347.25</v>
          </cell>
          <cell r="J419">
            <v>408.26</v>
          </cell>
          <cell r="K419">
            <v>1102.3</v>
          </cell>
        </row>
        <row r="420">
          <cell r="A420" t="str">
            <v>1.7.7.2</v>
          </cell>
          <cell r="B420">
            <v>5216111</v>
          </cell>
          <cell r="C420" t="str">
            <v>FORNECIMENTO E IMPLANTAÇÃO DE SUPORTE E TRAVESSA PARA PLACA DE SINALIZAÇÃO EM MADEIRA DE LEI TRATADA 8 X 8 CM</v>
          </cell>
          <cell r="D420" t="str">
            <v>UND</v>
          </cell>
          <cell r="E420">
            <v>6</v>
          </cell>
          <cell r="F420">
            <v>119.1379</v>
          </cell>
          <cell r="G420">
            <v>147.24</v>
          </cell>
          <cell r="H420">
            <v>883.44</v>
          </cell>
          <cell r="I420">
            <v>121.48</v>
          </cell>
          <cell r="J420">
            <v>142.82</v>
          </cell>
          <cell r="K420">
            <v>856.92</v>
          </cell>
        </row>
        <row r="421">
          <cell r="A421" t="str">
            <v>1.7.7.3</v>
          </cell>
          <cell r="B421" t="str">
            <v>COMP-58084869</v>
          </cell>
          <cell r="C421" t="str">
            <v>PLACA ESMALTADA PARA IDENTIFICAÇÃO NR DE RUA, DIMENSÕES 45X25CM</v>
          </cell>
          <cell r="D421" t="str">
            <v>UND</v>
          </cell>
          <cell r="E421">
            <v>5</v>
          </cell>
          <cell r="F421">
            <v>155.54</v>
          </cell>
          <cell r="G421">
            <v>192.23</v>
          </cell>
          <cell r="H421">
            <v>961.15</v>
          </cell>
          <cell r="I421">
            <v>156.33000000000001</v>
          </cell>
          <cell r="J421">
            <v>183.8</v>
          </cell>
          <cell r="K421">
            <v>919</v>
          </cell>
        </row>
        <row r="422">
          <cell r="A422" t="str">
            <v>1.7.7.4</v>
          </cell>
          <cell r="B422" t="str">
            <v>CP-72947-21572945</v>
          </cell>
          <cell r="C422" t="str">
            <v>SINALIZACAO HORIZONTAL COM TINTA RETRORREFLETIVA A BASE DE RESINA ACRILICA COM MICROESFERAS DE VIDRO</v>
          </cell>
          <cell r="D422" t="str">
            <v>M2</v>
          </cell>
          <cell r="E422">
            <v>5.76</v>
          </cell>
          <cell r="F422">
            <v>20.2</v>
          </cell>
          <cell r="G422">
            <v>24.97</v>
          </cell>
          <cell r="H422">
            <v>143.83000000000001</v>
          </cell>
          <cell r="I422">
            <v>20.3</v>
          </cell>
          <cell r="J422">
            <v>23.87</v>
          </cell>
          <cell r="K422">
            <v>137.49</v>
          </cell>
        </row>
        <row r="423">
          <cell r="A423" t="str">
            <v>1.7.8</v>
          </cell>
          <cell r="B423"/>
          <cell r="C423" t="str">
            <v>MATERIAIS</v>
          </cell>
          <cell r="D423"/>
          <cell r="E423"/>
          <cell r="F423"/>
          <cell r="G423"/>
          <cell r="H423">
            <v>192550.41</v>
          </cell>
          <cell r="I423"/>
          <cell r="J423"/>
          <cell r="K423">
            <v>183549.51</v>
          </cell>
        </row>
        <row r="424">
          <cell r="A424" t="str">
            <v>1.7.8.1</v>
          </cell>
          <cell r="B424">
            <v>10775</v>
          </cell>
          <cell r="C424" t="str">
            <v xml:space="preserve">LOCACAO DE CONTAINER 2,30 X 6,00 M, ALT. 2,50 M, COM 1 SANITARIO, PARA ESCRITORIO, COMPLETO, SEM DIVISORIAS INTERNAS (NAO INCLUI MOBILIZACAO/DESMOBILIZACAO)                                                                                                                                                                                                                                                                                                                                              </v>
          </cell>
          <cell r="D424" t="str">
            <v xml:space="preserve">MES   </v>
          </cell>
          <cell r="E424">
            <v>3</v>
          </cell>
          <cell r="F424">
            <v>830</v>
          </cell>
          <cell r="G424">
            <v>958.32</v>
          </cell>
          <cell r="H424">
            <v>2874.96</v>
          </cell>
          <cell r="I424">
            <v>830</v>
          </cell>
          <cell r="J424">
            <v>913.58</v>
          </cell>
          <cell r="K424">
            <v>2740.74</v>
          </cell>
        </row>
        <row r="425">
          <cell r="A425" t="str">
            <v>1.7.8.2</v>
          </cell>
          <cell r="B425">
            <v>10776</v>
          </cell>
          <cell r="C425" t="str">
            <v xml:space="preserve">LOCACAO DE CONTAINER 2,30 X 6,00 M, ALT. 2,50 M, PARA ESCRITORIO, SEM DIVISORIAS INTERNAS E SEM SANITARIO (NAO INCLUI MOBILIZACAO/DESMOBILIZACAO)                                                                                                                                                                                                                                                                                                                                                         </v>
          </cell>
          <cell r="D425" t="str">
            <v xml:space="preserve">MES   </v>
          </cell>
          <cell r="E425">
            <v>3</v>
          </cell>
          <cell r="F425">
            <v>648.42999999999995</v>
          </cell>
          <cell r="G425">
            <v>748.68</v>
          </cell>
          <cell r="H425">
            <v>2246.04</v>
          </cell>
          <cell r="I425">
            <v>648.42999999999995</v>
          </cell>
          <cell r="J425">
            <v>713.73</v>
          </cell>
          <cell r="K425">
            <v>2141.19</v>
          </cell>
        </row>
        <row r="426">
          <cell r="A426" t="str">
            <v>1.7.8.3</v>
          </cell>
          <cell r="B426">
            <v>36170</v>
          </cell>
          <cell r="C426" t="str">
            <v xml:space="preserve">BLOQUETE/PISO INTERTRAVADO DE CONCRETO - MODELO ONDA/16 FACES/RETANGULAR/TIJOLINHO/PAVER/HOLANDES/PARALELEPIPEDO, *22 CM X 11* CM, E = 8 CM, RESISTENCIA DE 35 MPA (NBR 9781), COR NATURAL                                                                                                                                                                                                                                                                                                                </v>
          </cell>
          <cell r="D426" t="str">
            <v xml:space="preserve">M2    </v>
          </cell>
          <cell r="E426">
            <v>1385.89</v>
          </cell>
          <cell r="F426">
            <v>49</v>
          </cell>
          <cell r="G426">
            <v>56.58</v>
          </cell>
          <cell r="H426">
            <v>78413.66</v>
          </cell>
          <cell r="I426">
            <v>49</v>
          </cell>
          <cell r="J426">
            <v>53.93</v>
          </cell>
          <cell r="K426">
            <v>74741.05</v>
          </cell>
        </row>
        <row r="427">
          <cell r="A427" t="str">
            <v>1.7.8.4</v>
          </cell>
          <cell r="B427">
            <v>36154</v>
          </cell>
          <cell r="C427" t="str">
            <v xml:space="preserve">BLOQUETE/PISO INTERTRAVADO DE CONCRETO - MODELO ONDA/16 FACES/RETANGULAR/TIJOLINHO/PAVER/HOLANDES/PARALELEPIPEDO, 20 CM X 10 CM, E = 8 CM, RESISTENCIA DE 35 MPA (NBR 9781), COLORIDO                                                                                                                                                                                                                                                                                                                     </v>
          </cell>
          <cell r="D427" t="str">
            <v xml:space="preserve">M2    </v>
          </cell>
          <cell r="E427">
            <v>945.22</v>
          </cell>
          <cell r="F427">
            <v>53.92</v>
          </cell>
          <cell r="G427">
            <v>62.26</v>
          </cell>
          <cell r="H427">
            <v>58849.4</v>
          </cell>
          <cell r="I427">
            <v>53.92</v>
          </cell>
          <cell r="J427">
            <v>59.35</v>
          </cell>
          <cell r="K427">
            <v>56098.81</v>
          </cell>
        </row>
        <row r="428">
          <cell r="A428" t="str">
            <v>1.7.8.5</v>
          </cell>
          <cell r="B428" t="str">
            <v>INS-185032</v>
          </cell>
          <cell r="C428" t="str">
            <v>BRITA GRADUADA SIMPLES (BGS)</v>
          </cell>
          <cell r="D428" t="str">
            <v>M3</v>
          </cell>
          <cell r="E428">
            <v>345.15</v>
          </cell>
          <cell r="F428">
            <v>56.099999999999994</v>
          </cell>
          <cell r="G428">
            <v>64.77</v>
          </cell>
          <cell r="H428">
            <v>22355.37</v>
          </cell>
          <cell r="I428">
            <v>56.099999999999994</v>
          </cell>
          <cell r="J428">
            <v>61.75</v>
          </cell>
          <cell r="K428">
            <v>21313.01</v>
          </cell>
        </row>
        <row r="429">
          <cell r="A429" t="str">
            <v>1.7.8.6</v>
          </cell>
          <cell r="B429">
            <v>1345</v>
          </cell>
          <cell r="C429" t="str">
            <v xml:space="preserve">CHAPA/PAINEL DE MADEIRA COMPENSADA PLASTIFICADA (MADEIRITE PLASTIFICADO) PARA FORMA DE CONCRETO, DE 2200 x 1100 MM, E = *17* MM                                                                                                                                                                                                                                                                                                                                                                           </v>
          </cell>
          <cell r="D429" t="str">
            <v xml:space="preserve">M2    </v>
          </cell>
          <cell r="E429">
            <v>255.17</v>
          </cell>
          <cell r="F429">
            <v>94.4</v>
          </cell>
          <cell r="G429">
            <v>108.99</v>
          </cell>
          <cell r="H429">
            <v>27810.98</v>
          </cell>
          <cell r="I429">
            <v>94.4</v>
          </cell>
          <cell r="J429">
            <v>103.91</v>
          </cell>
          <cell r="K429">
            <v>26514.71</v>
          </cell>
        </row>
        <row r="430">
          <cell r="A430" t="str">
            <v>1.8</v>
          </cell>
          <cell r="B430"/>
          <cell r="C430" t="str">
            <v>RUA MOEDA DE BRONZE - JABOATÃO CENTRO</v>
          </cell>
          <cell r="D430"/>
          <cell r="E430"/>
          <cell r="F430"/>
          <cell r="G430"/>
          <cell r="H430">
            <v>600328.26</v>
          </cell>
          <cell r="I430"/>
          <cell r="J430"/>
          <cell r="K430">
            <v>586818.35</v>
          </cell>
        </row>
        <row r="431">
          <cell r="A431" t="str">
            <v>1.8.1</v>
          </cell>
          <cell r="B431"/>
          <cell r="C431" t="str">
            <v>INSTALAÇÕES PROVISÓRIAS</v>
          </cell>
          <cell r="D431"/>
          <cell r="E431"/>
          <cell r="F431"/>
          <cell r="G431"/>
          <cell r="H431">
            <v>8981</v>
          </cell>
          <cell r="I431"/>
          <cell r="J431"/>
          <cell r="K431">
            <v>8606.0400000000009</v>
          </cell>
        </row>
        <row r="432">
          <cell r="A432" t="str">
            <v>1.8.1.1</v>
          </cell>
          <cell r="B432" t="str">
            <v>CP-74209/001-15055090</v>
          </cell>
          <cell r="C432" t="str">
            <v>PLACA DE OBRA EM CHAPA DE ACO GALVANIZADO</v>
          </cell>
          <cell r="D432" t="str">
            <v xml:space="preserve">M2    </v>
          </cell>
          <cell r="E432">
            <v>8</v>
          </cell>
          <cell r="F432">
            <v>558.35</v>
          </cell>
          <cell r="G432">
            <v>690.06</v>
          </cell>
          <cell r="H432">
            <v>5520.48</v>
          </cell>
          <cell r="I432">
            <v>564.99</v>
          </cell>
          <cell r="J432">
            <v>664.26</v>
          </cell>
          <cell r="K432">
            <v>5314.08</v>
          </cell>
        </row>
        <row r="433">
          <cell r="A433" t="str">
            <v>1.8.1.2</v>
          </cell>
          <cell r="B433" t="str">
            <v>COMP-07440249</v>
          </cell>
          <cell r="C433" t="str">
            <v>BANHEIRO QUÍMICO, COM LOCAÇÃO, TRANSPORTE E LIMPEZA</v>
          </cell>
          <cell r="D433" t="str">
            <v>MÊS</v>
          </cell>
          <cell r="E433">
            <v>4</v>
          </cell>
          <cell r="F433">
            <v>700</v>
          </cell>
          <cell r="G433">
            <v>865.13</v>
          </cell>
          <cell r="H433">
            <v>3460.52</v>
          </cell>
          <cell r="I433">
            <v>700</v>
          </cell>
          <cell r="J433">
            <v>822.99</v>
          </cell>
          <cell r="K433">
            <v>3291.96</v>
          </cell>
        </row>
        <row r="434">
          <cell r="A434" t="str">
            <v>1.8.2</v>
          </cell>
          <cell r="B434"/>
          <cell r="C434" t="str">
            <v>ADMINISTRAÇÃO LOCAL</v>
          </cell>
          <cell r="D434"/>
          <cell r="E434"/>
          <cell r="F434"/>
          <cell r="G434"/>
          <cell r="H434">
            <v>23347.39</v>
          </cell>
          <cell r="I434"/>
          <cell r="J434"/>
          <cell r="K434">
            <v>25575.67</v>
          </cell>
        </row>
        <row r="435">
          <cell r="A435" t="str">
            <v>1.8.2.1</v>
          </cell>
          <cell r="B435">
            <v>93565</v>
          </cell>
          <cell r="C435" t="str">
            <v>ENGENHEIRO CIVIL DE OBRA JUNIOR COM ENCARGOS COMPLEMENTARES</v>
          </cell>
          <cell r="D435" t="str">
            <v>MES</v>
          </cell>
          <cell r="E435">
            <v>0.5</v>
          </cell>
          <cell r="F435">
            <v>14549.96</v>
          </cell>
          <cell r="G435">
            <v>17982.3</v>
          </cell>
          <cell r="H435">
            <v>8991.15</v>
          </cell>
          <cell r="I435">
            <v>16819.14</v>
          </cell>
          <cell r="J435">
            <v>19774.259999999998</v>
          </cell>
          <cell r="K435">
            <v>9887.1299999999992</v>
          </cell>
        </row>
        <row r="436">
          <cell r="A436" t="str">
            <v>1.8.2.2</v>
          </cell>
          <cell r="B436">
            <v>93572</v>
          </cell>
          <cell r="C436" t="str">
            <v>ENCARREGADO GERAL DE OBRAS COM ENCARGOS COMPLEMENTARES</v>
          </cell>
          <cell r="D436" t="str">
            <v>MES</v>
          </cell>
          <cell r="E436">
            <v>2</v>
          </cell>
          <cell r="F436">
            <v>5808.01</v>
          </cell>
          <cell r="G436">
            <v>7178.12</v>
          </cell>
          <cell r="H436">
            <v>14356.24</v>
          </cell>
          <cell r="I436">
            <v>6672</v>
          </cell>
          <cell r="J436">
            <v>7844.27</v>
          </cell>
          <cell r="K436">
            <v>15688.54</v>
          </cell>
        </row>
        <row r="437">
          <cell r="A437" t="str">
            <v>1.8.3</v>
          </cell>
          <cell r="B437"/>
          <cell r="C437" t="str">
            <v>SERVIÇOS PRELIMINARES</v>
          </cell>
          <cell r="D437"/>
          <cell r="E437"/>
          <cell r="F437"/>
          <cell r="G437"/>
          <cell r="H437">
            <v>2917.6</v>
          </cell>
          <cell r="I437"/>
          <cell r="J437"/>
          <cell r="K437">
            <v>3040.82</v>
          </cell>
        </row>
        <row r="438">
          <cell r="A438" t="str">
            <v>1.8.3.1</v>
          </cell>
          <cell r="B438">
            <v>99064</v>
          </cell>
          <cell r="C438" t="str">
            <v>LOCAÇÃO DE PAVIMENTAÇÃO. AF_10/2018</v>
          </cell>
          <cell r="D438" t="str">
            <v>M</v>
          </cell>
          <cell r="E438">
            <v>413.1</v>
          </cell>
          <cell r="F438">
            <v>0.43</v>
          </cell>
          <cell r="G438">
            <v>0.53</v>
          </cell>
          <cell r="H438">
            <v>218.94</v>
          </cell>
          <cell r="I438">
            <v>0.49</v>
          </cell>
          <cell r="J438">
            <v>0.57999999999999996</v>
          </cell>
          <cell r="K438">
            <v>239.6</v>
          </cell>
        </row>
        <row r="439">
          <cell r="A439" t="str">
            <v>1.8.3.2</v>
          </cell>
          <cell r="B439" t="str">
            <v>COMP-17562084</v>
          </cell>
          <cell r="C439" t="str">
            <v>DEMOLIÇÃO MANUAL DE CONCRETO SIMPLES</v>
          </cell>
          <cell r="D439" t="str">
            <v>M3</v>
          </cell>
          <cell r="E439">
            <v>9.02</v>
          </cell>
          <cell r="F439">
            <v>190.89</v>
          </cell>
          <cell r="G439">
            <v>235.92</v>
          </cell>
          <cell r="H439">
            <v>2128</v>
          </cell>
          <cell r="I439">
            <v>212.24</v>
          </cell>
          <cell r="J439">
            <v>249.53</v>
          </cell>
          <cell r="K439">
            <v>2250.7600000000002</v>
          </cell>
        </row>
        <row r="440">
          <cell r="A440" t="str">
            <v>1.8.3.3</v>
          </cell>
          <cell r="B440" t="str">
            <v>COMP-35145154</v>
          </cell>
          <cell r="C440" t="str">
            <v>CARGA E DESCARGA MECANICA DE SOLO UTILIZANDO CAMINHAO BASCULANTE 14,0M3/36T E PA CARREGADEIRA SOBRE PNEUS 128 HP, CAPACIDADE DA CAÇAMBA 1,7 A 2,8 M3, PESO OPERACIONAL 11632 KH</v>
          </cell>
          <cell r="D440" t="str">
            <v>M3</v>
          </cell>
          <cell r="E440">
            <v>11.28</v>
          </cell>
          <cell r="F440">
            <v>2.83</v>
          </cell>
          <cell r="G440">
            <v>3.5</v>
          </cell>
          <cell r="H440">
            <v>39.479999999999997</v>
          </cell>
          <cell r="I440">
            <v>2.9</v>
          </cell>
          <cell r="J440">
            <v>3.41</v>
          </cell>
          <cell r="K440">
            <v>38.46</v>
          </cell>
        </row>
        <row r="441">
          <cell r="A441" t="str">
            <v>1.8.3.4</v>
          </cell>
          <cell r="B441">
            <v>95876</v>
          </cell>
          <cell r="C441" t="str">
            <v>TRANSPORTE COM CAMINHÃO BASCULANTE DE 14 M³, EM VIA URBANA PAVIMENTADA, DMT ATÉ 30 KM (UNIDADE: M3XKM). AF_07/2020</v>
          </cell>
          <cell r="D441" t="str">
            <v>M3XKM</v>
          </cell>
          <cell r="E441">
            <v>191.76</v>
          </cell>
          <cell r="F441">
            <v>2.2400000000000002</v>
          </cell>
          <cell r="G441">
            <v>2.77</v>
          </cell>
          <cell r="H441">
            <v>531.17999999999995</v>
          </cell>
          <cell r="I441">
            <v>2.27</v>
          </cell>
          <cell r="J441">
            <v>2.67</v>
          </cell>
          <cell r="K441">
            <v>512</v>
          </cell>
        </row>
        <row r="442">
          <cell r="A442" t="str">
            <v>1.8.4</v>
          </cell>
          <cell r="B442"/>
          <cell r="C442" t="str">
            <v>TERRAPLENAGEM</v>
          </cell>
          <cell r="D442"/>
          <cell r="E442"/>
          <cell r="F442"/>
          <cell r="G442"/>
          <cell r="H442">
            <v>37000.129999999997</v>
          </cell>
          <cell r="I442"/>
          <cell r="J442"/>
          <cell r="K442">
            <v>35713.35</v>
          </cell>
        </row>
        <row r="443">
          <cell r="A443" t="str">
            <v>1.8.4.1</v>
          </cell>
          <cell r="B443" t="str">
            <v>CP-74205/001-17324935</v>
          </cell>
          <cell r="C443" t="str">
            <v>ESCAVAÇÃO MECÂNICA DE MATERIAL 1A. CATEGORIA, PROVENIENTE DE CORTE DE SUBLEITO (C/TRATOR ESTEIRAS  160HP)</v>
          </cell>
          <cell r="D443" t="str">
            <v>M3</v>
          </cell>
          <cell r="E443">
            <v>571.91999999999996</v>
          </cell>
          <cell r="F443">
            <v>2.54</v>
          </cell>
          <cell r="G443">
            <v>3.14</v>
          </cell>
          <cell r="H443">
            <v>1795.83</v>
          </cell>
          <cell r="I443">
            <v>2.59</v>
          </cell>
          <cell r="J443">
            <v>3.05</v>
          </cell>
          <cell r="K443">
            <v>1744.36</v>
          </cell>
        </row>
        <row r="444">
          <cell r="A444" t="str">
            <v>1.8.4.2</v>
          </cell>
          <cell r="B444" t="str">
            <v>COMP-35145154</v>
          </cell>
          <cell r="C444" t="str">
            <v>CARGA E DESCARGA MECANICA DE SOLO UTILIZANDO CAMINHAO BASCULANTE 14,0M3/36T E PA CARREGADEIRA SOBRE PNEUS 128 HP, CAPACIDADE DA CAÇAMBA 1,7 A 2,8 M3, PESO OPERACIONAL 11632 KH</v>
          </cell>
          <cell r="D444" t="str">
            <v>M3</v>
          </cell>
          <cell r="E444">
            <v>689.78</v>
          </cell>
          <cell r="F444">
            <v>2.83</v>
          </cell>
          <cell r="G444">
            <v>3.5</v>
          </cell>
          <cell r="H444">
            <v>2414.23</v>
          </cell>
          <cell r="I444">
            <v>2.9</v>
          </cell>
          <cell r="J444">
            <v>3.41</v>
          </cell>
          <cell r="K444">
            <v>2352.15</v>
          </cell>
        </row>
        <row r="445">
          <cell r="A445" t="str">
            <v>1.8.4.3</v>
          </cell>
          <cell r="B445">
            <v>95876</v>
          </cell>
          <cell r="C445" t="str">
            <v>TRANSPORTE COM CAMINHÃO BASCULANTE DE 14 M³, EM VIA URBANA PAVIMENTADA, DMT ATÉ 30 KM (UNIDADE: M3XKM). AF_07/2020</v>
          </cell>
          <cell r="D445" t="str">
            <v>M3XKM</v>
          </cell>
          <cell r="E445">
            <v>11726.26</v>
          </cell>
          <cell r="F445">
            <v>2.2400000000000002</v>
          </cell>
          <cell r="G445">
            <v>2.77</v>
          </cell>
          <cell r="H445">
            <v>32481.74</v>
          </cell>
          <cell r="I445">
            <v>2.27</v>
          </cell>
          <cell r="J445">
            <v>2.67</v>
          </cell>
          <cell r="K445">
            <v>31309.11</v>
          </cell>
        </row>
        <row r="446">
          <cell r="A446" t="str">
            <v>1.8.4.4</v>
          </cell>
          <cell r="B446">
            <v>96385</v>
          </cell>
          <cell r="C446" t="str">
            <v>EXECUÇÃO E COMPACTAÇÃO DE ATERRO COM SOLO PREDOMINANTEMENTE ARGILOSO - EXCLUSIVE SOLO, ESCAVAÇÃO, CARGA E TRANSPORTE. AF_11/2019</v>
          </cell>
          <cell r="D446" t="str">
            <v>M3</v>
          </cell>
          <cell r="E446">
            <v>20.100000000000001</v>
          </cell>
          <cell r="F446">
            <v>12.41</v>
          </cell>
          <cell r="G446">
            <v>15.34</v>
          </cell>
          <cell r="H446">
            <v>308.33</v>
          </cell>
          <cell r="I446">
            <v>13.02</v>
          </cell>
          <cell r="J446">
            <v>15.31</v>
          </cell>
          <cell r="K446">
            <v>307.73</v>
          </cell>
        </row>
        <row r="447">
          <cell r="A447" t="str">
            <v>1.8.5</v>
          </cell>
          <cell r="B447"/>
          <cell r="C447" t="str">
            <v>PAVIMENTAÇÃO</v>
          </cell>
          <cell r="D447"/>
          <cell r="E447"/>
          <cell r="F447"/>
          <cell r="G447"/>
          <cell r="H447">
            <v>139032.89000000001</v>
          </cell>
          <cell r="I447"/>
          <cell r="J447"/>
          <cell r="K447">
            <v>138021.14000000001</v>
          </cell>
        </row>
        <row r="448">
          <cell r="A448" t="str">
            <v>1.8.5.1</v>
          </cell>
          <cell r="B448">
            <v>100576</v>
          </cell>
          <cell r="C448" t="str">
            <v>REGULARIZAÇÃO E COMPACTAÇÃO DE SUBLEITO DE SOLO  PREDOMINANTEMENTE ARGILOSO. AF_11/2019</v>
          </cell>
          <cell r="D448" t="str">
            <v>M2</v>
          </cell>
          <cell r="E448">
            <v>2252.38</v>
          </cell>
          <cell r="F448">
            <v>2.64</v>
          </cell>
          <cell r="G448">
            <v>3.26</v>
          </cell>
          <cell r="H448">
            <v>7342.76</v>
          </cell>
          <cell r="I448">
            <v>2.79</v>
          </cell>
          <cell r="J448">
            <v>3.28</v>
          </cell>
          <cell r="K448">
            <v>7387.81</v>
          </cell>
        </row>
        <row r="449">
          <cell r="A449" t="str">
            <v>1.8.5.2</v>
          </cell>
          <cell r="B449" t="str">
            <v>CP-96396-26507981</v>
          </cell>
          <cell r="C449" t="str">
            <v>EXECUÇÃO E COMPACTAÇÃO DE BASE E OU SUB BASE PARA PAVIMENTAÇÃO DE BRITA GRADUADA SIMPLES - EXCLUSIVE MATERIAL, CARGA E TRANSPORTE</v>
          </cell>
          <cell r="D449" t="str">
            <v>M3</v>
          </cell>
          <cell r="E449">
            <v>503.55</v>
          </cell>
          <cell r="F449">
            <v>13.86</v>
          </cell>
          <cell r="G449">
            <v>17.13</v>
          </cell>
          <cell r="H449">
            <v>8625.81</v>
          </cell>
          <cell r="I449">
            <v>14.44</v>
          </cell>
          <cell r="J449">
            <v>16.98</v>
          </cell>
          <cell r="K449">
            <v>8550.2800000000007</v>
          </cell>
        </row>
        <row r="450">
          <cell r="A450" t="str">
            <v>1.8.5.3</v>
          </cell>
          <cell r="B450" t="str">
            <v>COMP-35145154</v>
          </cell>
          <cell r="C450" t="str">
            <v>CARGA E DESCARGA MECANICA DE SOLO UTILIZANDO CAMINHAO BASCULANTE 14,0M3/36T E PA CARREGADEIRA SOBRE PNEUS 128 HP, CAPACIDADE DA CAÇAMBA 1,7 A 2,8 M3, PESO OPERACIONAL 11632 KH</v>
          </cell>
          <cell r="D450" t="str">
            <v>M3</v>
          </cell>
          <cell r="E450">
            <v>629.44000000000005</v>
          </cell>
          <cell r="F450">
            <v>2.83</v>
          </cell>
          <cell r="G450">
            <v>3.5</v>
          </cell>
          <cell r="H450">
            <v>2203.04</v>
          </cell>
          <cell r="I450">
            <v>2.9</v>
          </cell>
          <cell r="J450">
            <v>3.41</v>
          </cell>
          <cell r="K450">
            <v>2146.39</v>
          </cell>
        </row>
        <row r="451">
          <cell r="A451" t="str">
            <v>1.8.5.4</v>
          </cell>
          <cell r="B451" t="str">
            <v>COMP-83526730</v>
          </cell>
          <cell r="C451" t="str">
            <v>TRANSPORTE COMERCIAL DE BRITA</v>
          </cell>
          <cell r="D451" t="str">
            <v>M3XKM</v>
          </cell>
          <cell r="E451">
            <v>8497.44</v>
          </cell>
          <cell r="F451">
            <v>1.36</v>
          </cell>
          <cell r="G451">
            <v>1.68</v>
          </cell>
          <cell r="H451">
            <v>14275.7</v>
          </cell>
          <cell r="I451">
            <v>1.37</v>
          </cell>
          <cell r="J451">
            <v>1.61</v>
          </cell>
          <cell r="K451">
            <v>13680.88</v>
          </cell>
        </row>
        <row r="452">
          <cell r="A452" t="str">
            <v>1.8.5.5</v>
          </cell>
          <cell r="B452" t="str">
            <v>CP-92399-27762594</v>
          </cell>
          <cell r="C452" t="str">
            <v>EXECUÇÃO DE VIA EM PISO INTERTRAVADO, COM BLOCO RETANGULAR COR NATURAL/COLORIDO DE 20 X 10 CM, ESPESSURA 8 CM - (SEM O MATERIAL BLOQUETE/PISO INTERTRAVADO)</v>
          </cell>
          <cell r="D452" t="str">
            <v>M2</v>
          </cell>
          <cell r="E452">
            <v>2014.17</v>
          </cell>
          <cell r="F452">
            <v>19.170000000000002</v>
          </cell>
          <cell r="G452">
            <v>23.69</v>
          </cell>
          <cell r="H452">
            <v>47715.69</v>
          </cell>
          <cell r="I452">
            <v>20.41</v>
          </cell>
          <cell r="J452">
            <v>24</v>
          </cell>
          <cell r="K452">
            <v>48340.08</v>
          </cell>
        </row>
        <row r="453">
          <cell r="A453" t="str">
            <v>1.8.5.6</v>
          </cell>
          <cell r="B453">
            <v>94273</v>
          </cell>
          <cell r="C453" t="str">
            <v>ASSENTAMENTO DE GUIA (MEIO-FIO) EM TRECHO RETO, CONFECCIONADA EM CONCRETO PRÉ-FABRICADO, DIMENSÕES 100X15X13X30 CM (COMPRIMENTO X BASE INFERIOR X BASE SUPERIOR X ALTURA), PARA VIAS URBANAS (USO VIÁRIO). AF_06/2016</v>
          </cell>
          <cell r="D453" t="str">
            <v>M</v>
          </cell>
          <cell r="E453">
            <v>855.19</v>
          </cell>
          <cell r="F453">
            <v>54.61</v>
          </cell>
          <cell r="G453">
            <v>67.489999999999995</v>
          </cell>
          <cell r="H453">
            <v>57716.77</v>
          </cell>
          <cell r="I453">
            <v>56.47</v>
          </cell>
          <cell r="J453">
            <v>66.39</v>
          </cell>
          <cell r="K453">
            <v>56776.06</v>
          </cell>
        </row>
        <row r="454">
          <cell r="A454" t="str">
            <v>1.8.5.7</v>
          </cell>
          <cell r="B454">
            <v>94274</v>
          </cell>
          <cell r="C454" t="str">
            <v>ASSENTAMENTO DE GUIA (MEIO-FIO) EM TRECHO CURVO, CONFECCIONADA EM CONCRETO PRÉ-FABRICADO, DIMENSÕES 100X15X13X30 CM (COMPRIMENTO X BASE INFERIOR X BASE SUPERIOR X ALTURA), PARA VIAS URBANAS (USO VIÁRIO). AF_06/2016</v>
          </cell>
          <cell r="D454" t="str">
            <v>M</v>
          </cell>
          <cell r="E454">
            <v>16.04</v>
          </cell>
          <cell r="F454">
            <v>58.17</v>
          </cell>
          <cell r="G454">
            <v>71.89</v>
          </cell>
          <cell r="H454">
            <v>1153.1199999999999</v>
          </cell>
          <cell r="I454">
            <v>60.43</v>
          </cell>
          <cell r="J454">
            <v>71.05</v>
          </cell>
          <cell r="K454">
            <v>1139.6400000000001</v>
          </cell>
        </row>
        <row r="455">
          <cell r="A455" t="str">
            <v>1.8.6</v>
          </cell>
          <cell r="B455"/>
          <cell r="C455" t="str">
            <v>DRENAGEM</v>
          </cell>
          <cell r="D455"/>
          <cell r="E455"/>
          <cell r="F455"/>
          <cell r="G455"/>
          <cell r="H455">
            <v>168455.53</v>
          </cell>
          <cell r="I455"/>
          <cell r="J455"/>
          <cell r="K455">
            <v>165553.24</v>
          </cell>
        </row>
        <row r="456">
          <cell r="A456" t="str">
            <v>1.8.6.1</v>
          </cell>
          <cell r="B456">
            <v>93358</v>
          </cell>
          <cell r="C456" t="str">
            <v>ESCAVAÇÃO MANUAL DE VALA COM PROFUNDIDADE MENOR OU IGUAL A 1,30 M. AF_02/2021</v>
          </cell>
          <cell r="D456" t="str">
            <v>M3</v>
          </cell>
          <cell r="E456">
            <v>6.02</v>
          </cell>
          <cell r="F456">
            <v>70.53</v>
          </cell>
          <cell r="G456">
            <v>87.17</v>
          </cell>
          <cell r="H456">
            <v>524.76</v>
          </cell>
          <cell r="I456">
            <v>78.319999999999993</v>
          </cell>
          <cell r="J456">
            <v>92.08</v>
          </cell>
          <cell r="K456">
            <v>554.32000000000005</v>
          </cell>
        </row>
        <row r="457">
          <cell r="A457" t="str">
            <v>1.8.6.2</v>
          </cell>
          <cell r="B457">
            <v>90091</v>
          </cell>
          <cell r="C457" t="str">
            <v>ESCAVAÇÃO MECANIZADA DE VALA COM PROF. ATÉ 1,5 M (MÉDIA MONTANTE E JUSANTE/UMA COMPOSIÇÃO POR TRECHO), ESCAVADEIRA (0,8 M3), LARG. DE 1,5 M A 2,5 M, EM SOLO DE 1A CATEGORIA, LOCAIS COM BAIXO NÍVEL DE INTERFERÊNCIA. AF_02/2021</v>
          </cell>
          <cell r="D457" t="str">
            <v>M3</v>
          </cell>
          <cell r="E457">
            <v>83.79</v>
          </cell>
          <cell r="F457">
            <v>6.24</v>
          </cell>
          <cell r="G457">
            <v>7.71</v>
          </cell>
          <cell r="H457">
            <v>646.02</v>
          </cell>
          <cell r="I457">
            <v>6.48</v>
          </cell>
          <cell r="J457">
            <v>7.62</v>
          </cell>
          <cell r="K457">
            <v>638.48</v>
          </cell>
        </row>
        <row r="458">
          <cell r="A458" t="str">
            <v>1.8.6.3</v>
          </cell>
          <cell r="B458">
            <v>90106</v>
          </cell>
          <cell r="C458" t="str">
            <v>ESCAVAÇÃO MECANIZADA DE VALA COM PROFUNDIDADE ATÉ 1,5 M (MÉDIA MONTANTE E JUSANTE/UMA COMPOSIÇÃO POR TRECHO), RETROESCAV. (0,26 M3), LARGURA DE 0,8 M A 1,5 M, EM SOLO DE 1A CATEGORIA, LOCAIS COM BAIXO NÍVEL DE INTERFERÊNCIA. AF_02/2021</v>
          </cell>
          <cell r="D458" t="str">
            <v>M3</v>
          </cell>
          <cell r="E458">
            <v>62.48</v>
          </cell>
          <cell r="F458">
            <v>8.15</v>
          </cell>
          <cell r="G458">
            <v>10.07</v>
          </cell>
          <cell r="H458">
            <v>629.16999999999996</v>
          </cell>
          <cell r="I458">
            <v>8.5399999999999991</v>
          </cell>
          <cell r="J458">
            <v>10.039999999999999</v>
          </cell>
          <cell r="K458">
            <v>627.29999999999995</v>
          </cell>
        </row>
        <row r="459">
          <cell r="A459" t="str">
            <v>1.8.6.4</v>
          </cell>
          <cell r="B459">
            <v>93367</v>
          </cell>
          <cell r="C459" t="str">
            <v>REATERRO MECANIZADO DE VALA COM ESCAVADEIRA HIDRÁULICA (CAPACIDADE DA CAÇAMBA: 0,8 M³ / POTÊNCIA: 111 HP), LARGURA DE 1,5 A 2,5 M, PROFUNDIDADE ATÉ 1,5 M, COM SOLO DE 1ª CATEGORIA EM LOCAIS COM BAIXO NÍVEL DE INTERFERÊNCIA. AF_04/2016</v>
          </cell>
          <cell r="D459" t="str">
            <v>M3</v>
          </cell>
          <cell r="E459">
            <v>33.979999999999997</v>
          </cell>
          <cell r="F459">
            <v>22.53</v>
          </cell>
          <cell r="G459">
            <v>27.84</v>
          </cell>
          <cell r="H459">
            <v>946</v>
          </cell>
          <cell r="I459">
            <v>23.75</v>
          </cell>
          <cell r="J459">
            <v>27.92</v>
          </cell>
          <cell r="K459">
            <v>948.72</v>
          </cell>
        </row>
        <row r="460">
          <cell r="A460" t="str">
            <v>1.8.6.5</v>
          </cell>
          <cell r="B460">
            <v>93379</v>
          </cell>
          <cell r="C460" t="str">
            <v>REATERRO MECANIZADO DE VALA COM RETROESCAVADEIRA (CAPACIDADE DA CAÇAMBA DA RETRO: 0,26 M³ / POTÊNCIA: 88 HP), LARGURA DE 0,8 A 1,5 M, PROFUNDIDADE ATÉ 1,5 M, COM SOLO DE 1ª CATEGORIA EM LOCAIS COM BAIXO NÍVEL DE INTERFERÊNCIA. AF_04/2016</v>
          </cell>
          <cell r="D460" t="str">
            <v>M3</v>
          </cell>
          <cell r="E460">
            <v>41.82</v>
          </cell>
          <cell r="F460">
            <v>21.03</v>
          </cell>
          <cell r="G460">
            <v>25.99</v>
          </cell>
          <cell r="H460">
            <v>1086.9000000000001</v>
          </cell>
          <cell r="I460">
            <v>22.62</v>
          </cell>
          <cell r="J460">
            <v>26.59</v>
          </cell>
          <cell r="K460">
            <v>1111.99</v>
          </cell>
        </row>
        <row r="461">
          <cell r="A461" t="str">
            <v>1.8.6.6</v>
          </cell>
          <cell r="B461" t="str">
            <v>COMP-35145154</v>
          </cell>
          <cell r="C461" t="str">
            <v>CARGA E DESCARGA MECANICA DE SOLO UTILIZANDO CAMINHAO BASCULANTE 14,0M3/36T E PA CARREGADEIRA SOBRE PNEUS 128 HP, CAPACIDADE DA CAÇAMBA 1,7 A 2,8 M3, PESO OPERACIONAL 11632 KH</v>
          </cell>
          <cell r="D461" t="str">
            <v>M3</v>
          </cell>
          <cell r="E461">
            <v>88.09</v>
          </cell>
          <cell r="F461">
            <v>2.83</v>
          </cell>
          <cell r="G461">
            <v>3.5</v>
          </cell>
          <cell r="H461">
            <v>308.32</v>
          </cell>
          <cell r="I461">
            <v>2.9</v>
          </cell>
          <cell r="J461">
            <v>3.41</v>
          </cell>
          <cell r="K461">
            <v>300.39</v>
          </cell>
        </row>
        <row r="462">
          <cell r="A462" t="str">
            <v>1.8.6.7</v>
          </cell>
          <cell r="B462">
            <v>95876</v>
          </cell>
          <cell r="C462" t="str">
            <v>TRANSPORTE COM CAMINHÃO BASCULANTE DE 14 M³, EM VIA URBANA PAVIMENTADA, DMT ATÉ 30 KM (UNIDADE: M3XKM). AF_07/2020</v>
          </cell>
          <cell r="D462" t="str">
            <v>M3XKM</v>
          </cell>
          <cell r="E462">
            <v>1497.53</v>
          </cell>
          <cell r="F462">
            <v>2.2400000000000002</v>
          </cell>
          <cell r="G462">
            <v>2.77</v>
          </cell>
          <cell r="H462">
            <v>4148.16</v>
          </cell>
          <cell r="I462">
            <v>2.27</v>
          </cell>
          <cell r="J462">
            <v>2.67</v>
          </cell>
          <cell r="K462">
            <v>3998.41</v>
          </cell>
        </row>
        <row r="463">
          <cell r="A463" t="str">
            <v>1.8.6.8</v>
          </cell>
          <cell r="B463">
            <v>94971</v>
          </cell>
          <cell r="C463" t="str">
            <v>CONCRETO FCK = 25MPA, TRAÇO 1:2,3:2,7 (EM MASSA SECA DE CIMENTO/ AREIA MÉDIA/ BRITA 1) - PREPARO MECÂNICO COM BETONEIRA 600 L. AF_05/2021</v>
          </cell>
          <cell r="D463" t="str">
            <v>M3</v>
          </cell>
          <cell r="E463">
            <v>38.15</v>
          </cell>
          <cell r="F463">
            <v>464.88</v>
          </cell>
          <cell r="G463">
            <v>574.54999999999995</v>
          </cell>
          <cell r="H463">
            <v>21919.08</v>
          </cell>
          <cell r="I463">
            <v>472.74</v>
          </cell>
          <cell r="J463">
            <v>555.79999999999995</v>
          </cell>
          <cell r="K463">
            <v>21203.77</v>
          </cell>
        </row>
        <row r="464">
          <cell r="A464" t="str">
            <v>1.8.6.9</v>
          </cell>
          <cell r="B464" t="str">
            <v>CP-S03639-45770834</v>
          </cell>
          <cell r="C464" t="str">
            <v>Fornecimento e instalação de tela aço soldada nervurada CA-60, Q-283, malha 10x10cm, ferro 6.02mm (4,48 kg/m2), painel 2,45x6,0m, Telcon ou similar</v>
          </cell>
          <cell r="D464" t="str">
            <v>M2</v>
          </cell>
          <cell r="E464">
            <v>75.239999999999995</v>
          </cell>
          <cell r="F464">
            <v>63.95</v>
          </cell>
          <cell r="G464">
            <v>79.040000000000006</v>
          </cell>
          <cell r="H464">
            <v>5946.97</v>
          </cell>
          <cell r="I464">
            <v>65.25</v>
          </cell>
          <cell r="J464">
            <v>76.709999999999994</v>
          </cell>
          <cell r="K464">
            <v>5771.66</v>
          </cell>
        </row>
        <row r="465">
          <cell r="A465" t="str">
            <v>1.8.6.10</v>
          </cell>
          <cell r="B465">
            <v>94974</v>
          </cell>
          <cell r="C465" t="str">
            <v>CONCRETO MAGRO PARA LASTRO, TRAÇO 1:4,5:4,5 (EM MASSA SECA DE CIMENTO/ AREIA MÉDIA/ BRITA 1) - PREPARO MANUAL. AF_05/2021</v>
          </cell>
          <cell r="D465" t="str">
            <v>M3</v>
          </cell>
          <cell r="E465">
            <v>28.56</v>
          </cell>
          <cell r="F465">
            <v>423.75</v>
          </cell>
          <cell r="G465">
            <v>523.71</v>
          </cell>
          <cell r="H465">
            <v>14957.16</v>
          </cell>
          <cell r="I465">
            <v>436.13</v>
          </cell>
          <cell r="J465">
            <v>512.76</v>
          </cell>
          <cell r="K465">
            <v>14644.43</v>
          </cell>
        </row>
        <row r="466">
          <cell r="A466" t="str">
            <v>1.8.6.11</v>
          </cell>
          <cell r="B466">
            <v>97994</v>
          </cell>
          <cell r="C466" t="str">
            <v>BASE PARA POÇO DE VISITA RETANGULAR PARA  ESGOTO, EM ALVENARIA COM BLOCOS DE CONCRETO, DIMENSÕES INTERNAS = 1X1 M, PROFUNDIDADE = 1,40 M, EXCLUINDO TAMPÃO. AF_12/2020</v>
          </cell>
          <cell r="D466" t="str">
            <v>UN</v>
          </cell>
          <cell r="E466">
            <v>5</v>
          </cell>
          <cell r="F466">
            <v>2465.7199999999998</v>
          </cell>
          <cell r="G466">
            <v>3047.38</v>
          </cell>
          <cell r="H466">
            <v>15236.9</v>
          </cell>
          <cell r="I466">
            <v>2575.58</v>
          </cell>
          <cell r="J466">
            <v>3028.11</v>
          </cell>
          <cell r="K466">
            <v>15140.55</v>
          </cell>
        </row>
        <row r="467">
          <cell r="A467" t="str">
            <v>1.8.6.12</v>
          </cell>
          <cell r="B467">
            <v>92771</v>
          </cell>
          <cell r="C467" t="str">
            <v>ARMAÇÃO DE LAJE DE ESTRUTURA CONVENCIONAL DE CONCRETO ARMADO UTILIZANDO AÇO CA-50 DE 10,0 MM - MONTAGEM. AF_06/2022</v>
          </cell>
          <cell r="D467" t="str">
            <v>KG</v>
          </cell>
          <cell r="E467">
            <v>2244.06</v>
          </cell>
          <cell r="F467">
            <v>15.04</v>
          </cell>
          <cell r="G467">
            <v>18.59</v>
          </cell>
          <cell r="H467">
            <v>41717.08</v>
          </cell>
          <cell r="I467">
            <v>15.14</v>
          </cell>
          <cell r="J467">
            <v>17.8</v>
          </cell>
          <cell r="K467">
            <v>39944.269999999997</v>
          </cell>
        </row>
        <row r="468">
          <cell r="A468" t="str">
            <v>1.8.6.13</v>
          </cell>
          <cell r="B468" t="str">
            <v>CP-92268-29291149</v>
          </cell>
          <cell r="C468" t="str">
            <v>FABRICAÇÃO DE FÔRMA PARA LAJES, EM CHAPA DE MADEIRA COMPENSADA PLASTIFICADA, E = 18 MM - EXCLUINDO O PAINEL DE MADEIRA COMPENSADA PLASTIFICADA DE 2200 x 1100 MM, E = *17* MM</v>
          </cell>
          <cell r="D468" t="str">
            <v>M2</v>
          </cell>
          <cell r="E468">
            <v>151.33000000000001</v>
          </cell>
          <cell r="F468">
            <v>0.98</v>
          </cell>
          <cell r="G468">
            <v>1.21</v>
          </cell>
          <cell r="H468">
            <v>183.11</v>
          </cell>
          <cell r="I468">
            <v>1.1000000000000001</v>
          </cell>
          <cell r="J468">
            <v>1.29</v>
          </cell>
          <cell r="K468">
            <v>195.22</v>
          </cell>
        </row>
        <row r="469">
          <cell r="A469" t="str">
            <v>1.8.6.14</v>
          </cell>
          <cell r="B469">
            <v>103320</v>
          </cell>
          <cell r="C469" t="str">
            <v>ALVENARIA DE VEDAÇÃO DE BLOCOS VAZADOS DE CONCRETO DE 19X19X39 CM (ESPESSURA 19 CM) E ARGAMASSA DE ASSENTAMENTO COM PREPARO EM BETONEIRA. AF_12/2021</v>
          </cell>
          <cell r="D469" t="str">
            <v>M2</v>
          </cell>
          <cell r="E469">
            <v>190.57</v>
          </cell>
          <cell r="F469">
            <v>101.36</v>
          </cell>
          <cell r="G469">
            <v>125.27</v>
          </cell>
          <cell r="H469">
            <v>23872.7</v>
          </cell>
          <cell r="I469">
            <v>105.62</v>
          </cell>
          <cell r="J469">
            <v>124.18</v>
          </cell>
          <cell r="K469">
            <v>23664.98</v>
          </cell>
        </row>
        <row r="470">
          <cell r="A470" t="str">
            <v>1.8.6.15</v>
          </cell>
          <cell r="B470">
            <v>87879</v>
          </cell>
          <cell r="C470" t="str">
            <v>CHAPISCO APLICADO EM ALVENARIAS E ESTRUTURAS DE CONCRETO INTERNAS, COM COLHER DE PEDREIRO.  ARGAMASSA TRAÇO 1:3 COM PREPARO EM BETONEIRA 400L. AF_06/2014</v>
          </cell>
          <cell r="D470" t="str">
            <v>M2</v>
          </cell>
          <cell r="E470">
            <v>190.57</v>
          </cell>
          <cell r="F470">
            <v>3.85</v>
          </cell>
          <cell r="G470">
            <v>4.76</v>
          </cell>
          <cell r="H470">
            <v>907.11</v>
          </cell>
          <cell r="I470">
            <v>4.0999999999999996</v>
          </cell>
          <cell r="J470">
            <v>4.82</v>
          </cell>
          <cell r="K470">
            <v>918.55</v>
          </cell>
        </row>
        <row r="471">
          <cell r="A471" t="str">
            <v>1.8.6.16</v>
          </cell>
          <cell r="B471">
            <v>87547</v>
          </cell>
          <cell r="C471" t="str">
            <v>MASSA ÚNICA, PARA RECEBIMENTO DE PINTURA, EM ARGAMASSA TRAÇO 1:2:8, PREPARO MECÂNICO COM BETONEIRA 400L, APLICADA MANUALMENTE EM FACES INTERNAS DE PAREDES, ESPESSURA DE 10MM, COM EXECUÇÃO DE TALISCAS. AF_06/2014</v>
          </cell>
          <cell r="D471" t="str">
            <v>M2</v>
          </cell>
          <cell r="E471">
            <v>190.57</v>
          </cell>
          <cell r="F471">
            <v>23.35</v>
          </cell>
          <cell r="G471">
            <v>28.86</v>
          </cell>
          <cell r="H471">
            <v>5499.85</v>
          </cell>
          <cell r="I471">
            <v>24.83</v>
          </cell>
          <cell r="J471">
            <v>29.19</v>
          </cell>
          <cell r="K471">
            <v>5562.74</v>
          </cell>
        </row>
        <row r="472">
          <cell r="A472" t="str">
            <v>1.8.6.17</v>
          </cell>
          <cell r="B472">
            <v>94975</v>
          </cell>
          <cell r="C472" t="str">
            <v>CONCRETO FCK = 15MPA, TRAÇO 1:3,4:3,5 (EM MASSA SECA DE CIMENTO/ AREIA MÉDIA/ BRITA 1) - PREPARO MANUAL. AF_05/2021</v>
          </cell>
          <cell r="D472" t="str">
            <v>M3</v>
          </cell>
          <cell r="E472">
            <v>22.39</v>
          </cell>
          <cell r="F472">
            <v>457.19</v>
          </cell>
          <cell r="G472">
            <v>565.04</v>
          </cell>
          <cell r="H472">
            <v>12651.25</v>
          </cell>
          <cell r="I472">
            <v>469.42</v>
          </cell>
          <cell r="J472">
            <v>551.9</v>
          </cell>
          <cell r="K472">
            <v>12357.04</v>
          </cell>
        </row>
        <row r="473">
          <cell r="A473" t="str">
            <v>1.8.6.18</v>
          </cell>
          <cell r="B473" t="str">
            <v>CP-74157/004-48264518</v>
          </cell>
          <cell r="C473" t="str">
            <v>LANCAMENTO/APLICACAO MANUAL DE CONCRETO EM FUNDACOES (concreto magro)</v>
          </cell>
          <cell r="D473" t="str">
            <v>M3</v>
          </cell>
          <cell r="E473">
            <v>89.1</v>
          </cell>
          <cell r="F473">
            <v>116.59</v>
          </cell>
          <cell r="G473">
            <v>144.09</v>
          </cell>
          <cell r="H473">
            <v>12838.42</v>
          </cell>
          <cell r="I473">
            <v>129.79</v>
          </cell>
          <cell r="J473">
            <v>152.59</v>
          </cell>
          <cell r="K473">
            <v>13595.77</v>
          </cell>
        </row>
        <row r="474">
          <cell r="A474" t="str">
            <v>1.8.6.19</v>
          </cell>
          <cell r="B474">
            <v>102738</v>
          </cell>
          <cell r="C474" t="str">
            <v>BOCA PARA BUEIRO SIMPLES TUBULAR D = 60 CM EM CONCRETO, ALAS COM ESCONSIDADE DE 0°, INCLUINDO FÔRMAS E MATERIAIS. AF_07/2021</v>
          </cell>
          <cell r="D474" t="str">
            <v>UN</v>
          </cell>
          <cell r="E474">
            <v>1</v>
          </cell>
          <cell r="F474">
            <v>2307.79</v>
          </cell>
          <cell r="G474">
            <v>2852.2</v>
          </cell>
          <cell r="H474">
            <v>2852.2</v>
          </cell>
          <cell r="I474">
            <v>2365.21</v>
          </cell>
          <cell r="J474">
            <v>2780.78</v>
          </cell>
          <cell r="K474">
            <v>2780.78</v>
          </cell>
        </row>
        <row r="475">
          <cell r="A475" t="str">
            <v>1.8.6.20</v>
          </cell>
          <cell r="B475">
            <v>90747</v>
          </cell>
          <cell r="C475" t="str">
            <v>ASSENTAMENTO DE TUBO DE PEAD CORRUGADO DE DUPLA PAREDE PARA REDE COLETORA DE ESGOTO, DN 600 MM, JUNTA ELÁSTICA INTEGRADA (NÃO INCLUI FORNECIMENTO). AF_01/2021</v>
          </cell>
          <cell r="D475" t="str">
            <v>M</v>
          </cell>
          <cell r="E475">
            <v>73.08</v>
          </cell>
          <cell r="F475">
            <v>17.54</v>
          </cell>
          <cell r="G475">
            <v>21.68</v>
          </cell>
          <cell r="H475">
            <v>1584.37</v>
          </cell>
          <cell r="I475">
            <v>18.55</v>
          </cell>
          <cell r="J475">
            <v>21.81</v>
          </cell>
          <cell r="K475">
            <v>1593.87</v>
          </cell>
        </row>
        <row r="476">
          <cell r="A476" t="str">
            <v>1.8.7</v>
          </cell>
          <cell r="B476"/>
          <cell r="C476" t="str">
            <v>SINALIZAÇÃO</v>
          </cell>
          <cell r="D476"/>
          <cell r="E476"/>
          <cell r="F476"/>
          <cell r="G476"/>
          <cell r="H476">
            <v>3214.59</v>
          </cell>
          <cell r="I476"/>
          <cell r="J476"/>
          <cell r="K476">
            <v>3088.92</v>
          </cell>
        </row>
        <row r="477">
          <cell r="A477" t="str">
            <v>1.8.7.1</v>
          </cell>
          <cell r="B477">
            <v>5213421</v>
          </cell>
          <cell r="C477" t="str">
            <v>Confecção de placa em aço nº 16 galvanizado, com película tipo I + IV</v>
          </cell>
          <cell r="D477" t="str">
            <v xml:space="preserve">M2    </v>
          </cell>
          <cell r="E477">
            <v>3.6</v>
          </cell>
          <cell r="F477">
            <v>343.8</v>
          </cell>
          <cell r="G477">
            <v>424.9</v>
          </cell>
          <cell r="H477">
            <v>1529.64</v>
          </cell>
          <cell r="I477">
            <v>347.25</v>
          </cell>
          <cell r="J477">
            <v>408.26</v>
          </cell>
          <cell r="K477">
            <v>1469.74</v>
          </cell>
        </row>
        <row r="478">
          <cell r="A478" t="str">
            <v>1.8.7.2</v>
          </cell>
          <cell r="B478">
            <v>5216111</v>
          </cell>
          <cell r="C478" t="str">
            <v>FORNECIMENTO E IMPLANTAÇÃO DE SUPORTE E TRAVESSA PARA PLACA DE SINALIZAÇÃO EM MADEIRA DE LEI TRATADA 8 X 8 CM</v>
          </cell>
          <cell r="D478" t="str">
            <v>UND</v>
          </cell>
          <cell r="E478">
            <v>4</v>
          </cell>
          <cell r="F478">
            <v>119.1379</v>
          </cell>
          <cell r="G478">
            <v>147.24</v>
          </cell>
          <cell r="H478">
            <v>588.96</v>
          </cell>
          <cell r="I478">
            <v>121.48</v>
          </cell>
          <cell r="J478">
            <v>142.82</v>
          </cell>
          <cell r="K478">
            <v>571.28</v>
          </cell>
        </row>
        <row r="479">
          <cell r="A479" t="str">
            <v>1.8.7.3</v>
          </cell>
          <cell r="B479" t="str">
            <v>COMP-58084869</v>
          </cell>
          <cell r="C479" t="str">
            <v>PLACA ESMALTADA PARA IDENTIFICAÇÃO NR DE RUA, DIMENSÕES 45X25CM</v>
          </cell>
          <cell r="D479" t="str">
            <v>UND</v>
          </cell>
          <cell r="E479">
            <v>5</v>
          </cell>
          <cell r="F479">
            <v>155.54</v>
          </cell>
          <cell r="G479">
            <v>192.23</v>
          </cell>
          <cell r="H479">
            <v>961.15</v>
          </cell>
          <cell r="I479">
            <v>156.33000000000001</v>
          </cell>
          <cell r="J479">
            <v>183.8</v>
          </cell>
          <cell r="K479">
            <v>919</v>
          </cell>
        </row>
        <row r="480">
          <cell r="A480" t="str">
            <v>1.8.7.4</v>
          </cell>
          <cell r="B480" t="str">
            <v>CP-72947-21572945</v>
          </cell>
          <cell r="C480" t="str">
            <v>SINALIZACAO HORIZONTAL COM TINTA RETRORREFLETIVA A BASE DE RESINA ACRILICA COM MICROESFERAS DE VIDRO</v>
          </cell>
          <cell r="D480" t="str">
            <v>M2</v>
          </cell>
          <cell r="E480">
            <v>5.4</v>
          </cell>
          <cell r="F480">
            <v>20.2</v>
          </cell>
          <cell r="G480">
            <v>24.97</v>
          </cell>
          <cell r="H480">
            <v>134.84</v>
          </cell>
          <cell r="I480">
            <v>20.3</v>
          </cell>
          <cell r="J480">
            <v>23.87</v>
          </cell>
          <cell r="K480">
            <v>128.9</v>
          </cell>
        </row>
        <row r="481">
          <cell r="A481" t="str">
            <v>1.8.8</v>
          </cell>
          <cell r="B481"/>
          <cell r="C481" t="str">
            <v>MATERIAIS</v>
          </cell>
          <cell r="D481"/>
          <cell r="E481"/>
          <cell r="F481"/>
          <cell r="G481"/>
          <cell r="H481">
            <v>217379.13</v>
          </cell>
          <cell r="I481"/>
          <cell r="J481"/>
          <cell r="K481">
            <v>207219.17</v>
          </cell>
        </row>
        <row r="482">
          <cell r="A482" t="str">
            <v>1.8.8.1</v>
          </cell>
          <cell r="B482">
            <v>10775</v>
          </cell>
          <cell r="C482" t="str">
            <v xml:space="preserve">LOCACAO DE CONTAINER 2,30 X 6,00 M, ALT. 2,50 M, COM 1 SANITARIO, PARA ESCRITORIO, COMPLETO, SEM DIVISORIAS INTERNAS (NAO INCLUI MOBILIZACAO/DESMOBILIZACAO)                                                                                                                                                                                                                                                                                                                                              </v>
          </cell>
          <cell r="D482" t="str">
            <v xml:space="preserve">MES   </v>
          </cell>
          <cell r="E482">
            <v>4</v>
          </cell>
          <cell r="F482">
            <v>830</v>
          </cell>
          <cell r="G482">
            <v>958.32</v>
          </cell>
          <cell r="H482">
            <v>3833.28</v>
          </cell>
          <cell r="I482">
            <v>830</v>
          </cell>
          <cell r="J482">
            <v>913.58</v>
          </cell>
          <cell r="K482">
            <v>3654.32</v>
          </cell>
        </row>
        <row r="483">
          <cell r="A483" t="str">
            <v>1.8.8.2</v>
          </cell>
          <cell r="B483">
            <v>10776</v>
          </cell>
          <cell r="C483" t="str">
            <v xml:space="preserve">LOCACAO DE CONTAINER 2,30 X 6,00 M, ALT. 2,50 M, PARA ESCRITORIO, SEM DIVISORIAS INTERNAS E SEM SANITARIO (NAO INCLUI MOBILIZACAO/DESMOBILIZACAO)                                                                                                                                                                                                                                                                                                                                                         </v>
          </cell>
          <cell r="D483" t="str">
            <v xml:space="preserve">MES   </v>
          </cell>
          <cell r="E483">
            <v>4</v>
          </cell>
          <cell r="F483">
            <v>648.42999999999995</v>
          </cell>
          <cell r="G483">
            <v>748.68</v>
          </cell>
          <cell r="H483">
            <v>2994.72</v>
          </cell>
          <cell r="I483">
            <v>648.42999999999995</v>
          </cell>
          <cell r="J483">
            <v>713.73</v>
          </cell>
          <cell r="K483">
            <v>2854.92</v>
          </cell>
        </row>
        <row r="484">
          <cell r="A484" t="str">
            <v>1.8.8.3</v>
          </cell>
          <cell r="B484">
            <v>36170</v>
          </cell>
          <cell r="C484" t="str">
            <v xml:space="preserve">BLOQUETE/PISO INTERTRAVADO DE CONCRETO - MODELO ONDA/16 FACES/RETANGULAR/TIJOLINHO/PAVER/HOLANDES/PARALELEPIPEDO, *22 CM X 11* CM, E = 8 CM, RESISTENCIA DE 35 MPA (NBR 9781), COR NATURAL                                                                                                                                                                                                                                                                                                                </v>
          </cell>
          <cell r="D484" t="str">
            <v xml:space="preserve">M2    </v>
          </cell>
          <cell r="E484">
            <v>1538.89</v>
          </cell>
          <cell r="F484">
            <v>49</v>
          </cell>
          <cell r="G484">
            <v>56.58</v>
          </cell>
          <cell r="H484">
            <v>87070.399999999994</v>
          </cell>
          <cell r="I484">
            <v>49</v>
          </cell>
          <cell r="J484">
            <v>53.93</v>
          </cell>
          <cell r="K484">
            <v>82992.34</v>
          </cell>
        </row>
        <row r="485">
          <cell r="A485" t="str">
            <v>1.8.8.4</v>
          </cell>
          <cell r="B485">
            <v>36154</v>
          </cell>
          <cell r="C485" t="str">
            <v xml:space="preserve">BLOQUETE/PISO INTERTRAVADO DE CONCRETO - MODELO ONDA/16 FACES/RETANGULAR/TIJOLINHO/PAVER/HOLANDES/PARALELEPIPEDO, 20 CM X 10 CM, E = 8 CM, RESISTENCIA DE 35 MPA (NBR 9781), COLORIDO                                                                                                                                                                                                                                                                                                                     </v>
          </cell>
          <cell r="D485" t="str">
            <v xml:space="preserve">M2    </v>
          </cell>
          <cell r="E485">
            <v>501.67</v>
          </cell>
          <cell r="F485">
            <v>53.92</v>
          </cell>
          <cell r="G485">
            <v>62.26</v>
          </cell>
          <cell r="H485">
            <v>31233.97</v>
          </cell>
          <cell r="I485">
            <v>53.92</v>
          </cell>
          <cell r="J485">
            <v>59.35</v>
          </cell>
          <cell r="K485">
            <v>29774.11</v>
          </cell>
        </row>
        <row r="486">
          <cell r="A486" t="str">
            <v>1.8.8.5</v>
          </cell>
          <cell r="B486" t="str">
            <v>M0134</v>
          </cell>
          <cell r="C486" t="str">
            <v>Tubo PEAD corrugado com paredes estruturadas para drenagem - D = 600 mm</v>
          </cell>
          <cell r="D486" t="str">
            <v>M</v>
          </cell>
          <cell r="E486">
            <v>73.08</v>
          </cell>
          <cell r="F486">
            <v>501.47</v>
          </cell>
          <cell r="G486">
            <v>579</v>
          </cell>
          <cell r="H486">
            <v>42313.32</v>
          </cell>
          <cell r="I486">
            <v>501.47</v>
          </cell>
          <cell r="J486">
            <v>551.97</v>
          </cell>
          <cell r="K486">
            <v>40337.97</v>
          </cell>
        </row>
        <row r="487">
          <cell r="A487" t="str">
            <v>1.8.8.6</v>
          </cell>
          <cell r="B487" t="str">
            <v>INS-185032</v>
          </cell>
          <cell r="C487" t="str">
            <v>BRITA GRADUADA SIMPLES (BGS)</v>
          </cell>
          <cell r="D487" t="str">
            <v>M3</v>
          </cell>
          <cell r="E487">
            <v>503.55</v>
          </cell>
          <cell r="F487">
            <v>56.099999999999994</v>
          </cell>
          <cell r="G487">
            <v>64.77</v>
          </cell>
          <cell r="H487">
            <v>32614.93</v>
          </cell>
          <cell r="I487">
            <v>56.099999999999994</v>
          </cell>
          <cell r="J487">
            <v>61.75</v>
          </cell>
          <cell r="K487">
            <v>31094.21</v>
          </cell>
        </row>
        <row r="488">
          <cell r="A488" t="str">
            <v>1.8.8.7</v>
          </cell>
          <cell r="B488">
            <v>1345</v>
          </cell>
          <cell r="C488" t="str">
            <v xml:space="preserve">CHAPA/PAINEL DE MADEIRA COMPENSADA PLASTIFICADA (MADEIRITE PLASTIFICADO) PARA FORMA DE CONCRETO, DE 2200 x 1100 MM, E = *17* MM                                                                                                                                                                                                                                                                                                                                                                           </v>
          </cell>
          <cell r="D488" t="str">
            <v xml:space="preserve">M2    </v>
          </cell>
          <cell r="E488">
            <v>158.9</v>
          </cell>
          <cell r="F488">
            <v>94.4</v>
          </cell>
          <cell r="G488">
            <v>108.99</v>
          </cell>
          <cell r="H488">
            <v>17318.509999999998</v>
          </cell>
          <cell r="I488">
            <v>94.4</v>
          </cell>
          <cell r="J488">
            <v>103.91</v>
          </cell>
          <cell r="K488">
            <v>16511.3</v>
          </cell>
        </row>
        <row r="489">
          <cell r="A489" t="str">
            <v>1.9</v>
          </cell>
          <cell r="B489"/>
          <cell r="C489" t="str">
            <v>RUA RECIFE - SOCORRO</v>
          </cell>
          <cell r="D489"/>
          <cell r="E489"/>
          <cell r="F489"/>
          <cell r="G489"/>
          <cell r="H489">
            <v>804176.78</v>
          </cell>
          <cell r="I489"/>
          <cell r="J489"/>
          <cell r="K489">
            <v>794716.79</v>
          </cell>
        </row>
        <row r="490">
          <cell r="A490" t="str">
            <v>1.9.1</v>
          </cell>
          <cell r="B490"/>
          <cell r="C490" t="str">
            <v>INSTALAÇÕES PROVISÓRIAS</v>
          </cell>
          <cell r="D490"/>
          <cell r="E490"/>
          <cell r="F490"/>
          <cell r="G490"/>
          <cell r="H490">
            <v>8981</v>
          </cell>
          <cell r="I490"/>
          <cell r="J490"/>
          <cell r="K490">
            <v>8606.0400000000009</v>
          </cell>
        </row>
        <row r="491">
          <cell r="A491" t="str">
            <v>1.9.1.1</v>
          </cell>
          <cell r="B491" t="str">
            <v>CP-74209/001-15055090</v>
          </cell>
          <cell r="C491" t="str">
            <v>PLACA DE OBRA EM CHAPA DE ACO GALVANIZADO</v>
          </cell>
          <cell r="D491" t="str">
            <v xml:space="preserve">M2    </v>
          </cell>
          <cell r="E491">
            <v>8</v>
          </cell>
          <cell r="F491">
            <v>558.35</v>
          </cell>
          <cell r="G491">
            <v>690.06</v>
          </cell>
          <cell r="H491">
            <v>5520.48</v>
          </cell>
          <cell r="I491">
            <v>564.99</v>
          </cell>
          <cell r="J491">
            <v>664.26</v>
          </cell>
          <cell r="K491">
            <v>5314.08</v>
          </cell>
        </row>
        <row r="492">
          <cell r="A492" t="str">
            <v>1.9.1.2</v>
          </cell>
          <cell r="B492" t="str">
            <v>COMP-07440249</v>
          </cell>
          <cell r="C492" t="str">
            <v>BANHEIRO QUÍMICO, COM LOCAÇÃO, TRANSPORTE E LIMPEZA</v>
          </cell>
          <cell r="D492" t="str">
            <v>MÊS</v>
          </cell>
          <cell r="E492">
            <v>4</v>
          </cell>
          <cell r="F492">
            <v>700</v>
          </cell>
          <cell r="G492">
            <v>865.13</v>
          </cell>
          <cell r="H492">
            <v>3460.52</v>
          </cell>
          <cell r="I492">
            <v>700</v>
          </cell>
          <cell r="J492">
            <v>822.99</v>
          </cell>
          <cell r="K492">
            <v>3291.96</v>
          </cell>
        </row>
        <row r="493">
          <cell r="A493" t="str">
            <v>1.9.2</v>
          </cell>
          <cell r="B493"/>
          <cell r="C493" t="str">
            <v>ADMINISTRAÇÃO LOCAL</v>
          </cell>
          <cell r="D493"/>
          <cell r="E493"/>
          <cell r="F493"/>
          <cell r="G493"/>
          <cell r="H493">
            <v>23347.39</v>
          </cell>
          <cell r="I493"/>
          <cell r="J493"/>
          <cell r="K493">
            <v>25575.67</v>
          </cell>
        </row>
        <row r="494">
          <cell r="A494" t="str">
            <v>1.9.2.1</v>
          </cell>
          <cell r="B494">
            <v>93565</v>
          </cell>
          <cell r="C494" t="str">
            <v>ENGENHEIRO CIVIL DE OBRA JUNIOR COM ENCARGOS COMPLEMENTARES</v>
          </cell>
          <cell r="D494" t="str">
            <v>MES</v>
          </cell>
          <cell r="E494">
            <v>0.5</v>
          </cell>
          <cell r="F494">
            <v>14549.96</v>
          </cell>
          <cell r="G494">
            <v>17982.3</v>
          </cell>
          <cell r="H494">
            <v>8991.15</v>
          </cell>
          <cell r="I494">
            <v>16819.14</v>
          </cell>
          <cell r="J494">
            <v>19774.259999999998</v>
          </cell>
          <cell r="K494">
            <v>9887.1299999999992</v>
          </cell>
        </row>
        <row r="495">
          <cell r="A495" t="str">
            <v>1.9.2.2</v>
          </cell>
          <cell r="B495">
            <v>93572</v>
          </cell>
          <cell r="C495" t="str">
            <v>ENCARREGADO GERAL DE OBRAS COM ENCARGOS COMPLEMENTARES</v>
          </cell>
          <cell r="D495" t="str">
            <v>MES</v>
          </cell>
          <cell r="E495">
            <v>2</v>
          </cell>
          <cell r="F495">
            <v>5808.01</v>
          </cell>
          <cell r="G495">
            <v>7178.12</v>
          </cell>
          <cell r="H495">
            <v>14356.24</v>
          </cell>
          <cell r="I495">
            <v>6672</v>
          </cell>
          <cell r="J495">
            <v>7844.27</v>
          </cell>
          <cell r="K495">
            <v>15688.54</v>
          </cell>
        </row>
        <row r="496">
          <cell r="A496" t="str">
            <v>1.9.3</v>
          </cell>
          <cell r="B496"/>
          <cell r="C496" t="str">
            <v>SERVIÇOS PRELIMINARES</v>
          </cell>
          <cell r="D496"/>
          <cell r="E496"/>
          <cell r="F496"/>
          <cell r="G496"/>
          <cell r="H496">
            <v>6361.54</v>
          </cell>
          <cell r="I496"/>
          <cell r="J496"/>
          <cell r="K496">
            <v>6700.45</v>
          </cell>
        </row>
        <row r="497">
          <cell r="A497" t="str">
            <v>1.9.3.1</v>
          </cell>
          <cell r="B497">
            <v>99064</v>
          </cell>
          <cell r="C497" t="str">
            <v>LOCAÇÃO DE PAVIMENTAÇÃO. AF_10/2018</v>
          </cell>
          <cell r="D497" t="str">
            <v>M</v>
          </cell>
          <cell r="E497">
            <v>319.12</v>
          </cell>
          <cell r="F497">
            <v>0.43</v>
          </cell>
          <cell r="G497">
            <v>0.53</v>
          </cell>
          <cell r="H497">
            <v>169.13</v>
          </cell>
          <cell r="I497">
            <v>0.49</v>
          </cell>
          <cell r="J497">
            <v>0.57999999999999996</v>
          </cell>
          <cell r="K497">
            <v>185.09</v>
          </cell>
        </row>
        <row r="498">
          <cell r="A498" t="str">
            <v>1.9.3.2</v>
          </cell>
          <cell r="B498" t="str">
            <v>COMP-17562084</v>
          </cell>
          <cell r="C498" t="str">
            <v>DEMOLIÇÃO MANUAL DE CONCRETO SIMPLES</v>
          </cell>
          <cell r="D498" t="str">
            <v>M3</v>
          </cell>
          <cell r="E498">
            <v>3.93</v>
          </cell>
          <cell r="F498">
            <v>190.89</v>
          </cell>
          <cell r="G498">
            <v>235.92</v>
          </cell>
          <cell r="H498">
            <v>927.17</v>
          </cell>
          <cell r="I498">
            <v>212.24</v>
          </cell>
          <cell r="J498">
            <v>249.53</v>
          </cell>
          <cell r="K498">
            <v>980.65</v>
          </cell>
        </row>
        <row r="499">
          <cell r="A499" t="str">
            <v>1.9.3.3</v>
          </cell>
          <cell r="B499" t="str">
            <v>CP-S00048-24791887</v>
          </cell>
          <cell r="C499" t="str">
            <v>DEMOLIÇÃO DE TUBO DE CONCRETO SIMPLES OU ARMADO D = 0,8 M, SEM REAPROVEITAMENTO, EXCLUSIVE ESCAVAÇÃO</v>
          </cell>
          <cell r="D499" t="str">
            <v>M</v>
          </cell>
          <cell r="E499">
            <v>64.38</v>
          </cell>
          <cell r="F499">
            <v>62.41</v>
          </cell>
          <cell r="G499">
            <v>77.13</v>
          </cell>
          <cell r="H499">
            <v>4965.63</v>
          </cell>
          <cell r="I499">
            <v>69.3</v>
          </cell>
          <cell r="J499">
            <v>81.48</v>
          </cell>
          <cell r="K499">
            <v>5245.68</v>
          </cell>
        </row>
        <row r="500">
          <cell r="A500" t="str">
            <v>1.9.3.4</v>
          </cell>
          <cell r="B500" t="str">
            <v>COMP-35145154</v>
          </cell>
          <cell r="C500" t="str">
            <v>CARGA E DESCARGA MECANICA DE SOLO UTILIZANDO CAMINHAO BASCULANTE 14,0M3/36T E PA CARREGADEIRA SOBRE PNEUS 128 HP, CAPACIDADE DA CAÇAMBA 1,7 A 2,8 M3, PESO OPERACIONAL 11632 KH</v>
          </cell>
          <cell r="D500" t="str">
            <v>M3</v>
          </cell>
          <cell r="E500">
            <v>6.53</v>
          </cell>
          <cell r="F500">
            <v>2.83</v>
          </cell>
          <cell r="G500">
            <v>3.5</v>
          </cell>
          <cell r="H500">
            <v>22.86</v>
          </cell>
          <cell r="I500">
            <v>2.9</v>
          </cell>
          <cell r="J500">
            <v>3.41</v>
          </cell>
          <cell r="K500">
            <v>22.27</v>
          </cell>
        </row>
        <row r="501">
          <cell r="A501" t="str">
            <v>1.9.3.5</v>
          </cell>
          <cell r="B501">
            <v>95876</v>
          </cell>
          <cell r="C501" t="str">
            <v>TRANSPORTE COM CAMINHÃO BASCULANTE DE 14 M³, EM VIA URBANA PAVIMENTADA, DMT ATÉ 30 KM (UNIDADE: M3XKM). AF_07/2020</v>
          </cell>
          <cell r="D501" t="str">
            <v>M3XKM</v>
          </cell>
          <cell r="E501">
            <v>99.91</v>
          </cell>
          <cell r="F501">
            <v>2.2400000000000002</v>
          </cell>
          <cell r="G501">
            <v>2.77</v>
          </cell>
          <cell r="H501">
            <v>276.75</v>
          </cell>
          <cell r="I501">
            <v>2.27</v>
          </cell>
          <cell r="J501">
            <v>2.67</v>
          </cell>
          <cell r="K501">
            <v>266.76</v>
          </cell>
        </row>
        <row r="502">
          <cell r="A502" t="str">
            <v>1.9.4</v>
          </cell>
          <cell r="B502"/>
          <cell r="C502" t="str">
            <v>TERRAPLENAGEM</v>
          </cell>
          <cell r="D502"/>
          <cell r="E502"/>
          <cell r="F502"/>
          <cell r="G502"/>
          <cell r="H502">
            <v>24617.56</v>
          </cell>
          <cell r="I502"/>
          <cell r="J502"/>
          <cell r="K502">
            <v>23956.61</v>
          </cell>
        </row>
        <row r="503">
          <cell r="A503" t="str">
            <v>1.9.4.1</v>
          </cell>
          <cell r="B503" t="str">
            <v>CP-74205/001-17324935</v>
          </cell>
          <cell r="C503" t="str">
            <v>ESCAVAÇÃO MECÂNICA DE MATERIAL 1A. CATEGORIA, PROVENIENTE DE CORTE DE SUBLEITO (C/TRATOR ESTEIRAS  160HP)</v>
          </cell>
          <cell r="D503" t="str">
            <v>M3</v>
          </cell>
          <cell r="E503">
            <v>306.89999999999998</v>
          </cell>
          <cell r="F503">
            <v>2.54</v>
          </cell>
          <cell r="G503">
            <v>3.14</v>
          </cell>
          <cell r="H503">
            <v>963.67</v>
          </cell>
          <cell r="I503">
            <v>2.59</v>
          </cell>
          <cell r="J503">
            <v>3.05</v>
          </cell>
          <cell r="K503">
            <v>936.05</v>
          </cell>
        </row>
        <row r="504">
          <cell r="A504" t="str">
            <v>1.9.4.2</v>
          </cell>
          <cell r="B504" t="str">
            <v>COMP-35145154</v>
          </cell>
          <cell r="C504" t="str">
            <v>CARGA E DESCARGA MECANICA DE SOLO UTILIZANDO CAMINHAO BASCULANTE 14,0M3/36T E PA CARREGADEIRA SOBRE PNEUS 128 HP, CAPACIDADE DA CAÇAMBA 1,7 A 2,8 M3, PESO OPERACIONAL 11632 KH</v>
          </cell>
          <cell r="D504" t="str">
            <v>M3</v>
          </cell>
          <cell r="E504">
            <v>383.63</v>
          </cell>
          <cell r="F504">
            <v>2.83</v>
          </cell>
          <cell r="G504">
            <v>3.5</v>
          </cell>
          <cell r="H504">
            <v>1342.71</v>
          </cell>
          <cell r="I504">
            <v>2.9</v>
          </cell>
          <cell r="J504">
            <v>3.41</v>
          </cell>
          <cell r="K504">
            <v>1308.18</v>
          </cell>
        </row>
        <row r="505">
          <cell r="A505" t="str">
            <v>1.9.4.3</v>
          </cell>
          <cell r="B505">
            <v>95876</v>
          </cell>
          <cell r="C505" t="str">
            <v>TRANSPORTE COM CAMINHÃO BASCULANTE DE 14 M³, EM VIA URBANA PAVIMENTADA, DMT ATÉ 30 KM (UNIDADE: M3XKM). AF_07/2020</v>
          </cell>
          <cell r="D505" t="str">
            <v>M3XKM</v>
          </cell>
          <cell r="E505">
            <v>5869.54</v>
          </cell>
          <cell r="F505">
            <v>2.2400000000000002</v>
          </cell>
          <cell r="G505">
            <v>2.77</v>
          </cell>
          <cell r="H505">
            <v>16258.63</v>
          </cell>
          <cell r="I505">
            <v>2.27</v>
          </cell>
          <cell r="J505">
            <v>2.67</v>
          </cell>
          <cell r="K505">
            <v>15671.67</v>
          </cell>
        </row>
        <row r="506">
          <cell r="A506" t="str">
            <v>1.9.4.4</v>
          </cell>
          <cell r="B506">
            <v>96385</v>
          </cell>
          <cell r="C506" t="str">
            <v>EXECUÇÃO E COMPACTAÇÃO DE ATERRO COM SOLO PREDOMINANTEMENTE ARGILOSO - EXCLUSIVE SOLO, ESCAVAÇÃO, CARGA E TRANSPORTE. AF_11/2019</v>
          </cell>
          <cell r="D506" t="str">
            <v>M3</v>
          </cell>
          <cell r="E506">
            <v>394.56</v>
          </cell>
          <cell r="F506">
            <v>12.41</v>
          </cell>
          <cell r="G506">
            <v>15.34</v>
          </cell>
          <cell r="H506">
            <v>6052.55</v>
          </cell>
          <cell r="I506">
            <v>13.02</v>
          </cell>
          <cell r="J506">
            <v>15.31</v>
          </cell>
          <cell r="K506">
            <v>6040.71</v>
          </cell>
        </row>
        <row r="507">
          <cell r="A507" t="str">
            <v>1.9.5</v>
          </cell>
          <cell r="B507"/>
          <cell r="C507" t="str">
            <v>PAVIMENTAÇÃO</v>
          </cell>
          <cell r="D507"/>
          <cell r="E507"/>
          <cell r="F507"/>
          <cell r="G507"/>
          <cell r="H507">
            <v>147060.62</v>
          </cell>
          <cell r="I507"/>
          <cell r="J507"/>
          <cell r="K507">
            <v>146402.26</v>
          </cell>
        </row>
        <row r="508">
          <cell r="A508" t="str">
            <v>1.9.5.1</v>
          </cell>
          <cell r="B508">
            <v>100576</v>
          </cell>
          <cell r="C508" t="str">
            <v>REGULARIZAÇÃO E COMPACTAÇÃO DE SUBLEITO DE SOLO  PREDOMINANTEMENTE ARGILOSO. AF_11/2019</v>
          </cell>
          <cell r="D508" t="str">
            <v>M2</v>
          </cell>
          <cell r="E508">
            <v>2620.7199999999998</v>
          </cell>
          <cell r="F508">
            <v>2.64</v>
          </cell>
          <cell r="G508">
            <v>3.26</v>
          </cell>
          <cell r="H508">
            <v>8543.5499999999993</v>
          </cell>
          <cell r="I508">
            <v>2.79</v>
          </cell>
          <cell r="J508">
            <v>3.28</v>
          </cell>
          <cell r="K508">
            <v>8595.9599999999991</v>
          </cell>
        </row>
        <row r="509">
          <cell r="A509" t="str">
            <v>1.9.5.2</v>
          </cell>
          <cell r="B509" t="str">
            <v>CP-96396-26507981</v>
          </cell>
          <cell r="C509" t="str">
            <v>EXECUÇÃO E COMPACTAÇÃO DE BASE E OU SUB BASE PARA PAVIMENTAÇÃO DE BRITA GRADUADA SIMPLES - EXCLUSIVE MATERIAL, CARGA E TRANSPORTE</v>
          </cell>
          <cell r="D509" t="str">
            <v>M3</v>
          </cell>
          <cell r="E509">
            <v>393.11</v>
          </cell>
          <cell r="F509">
            <v>13.86</v>
          </cell>
          <cell r="G509">
            <v>17.13</v>
          </cell>
          <cell r="H509">
            <v>6733.97</v>
          </cell>
          <cell r="I509">
            <v>14.44</v>
          </cell>
          <cell r="J509">
            <v>16.98</v>
          </cell>
          <cell r="K509">
            <v>6675.01</v>
          </cell>
        </row>
        <row r="510">
          <cell r="A510" t="str">
            <v>1.9.5.3</v>
          </cell>
          <cell r="B510" t="str">
            <v>COMP-35145154</v>
          </cell>
          <cell r="C510" t="str">
            <v>CARGA E DESCARGA MECANICA DE SOLO UTILIZANDO CAMINHAO BASCULANTE 14,0M3/36T E PA CARREGADEIRA SOBRE PNEUS 128 HP, CAPACIDADE DA CAÇAMBA 1,7 A 2,8 M3, PESO OPERACIONAL 11632 KH</v>
          </cell>
          <cell r="D510" t="str">
            <v>M3</v>
          </cell>
          <cell r="E510">
            <v>491.39</v>
          </cell>
          <cell r="F510">
            <v>2.83</v>
          </cell>
          <cell r="G510">
            <v>3.5</v>
          </cell>
          <cell r="H510">
            <v>1719.87</v>
          </cell>
          <cell r="I510">
            <v>2.9</v>
          </cell>
          <cell r="J510">
            <v>3.41</v>
          </cell>
          <cell r="K510">
            <v>1675.64</v>
          </cell>
        </row>
        <row r="511">
          <cell r="A511" t="str">
            <v>1.9.5.4</v>
          </cell>
          <cell r="B511" t="str">
            <v>COMP-83526730</v>
          </cell>
          <cell r="C511" t="str">
            <v>TRANSPORTE COMERCIAL DE BRITA</v>
          </cell>
          <cell r="D511" t="str">
            <v>M3XKM</v>
          </cell>
          <cell r="E511">
            <v>7321.71</v>
          </cell>
          <cell r="F511">
            <v>1.36</v>
          </cell>
          <cell r="G511">
            <v>1.68</v>
          </cell>
          <cell r="H511">
            <v>12300.47</v>
          </cell>
          <cell r="I511">
            <v>1.37</v>
          </cell>
          <cell r="J511">
            <v>1.61</v>
          </cell>
          <cell r="K511">
            <v>11787.95</v>
          </cell>
        </row>
        <row r="512">
          <cell r="A512" t="str">
            <v>1.9.5.5</v>
          </cell>
          <cell r="B512" t="str">
            <v>CP-92399-27762594</v>
          </cell>
          <cell r="C512" t="str">
            <v>EXECUÇÃO DE VIA EM PISO INTERTRAVADO, COM BLOCO RETANGULAR COR NATURAL/COLORIDO DE 20 X 10 CM, ESPESSURA 8 CM - (SEM O MATERIAL BLOQUETE/PISO INTERTRAVADO)</v>
          </cell>
          <cell r="D512" t="str">
            <v>M2</v>
          </cell>
          <cell r="E512">
            <v>2620.7199999999998</v>
          </cell>
          <cell r="F512">
            <v>19.170000000000002</v>
          </cell>
          <cell r="G512">
            <v>23.69</v>
          </cell>
          <cell r="H512">
            <v>62084.86</v>
          </cell>
          <cell r="I512">
            <v>20.41</v>
          </cell>
          <cell r="J512">
            <v>24</v>
          </cell>
          <cell r="K512">
            <v>62897.279999999999</v>
          </cell>
        </row>
        <row r="513">
          <cell r="A513" t="str">
            <v>1.9.5.6</v>
          </cell>
          <cell r="B513">
            <v>94273</v>
          </cell>
          <cell r="C513" t="str">
            <v>ASSENTAMENTO DE GUIA (MEIO-FIO) EM TRECHO RETO, CONFECCIONADA EM CONCRETO PRÉ-FABRICADO, DIMENSÕES 100X15X13X30 CM (COMPRIMENTO X BASE INFERIOR X BASE SUPERIOR X ALTURA), PARA VIAS URBANAS (USO VIÁRIO). AF_06/2016</v>
          </cell>
          <cell r="D513" t="str">
            <v>M</v>
          </cell>
          <cell r="E513">
            <v>824.98</v>
          </cell>
          <cell r="F513">
            <v>54.61</v>
          </cell>
          <cell r="G513">
            <v>67.489999999999995</v>
          </cell>
          <cell r="H513">
            <v>55677.9</v>
          </cell>
          <cell r="I513">
            <v>56.47</v>
          </cell>
          <cell r="J513">
            <v>66.39</v>
          </cell>
          <cell r="K513">
            <v>54770.42</v>
          </cell>
        </row>
        <row r="514">
          <cell r="A514" t="str">
            <v>1.9.6</v>
          </cell>
          <cell r="B514"/>
          <cell r="C514" t="str">
            <v>DRENAGEM</v>
          </cell>
          <cell r="D514"/>
          <cell r="E514"/>
          <cell r="F514"/>
          <cell r="G514"/>
          <cell r="H514">
            <v>106190.92</v>
          </cell>
          <cell r="I514"/>
          <cell r="J514"/>
          <cell r="K514">
            <v>105126.49</v>
          </cell>
        </row>
        <row r="515">
          <cell r="A515" t="str">
            <v>1.9.6.1</v>
          </cell>
          <cell r="B515">
            <v>93358</v>
          </cell>
          <cell r="C515" t="str">
            <v>ESCAVAÇÃO MANUAL DE VALA COM PROFUNDIDADE MENOR OU IGUAL A 1,30 M. AF_02/2021</v>
          </cell>
          <cell r="D515" t="str">
            <v>M3</v>
          </cell>
          <cell r="E515">
            <v>10.210000000000001</v>
          </cell>
          <cell r="F515">
            <v>70.53</v>
          </cell>
          <cell r="G515">
            <v>87.17</v>
          </cell>
          <cell r="H515">
            <v>890.01</v>
          </cell>
          <cell r="I515">
            <v>78.319999999999993</v>
          </cell>
          <cell r="J515">
            <v>92.08</v>
          </cell>
          <cell r="K515">
            <v>940.14</v>
          </cell>
        </row>
        <row r="516">
          <cell r="A516" t="str">
            <v>1.9.6.2</v>
          </cell>
          <cell r="B516">
            <v>94974</v>
          </cell>
          <cell r="C516" t="str">
            <v>CONCRETO MAGRO PARA LASTRO, TRAÇO 1:4,5:4,5 (EM MASSA SECA DE CIMENTO/ AREIA MÉDIA/ BRITA 1) - PREPARO MANUAL. AF_05/2021</v>
          </cell>
          <cell r="D516" t="str">
            <v>M3</v>
          </cell>
          <cell r="E516">
            <v>6.38</v>
          </cell>
          <cell r="F516">
            <v>423.75</v>
          </cell>
          <cell r="G516">
            <v>523.71</v>
          </cell>
          <cell r="H516">
            <v>3341.27</v>
          </cell>
          <cell r="I516">
            <v>436.13</v>
          </cell>
          <cell r="J516">
            <v>512.76</v>
          </cell>
          <cell r="K516">
            <v>3271.41</v>
          </cell>
        </row>
        <row r="517">
          <cell r="A517" t="str">
            <v>1.9.6.3</v>
          </cell>
          <cell r="B517">
            <v>94971</v>
          </cell>
          <cell r="C517" t="str">
            <v>CONCRETO FCK = 25MPA, TRAÇO 1:2,3:2,7 (EM MASSA SECA DE CIMENTO/ AREIA MÉDIA/ BRITA 1) - PREPARO MECÂNICO COM BETONEIRA 600 L. AF_05/2021</v>
          </cell>
          <cell r="D517" t="str">
            <v>M3</v>
          </cell>
          <cell r="E517">
            <v>16.350000000000001</v>
          </cell>
          <cell r="F517">
            <v>464.88</v>
          </cell>
          <cell r="G517">
            <v>574.54999999999995</v>
          </cell>
          <cell r="H517">
            <v>9393.89</v>
          </cell>
          <cell r="I517">
            <v>472.74</v>
          </cell>
          <cell r="J517">
            <v>555.79999999999995</v>
          </cell>
          <cell r="K517">
            <v>9087.33</v>
          </cell>
        </row>
        <row r="518">
          <cell r="A518" t="str">
            <v>1.9.6.4</v>
          </cell>
          <cell r="B518" t="str">
            <v>CP-74157/004-48264518</v>
          </cell>
          <cell r="C518" t="str">
            <v>LANCAMENTO/APLICACAO MANUAL DE CONCRETO EM FUNDACOES (concreto magro)</v>
          </cell>
          <cell r="D518" t="str">
            <v>M3</v>
          </cell>
          <cell r="E518">
            <v>22.73</v>
          </cell>
          <cell r="F518">
            <v>116.59</v>
          </cell>
          <cell r="G518">
            <v>144.09</v>
          </cell>
          <cell r="H518">
            <v>3275.17</v>
          </cell>
          <cell r="I518">
            <v>129.79</v>
          </cell>
          <cell r="J518">
            <v>152.59</v>
          </cell>
          <cell r="K518">
            <v>3468.37</v>
          </cell>
        </row>
        <row r="519">
          <cell r="A519" t="str">
            <v>1.9.6.5</v>
          </cell>
          <cell r="B519" t="str">
            <v>CP-S03639-45770834</v>
          </cell>
          <cell r="C519" t="str">
            <v>Fornecimento e instalação de tela aço soldada nervurada CA-60, Q-283, malha 10x10cm, ferro 6.02mm (4,48 kg/m2), painel 2,45x6,0m, Telcon ou similar</v>
          </cell>
          <cell r="D519" t="str">
            <v>M2</v>
          </cell>
          <cell r="E519">
            <v>127.66</v>
          </cell>
          <cell r="F519">
            <v>63.95</v>
          </cell>
          <cell r="G519">
            <v>79.040000000000006</v>
          </cell>
          <cell r="H519">
            <v>10090.25</v>
          </cell>
          <cell r="I519">
            <v>65.25</v>
          </cell>
          <cell r="J519">
            <v>76.709999999999994</v>
          </cell>
          <cell r="K519">
            <v>9792.7999999999993</v>
          </cell>
        </row>
        <row r="520">
          <cell r="A520" t="str">
            <v>1.9.6.6</v>
          </cell>
          <cell r="B520">
            <v>90105</v>
          </cell>
          <cell r="C520" t="str">
            <v>ESCAVAÇÃO MECANIZADA DE VALA COM PROFUNDIDADE ATÉ 1,5 M (MÉDIA MONTANTE E JUSANTE/UMA COMPOSIÇÃO POR TRECHO), RETROESCAV. (0,26 M3), LARGURA MENOR QUE 0,8 M, EM SOLO DE 1A CATEGORIA, LOCAIS COM BAIXO NÍVEL DE INTERFERÊNCIA. AF_02/2021</v>
          </cell>
          <cell r="D520" t="str">
            <v>M3</v>
          </cell>
          <cell r="E520">
            <v>179.27</v>
          </cell>
          <cell r="F520">
            <v>9.58</v>
          </cell>
          <cell r="G520">
            <v>11.84</v>
          </cell>
          <cell r="H520">
            <v>2122.56</v>
          </cell>
          <cell r="I520">
            <v>10.039999999999999</v>
          </cell>
          <cell r="J520">
            <v>11.8</v>
          </cell>
          <cell r="K520">
            <v>2115.39</v>
          </cell>
        </row>
        <row r="521">
          <cell r="A521" t="str">
            <v>1.9.6.7</v>
          </cell>
          <cell r="B521">
            <v>102295</v>
          </cell>
          <cell r="C521" t="str">
            <v>ESCAVAÇÃO MECANIZADA DE VALA COM PROF. MAIOR QUE 1,5 M ATÉ 3,0 M (MÉDIA MONTANTE E JUSANTE/UMA COMPOSIÇÃO POR TRECHO),COM ESCAVADEIRA (1,2 M3), LARG. DE 1,5 M A 2,5 M, EM SOLO MOLE, LOCAIS COM BAIXO NÍVEL DE INTERFERÊNCIA. AF_02/2021</v>
          </cell>
          <cell r="D521" t="str">
            <v>M3</v>
          </cell>
          <cell r="E521">
            <v>64.8</v>
          </cell>
          <cell r="F521">
            <v>6.24</v>
          </cell>
          <cell r="G521">
            <v>7.71</v>
          </cell>
          <cell r="H521">
            <v>499.61</v>
          </cell>
          <cell r="I521">
            <v>6.45</v>
          </cell>
          <cell r="J521">
            <v>7.58</v>
          </cell>
          <cell r="K521">
            <v>491.18</v>
          </cell>
        </row>
        <row r="522">
          <cell r="A522" t="str">
            <v>1.9.6.8</v>
          </cell>
          <cell r="B522">
            <v>93378</v>
          </cell>
          <cell r="C522" t="str">
            <v>REATERRO MECANIZADO DE VALA COM RETROESCAVADEIRA (CAPACIDADE DA CAÇAMBA DA RETRO: 0,26 M³ / POTÊNCIA: 88 HP), LARGURA ATÉ 0,8 M, PROFUNDIDADE ATÉ 1,5 M, COM SOLO DE 1ª CATEGORIA EM LOCAIS COM BAIXO NÍVEL DE INTERFERÊNCIA. AF_04/2016</v>
          </cell>
          <cell r="D522" t="str">
            <v>M3</v>
          </cell>
          <cell r="E522">
            <v>132.91</v>
          </cell>
          <cell r="F522">
            <v>27.22</v>
          </cell>
          <cell r="G522">
            <v>33.64</v>
          </cell>
          <cell r="H522">
            <v>4471.09</v>
          </cell>
          <cell r="I522">
            <v>29.29</v>
          </cell>
          <cell r="J522">
            <v>34.44</v>
          </cell>
          <cell r="K522">
            <v>4577.42</v>
          </cell>
        </row>
        <row r="523">
          <cell r="A523" t="str">
            <v>1.9.6.9</v>
          </cell>
          <cell r="B523">
            <v>93369</v>
          </cell>
          <cell r="C523" t="str">
            <v>REATERRO MECANIZADO DE VALA COM ESCAVADEIRA HIDRÁULICA (CAPACIDADE DA CAÇAMBA: 0,8 M³ / POTÊNCIA: 111 HP), LARGURA DE 1,5 A 2,5 M, PROFUNDIDADE DE 1,5 A 3,0 M, COM SOLO (SEM SUBSTITUIÇÃO) DE 1ª CATEGORIA EM LOCAIS COM BAIXO NÍVEL DE INTERFERÊNCIA. AF_04/2016</v>
          </cell>
          <cell r="D523" t="str">
            <v>M3</v>
          </cell>
          <cell r="E523">
            <v>33.049999999999997</v>
          </cell>
          <cell r="F523">
            <v>13.04</v>
          </cell>
          <cell r="G523">
            <v>16.12</v>
          </cell>
          <cell r="H523">
            <v>532.77</v>
          </cell>
          <cell r="I523">
            <v>13.55</v>
          </cell>
          <cell r="J523">
            <v>15.93</v>
          </cell>
          <cell r="K523">
            <v>526.49</v>
          </cell>
        </row>
        <row r="524">
          <cell r="A524" t="str">
            <v>1.9.6.10</v>
          </cell>
          <cell r="B524" t="str">
            <v>COMP-35145154</v>
          </cell>
          <cell r="C524" t="str">
            <v>CARGA E DESCARGA MECANICA DE SOLO UTILIZANDO CAMINHAO BASCULANTE 14,0M3/36T E PA CARREGADEIRA SOBRE PNEUS 128 HP, CAPACIDADE DA CAÇAMBA 1,7 A 2,8 M3, PESO OPERACIONAL 11632 KH</v>
          </cell>
          <cell r="D524" t="str">
            <v>M3</v>
          </cell>
          <cell r="E524">
            <v>97.64</v>
          </cell>
          <cell r="F524">
            <v>2.83</v>
          </cell>
          <cell r="G524">
            <v>3.5</v>
          </cell>
          <cell r="H524">
            <v>341.74</v>
          </cell>
          <cell r="I524">
            <v>2.9</v>
          </cell>
          <cell r="J524">
            <v>3.41</v>
          </cell>
          <cell r="K524">
            <v>332.95</v>
          </cell>
        </row>
        <row r="525">
          <cell r="A525" t="str">
            <v>1.9.6.11</v>
          </cell>
          <cell r="B525">
            <v>95876</v>
          </cell>
          <cell r="C525" t="str">
            <v>TRANSPORTE COM CAMINHÃO BASCULANTE DE 14 M³, EM VIA URBANA PAVIMENTADA, DMT ATÉ 30 KM (UNIDADE: M3XKM). AF_07/2020</v>
          </cell>
          <cell r="D525" t="str">
            <v>M3XKM</v>
          </cell>
          <cell r="E525">
            <v>1493.89</v>
          </cell>
          <cell r="F525">
            <v>2.2400000000000002</v>
          </cell>
          <cell r="G525">
            <v>2.77</v>
          </cell>
          <cell r="H525">
            <v>4138.08</v>
          </cell>
          <cell r="I525">
            <v>2.27</v>
          </cell>
          <cell r="J525">
            <v>2.67</v>
          </cell>
          <cell r="K525">
            <v>3988.69</v>
          </cell>
        </row>
        <row r="526">
          <cell r="A526" t="str">
            <v>1.9.6.12</v>
          </cell>
          <cell r="B526">
            <v>97994</v>
          </cell>
          <cell r="C526" t="str">
            <v>BASE PARA POÇO DE VISITA RETANGULAR PARA  ESGOTO, EM ALVENARIA COM BLOCOS DE CONCRETO, DIMENSÕES INTERNAS = 1X1 M, PROFUNDIDADE = 1,40 M, EXCLUINDO TAMPÃO. AF_12/2020</v>
          </cell>
          <cell r="D526" t="str">
            <v>UN</v>
          </cell>
          <cell r="E526">
            <v>12</v>
          </cell>
          <cell r="F526">
            <v>2465.7199999999998</v>
          </cell>
          <cell r="G526">
            <v>3047.38</v>
          </cell>
          <cell r="H526">
            <v>36568.559999999998</v>
          </cell>
          <cell r="I526">
            <v>2575.58</v>
          </cell>
          <cell r="J526">
            <v>3028.11</v>
          </cell>
          <cell r="K526">
            <v>36337.32</v>
          </cell>
        </row>
        <row r="527">
          <cell r="A527" t="str">
            <v>1.9.6.13</v>
          </cell>
          <cell r="B527">
            <v>99254</v>
          </cell>
          <cell r="C527" t="str">
            <v>ACRÉSCIMO PARA POÇO DE VISITA RETANGULAR PARA DRENAGEM, EM ALVENARIA COM BLOCOS DE CONCRETO, DIMENSÕES INTERNAS = 1X1 M. AF_12/2020</v>
          </cell>
          <cell r="D527" t="str">
            <v>M</v>
          </cell>
          <cell r="E527">
            <v>12</v>
          </cell>
          <cell r="F527">
            <v>1114.2</v>
          </cell>
          <cell r="G527">
            <v>1377.04</v>
          </cell>
          <cell r="H527">
            <v>16524.48</v>
          </cell>
          <cell r="I527">
            <v>1178.53</v>
          </cell>
          <cell r="J527">
            <v>1385.6</v>
          </cell>
          <cell r="K527">
            <v>16627.2</v>
          </cell>
        </row>
        <row r="528">
          <cell r="A528" t="str">
            <v>1.9.6.14</v>
          </cell>
          <cell r="B528">
            <v>92522</v>
          </cell>
          <cell r="C528" t="str">
            <v>MONTAGEM E DESMONTAGEM DE FÔRMA DE LAJE MACIÇA, PÉ-DIREITO SIMPLES, EM CHAPA DE MADEIRA COMPENSADA RESINADA, 8 UTILIZAÇÕES. AF_09/2020</v>
          </cell>
          <cell r="D528" t="str">
            <v>M2</v>
          </cell>
          <cell r="E528">
            <v>15.12</v>
          </cell>
          <cell r="F528">
            <v>37.97</v>
          </cell>
          <cell r="G528">
            <v>46.93</v>
          </cell>
          <cell r="H528">
            <v>709.58</v>
          </cell>
          <cell r="I528">
            <v>39.6</v>
          </cell>
          <cell r="J528">
            <v>46.56</v>
          </cell>
          <cell r="K528">
            <v>703.99</v>
          </cell>
        </row>
        <row r="529">
          <cell r="A529" t="str">
            <v>1.9.6.15</v>
          </cell>
          <cell r="B529">
            <v>92771</v>
          </cell>
          <cell r="C529" t="str">
            <v>ARMAÇÃO DE LAJE DE ESTRUTURA CONVENCIONAL DE CONCRETO ARMADO UTILIZANDO AÇO CA-50 DE 10,0 MM - MONTAGEM. AF_06/2022</v>
          </cell>
          <cell r="D529" t="str">
            <v>KG</v>
          </cell>
          <cell r="E529">
            <v>646.32000000000005</v>
          </cell>
          <cell r="F529">
            <v>15.04</v>
          </cell>
          <cell r="G529">
            <v>18.59</v>
          </cell>
          <cell r="H529">
            <v>12015.09</v>
          </cell>
          <cell r="I529">
            <v>15.14</v>
          </cell>
          <cell r="J529">
            <v>17.8</v>
          </cell>
          <cell r="K529">
            <v>11504.5</v>
          </cell>
        </row>
        <row r="530">
          <cell r="A530" t="str">
            <v>1.9.6.16</v>
          </cell>
          <cell r="B530">
            <v>90746</v>
          </cell>
          <cell r="C530" t="str">
            <v>ASSENTAMENTO DE TUBO DE PEAD CORRUGADO DE DUPLA PAREDE PARA REDE COLETORA DE ESGOTO, DN 450 MM, JUNTA ELÁSTICA INTEGRADA (NÃO INCLUI FORNECIMENTO). AF_01/2021</v>
          </cell>
          <cell r="D530" t="str">
            <v>M</v>
          </cell>
          <cell r="E530">
            <v>291.5</v>
          </cell>
          <cell r="F530">
            <v>3.54</v>
          </cell>
          <cell r="G530">
            <v>4.38</v>
          </cell>
          <cell r="H530">
            <v>1276.77</v>
          </cell>
          <cell r="I530">
            <v>3.97</v>
          </cell>
          <cell r="J530">
            <v>4.67</v>
          </cell>
          <cell r="K530">
            <v>1361.31</v>
          </cell>
        </row>
        <row r="531">
          <cell r="A531" t="str">
            <v>1.9.7</v>
          </cell>
          <cell r="B531"/>
          <cell r="C531" t="str">
            <v>SINALIZAÇÃO</v>
          </cell>
          <cell r="D531"/>
          <cell r="E531"/>
          <cell r="F531"/>
          <cell r="G531"/>
          <cell r="H531">
            <v>2349.8200000000002</v>
          </cell>
          <cell r="I531"/>
          <cell r="J531"/>
          <cell r="K531">
            <v>2261.4299999999998</v>
          </cell>
        </row>
        <row r="532">
          <cell r="A532" t="str">
            <v>1.9.7.1</v>
          </cell>
          <cell r="B532">
            <v>5213421</v>
          </cell>
          <cell r="C532" t="str">
            <v>Confecção de placa em aço nº 16 galvanizado, com película tipo I + IV</v>
          </cell>
          <cell r="D532" t="str">
            <v xml:space="preserve">M2    </v>
          </cell>
          <cell r="E532">
            <v>2.25</v>
          </cell>
          <cell r="F532">
            <v>343.8</v>
          </cell>
          <cell r="G532">
            <v>424.9</v>
          </cell>
          <cell r="H532">
            <v>956.03</v>
          </cell>
          <cell r="I532">
            <v>347.25</v>
          </cell>
          <cell r="J532">
            <v>408.26</v>
          </cell>
          <cell r="K532">
            <v>918.59</v>
          </cell>
        </row>
        <row r="533">
          <cell r="A533" t="str">
            <v>1.9.7.2</v>
          </cell>
          <cell r="B533">
            <v>5216111</v>
          </cell>
          <cell r="C533" t="str">
            <v>FORNECIMENTO E IMPLANTAÇÃO DE SUPORTE E TRAVESSA PARA PLACA DE SINALIZAÇÃO EM MADEIRA DE LEI TRATADA 8 X 8 CM</v>
          </cell>
          <cell r="D533" t="str">
            <v>UND</v>
          </cell>
          <cell r="E533">
            <v>5</v>
          </cell>
          <cell r="F533">
            <v>119.1379</v>
          </cell>
          <cell r="G533">
            <v>147.24</v>
          </cell>
          <cell r="H533">
            <v>736.2</v>
          </cell>
          <cell r="I533">
            <v>121.48</v>
          </cell>
          <cell r="J533">
            <v>142.82</v>
          </cell>
          <cell r="K533">
            <v>714.1</v>
          </cell>
        </row>
        <row r="534">
          <cell r="A534" t="str">
            <v>1.9.7.3</v>
          </cell>
          <cell r="B534" t="str">
            <v>COMP-58084869</v>
          </cell>
          <cell r="C534" t="str">
            <v>PLACA ESMALTADA PARA IDENTIFICAÇÃO NR DE RUA, DIMENSÕES 45X25CM</v>
          </cell>
          <cell r="D534" t="str">
            <v>UND</v>
          </cell>
          <cell r="E534">
            <v>3</v>
          </cell>
          <cell r="F534">
            <v>155.54</v>
          </cell>
          <cell r="G534">
            <v>192.23</v>
          </cell>
          <cell r="H534">
            <v>576.69000000000005</v>
          </cell>
          <cell r="I534">
            <v>156.33000000000001</v>
          </cell>
          <cell r="J534">
            <v>183.8</v>
          </cell>
          <cell r="K534">
            <v>551.4</v>
          </cell>
        </row>
        <row r="535">
          <cell r="A535" t="str">
            <v>1.9.7.4</v>
          </cell>
          <cell r="B535" t="str">
            <v>CP-72947-21572945</v>
          </cell>
          <cell r="C535" t="str">
            <v>SINALIZACAO HORIZONTAL COM TINTA RETRORREFLETIVA A BASE DE RESINA ACRILICA COM MICROESFERAS DE VIDRO</v>
          </cell>
          <cell r="D535" t="str">
            <v>M2</v>
          </cell>
          <cell r="E535">
            <v>3.24</v>
          </cell>
          <cell r="F535">
            <v>20.2</v>
          </cell>
          <cell r="G535">
            <v>24.97</v>
          </cell>
          <cell r="H535">
            <v>80.900000000000006</v>
          </cell>
          <cell r="I535">
            <v>20.3</v>
          </cell>
          <cell r="J535">
            <v>23.87</v>
          </cell>
          <cell r="K535">
            <v>77.34</v>
          </cell>
        </row>
        <row r="536">
          <cell r="A536" t="str">
            <v>1.9.8</v>
          </cell>
          <cell r="B536"/>
          <cell r="C536" t="str">
            <v>CONTENÇÃO</v>
          </cell>
          <cell r="D536"/>
          <cell r="E536"/>
          <cell r="F536"/>
          <cell r="G536"/>
          <cell r="H536">
            <v>213843.18</v>
          </cell>
          <cell r="I536"/>
          <cell r="J536"/>
          <cell r="K536">
            <v>217350.68</v>
          </cell>
        </row>
        <row r="537">
          <cell r="A537" t="str">
            <v>1.9.8.1</v>
          </cell>
          <cell r="B537"/>
          <cell r="C537" t="str">
            <v>TERRAPLANAGEM</v>
          </cell>
          <cell r="D537"/>
          <cell r="E537"/>
          <cell r="F537"/>
          <cell r="G537"/>
          <cell r="H537"/>
          <cell r="I537"/>
          <cell r="J537"/>
          <cell r="K537"/>
        </row>
        <row r="538">
          <cell r="A538" t="str">
            <v>1.9.8.1.1</v>
          </cell>
          <cell r="B538">
            <v>93358</v>
          </cell>
          <cell r="C538" t="str">
            <v>ESCAVAÇÃO MANUAL DE VALA COM PROFUNDIDADE MENOR OU IGUAL A 1,30 M. AF_02/2021</v>
          </cell>
          <cell r="D538" t="str">
            <v>M3</v>
          </cell>
          <cell r="E538">
            <v>71.53</v>
          </cell>
          <cell r="F538">
            <v>70.53</v>
          </cell>
          <cell r="G538">
            <v>87.17</v>
          </cell>
          <cell r="H538">
            <v>6235.27</v>
          </cell>
          <cell r="I538">
            <v>78.319999999999993</v>
          </cell>
          <cell r="J538">
            <v>92.08</v>
          </cell>
          <cell r="K538">
            <v>6586.48</v>
          </cell>
        </row>
        <row r="539">
          <cell r="A539" t="str">
            <v>1.9.8.1.2</v>
          </cell>
          <cell r="B539">
            <v>100206</v>
          </cell>
          <cell r="C539" t="str">
            <v>TRANSPORTE HORIZONTAL COM JERICA DE 90 L, DE MASSA/ GRANEL (UNIDADE: M3XKM). AF_07/2019</v>
          </cell>
          <cell r="D539" t="str">
            <v>M3XKM</v>
          </cell>
          <cell r="E539">
            <v>9.44</v>
          </cell>
          <cell r="F539">
            <v>880.33</v>
          </cell>
          <cell r="G539">
            <v>1088</v>
          </cell>
          <cell r="H539">
            <v>10270.719999999999</v>
          </cell>
          <cell r="I539">
            <v>977.6</v>
          </cell>
          <cell r="J539">
            <v>1149.3599999999999</v>
          </cell>
          <cell r="K539">
            <v>10849.96</v>
          </cell>
        </row>
        <row r="540">
          <cell r="A540" t="str">
            <v>1.9.8.1.3</v>
          </cell>
          <cell r="B540" t="str">
            <v>CP-72897-80530767</v>
          </cell>
          <cell r="C540" t="str">
            <v>CARGA MANUAL DE ENTULHO EM CAMINHAO BASCULANTE 14 M3</v>
          </cell>
          <cell r="D540" t="str">
            <v>M3</v>
          </cell>
          <cell r="E540">
            <v>89.41</v>
          </cell>
          <cell r="F540">
            <v>29.91</v>
          </cell>
          <cell r="G540">
            <v>36.97</v>
          </cell>
          <cell r="H540">
            <v>3305.49</v>
          </cell>
          <cell r="I540">
            <v>32.15</v>
          </cell>
          <cell r="J540">
            <v>37.799999999999997</v>
          </cell>
          <cell r="K540">
            <v>3379.7</v>
          </cell>
        </row>
        <row r="541">
          <cell r="A541" t="str">
            <v>1.9.8.1.4</v>
          </cell>
          <cell r="B541">
            <v>95876</v>
          </cell>
          <cell r="C541" t="str">
            <v>TRANSPORTE COM CAMINHÃO BASCULANTE DE 14 M³, EM VIA URBANA PAVIMENTADA, DMT ATÉ 30 KM (UNIDADE: M3XKM). AF_07/2020</v>
          </cell>
          <cell r="D541" t="str">
            <v>M3XKM</v>
          </cell>
          <cell r="E541">
            <v>1367.97</v>
          </cell>
          <cell r="F541">
            <v>2.2400000000000002</v>
          </cell>
          <cell r="G541">
            <v>2.77</v>
          </cell>
          <cell r="H541">
            <v>3789.28</v>
          </cell>
          <cell r="I541">
            <v>2.27</v>
          </cell>
          <cell r="J541">
            <v>2.67</v>
          </cell>
          <cell r="K541">
            <v>3652.48</v>
          </cell>
        </row>
        <row r="542">
          <cell r="A542" t="str">
            <v>1.9.8.2</v>
          </cell>
          <cell r="B542"/>
          <cell r="C542" t="str">
            <v>CONTENÇÃO DE ENCOSTA</v>
          </cell>
          <cell r="D542"/>
          <cell r="E542"/>
          <cell r="F542"/>
          <cell r="G542"/>
          <cell r="H542"/>
          <cell r="I542"/>
          <cell r="J542"/>
          <cell r="K542"/>
        </row>
        <row r="543">
          <cell r="A543" t="str">
            <v>1.9.8.2.1</v>
          </cell>
          <cell r="B543">
            <v>100206</v>
          </cell>
          <cell r="C543" t="str">
            <v>TRANSPORTE HORIZONTAL COM JERICA DE 90 L, DE MASSA/ GRANEL (UNIDADE: M3XKM). AF_07/2019</v>
          </cell>
          <cell r="D543" t="str">
            <v>M3XKM</v>
          </cell>
          <cell r="E543">
            <v>5.08</v>
          </cell>
          <cell r="F543">
            <v>880.33</v>
          </cell>
          <cell r="G543">
            <v>1088</v>
          </cell>
          <cell r="H543">
            <v>5527.04</v>
          </cell>
          <cell r="I543">
            <v>977.6</v>
          </cell>
          <cell r="J543">
            <v>1149.3599999999999</v>
          </cell>
          <cell r="K543">
            <v>5838.75</v>
          </cell>
        </row>
        <row r="544">
          <cell r="A544" t="str">
            <v>1.9.8.2.2</v>
          </cell>
          <cell r="B544" t="str">
            <v>CP-100206-86548087</v>
          </cell>
          <cell r="C544" t="str">
            <v>TRANSPORTE HORIZONTAL COM JERICA DE 90 L, DE PEDRA RACHÃO GRANEL (UNIDADE: M3XKM). AF_07/2019</v>
          </cell>
          <cell r="D544" t="str">
            <v>M3XKM</v>
          </cell>
          <cell r="E544">
            <v>22.34</v>
          </cell>
          <cell r="F544">
            <v>880.34</v>
          </cell>
          <cell r="G544">
            <v>1088.01</v>
          </cell>
          <cell r="H544">
            <v>24306.14</v>
          </cell>
          <cell r="I544">
            <v>977.61</v>
          </cell>
          <cell r="J544">
            <v>1149.3800000000001</v>
          </cell>
          <cell r="K544">
            <v>25677.15</v>
          </cell>
        </row>
        <row r="545">
          <cell r="A545" t="str">
            <v>1.9.8.2.3</v>
          </cell>
          <cell r="B545" t="str">
            <v>CP-95467-90315369</v>
          </cell>
          <cell r="C545" t="str">
            <v>EMBASAMENTO C/PEDRA ARGAMASSADA UTILIZANDO ARG.CIM/AREIA 1:6</v>
          </cell>
          <cell r="D545" t="str">
            <v>M3</v>
          </cell>
          <cell r="E545">
            <v>151.18</v>
          </cell>
          <cell r="F545">
            <v>475.44</v>
          </cell>
          <cell r="G545">
            <v>587.6</v>
          </cell>
          <cell r="H545">
            <v>88833.37</v>
          </cell>
          <cell r="I545">
            <v>507.45</v>
          </cell>
          <cell r="J545">
            <v>596.61</v>
          </cell>
          <cell r="K545">
            <v>90195.5</v>
          </cell>
        </row>
        <row r="546">
          <cell r="A546" t="str">
            <v>1.9.8.2.4</v>
          </cell>
          <cell r="B546" t="str">
            <v>COMP-83526730</v>
          </cell>
          <cell r="C546" t="str">
            <v>TRANSPORTE COMERCIAL DE BRITA</v>
          </cell>
          <cell r="D546" t="str">
            <v>M3XKM</v>
          </cell>
          <cell r="E546">
            <v>319.98</v>
          </cell>
          <cell r="F546">
            <v>1.36</v>
          </cell>
          <cell r="G546">
            <v>1.68</v>
          </cell>
          <cell r="H546">
            <v>537.57000000000005</v>
          </cell>
          <cell r="I546">
            <v>1.37</v>
          </cell>
          <cell r="J546">
            <v>1.61</v>
          </cell>
          <cell r="K546">
            <v>515.16999999999996</v>
          </cell>
        </row>
        <row r="547">
          <cell r="A547" t="str">
            <v>1.9.8.2.5</v>
          </cell>
          <cell r="B547" t="str">
            <v>CP-73883/002-13051595</v>
          </cell>
          <cell r="C547" t="str">
            <v>EXECUCAO DE DRENO FRANCES COM BRITA NUM 2</v>
          </cell>
          <cell r="D547" t="str">
            <v>M3</v>
          </cell>
          <cell r="E547">
            <v>17.18</v>
          </cell>
          <cell r="F547">
            <v>137.65</v>
          </cell>
          <cell r="G547">
            <v>170.12</v>
          </cell>
          <cell r="H547">
            <v>2922.66</v>
          </cell>
          <cell r="I547">
            <v>141.59</v>
          </cell>
          <cell r="J547">
            <v>166.47</v>
          </cell>
          <cell r="K547">
            <v>2859.95</v>
          </cell>
        </row>
        <row r="548">
          <cell r="A548" t="str">
            <v>1.9.8.2.6</v>
          </cell>
          <cell r="B548" t="str">
            <v>CP-73883/001-30509153</v>
          </cell>
          <cell r="C548" t="str">
            <v>EXECUCAO DE DRENO FRANCES COM AREIA MEDIA</v>
          </cell>
          <cell r="D548" t="str">
            <v>M3</v>
          </cell>
          <cell r="E548">
            <v>17.18</v>
          </cell>
          <cell r="F548">
            <v>177.98</v>
          </cell>
          <cell r="G548">
            <v>219.97</v>
          </cell>
          <cell r="H548">
            <v>3779.08</v>
          </cell>
          <cell r="I548">
            <v>180.54</v>
          </cell>
          <cell r="J548">
            <v>212.26</v>
          </cell>
          <cell r="K548">
            <v>3646.63</v>
          </cell>
        </row>
        <row r="549">
          <cell r="A549" t="str">
            <v>1.9.8.2.7</v>
          </cell>
          <cell r="B549" t="str">
            <v>CP-83729-53696259</v>
          </cell>
          <cell r="C549" t="str">
            <v>FORNECIMENTO/INSTALACAO DE MANTA BIDIM RT-31</v>
          </cell>
          <cell r="D549" t="str">
            <v>M3</v>
          </cell>
          <cell r="E549">
            <v>4.7300000000000004</v>
          </cell>
          <cell r="F549">
            <v>33.049999999999997</v>
          </cell>
          <cell r="G549">
            <v>40.85</v>
          </cell>
          <cell r="H549">
            <v>193.22</v>
          </cell>
          <cell r="I549">
            <v>33.11</v>
          </cell>
          <cell r="J549">
            <v>38.93</v>
          </cell>
          <cell r="K549">
            <v>184.14</v>
          </cell>
        </row>
        <row r="550">
          <cell r="A550" t="str">
            <v>1.9.8.2.8</v>
          </cell>
          <cell r="B550" t="str">
            <v>CP-83681-82667036</v>
          </cell>
          <cell r="C550" t="str">
            <v>TUBO PVC D=4" COM MATERIAL DRENANTE PARA DRENO/BARBACA - FORNECIMENTO E INSTALACAO</v>
          </cell>
          <cell r="D550" t="str">
            <v>M</v>
          </cell>
          <cell r="E550">
            <v>47.25</v>
          </cell>
          <cell r="F550">
            <v>26.73</v>
          </cell>
          <cell r="G550">
            <v>33.04</v>
          </cell>
          <cell r="H550">
            <v>1561.14</v>
          </cell>
          <cell r="I550">
            <v>27.71</v>
          </cell>
          <cell r="J550">
            <v>32.58</v>
          </cell>
          <cell r="K550">
            <v>1539.41</v>
          </cell>
        </row>
        <row r="551">
          <cell r="A551" t="str">
            <v>1.9.8.2.9</v>
          </cell>
          <cell r="B551" t="str">
            <v>CP-S10448-80966267</v>
          </cell>
          <cell r="C551" t="str">
            <v>Abraçadeira metálica tipo "D" de 4"</v>
          </cell>
          <cell r="D551" t="str">
            <v>UND</v>
          </cell>
          <cell r="E551">
            <v>85.9</v>
          </cell>
          <cell r="F551">
            <v>13.73</v>
          </cell>
          <cell r="G551">
            <v>16.97</v>
          </cell>
          <cell r="H551">
            <v>1457.72</v>
          </cell>
          <cell r="I551">
            <v>14.19</v>
          </cell>
          <cell r="J551">
            <v>16.68</v>
          </cell>
          <cell r="K551">
            <v>1432.81</v>
          </cell>
        </row>
        <row r="552">
          <cell r="A552" t="str">
            <v>1.9.8.2.10</v>
          </cell>
          <cell r="B552">
            <v>96620</v>
          </cell>
          <cell r="C552" t="str">
            <v>LASTRO DE CONCRETO MAGRO, APLICADO EM PISOS, LAJES SOBRE SOLO OU RADIERS. AF_08/2017</v>
          </cell>
          <cell r="D552" t="str">
            <v>M3</v>
          </cell>
          <cell r="E552">
            <v>5.15</v>
          </cell>
          <cell r="F552">
            <v>574.05999999999995</v>
          </cell>
          <cell r="G552">
            <v>709.48</v>
          </cell>
          <cell r="H552">
            <v>3653.82</v>
          </cell>
          <cell r="I552">
            <v>600.74</v>
          </cell>
          <cell r="J552">
            <v>706.29</v>
          </cell>
          <cell r="K552">
            <v>3637.39</v>
          </cell>
        </row>
        <row r="553">
          <cell r="A553" t="str">
            <v>1.9.8.2.11</v>
          </cell>
          <cell r="B553" t="str">
            <v>CP-83356-32589970</v>
          </cell>
          <cell r="C553" t="str">
            <v>TRANSPORTE COMERCIAL DE PEDRA RACHÃO</v>
          </cell>
          <cell r="D553" t="str">
            <v>M3XKM</v>
          </cell>
          <cell r="E553">
            <v>3153.61</v>
          </cell>
          <cell r="F553">
            <v>1.37</v>
          </cell>
          <cell r="G553">
            <v>1.69</v>
          </cell>
          <cell r="H553">
            <v>5329.6</v>
          </cell>
          <cell r="I553">
            <v>1.38</v>
          </cell>
          <cell r="J553">
            <v>1.62</v>
          </cell>
          <cell r="K553">
            <v>5108.8500000000004</v>
          </cell>
        </row>
        <row r="554">
          <cell r="A554" t="str">
            <v>1.9.8.2.12</v>
          </cell>
          <cell r="B554" t="str">
            <v>COMP-82259696</v>
          </cell>
          <cell r="C554" t="str">
            <v>PREENCHIMENTO DE JUNTAS COM SELANTE A BASE DE ASFALTO</v>
          </cell>
          <cell r="D554" t="str">
            <v>M</v>
          </cell>
          <cell r="E554">
            <v>101.93</v>
          </cell>
          <cell r="F554">
            <v>8.75</v>
          </cell>
          <cell r="G554">
            <v>10.81</v>
          </cell>
          <cell r="H554">
            <v>1101.8599999999999</v>
          </cell>
          <cell r="I554">
            <v>8.99</v>
          </cell>
          <cell r="J554">
            <v>10.57</v>
          </cell>
          <cell r="K554">
            <v>1077.4000000000001</v>
          </cell>
        </row>
        <row r="555">
          <cell r="A555" t="str">
            <v>1.9.8.3</v>
          </cell>
          <cell r="B555"/>
          <cell r="C555" t="str">
            <v>REVESTIMENTO E PROTEÇÃO DA ENCOSTA</v>
          </cell>
          <cell r="D555"/>
          <cell r="E555"/>
          <cell r="F555"/>
          <cell r="G555"/>
          <cell r="H555"/>
          <cell r="I555"/>
          <cell r="J555"/>
          <cell r="K555"/>
        </row>
        <row r="556">
          <cell r="A556" t="str">
            <v>1.9.8.3.1</v>
          </cell>
          <cell r="B556">
            <v>99839</v>
          </cell>
          <cell r="C556" t="str">
            <v>GUARDA-CORPO DE AÇO GALVANIZADO DE 1,10M DE ALTURA, MONTANTES TUBULARES DE 1.1/2 ESPAÇADOS DE 1,20M, TRAVESSA SUPERIOR DE 2, GRADIL FORMADO POR BARRAS CHATAS EM FERRO DE 32X4,8MM, FIXADO COM CHUMBADOR MECÂNICO. AF_04/2019_P</v>
          </cell>
          <cell r="D556" t="str">
            <v>M</v>
          </cell>
          <cell r="E556">
            <v>85.9</v>
          </cell>
          <cell r="F556">
            <v>480.76</v>
          </cell>
          <cell r="G556">
            <v>594.16999999999996</v>
          </cell>
          <cell r="H556">
            <v>51039.199999999997</v>
          </cell>
          <cell r="I556">
            <v>506.66</v>
          </cell>
          <cell r="J556">
            <v>595.67999999999995</v>
          </cell>
          <cell r="K556">
            <v>51168.91</v>
          </cell>
        </row>
        <row r="557">
          <cell r="A557" t="str">
            <v>1.9.9</v>
          </cell>
          <cell r="B557"/>
          <cell r="C557" t="str">
            <v>MATERIAIS</v>
          </cell>
          <cell r="D557"/>
          <cell r="E557"/>
          <cell r="F557"/>
          <cell r="G557"/>
          <cell r="H557">
            <v>271424.75</v>
          </cell>
          <cell r="I557"/>
          <cell r="J557"/>
          <cell r="K557">
            <v>258737.16</v>
          </cell>
        </row>
        <row r="558">
          <cell r="A558" t="str">
            <v>1.9.9.1</v>
          </cell>
          <cell r="B558">
            <v>10775</v>
          </cell>
          <cell r="C558" t="str">
            <v xml:space="preserve">LOCACAO DE CONTAINER 2,30 X 6,00 M, ALT. 2,50 M, COM 1 SANITARIO, PARA ESCRITORIO, COMPLETO, SEM DIVISORIAS INTERNAS (NAO INCLUI MOBILIZACAO/DESMOBILIZACAO)                                                                                                                                                                                                                                                                                                                                              </v>
          </cell>
          <cell r="D558" t="str">
            <v xml:space="preserve">MES   </v>
          </cell>
          <cell r="E558">
            <v>4</v>
          </cell>
          <cell r="F558">
            <v>830</v>
          </cell>
          <cell r="G558">
            <v>958.32</v>
          </cell>
          <cell r="H558">
            <v>3833.28</v>
          </cell>
          <cell r="I558">
            <v>830</v>
          </cell>
          <cell r="J558">
            <v>913.58</v>
          </cell>
          <cell r="K558">
            <v>3654.32</v>
          </cell>
        </row>
        <row r="559">
          <cell r="A559" t="str">
            <v>1.9.9.2</v>
          </cell>
          <cell r="B559">
            <v>10776</v>
          </cell>
          <cell r="C559" t="str">
            <v xml:space="preserve">LOCACAO DE CONTAINER 2,30 X 6,00 M, ALT. 2,50 M, PARA ESCRITORIO, SEM DIVISORIAS INTERNAS E SEM SANITARIO (NAO INCLUI MOBILIZACAO/DESMOBILIZACAO)                                                                                                                                                                                                                                                                                                                                                         </v>
          </cell>
          <cell r="D559" t="str">
            <v xml:space="preserve">MES   </v>
          </cell>
          <cell r="E559">
            <v>4</v>
          </cell>
          <cell r="F559">
            <v>648.42999999999995</v>
          </cell>
          <cell r="G559">
            <v>748.68</v>
          </cell>
          <cell r="H559">
            <v>2994.72</v>
          </cell>
          <cell r="I559">
            <v>648.42999999999995</v>
          </cell>
          <cell r="J559">
            <v>713.73</v>
          </cell>
          <cell r="K559">
            <v>2854.92</v>
          </cell>
        </row>
        <row r="560">
          <cell r="A560" t="str">
            <v>1.9.9.3</v>
          </cell>
          <cell r="B560">
            <v>6081</v>
          </cell>
          <cell r="C560" t="str">
            <v xml:space="preserve">ARGILA OU BARRO PARA ATERRO/REATERRO (COM TRANSPORTE ATE 10 KM)                                                                                                                                                                                                                                                                                                                                                                                                                                           </v>
          </cell>
          <cell r="D560" t="str">
            <v xml:space="preserve">M3    </v>
          </cell>
          <cell r="E560">
            <v>87.66</v>
          </cell>
          <cell r="F560">
            <v>73.099999999999994</v>
          </cell>
          <cell r="G560">
            <v>84.4</v>
          </cell>
          <cell r="H560">
            <v>7398.5</v>
          </cell>
          <cell r="I560">
            <v>73.099999999999994</v>
          </cell>
          <cell r="J560">
            <v>80.459999999999994</v>
          </cell>
          <cell r="K560">
            <v>7053.12</v>
          </cell>
        </row>
        <row r="561">
          <cell r="A561" t="str">
            <v>1.9.9.4</v>
          </cell>
          <cell r="B561">
            <v>36170</v>
          </cell>
          <cell r="C561" t="str">
            <v xml:space="preserve">BLOQUETE/PISO INTERTRAVADO DE CONCRETO - MODELO ONDA/16 FACES/RETANGULAR/TIJOLINHO/PAVER/HOLANDES/PARALELEPIPEDO, *22 CM X 11* CM, E = 8 CM, RESISTENCIA DE 35 MPA (NBR 9781), COR NATURAL                                                                                                                                                                                                                                                                                                                </v>
          </cell>
          <cell r="D561" t="str">
            <v xml:space="preserve">M2    </v>
          </cell>
          <cell r="E561">
            <v>1805.92</v>
          </cell>
          <cell r="F561">
            <v>49</v>
          </cell>
          <cell r="G561">
            <v>56.58</v>
          </cell>
          <cell r="H561">
            <v>102178.95</v>
          </cell>
          <cell r="I561">
            <v>49</v>
          </cell>
          <cell r="J561">
            <v>53.93</v>
          </cell>
          <cell r="K561">
            <v>97393.27</v>
          </cell>
        </row>
        <row r="562">
          <cell r="A562" t="str">
            <v>1.9.9.5</v>
          </cell>
          <cell r="B562">
            <v>36154</v>
          </cell>
          <cell r="C562" t="str">
            <v xml:space="preserve">BLOQUETE/PISO INTERTRAVADO DE CONCRETO - MODELO ONDA/16 FACES/RETANGULAR/TIJOLINHO/PAVER/HOLANDES/PARALELEPIPEDO, 20 CM X 10 CM, E = 8 CM, RESISTENCIA DE 35 MPA (NBR 9781), COLORIDO                                                                                                                                                                                                                                                                                                                     </v>
          </cell>
          <cell r="D562" t="str">
            <v xml:space="preserve">M2    </v>
          </cell>
          <cell r="E562">
            <v>849.13</v>
          </cell>
          <cell r="F562">
            <v>53.92</v>
          </cell>
          <cell r="G562">
            <v>62.26</v>
          </cell>
          <cell r="H562">
            <v>52866.83</v>
          </cell>
          <cell r="I562">
            <v>53.92</v>
          </cell>
          <cell r="J562">
            <v>59.35</v>
          </cell>
          <cell r="K562">
            <v>50395.87</v>
          </cell>
        </row>
        <row r="563">
          <cell r="A563" t="str">
            <v>1.9.9.6</v>
          </cell>
          <cell r="B563" t="str">
            <v>M0132</v>
          </cell>
          <cell r="C563" t="str">
            <v xml:space="preserve">	Tubo PEAD corrugado com paredes estruturadas para drenagem - D = 450 mm</v>
          </cell>
          <cell r="D563" t="str">
            <v>M</v>
          </cell>
          <cell r="E563">
            <v>291.5</v>
          </cell>
          <cell r="F563">
            <v>227.86</v>
          </cell>
          <cell r="G563">
            <v>263.08999999999997</v>
          </cell>
          <cell r="H563">
            <v>76690.740000000005</v>
          </cell>
          <cell r="I563">
            <v>227.86</v>
          </cell>
          <cell r="J563">
            <v>250.81</v>
          </cell>
          <cell r="K563">
            <v>73111.12</v>
          </cell>
        </row>
        <row r="564">
          <cell r="A564" t="str">
            <v>1.9.9.7</v>
          </cell>
          <cell r="B564" t="str">
            <v>INS-185032</v>
          </cell>
          <cell r="C564" t="str">
            <v>BRITA GRADUADA SIMPLES (BGS)</v>
          </cell>
          <cell r="D564" t="str">
            <v>M3</v>
          </cell>
          <cell r="E564">
            <v>393.11</v>
          </cell>
          <cell r="F564">
            <v>56.099999999999994</v>
          </cell>
          <cell r="G564">
            <v>64.77</v>
          </cell>
          <cell r="H564">
            <v>25461.73</v>
          </cell>
          <cell r="I564">
            <v>56.099999999999994</v>
          </cell>
          <cell r="J564">
            <v>61.75</v>
          </cell>
          <cell r="K564">
            <v>24274.54</v>
          </cell>
        </row>
        <row r="565">
          <cell r="A565" t="str">
            <v>2.0</v>
          </cell>
          <cell r="B565"/>
          <cell r="C565" t="str">
            <v>CALÇADAS</v>
          </cell>
          <cell r="D565"/>
          <cell r="E565"/>
          <cell r="F565"/>
          <cell r="G565"/>
          <cell r="H565"/>
          <cell r="I565"/>
          <cell r="J565"/>
          <cell r="K565"/>
        </row>
        <row r="566">
          <cell r="A566" t="str">
            <v>2.1</v>
          </cell>
          <cell r="B566"/>
          <cell r="C566" t="str">
            <v>REQUALIFICAÇÃO DE CALÇADAS</v>
          </cell>
          <cell r="D566"/>
          <cell r="E566"/>
          <cell r="F566"/>
          <cell r="G566"/>
          <cell r="H566">
            <v>608492.81000000006</v>
          </cell>
          <cell r="I566"/>
          <cell r="J566"/>
          <cell r="K566">
            <v>602074.57999999996</v>
          </cell>
        </row>
        <row r="567">
          <cell r="A567" t="str">
            <v>2.1.1</v>
          </cell>
          <cell r="B567"/>
          <cell r="C567" t="str">
            <v>INSTALAÇÕES PROVISÓRIAS</v>
          </cell>
          <cell r="D567"/>
          <cell r="E567"/>
          <cell r="F567"/>
          <cell r="G567"/>
          <cell r="H567">
            <v>5447.89</v>
          </cell>
          <cell r="I567"/>
          <cell r="J567"/>
          <cell r="K567">
            <v>5205.03</v>
          </cell>
        </row>
        <row r="568">
          <cell r="A568" t="str">
            <v>2.1.1.1</v>
          </cell>
          <cell r="B568" t="str">
            <v>CP-74209/001-15055090</v>
          </cell>
          <cell r="C568" t="str">
            <v>PLACA DE OBRA EM CHAPA DE ACO GALVANIZADO</v>
          </cell>
          <cell r="D568" t="str">
            <v xml:space="preserve">M2    </v>
          </cell>
          <cell r="E568">
            <v>2.88</v>
          </cell>
          <cell r="F568">
            <v>558.35</v>
          </cell>
          <cell r="G568">
            <v>690.06</v>
          </cell>
          <cell r="H568">
            <v>1987.37</v>
          </cell>
          <cell r="I568">
            <v>564.99</v>
          </cell>
          <cell r="J568">
            <v>664.26</v>
          </cell>
          <cell r="K568">
            <v>1913.07</v>
          </cell>
        </row>
        <row r="569">
          <cell r="A569" t="str">
            <v>2.1.1.2</v>
          </cell>
          <cell r="B569" t="str">
            <v>COMP-07440249</v>
          </cell>
          <cell r="C569" t="str">
            <v>BANHEIRO QUÍMICO, COM LOCAÇÃO, TRANSPORTE E LIMPEZA</v>
          </cell>
          <cell r="D569" t="str">
            <v>MÊS</v>
          </cell>
          <cell r="E569">
            <v>4</v>
          </cell>
          <cell r="F569">
            <v>700</v>
          </cell>
          <cell r="G569">
            <v>865.13</v>
          </cell>
          <cell r="H569">
            <v>3460.52</v>
          </cell>
          <cell r="I569">
            <v>700</v>
          </cell>
          <cell r="J569">
            <v>822.99</v>
          </cell>
          <cell r="K569">
            <v>3291.96</v>
          </cell>
        </row>
        <row r="570">
          <cell r="A570" t="str">
            <v>2.1.2</v>
          </cell>
          <cell r="B570"/>
          <cell r="C570" t="str">
            <v>ADMINISTRAÇÃO LOCAL</v>
          </cell>
          <cell r="D570"/>
          <cell r="E570"/>
          <cell r="F570"/>
          <cell r="G570"/>
          <cell r="H570">
            <v>23347.39</v>
          </cell>
          <cell r="I570"/>
          <cell r="J570"/>
          <cell r="K570">
            <v>25575.67</v>
          </cell>
        </row>
        <row r="571">
          <cell r="A571" t="str">
            <v>2.1.2.1</v>
          </cell>
          <cell r="B571">
            <v>93565</v>
          </cell>
          <cell r="C571" t="str">
            <v>ENGENHEIRO CIVIL DE OBRA JUNIOR COM ENCARGOS COMPLEMENTARES</v>
          </cell>
          <cell r="D571" t="str">
            <v>MES</v>
          </cell>
          <cell r="E571">
            <v>0.5</v>
          </cell>
          <cell r="F571">
            <v>14549.96</v>
          </cell>
          <cell r="G571">
            <v>17982.3</v>
          </cell>
          <cell r="H571">
            <v>8991.15</v>
          </cell>
          <cell r="I571">
            <v>16819.14</v>
          </cell>
          <cell r="J571">
            <v>19774.259999999998</v>
          </cell>
          <cell r="K571">
            <v>9887.1299999999992</v>
          </cell>
        </row>
        <row r="572">
          <cell r="A572" t="str">
            <v>2.1.2.2</v>
          </cell>
          <cell r="B572">
            <v>93572</v>
          </cell>
          <cell r="C572" t="str">
            <v>ENCARREGADO GERAL DE OBRAS COM ENCARGOS COMPLEMENTARES</v>
          </cell>
          <cell r="D572" t="str">
            <v>MES</v>
          </cell>
          <cell r="E572">
            <v>2</v>
          </cell>
          <cell r="F572">
            <v>5808.01</v>
          </cell>
          <cell r="G572">
            <v>7178.12</v>
          </cell>
          <cell r="H572">
            <v>14356.24</v>
          </cell>
          <cell r="I572">
            <v>6672</v>
          </cell>
          <cell r="J572">
            <v>7844.27</v>
          </cell>
          <cell r="K572">
            <v>15688.54</v>
          </cell>
        </row>
        <row r="573">
          <cell r="A573" t="str">
            <v>2.1.3</v>
          </cell>
          <cell r="B573"/>
          <cell r="C573" t="str">
            <v>SERVIÇOS PRELIMINARES</v>
          </cell>
          <cell r="D573"/>
          <cell r="E573"/>
          <cell r="F573"/>
          <cell r="G573"/>
          <cell r="H573">
            <v>95777.69</v>
          </cell>
          <cell r="I573"/>
          <cell r="J573"/>
          <cell r="K573">
            <v>101329.93</v>
          </cell>
        </row>
        <row r="574">
          <cell r="A574" t="str">
            <v>2.1.3.1</v>
          </cell>
          <cell r="B574" t="str">
            <v>CP-97635-02989626</v>
          </cell>
          <cell r="C574" t="str">
            <v>DEMOLIÇÃO DE CALÇADA E PAVIMENTOS DIVERSOS REGULARIZADO</v>
          </cell>
          <cell r="D574" t="str">
            <v>M2</v>
          </cell>
          <cell r="E574">
            <v>5609.46</v>
          </cell>
          <cell r="F574">
            <v>12.88</v>
          </cell>
          <cell r="G574">
            <v>15.92</v>
          </cell>
          <cell r="H574">
            <v>89302.6</v>
          </cell>
          <cell r="I574">
            <v>14.38</v>
          </cell>
          <cell r="J574">
            <v>16.91</v>
          </cell>
          <cell r="K574">
            <v>94855.97</v>
          </cell>
        </row>
        <row r="575">
          <cell r="A575" t="str">
            <v>2.1.3.2</v>
          </cell>
          <cell r="B575" t="str">
            <v>COMP-01471766</v>
          </cell>
          <cell r="C575" t="str">
            <v>DEMOLIÇÃO DE MEIO-FIO</v>
          </cell>
          <cell r="D575" t="str">
            <v>M</v>
          </cell>
          <cell r="E575">
            <v>178.73</v>
          </cell>
          <cell r="F575">
            <v>10.02</v>
          </cell>
          <cell r="G575">
            <v>12.38</v>
          </cell>
          <cell r="H575">
            <v>2212.6799999999998</v>
          </cell>
          <cell r="I575">
            <v>11.13</v>
          </cell>
          <cell r="J575">
            <v>13.09</v>
          </cell>
          <cell r="K575">
            <v>2339.58</v>
          </cell>
        </row>
        <row r="576">
          <cell r="A576" t="str">
            <v>2.1.3.3</v>
          </cell>
          <cell r="B576" t="str">
            <v>COMP-35145154</v>
          </cell>
          <cell r="C576" t="str">
            <v>CARGA E DESCARGA MECANICA DE SOLO UTILIZANDO CAMINHAO BASCULANTE 14,0M3/36T E PA CARREGADEIRA SOBRE PNEUS 128 HP, CAPACIDADE DA CAÇAMBA 1,7 A 2,8 M3, PESO OPERACIONAL 11632 KH</v>
          </cell>
          <cell r="D576" t="str">
            <v>M3</v>
          </cell>
          <cell r="E576">
            <v>711.23</v>
          </cell>
          <cell r="F576">
            <v>2.83</v>
          </cell>
          <cell r="G576">
            <v>3.5</v>
          </cell>
          <cell r="H576">
            <v>2489.31</v>
          </cell>
          <cell r="I576">
            <v>2.9</v>
          </cell>
          <cell r="J576">
            <v>3.41</v>
          </cell>
          <cell r="K576">
            <v>2425.29</v>
          </cell>
        </row>
        <row r="577">
          <cell r="A577" t="str">
            <v>2.1.3.4</v>
          </cell>
          <cell r="B577">
            <v>95876</v>
          </cell>
          <cell r="C577" t="str">
            <v>TRANSPORTE COM CAMINHÃO BASCULANTE DE 14 M³, EM VIA URBANA PAVIMENTADA, DMT ATÉ 30 KM (UNIDADE: M3XKM). AF_07/2020</v>
          </cell>
          <cell r="D577" t="str">
            <v>M3XKM</v>
          </cell>
          <cell r="E577">
            <v>640.11</v>
          </cell>
          <cell r="F577">
            <v>2.2400000000000002</v>
          </cell>
          <cell r="G577">
            <v>2.77</v>
          </cell>
          <cell r="H577">
            <v>1773.1</v>
          </cell>
          <cell r="I577">
            <v>2.27</v>
          </cell>
          <cell r="J577">
            <v>2.67</v>
          </cell>
          <cell r="K577">
            <v>1709.09</v>
          </cell>
        </row>
        <row r="578">
          <cell r="A578" t="str">
            <v>2.1.4</v>
          </cell>
          <cell r="B578"/>
          <cell r="C578" t="str">
            <v>REQUALIFICAÇÃO DE CALÇADAS</v>
          </cell>
          <cell r="D578"/>
          <cell r="E578"/>
          <cell r="F578"/>
          <cell r="G578"/>
          <cell r="H578">
            <v>133649.16</v>
          </cell>
          <cell r="I578"/>
          <cell r="J578"/>
          <cell r="K578">
            <v>135362.68</v>
          </cell>
        </row>
        <row r="579">
          <cell r="A579" t="str">
            <v>2.1.4.1</v>
          </cell>
          <cell r="B579" t="str">
            <v>CP-97084-89637704</v>
          </cell>
          <cell r="C579" t="str">
            <v>REGULARIZACAO E COMPACTAÇÃO MANUAL DE TERRENO COM PLACA VIBRATÓRIA</v>
          </cell>
          <cell r="D579" t="str">
            <v>M2</v>
          </cell>
          <cell r="E579">
            <v>5032.26</v>
          </cell>
          <cell r="F579">
            <v>0.59</v>
          </cell>
          <cell r="G579">
            <v>0.73</v>
          </cell>
          <cell r="H579">
            <v>3673.55</v>
          </cell>
          <cell r="I579">
            <v>0.65</v>
          </cell>
          <cell r="J579">
            <v>0.76</v>
          </cell>
          <cell r="K579">
            <v>3824.52</v>
          </cell>
        </row>
        <row r="580">
          <cell r="A580" t="str">
            <v>2.1.4.2</v>
          </cell>
          <cell r="B580" t="str">
            <v>CP-92399-27762594</v>
          </cell>
          <cell r="C580" t="str">
            <v>EXECUÇÃO DE VIA EM PISO INTERTRAVADO, COM BLOCO RETANGULAR COR NATURAL/COLORIDO DE 20 X 10 CM, ESPESSURA 8 CM - (SEM O MATERIAL BLOQUETE/PISO INTERTRAVADO)</v>
          </cell>
          <cell r="D580" t="str">
            <v>M2</v>
          </cell>
          <cell r="E580">
            <v>5032.26</v>
          </cell>
          <cell r="F580">
            <v>19.170000000000002</v>
          </cell>
          <cell r="G580">
            <v>23.69</v>
          </cell>
          <cell r="H580">
            <v>119214.24</v>
          </cell>
          <cell r="I580">
            <v>20.41</v>
          </cell>
          <cell r="J580">
            <v>24</v>
          </cell>
          <cell r="K580">
            <v>120774.24</v>
          </cell>
        </row>
        <row r="581">
          <cell r="A581" t="str">
            <v>2.1.4.3</v>
          </cell>
          <cell r="B581" t="str">
            <v>CP-97084-89637704</v>
          </cell>
          <cell r="C581" t="str">
            <v>REGULARIZACAO E COMPACTAÇÃO MANUAL DE TERRENO COM PLACA VIBRATÓRIA</v>
          </cell>
          <cell r="D581" t="str">
            <v>M2</v>
          </cell>
          <cell r="E581">
            <v>554.42999999999995</v>
          </cell>
          <cell r="F581">
            <v>0.59</v>
          </cell>
          <cell r="G581">
            <v>0.73</v>
          </cell>
          <cell r="H581">
            <v>404.73</v>
          </cell>
          <cell r="I581">
            <v>0.65</v>
          </cell>
          <cell r="J581">
            <v>0.76</v>
          </cell>
          <cell r="K581">
            <v>421.37</v>
          </cell>
        </row>
        <row r="582">
          <cell r="A582" t="str">
            <v>2.1.4.4</v>
          </cell>
          <cell r="B582" t="str">
            <v>CP-94991-12549457</v>
          </cell>
          <cell r="C582" t="str">
            <v>EXECUÇÃO DE PASSEIO (CALÇADA) OU PISO DE CONCRETO COM CONCRETO MOLDADO IN LOCO, USINADO, ACABAMENTO CONVENCIONAL, NÃO ARMADO - EXCLUINDO O CONCRETO USINADO 20MPA</v>
          </cell>
          <cell r="D582" t="str">
            <v>M3</v>
          </cell>
          <cell r="E582">
            <v>28.72</v>
          </cell>
          <cell r="F582">
            <v>104.6</v>
          </cell>
          <cell r="G582">
            <v>129.28</v>
          </cell>
          <cell r="H582">
            <v>3712.92</v>
          </cell>
          <cell r="I582">
            <v>112.75</v>
          </cell>
          <cell r="J582">
            <v>132.56</v>
          </cell>
          <cell r="K582">
            <v>3807.12</v>
          </cell>
        </row>
        <row r="583">
          <cell r="A583" t="str">
            <v>2.1.4.5</v>
          </cell>
          <cell r="B583">
            <v>94273</v>
          </cell>
          <cell r="C583" t="str">
            <v>ASSENTAMENTO DE GUIA (MEIO-FIO) EM TRECHO RETO, CONFECCIONADA EM CONCRETO PRÉ-FABRICADO, DIMENSÕES 100X15X13X30 CM (COMPRIMENTO X BASE INFERIOR X BASE SUPERIOR X ALTURA), PARA VIAS URBANAS (USO VIÁRIO). AF_06/2016</v>
          </cell>
          <cell r="D583" t="str">
            <v>M</v>
          </cell>
          <cell r="E583">
            <v>98.44</v>
          </cell>
          <cell r="F583">
            <v>54.61</v>
          </cell>
          <cell r="G583">
            <v>67.489999999999995</v>
          </cell>
          <cell r="H583">
            <v>6643.72</v>
          </cell>
          <cell r="I583">
            <v>56.47</v>
          </cell>
          <cell r="J583">
            <v>66.39</v>
          </cell>
          <cell r="K583">
            <v>6535.43</v>
          </cell>
        </row>
        <row r="584">
          <cell r="A584" t="str">
            <v>2.1.5</v>
          </cell>
          <cell r="B584"/>
          <cell r="C584" t="str">
            <v>ACESSIBILIDADE</v>
          </cell>
          <cell r="D584"/>
          <cell r="E584"/>
          <cell r="F584"/>
          <cell r="G584"/>
          <cell r="H584">
            <v>31965.919999999998</v>
          </cell>
          <cell r="I584"/>
          <cell r="J584"/>
          <cell r="K584">
            <v>31194.6</v>
          </cell>
        </row>
        <row r="585">
          <cell r="A585" t="str">
            <v>2.1.5.1</v>
          </cell>
          <cell r="B585" t="str">
            <v>CP-S12039-81921471</v>
          </cell>
          <cell r="C585" t="str">
            <v>Piso tátil direcional e/ou alerta, de concreto, na cor natural, p/deficientes visuais, dimensões 40x40cm, aplicado com argamassa industrializada ac-ii, rejuntado, exclusive regularização de base</v>
          </cell>
          <cell r="D585" t="str">
            <v>M2</v>
          </cell>
          <cell r="E585">
            <v>144.19999999999999</v>
          </cell>
          <cell r="F585">
            <v>108.67</v>
          </cell>
          <cell r="G585">
            <v>134.31</v>
          </cell>
          <cell r="H585">
            <v>19367.5</v>
          </cell>
          <cell r="I585">
            <v>112.34</v>
          </cell>
          <cell r="J585">
            <v>132.08000000000001</v>
          </cell>
          <cell r="K585">
            <v>19045.939999999999</v>
          </cell>
        </row>
        <row r="586">
          <cell r="A586" t="str">
            <v>2.1.5.2</v>
          </cell>
          <cell r="B586" t="str">
            <v>COMP-68570481</v>
          </cell>
          <cell r="C586" t="str">
            <v>CONSTRUÇÃO DE RAMPA TIPO 01 , PASSEIO EM CONCRETO USINADO FCK=15MPA, ESP=5CM, TRAÇO 1:2,5:4, COM PISO TÁTIL 40x40 cm, APLICADO SOBRE  TERRENO  REGULARIZADO</v>
          </cell>
          <cell r="D586" t="str">
            <v>UND</v>
          </cell>
          <cell r="E586">
            <v>17</v>
          </cell>
          <cell r="F586">
            <v>158.12</v>
          </cell>
          <cell r="G586">
            <v>195.42</v>
          </cell>
          <cell r="H586">
            <v>3322.14</v>
          </cell>
          <cell r="I586">
            <v>161.25</v>
          </cell>
          <cell r="J586">
            <v>189.58</v>
          </cell>
          <cell r="K586">
            <v>3222.86</v>
          </cell>
        </row>
        <row r="587">
          <cell r="A587" t="str">
            <v>2.1.5.3</v>
          </cell>
          <cell r="B587" t="str">
            <v>COMP-78308236</v>
          </cell>
          <cell r="C587" t="str">
            <v>CONSTRUÇÃO DE RAMPA TIPO 02 , PASSEIO EM CONCRETO USINADO FCK=15MPA, ESP=5CM, TRAÇO 1:2,5:4, COM PISO TÁTIL 40x40 cm, APLICADO SOBRE  TERRENO  REGULARIZADO.</v>
          </cell>
          <cell r="D587" t="str">
            <v>UND</v>
          </cell>
          <cell r="E587">
            <v>26</v>
          </cell>
          <cell r="F587">
            <v>288.68</v>
          </cell>
          <cell r="G587">
            <v>356.78</v>
          </cell>
          <cell r="H587">
            <v>9276.2800000000007</v>
          </cell>
          <cell r="I587">
            <v>292</v>
          </cell>
          <cell r="J587">
            <v>343.3</v>
          </cell>
          <cell r="K587">
            <v>8925.7999999999993</v>
          </cell>
        </row>
        <row r="588">
          <cell r="A588" t="str">
            <v>2.1.6</v>
          </cell>
          <cell r="B588"/>
          <cell r="C588" t="str">
            <v>MATERIAIS</v>
          </cell>
          <cell r="D588"/>
          <cell r="E588"/>
          <cell r="F588"/>
          <cell r="G588"/>
          <cell r="H588">
            <v>318304.76</v>
          </cell>
          <cell r="I588"/>
          <cell r="J588"/>
          <cell r="K588">
            <v>303406.67</v>
          </cell>
        </row>
        <row r="589">
          <cell r="A589" t="str">
            <v>2.1.6.1</v>
          </cell>
          <cell r="B589">
            <v>10775</v>
          </cell>
          <cell r="C589" t="str">
            <v xml:space="preserve">LOCACAO DE CONTAINER 2,30 X 6,00 M, ALT. 2,50 M, COM 1 SANITARIO, PARA ESCRITORIO, COMPLETO, SEM DIVISORIAS INTERNAS (NAO INCLUI MOBILIZACAO/DESMOBILIZACAO)                                                                                                                                                                                                                                                                                                                                              </v>
          </cell>
          <cell r="D589" t="str">
            <v xml:space="preserve">MES   </v>
          </cell>
          <cell r="E589">
            <v>4</v>
          </cell>
          <cell r="F589">
            <v>830</v>
          </cell>
          <cell r="G589">
            <v>958.32</v>
          </cell>
          <cell r="H589">
            <v>3833.28</v>
          </cell>
          <cell r="I589">
            <v>830</v>
          </cell>
          <cell r="J589">
            <v>913.58</v>
          </cell>
          <cell r="K589">
            <v>3654.32</v>
          </cell>
        </row>
        <row r="590">
          <cell r="A590" t="str">
            <v>2.1.6.2</v>
          </cell>
          <cell r="B590">
            <v>10776</v>
          </cell>
          <cell r="C590" t="str">
            <v xml:space="preserve">LOCACAO DE CONTAINER 2,30 X 6,00 M, ALT. 2,50 M, PARA ESCRITORIO, SEM DIVISORIAS INTERNAS E SEM SANITARIO (NAO INCLUI MOBILIZACAO/DESMOBILIZACAO)                                                                                                                                                                                                                                                                                                                                                         </v>
          </cell>
          <cell r="D590" t="str">
            <v xml:space="preserve">MES   </v>
          </cell>
          <cell r="E590">
            <v>4</v>
          </cell>
          <cell r="F590">
            <v>648.42999999999995</v>
          </cell>
          <cell r="G590">
            <v>748.68</v>
          </cell>
          <cell r="H590">
            <v>2994.72</v>
          </cell>
          <cell r="I590">
            <v>648.42999999999995</v>
          </cell>
          <cell r="J590">
            <v>713.73</v>
          </cell>
          <cell r="K590">
            <v>2854.92</v>
          </cell>
        </row>
        <row r="591">
          <cell r="A591" t="str">
            <v>2.1.6.3</v>
          </cell>
          <cell r="B591">
            <v>36170</v>
          </cell>
          <cell r="C591" t="str">
            <v xml:space="preserve">BLOQUETE/PISO INTERTRAVADO DE CONCRETO - MODELO ONDA/16 FACES/RETANGULAR/TIJOLINHO/PAVER/HOLANDES/PARALELEPIPEDO, *22 CM X 11* CM, E = 8 CM, RESISTENCIA DE 35 MPA (NBR 9781), COR NATURAL                                                                                                                                                                                                                                                                                                                </v>
          </cell>
          <cell r="D591" t="str">
            <v xml:space="preserve">M2    </v>
          </cell>
          <cell r="E591">
            <v>4037.25</v>
          </cell>
          <cell r="F591">
            <v>49</v>
          </cell>
          <cell r="G591">
            <v>56.58</v>
          </cell>
          <cell r="H591">
            <v>228427.61</v>
          </cell>
          <cell r="I591">
            <v>49</v>
          </cell>
          <cell r="J591">
            <v>53.93</v>
          </cell>
          <cell r="K591">
            <v>217728.89</v>
          </cell>
        </row>
        <row r="592">
          <cell r="A592" t="str">
            <v>2.1.6.4</v>
          </cell>
          <cell r="B592">
            <v>36154</v>
          </cell>
          <cell r="C592" t="str">
            <v xml:space="preserve">BLOQUETE/PISO INTERTRAVADO DE CONCRETO - MODELO ONDA/16 FACES/RETANGULAR/TIJOLINHO/PAVER/HOLANDES/PARALELEPIPEDO, 20 CM X 10 CM, E = 8 CM, RESISTENCIA DE 35 MPA (NBR 9781), COLORIDO                                                                                                                                                                                                                                                                                                                     </v>
          </cell>
          <cell r="D592" t="str">
            <v xml:space="preserve">M2    </v>
          </cell>
          <cell r="E592">
            <v>1060.93</v>
          </cell>
          <cell r="F592">
            <v>53.92</v>
          </cell>
          <cell r="G592">
            <v>62.26</v>
          </cell>
          <cell r="H592">
            <v>66053.5</v>
          </cell>
          <cell r="I592">
            <v>53.92</v>
          </cell>
          <cell r="J592">
            <v>59.35</v>
          </cell>
          <cell r="K592">
            <v>62966.2</v>
          </cell>
        </row>
        <row r="593">
          <cell r="A593" t="str">
            <v>2.1.6.5</v>
          </cell>
          <cell r="B593">
            <v>34492</v>
          </cell>
          <cell r="C593" t="str">
            <v xml:space="preserve">CONCRETO USINADO BOMBEAVEL, CLASSE DE RESISTENCIA C20, COM BRITA 0 E 1, SLUMP = 100 +/- 20 MM, EXCLUI SERVICO DE BOMBEAMENTO (NBR 8953)                                                                                                                                                                                                                                                                                                                                                                   </v>
          </cell>
          <cell r="D593" t="str">
            <v xml:space="preserve">M3    </v>
          </cell>
          <cell r="E593">
            <v>34.840000000000003</v>
          </cell>
          <cell r="F593">
            <v>422.5</v>
          </cell>
          <cell r="G593">
            <v>487.82</v>
          </cell>
          <cell r="H593">
            <v>16995.650000000001</v>
          </cell>
          <cell r="I593">
            <v>422.5</v>
          </cell>
          <cell r="J593">
            <v>465.05</v>
          </cell>
          <cell r="K593">
            <v>16202.34</v>
          </cell>
        </row>
        <row r="594">
          <cell r="A594" t="str">
            <v>Tabelas de Referência: SINAPI (JULHO-2022) / DNIT (ABRIL-22)</v>
          </cell>
          <cell r="B594"/>
          <cell r="C594"/>
          <cell r="D594"/>
          <cell r="E594"/>
          <cell r="F594"/>
          <cell r="G594"/>
          <cell r="H594">
            <v>6432250.1000000006</v>
          </cell>
          <cell r="I594"/>
          <cell r="J594"/>
          <cell r="K594">
            <v>6287972.9400000004</v>
          </cell>
        </row>
      </sheetData>
      <sheetData sheetId="2"/>
      <sheetData sheetId="3">
        <row r="9">
          <cell r="B9">
            <v>126.79</v>
          </cell>
        </row>
        <row r="10">
          <cell r="B10">
            <v>104.94</v>
          </cell>
        </row>
        <row r="11">
          <cell r="B11">
            <v>156.87</v>
          </cell>
        </row>
        <row r="13">
          <cell r="G13">
            <v>2476.6</v>
          </cell>
        </row>
        <row r="14">
          <cell r="G14">
            <v>2476.6</v>
          </cell>
        </row>
        <row r="23">
          <cell r="F23">
            <v>1935.14</v>
          </cell>
        </row>
        <row r="26">
          <cell r="B26">
            <v>722.22</v>
          </cell>
        </row>
        <row r="27">
          <cell r="B27">
            <v>27.71</v>
          </cell>
        </row>
        <row r="31">
          <cell r="B31">
            <v>147</v>
          </cell>
        </row>
        <row r="32">
          <cell r="F32">
            <v>1897.96</v>
          </cell>
        </row>
        <row r="33">
          <cell r="F33">
            <v>176.22</v>
          </cell>
        </row>
        <row r="34">
          <cell r="F34">
            <v>50.89</v>
          </cell>
        </row>
        <row r="66">
          <cell r="B66">
            <v>106.91</v>
          </cell>
        </row>
        <row r="67">
          <cell r="B67">
            <v>117.23</v>
          </cell>
        </row>
        <row r="69">
          <cell r="G69">
            <v>697.83</v>
          </cell>
        </row>
        <row r="70">
          <cell r="G70">
            <v>697.83</v>
          </cell>
        </row>
        <row r="81">
          <cell r="F81">
            <v>403.64</v>
          </cell>
        </row>
        <row r="85">
          <cell r="B85">
            <v>6.94</v>
          </cell>
        </row>
        <row r="86">
          <cell r="B86">
            <v>13.99</v>
          </cell>
        </row>
        <row r="88">
          <cell r="B88">
            <v>4.76</v>
          </cell>
        </row>
        <row r="89">
          <cell r="B89">
            <v>28</v>
          </cell>
        </row>
        <row r="90">
          <cell r="F90">
            <v>481.72</v>
          </cell>
        </row>
        <row r="91">
          <cell r="F91">
            <v>487.75</v>
          </cell>
        </row>
        <row r="92">
          <cell r="F92">
            <v>128.35</v>
          </cell>
        </row>
        <row r="181">
          <cell r="B181">
            <v>94.33</v>
          </cell>
        </row>
        <row r="182">
          <cell r="B182">
            <v>317.15000000000003</v>
          </cell>
        </row>
        <row r="183">
          <cell r="B183">
            <v>145.07</v>
          </cell>
        </row>
        <row r="184">
          <cell r="B184">
            <v>154.91</v>
          </cell>
        </row>
        <row r="186">
          <cell r="G186">
            <v>2318.3799999999997</v>
          </cell>
        </row>
        <row r="189">
          <cell r="G189">
            <v>11.86</v>
          </cell>
        </row>
        <row r="198">
          <cell r="F198">
            <v>3029.02</v>
          </cell>
        </row>
        <row r="202">
          <cell r="B202">
            <v>52.76</v>
          </cell>
        </row>
        <row r="203">
          <cell r="B203">
            <v>33.479999999999997</v>
          </cell>
        </row>
        <row r="205">
          <cell r="B205">
            <v>33.479999999999997</v>
          </cell>
        </row>
        <row r="207">
          <cell r="F207">
            <v>2014.65</v>
          </cell>
        </row>
        <row r="208">
          <cell r="F208">
            <v>1328.39</v>
          </cell>
        </row>
        <row r="209">
          <cell r="F209">
            <v>152.12</v>
          </cell>
        </row>
        <row r="628">
          <cell r="G628">
            <v>2626.68</v>
          </cell>
        </row>
        <row r="629">
          <cell r="G629">
            <v>2618.1799999999998</v>
          </cell>
        </row>
        <row r="631">
          <cell r="G631">
            <v>8.5</v>
          </cell>
        </row>
        <row r="641">
          <cell r="B641">
            <v>1018.11</v>
          </cell>
        </row>
        <row r="683">
          <cell r="G683">
            <v>585.77</v>
          </cell>
        </row>
        <row r="684">
          <cell r="G684">
            <v>580.87</v>
          </cell>
        </row>
        <row r="686">
          <cell r="G686">
            <v>4.9000000000000004</v>
          </cell>
        </row>
        <row r="693">
          <cell r="F693">
            <v>407.19</v>
          </cell>
        </row>
        <row r="697">
          <cell r="B697">
            <v>31.23</v>
          </cell>
        </row>
        <row r="698">
          <cell r="B698">
            <v>12.59</v>
          </cell>
        </row>
        <row r="700">
          <cell r="B700">
            <v>9.44</v>
          </cell>
        </row>
        <row r="701">
          <cell r="B701">
            <v>1.8</v>
          </cell>
        </row>
        <row r="702">
          <cell r="F702">
            <v>264.83999999999997</v>
          </cell>
        </row>
        <row r="703">
          <cell r="F703">
            <v>908.21</v>
          </cell>
        </row>
        <row r="704">
          <cell r="F704">
            <v>419.75</v>
          </cell>
        </row>
        <row r="846">
          <cell r="B846">
            <v>394.19</v>
          </cell>
        </row>
        <row r="848">
          <cell r="G848">
            <v>827.2</v>
          </cell>
        </row>
        <row r="849">
          <cell r="G849">
            <v>826.43000000000006</v>
          </cell>
        </row>
        <row r="851">
          <cell r="G851">
            <v>0.77</v>
          </cell>
        </row>
        <row r="861">
          <cell r="B861">
            <v>584.79</v>
          </cell>
        </row>
        <row r="862">
          <cell r="B862">
            <v>31.51</v>
          </cell>
        </row>
        <row r="868">
          <cell r="F868">
            <v>1687.4</v>
          </cell>
        </row>
        <row r="869">
          <cell r="F869">
            <v>494.01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4.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hyperlink" Target="mailto:contato@limpexsolucoesambientais.com.br" TargetMode="External"/><Relationship Id="rId7" Type="http://schemas.openxmlformats.org/officeDocument/2006/relationships/vmlDrawing" Target="../drawings/vmlDrawing10.vml"/><Relationship Id="rId2" Type="http://schemas.openxmlformats.org/officeDocument/2006/relationships/hyperlink" Target="mailto:bwlocacoes@gmail.com" TargetMode="External"/><Relationship Id="rId1" Type="http://schemas.openxmlformats.org/officeDocument/2006/relationships/hyperlink" Target="mailto:sopedralima@hotmail.com" TargetMode="External"/><Relationship Id="rId6" Type="http://schemas.openxmlformats.org/officeDocument/2006/relationships/drawing" Target="../drawings/drawing8.xml"/><Relationship Id="rId5" Type="http://schemas.openxmlformats.org/officeDocument/2006/relationships/printerSettings" Target="../printerSettings/printerSettings9.bin"/><Relationship Id="rId4" Type="http://schemas.openxmlformats.org/officeDocument/2006/relationships/hyperlink" Target="mailto:litoralbanheirosquimicos@gmail.com" TargetMode="Externa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E18"/>
  <sheetViews>
    <sheetView view="pageBreakPreview" zoomScaleNormal="100" zoomScaleSheetLayoutView="100" workbookViewId="0">
      <selection activeCell="C17" sqref="C17:C18"/>
    </sheetView>
  </sheetViews>
  <sheetFormatPr defaultRowHeight="15"/>
  <cols>
    <col min="1" max="1" width="9.28515625" customWidth="1"/>
    <col min="2" max="2" width="62.42578125" customWidth="1"/>
    <col min="3" max="3" width="22.85546875" customWidth="1"/>
    <col min="4" max="4" width="12.42578125" customWidth="1"/>
    <col min="5" max="5" width="8.28515625" customWidth="1"/>
  </cols>
  <sheetData>
    <row r="1" spans="1:5" ht="44.1" customHeight="1">
      <c r="A1" s="492"/>
      <c r="B1" s="492"/>
      <c r="C1" s="492"/>
      <c r="D1" s="492"/>
      <c r="E1" s="492"/>
    </row>
    <row r="2" spans="1:5" ht="21.95" customHeight="1">
      <c r="A2" s="492"/>
      <c r="B2" s="492"/>
      <c r="C2" s="492"/>
      <c r="D2" s="492"/>
      <c r="E2" s="492"/>
    </row>
    <row r="3" spans="1:5" ht="47.1" customHeight="1">
      <c r="A3" s="492"/>
      <c r="B3" s="492"/>
      <c r="C3" s="492"/>
      <c r="D3" s="492"/>
      <c r="E3" s="492"/>
    </row>
    <row r="4" spans="1:5" ht="20.100000000000001" customHeight="1">
      <c r="A4" s="421" t="s">
        <v>10</v>
      </c>
      <c r="B4" s="491" t="s">
        <v>11</v>
      </c>
      <c r="C4" s="491"/>
      <c r="D4" s="422">
        <v>5685898.3600000003</v>
      </c>
      <c r="E4" s="422">
        <v>90.424981377225834</v>
      </c>
    </row>
    <row r="5" spans="1:5" ht="20.100000000000001" customHeight="1">
      <c r="A5" s="423" t="s">
        <v>12</v>
      </c>
      <c r="B5" s="490" t="s">
        <v>13</v>
      </c>
      <c r="C5" s="490"/>
      <c r="D5" s="424">
        <v>757147.32</v>
      </c>
      <c r="E5" s="424">
        <v>12.041198765082472</v>
      </c>
    </row>
    <row r="6" spans="1:5" ht="20.100000000000001" customHeight="1">
      <c r="A6" s="423" t="s">
        <v>199</v>
      </c>
      <c r="B6" s="490" t="s">
        <v>200</v>
      </c>
      <c r="C6" s="490"/>
      <c r="D6" s="424">
        <v>284551.62</v>
      </c>
      <c r="E6" s="424">
        <v>4.5253314973712335</v>
      </c>
    </row>
    <row r="7" spans="1:5" ht="20.100000000000001" customHeight="1">
      <c r="A7" s="423" t="s">
        <v>267</v>
      </c>
      <c r="B7" s="490" t="s">
        <v>268</v>
      </c>
      <c r="C7" s="490"/>
      <c r="D7" s="424">
        <v>1062806.7</v>
      </c>
      <c r="E7" s="424">
        <v>16.902214913157689</v>
      </c>
    </row>
    <row r="8" spans="1:5" ht="20.100000000000001" customHeight="1">
      <c r="A8" s="423" t="s">
        <v>367</v>
      </c>
      <c r="B8" s="490" t="s">
        <v>368</v>
      </c>
      <c r="C8" s="490"/>
      <c r="D8" s="424">
        <v>1007912.41</v>
      </c>
      <c r="E8" s="424">
        <v>16.029210361073851</v>
      </c>
    </row>
    <row r="9" spans="1:5" ht="20.100000000000001" customHeight="1">
      <c r="A9" s="423" t="s">
        <v>424</v>
      </c>
      <c r="B9" s="490" t="s">
        <v>425</v>
      </c>
      <c r="C9" s="490"/>
      <c r="D9" s="424">
        <v>342941.99</v>
      </c>
      <c r="E9" s="424">
        <v>5.453935525365031</v>
      </c>
    </row>
    <row r="10" spans="1:5" ht="20.100000000000001" customHeight="1">
      <c r="A10" s="423" t="s">
        <v>509</v>
      </c>
      <c r="B10" s="490" t="s">
        <v>510</v>
      </c>
      <c r="C10" s="490"/>
      <c r="D10" s="424">
        <v>384780.74</v>
      </c>
      <c r="E10" s="424">
        <v>6.1193129116742027</v>
      </c>
    </row>
    <row r="11" spans="1:5" ht="20.100000000000001" customHeight="1">
      <c r="A11" s="423" t="s">
        <v>556</v>
      </c>
      <c r="B11" s="490" t="s">
        <v>557</v>
      </c>
      <c r="C11" s="490"/>
      <c r="D11" s="424">
        <v>464222.44</v>
      </c>
      <c r="E11" s="424">
        <v>7.3827041628458403</v>
      </c>
    </row>
    <row r="12" spans="1:5" ht="20.100000000000001" customHeight="1">
      <c r="A12" s="423" t="s">
        <v>607</v>
      </c>
      <c r="B12" s="490" t="s">
        <v>608</v>
      </c>
      <c r="C12" s="490"/>
      <c r="D12" s="424">
        <v>586818.35</v>
      </c>
      <c r="E12" s="424">
        <v>9.3323930557500141</v>
      </c>
    </row>
    <row r="13" spans="1:5" ht="20.100000000000001" customHeight="1">
      <c r="A13" s="423" t="s">
        <v>676</v>
      </c>
      <c r="B13" s="490" t="s">
        <v>677</v>
      </c>
      <c r="C13" s="490"/>
      <c r="D13" s="424">
        <v>794716.79</v>
      </c>
      <c r="E13" s="424">
        <v>12.638680184905501</v>
      </c>
    </row>
    <row r="14" spans="1:5" ht="20.100000000000001" customHeight="1">
      <c r="A14" s="421" t="s">
        <v>792</v>
      </c>
      <c r="B14" s="491" t="s">
        <v>793</v>
      </c>
      <c r="C14" s="491"/>
      <c r="D14" s="422">
        <v>602074.57999999996</v>
      </c>
      <c r="E14" s="422">
        <v>9.5750186227741612</v>
      </c>
    </row>
    <row r="15" spans="1:5" ht="20.100000000000001" customHeight="1">
      <c r="A15" s="423" t="s">
        <v>794</v>
      </c>
      <c r="B15" s="490" t="s">
        <v>795</v>
      </c>
      <c r="C15" s="490"/>
      <c r="D15" s="424">
        <v>602074.57999999996</v>
      </c>
      <c r="E15" s="424">
        <v>9.5750186227741612</v>
      </c>
    </row>
    <row r="16" spans="1:5" ht="15" customHeight="1">
      <c r="A16" s="425"/>
      <c r="B16" s="425"/>
      <c r="C16" s="426" t="s">
        <v>830</v>
      </c>
      <c r="D16" s="422">
        <v>782360.41</v>
      </c>
      <c r="E16" s="422">
        <v>100</v>
      </c>
    </row>
    <row r="17" spans="1:5" ht="15" customHeight="1">
      <c r="A17" s="425"/>
      <c r="B17" s="425"/>
      <c r="C17" s="426" t="s">
        <v>831</v>
      </c>
      <c r="D17" s="422">
        <v>5505612.5300000003</v>
      </c>
      <c r="E17" s="425"/>
    </row>
    <row r="18" spans="1:5" ht="15" customHeight="1">
      <c r="A18" s="425"/>
      <c r="B18" s="425"/>
      <c r="C18" s="426" t="s">
        <v>832</v>
      </c>
      <c r="D18" s="422">
        <v>6287972.9400000004</v>
      </c>
      <c r="E18" s="425"/>
    </row>
  </sheetData>
  <mergeCells count="13">
    <mergeCell ref="A1:E3"/>
    <mergeCell ref="B4:C4"/>
    <mergeCell ref="B5:C5"/>
    <mergeCell ref="B6:C6"/>
    <mergeCell ref="B7:C7"/>
    <mergeCell ref="B13:C13"/>
    <mergeCell ref="B14:C14"/>
    <mergeCell ref="B15:C15"/>
    <mergeCell ref="B8:C8"/>
    <mergeCell ref="B9:C9"/>
    <mergeCell ref="B10:C10"/>
    <mergeCell ref="B11:C11"/>
    <mergeCell ref="B12:C12"/>
  </mergeCells>
  <printOptions horizontalCentered="1"/>
  <pageMargins left="0" right="0" top="0.39370078740157483" bottom="0.78740157480314965" header="0" footer="0"/>
  <pageSetup paperSize="9" scale="85" orientation="portrait" r:id="rId1"/>
  <headerFooter>
    <oddFooter>&amp;C&amp;P/&amp;N&amp;R&amp;G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J587"/>
  <sheetViews>
    <sheetView tabSelected="1" view="pageBreakPreview" topLeftCell="A258" zoomScaleNormal="100" zoomScaleSheetLayoutView="100" workbookViewId="0">
      <selection activeCell="B260" sqref="B260:B261"/>
    </sheetView>
  </sheetViews>
  <sheetFormatPr defaultRowHeight="15"/>
  <cols>
    <col min="1" max="1" width="9.28515625" customWidth="1"/>
    <col min="2" max="2" width="13.42578125" customWidth="1"/>
    <col min="3" max="3" width="12.42578125" customWidth="1"/>
    <col min="4" max="4" width="59.7109375" bestFit="1"/>
    <col min="5" max="5" width="9.28515625" customWidth="1"/>
    <col min="6" max="7" width="12.42578125" customWidth="1"/>
    <col min="8" max="8" width="8.85546875" customWidth="1"/>
    <col min="9" max="9" width="16" customWidth="1"/>
    <col min="10" max="10" width="12.42578125" customWidth="1"/>
  </cols>
  <sheetData>
    <row r="1" spans="1:10" ht="99" customHeight="1">
      <c r="A1" s="495"/>
      <c r="B1" s="495"/>
      <c r="C1" s="495"/>
      <c r="D1" s="495"/>
      <c r="E1" s="495"/>
      <c r="F1" s="495"/>
      <c r="G1" s="495"/>
      <c r="H1" s="495"/>
      <c r="I1" s="495"/>
      <c r="J1" s="495"/>
    </row>
    <row r="2" spans="1:10" ht="21.95" customHeight="1">
      <c r="A2" s="427" t="s">
        <v>0</v>
      </c>
      <c r="B2" s="427" t="s">
        <v>1</v>
      </c>
      <c r="C2" s="427" t="s">
        <v>2</v>
      </c>
      <c r="D2" s="427" t="s">
        <v>3</v>
      </c>
      <c r="E2" s="427" t="s">
        <v>4</v>
      </c>
      <c r="F2" s="427" t="s">
        <v>5</v>
      </c>
      <c r="G2" s="427" t="s">
        <v>6</v>
      </c>
      <c r="H2" s="427" t="s">
        <v>7</v>
      </c>
      <c r="I2" s="427" t="s">
        <v>8</v>
      </c>
      <c r="J2" s="427" t="s">
        <v>9</v>
      </c>
    </row>
    <row r="3" spans="1:10" ht="20.100000000000001" customHeight="1">
      <c r="A3" s="428" t="s">
        <v>10</v>
      </c>
      <c r="B3" s="494" t="s">
        <v>11</v>
      </c>
      <c r="C3" s="494"/>
      <c r="D3" s="494"/>
      <c r="E3" s="494"/>
      <c r="F3" s="494"/>
      <c r="G3" s="494"/>
      <c r="H3" s="494"/>
      <c r="I3" s="494"/>
      <c r="J3" s="429">
        <v>5685898.3600000003</v>
      </c>
    </row>
    <row r="4" spans="1:10" ht="20.100000000000001" customHeight="1">
      <c r="A4" s="428" t="s">
        <v>12</v>
      </c>
      <c r="B4" s="494" t="s">
        <v>13</v>
      </c>
      <c r="C4" s="494"/>
      <c r="D4" s="494"/>
      <c r="E4" s="494"/>
      <c r="F4" s="494"/>
      <c r="G4" s="494"/>
      <c r="H4" s="494"/>
      <c r="I4" s="494"/>
      <c r="J4" s="429">
        <v>757147.32</v>
      </c>
    </row>
    <row r="5" spans="1:10" ht="20.100000000000001" customHeight="1">
      <c r="A5" s="428" t="s">
        <v>14</v>
      </c>
      <c r="B5" s="494" t="s">
        <v>15</v>
      </c>
      <c r="C5" s="494"/>
      <c r="D5" s="494"/>
      <c r="E5" s="494"/>
      <c r="F5" s="494"/>
      <c r="G5" s="494"/>
      <c r="H5" s="494"/>
      <c r="I5" s="494"/>
      <c r="J5" s="429">
        <v>7783.05</v>
      </c>
    </row>
    <row r="6" spans="1:10" ht="24">
      <c r="A6" s="430" t="s">
        <v>16</v>
      </c>
      <c r="B6" s="431" t="s">
        <v>17</v>
      </c>
      <c r="C6" s="431" t="s">
        <v>18</v>
      </c>
      <c r="D6" s="430" t="s">
        <v>19</v>
      </c>
      <c r="E6" s="431" t="s">
        <v>20</v>
      </c>
      <c r="F6" s="432">
        <v>8</v>
      </c>
      <c r="G6" s="432">
        <v>564.99</v>
      </c>
      <c r="H6" s="432">
        <v>17.57</v>
      </c>
      <c r="I6" s="432">
        <v>664.26</v>
      </c>
      <c r="J6" s="432">
        <v>5314.08</v>
      </c>
    </row>
    <row r="7" spans="1:10" ht="24">
      <c r="A7" s="430" t="s">
        <v>21</v>
      </c>
      <c r="B7" s="431" t="s">
        <v>22</v>
      </c>
      <c r="C7" s="431" t="s">
        <v>18</v>
      </c>
      <c r="D7" s="430" t="s">
        <v>23</v>
      </c>
      <c r="E7" s="431" t="s">
        <v>24</v>
      </c>
      <c r="F7" s="432">
        <v>3</v>
      </c>
      <c r="G7" s="432">
        <v>700</v>
      </c>
      <c r="H7" s="432">
        <v>17.57</v>
      </c>
      <c r="I7" s="432">
        <v>822.99</v>
      </c>
      <c r="J7" s="432">
        <v>2468.9699999999998</v>
      </c>
    </row>
    <row r="8" spans="1:10" ht="20.100000000000001" customHeight="1">
      <c r="A8" s="428" t="s">
        <v>25</v>
      </c>
      <c r="B8" s="494" t="s">
        <v>26</v>
      </c>
      <c r="C8" s="494"/>
      <c r="D8" s="494"/>
      <c r="E8" s="494"/>
      <c r="F8" s="494"/>
      <c r="G8" s="494"/>
      <c r="H8" s="494"/>
      <c r="I8" s="494"/>
      <c r="J8" s="429">
        <v>26597.11</v>
      </c>
    </row>
    <row r="9" spans="1:10" ht="24">
      <c r="A9" s="430" t="s">
        <v>27</v>
      </c>
      <c r="B9" s="431" t="s">
        <v>28</v>
      </c>
      <c r="C9" s="431" t="s">
        <v>29</v>
      </c>
      <c r="D9" s="430" t="s">
        <v>30</v>
      </c>
      <c r="E9" s="431" t="s">
        <v>31</v>
      </c>
      <c r="F9" s="432">
        <v>0.75</v>
      </c>
      <c r="G9" s="432">
        <v>16819.14</v>
      </c>
      <c r="H9" s="432">
        <v>17.57</v>
      </c>
      <c r="I9" s="432">
        <v>19774.259999999998</v>
      </c>
      <c r="J9" s="432">
        <v>14830.7</v>
      </c>
    </row>
    <row r="10" spans="1:10" ht="24">
      <c r="A10" s="430" t="s">
        <v>32</v>
      </c>
      <c r="B10" s="431" t="s">
        <v>33</v>
      </c>
      <c r="C10" s="431" t="s">
        <v>29</v>
      </c>
      <c r="D10" s="430" t="s">
        <v>34</v>
      </c>
      <c r="E10" s="431" t="s">
        <v>31</v>
      </c>
      <c r="F10" s="432">
        <v>1.5</v>
      </c>
      <c r="G10" s="432">
        <v>6672</v>
      </c>
      <c r="H10" s="432">
        <v>17.57</v>
      </c>
      <c r="I10" s="432">
        <v>7844.27</v>
      </c>
      <c r="J10" s="432">
        <v>11766.41</v>
      </c>
    </row>
    <row r="11" spans="1:10" ht="20.100000000000001" customHeight="1">
      <c r="A11" s="428" t="s">
        <v>35</v>
      </c>
      <c r="B11" s="494" t="s">
        <v>36</v>
      </c>
      <c r="C11" s="494"/>
      <c r="D11" s="494"/>
      <c r="E11" s="494"/>
      <c r="F11" s="494"/>
      <c r="G11" s="494"/>
      <c r="H11" s="494"/>
      <c r="I11" s="494"/>
      <c r="J11" s="429">
        <v>16063.34</v>
      </c>
    </row>
    <row r="12" spans="1:10">
      <c r="A12" s="430" t="s">
        <v>37</v>
      </c>
      <c r="B12" s="431" t="s">
        <v>38</v>
      </c>
      <c r="C12" s="431" t="s">
        <v>29</v>
      </c>
      <c r="D12" s="430" t="s">
        <v>39</v>
      </c>
      <c r="E12" s="431" t="s">
        <v>40</v>
      </c>
      <c r="F12" s="432">
        <v>388.6</v>
      </c>
      <c r="G12" s="432">
        <v>0.49</v>
      </c>
      <c r="H12" s="432">
        <v>17.57</v>
      </c>
      <c r="I12" s="432">
        <v>0.57999999999999996</v>
      </c>
      <c r="J12" s="432">
        <v>225.39</v>
      </c>
    </row>
    <row r="13" spans="1:10" ht="24">
      <c r="A13" s="430" t="s">
        <v>41</v>
      </c>
      <c r="B13" s="431" t="s">
        <v>42</v>
      </c>
      <c r="C13" s="431" t="s">
        <v>18</v>
      </c>
      <c r="D13" s="430" t="s">
        <v>43</v>
      </c>
      <c r="E13" s="431" t="s">
        <v>44</v>
      </c>
      <c r="F13" s="432">
        <v>57.82</v>
      </c>
      <c r="G13" s="432">
        <v>212.24</v>
      </c>
      <c r="H13" s="432">
        <v>17.57</v>
      </c>
      <c r="I13" s="432">
        <v>249.53</v>
      </c>
      <c r="J13" s="432">
        <v>14427.82</v>
      </c>
    </row>
    <row r="14" spans="1:10" ht="24">
      <c r="A14" s="430" t="s">
        <v>45</v>
      </c>
      <c r="B14" s="431" t="s">
        <v>46</v>
      </c>
      <c r="C14" s="431" t="s">
        <v>18</v>
      </c>
      <c r="D14" s="430" t="s">
        <v>47</v>
      </c>
      <c r="E14" s="431" t="s">
        <v>40</v>
      </c>
      <c r="F14" s="432">
        <v>52.82</v>
      </c>
      <c r="G14" s="432">
        <v>11.13</v>
      </c>
      <c r="H14" s="432">
        <v>17.57</v>
      </c>
      <c r="I14" s="432">
        <v>13.09</v>
      </c>
      <c r="J14" s="432">
        <v>691.41</v>
      </c>
    </row>
    <row r="15" spans="1:10" ht="48">
      <c r="A15" s="430" t="s">
        <v>48</v>
      </c>
      <c r="B15" s="431" t="s">
        <v>49</v>
      </c>
      <c r="C15" s="431" t="s">
        <v>18</v>
      </c>
      <c r="D15" s="430" t="s">
        <v>50</v>
      </c>
      <c r="E15" s="431" t="s">
        <v>44</v>
      </c>
      <c r="F15" s="432">
        <v>75.25</v>
      </c>
      <c r="G15" s="432">
        <v>2.9</v>
      </c>
      <c r="H15" s="432">
        <v>17.57</v>
      </c>
      <c r="I15" s="432">
        <v>3.41</v>
      </c>
      <c r="J15" s="432">
        <v>256.60000000000002</v>
      </c>
    </row>
    <row r="16" spans="1:10" ht="36">
      <c r="A16" s="430" t="s">
        <v>51</v>
      </c>
      <c r="B16" s="431" t="s">
        <v>52</v>
      </c>
      <c r="C16" s="431" t="s">
        <v>29</v>
      </c>
      <c r="D16" s="430" t="s">
        <v>53</v>
      </c>
      <c r="E16" s="431" t="s">
        <v>54</v>
      </c>
      <c r="F16" s="432">
        <v>173.08</v>
      </c>
      <c r="G16" s="432">
        <v>2.27</v>
      </c>
      <c r="H16" s="432">
        <v>17.57</v>
      </c>
      <c r="I16" s="432">
        <v>2.67</v>
      </c>
      <c r="J16" s="432">
        <v>462.12</v>
      </c>
    </row>
    <row r="17" spans="1:10" ht="20.100000000000001" customHeight="1">
      <c r="A17" s="428" t="s">
        <v>55</v>
      </c>
      <c r="B17" s="494" t="s">
        <v>56</v>
      </c>
      <c r="C17" s="494"/>
      <c r="D17" s="494"/>
      <c r="E17" s="494"/>
      <c r="F17" s="494"/>
      <c r="G17" s="494"/>
      <c r="H17" s="494"/>
      <c r="I17" s="494"/>
      <c r="J17" s="429">
        <v>37121.15</v>
      </c>
    </row>
    <row r="18" spans="1:10" ht="24">
      <c r="A18" s="430" t="s">
        <v>57</v>
      </c>
      <c r="B18" s="431" t="s">
        <v>58</v>
      </c>
      <c r="C18" s="431" t="s">
        <v>18</v>
      </c>
      <c r="D18" s="430" t="s">
        <v>59</v>
      </c>
      <c r="E18" s="431" t="s">
        <v>60</v>
      </c>
      <c r="F18" s="432">
        <v>2476.6</v>
      </c>
      <c r="G18" s="432">
        <v>2.59</v>
      </c>
      <c r="H18" s="432">
        <v>17.57</v>
      </c>
      <c r="I18" s="432">
        <v>3.05</v>
      </c>
      <c r="J18" s="432">
        <v>7553.63</v>
      </c>
    </row>
    <row r="19" spans="1:10" ht="48">
      <c r="A19" s="430" t="s">
        <v>61</v>
      </c>
      <c r="B19" s="431" t="s">
        <v>49</v>
      </c>
      <c r="C19" s="431" t="s">
        <v>18</v>
      </c>
      <c r="D19" s="430" t="s">
        <v>50</v>
      </c>
      <c r="E19" s="431" t="s">
        <v>44</v>
      </c>
      <c r="F19" s="432">
        <v>3095.75</v>
      </c>
      <c r="G19" s="432">
        <v>2.9</v>
      </c>
      <c r="H19" s="432">
        <v>17.57</v>
      </c>
      <c r="I19" s="432">
        <v>3.41</v>
      </c>
      <c r="J19" s="432">
        <v>10556.51</v>
      </c>
    </row>
    <row r="20" spans="1:10" ht="36">
      <c r="A20" s="430" t="s">
        <v>62</v>
      </c>
      <c r="B20" s="431" t="s">
        <v>52</v>
      </c>
      <c r="C20" s="431" t="s">
        <v>29</v>
      </c>
      <c r="D20" s="430" t="s">
        <v>53</v>
      </c>
      <c r="E20" s="431" t="s">
        <v>54</v>
      </c>
      <c r="F20" s="432">
        <v>7120.23</v>
      </c>
      <c r="G20" s="432">
        <v>2.27</v>
      </c>
      <c r="H20" s="432">
        <v>17.57</v>
      </c>
      <c r="I20" s="432">
        <v>2.67</v>
      </c>
      <c r="J20" s="432">
        <v>19011.009999999998</v>
      </c>
    </row>
    <row r="21" spans="1:10" ht="20.100000000000001" customHeight="1">
      <c r="A21" s="428" t="s">
        <v>63</v>
      </c>
      <c r="B21" s="494" t="s">
        <v>11</v>
      </c>
      <c r="C21" s="494"/>
      <c r="D21" s="494"/>
      <c r="E21" s="494"/>
      <c r="F21" s="494"/>
      <c r="G21" s="494"/>
      <c r="H21" s="494"/>
      <c r="I21" s="494"/>
      <c r="J21" s="429">
        <v>325065.58</v>
      </c>
    </row>
    <row r="22" spans="1:10" ht="24">
      <c r="A22" s="430" t="s">
        <v>64</v>
      </c>
      <c r="B22" s="431" t="s">
        <v>65</v>
      </c>
      <c r="C22" s="431" t="s">
        <v>29</v>
      </c>
      <c r="D22" s="430" t="s">
        <v>66</v>
      </c>
      <c r="E22" s="431" t="s">
        <v>20</v>
      </c>
      <c r="F22" s="432">
        <v>2732.83</v>
      </c>
      <c r="G22" s="432">
        <v>2.79</v>
      </c>
      <c r="H22" s="432">
        <v>17.57</v>
      </c>
      <c r="I22" s="432">
        <v>3.28</v>
      </c>
      <c r="J22" s="432">
        <v>8963.68</v>
      </c>
    </row>
    <row r="23" spans="1:10" ht="24">
      <c r="A23" s="430" t="s">
        <v>67</v>
      </c>
      <c r="B23" s="431" t="s">
        <v>68</v>
      </c>
      <c r="C23" s="431" t="s">
        <v>18</v>
      </c>
      <c r="D23" s="430" t="s">
        <v>69</v>
      </c>
      <c r="E23" s="431" t="s">
        <v>44</v>
      </c>
      <c r="F23" s="432">
        <v>1002.29</v>
      </c>
      <c r="G23" s="432">
        <v>104.33</v>
      </c>
      <c r="H23" s="432">
        <v>17.57</v>
      </c>
      <c r="I23" s="432">
        <v>122.66</v>
      </c>
      <c r="J23" s="432">
        <v>122940.89</v>
      </c>
    </row>
    <row r="24" spans="1:10" ht="24">
      <c r="A24" s="430" t="s">
        <v>70</v>
      </c>
      <c r="B24" s="431" t="s">
        <v>71</v>
      </c>
      <c r="C24" s="431" t="s">
        <v>18</v>
      </c>
      <c r="D24" s="430" t="s">
        <v>72</v>
      </c>
      <c r="E24" s="431" t="s">
        <v>73</v>
      </c>
      <c r="F24" s="432">
        <v>421.28</v>
      </c>
      <c r="G24" s="432">
        <v>11.4</v>
      </c>
      <c r="H24" s="432">
        <v>17.57</v>
      </c>
      <c r="I24" s="432">
        <v>13.4</v>
      </c>
      <c r="J24" s="432">
        <v>5645.15</v>
      </c>
    </row>
    <row r="25" spans="1:10" ht="36">
      <c r="A25" s="430" t="s">
        <v>74</v>
      </c>
      <c r="B25" s="431" t="s">
        <v>75</v>
      </c>
      <c r="C25" s="431" t="s">
        <v>18</v>
      </c>
      <c r="D25" s="430" t="s">
        <v>76</v>
      </c>
      <c r="E25" s="431" t="s">
        <v>60</v>
      </c>
      <c r="F25" s="432">
        <v>474.97</v>
      </c>
      <c r="G25" s="432">
        <v>14.44</v>
      </c>
      <c r="H25" s="432">
        <v>17.57</v>
      </c>
      <c r="I25" s="432">
        <v>16.98</v>
      </c>
      <c r="J25" s="432">
        <v>8064.99</v>
      </c>
    </row>
    <row r="26" spans="1:10" ht="48">
      <c r="A26" s="430" t="s">
        <v>77</v>
      </c>
      <c r="B26" s="431" t="s">
        <v>49</v>
      </c>
      <c r="C26" s="431" t="s">
        <v>18</v>
      </c>
      <c r="D26" s="430" t="s">
        <v>50</v>
      </c>
      <c r="E26" s="431" t="s">
        <v>44</v>
      </c>
      <c r="F26" s="432">
        <v>1120.31</v>
      </c>
      <c r="G26" s="432">
        <v>2.9</v>
      </c>
      <c r="H26" s="432">
        <v>17.57</v>
      </c>
      <c r="I26" s="432">
        <v>3.41</v>
      </c>
      <c r="J26" s="432">
        <v>3820.26</v>
      </c>
    </row>
    <row r="27" spans="1:10" ht="24">
      <c r="A27" s="430" t="s">
        <v>78</v>
      </c>
      <c r="B27" s="431" t="s">
        <v>79</v>
      </c>
      <c r="C27" s="431" t="s">
        <v>18</v>
      </c>
      <c r="D27" s="430" t="s">
        <v>80</v>
      </c>
      <c r="E27" s="431" t="s">
        <v>81</v>
      </c>
      <c r="F27" s="432">
        <v>9634.67</v>
      </c>
      <c r="G27" s="432">
        <v>1.37</v>
      </c>
      <c r="H27" s="432">
        <v>17.57</v>
      </c>
      <c r="I27" s="432">
        <v>1.61</v>
      </c>
      <c r="J27" s="432">
        <v>15511.82</v>
      </c>
    </row>
    <row r="28" spans="1:10" ht="48">
      <c r="A28" s="430" t="s">
        <v>82</v>
      </c>
      <c r="B28" s="431" t="s">
        <v>83</v>
      </c>
      <c r="C28" s="431" t="s">
        <v>18</v>
      </c>
      <c r="D28" s="430" t="s">
        <v>84</v>
      </c>
      <c r="E28" s="431" t="s">
        <v>20</v>
      </c>
      <c r="F28" s="432">
        <v>227.11</v>
      </c>
      <c r="G28" s="432">
        <v>20.41</v>
      </c>
      <c r="H28" s="432">
        <v>17.57</v>
      </c>
      <c r="I28" s="432">
        <v>24</v>
      </c>
      <c r="J28" s="432">
        <v>5450.64</v>
      </c>
    </row>
    <row r="29" spans="1:10" ht="24">
      <c r="A29" s="430" t="s">
        <v>85</v>
      </c>
      <c r="B29" s="431" t="s">
        <v>86</v>
      </c>
      <c r="C29" s="431" t="s">
        <v>18</v>
      </c>
      <c r="D29" s="430" t="s">
        <v>87</v>
      </c>
      <c r="E29" s="431" t="s">
        <v>20</v>
      </c>
      <c r="F29" s="432">
        <v>1935.14</v>
      </c>
      <c r="G29" s="432">
        <v>7.62</v>
      </c>
      <c r="H29" s="432">
        <v>17.57</v>
      </c>
      <c r="I29" s="432">
        <v>8.9600000000000009</v>
      </c>
      <c r="J29" s="432">
        <v>17338.849999999999</v>
      </c>
    </row>
    <row r="30" spans="1:10" ht="36">
      <c r="A30" s="430" t="s">
        <v>88</v>
      </c>
      <c r="B30" s="431" t="s">
        <v>89</v>
      </c>
      <c r="C30" s="431" t="s">
        <v>18</v>
      </c>
      <c r="D30" s="430" t="s">
        <v>90</v>
      </c>
      <c r="E30" s="431" t="s">
        <v>60</v>
      </c>
      <c r="F30" s="432">
        <v>96.76</v>
      </c>
      <c r="G30" s="432">
        <v>133.37</v>
      </c>
      <c r="H30" s="432">
        <v>17.57</v>
      </c>
      <c r="I30" s="432">
        <v>156.80000000000001</v>
      </c>
      <c r="J30" s="432">
        <v>15171.97</v>
      </c>
    </row>
    <row r="31" spans="1:10" ht="36">
      <c r="A31" s="430" t="s">
        <v>91</v>
      </c>
      <c r="B31" s="431" t="s">
        <v>92</v>
      </c>
      <c r="C31" s="431" t="s">
        <v>18</v>
      </c>
      <c r="D31" s="430" t="s">
        <v>93</v>
      </c>
      <c r="E31" s="431" t="s">
        <v>44</v>
      </c>
      <c r="F31" s="432">
        <v>96.76</v>
      </c>
      <c r="G31" s="432">
        <v>7.86</v>
      </c>
      <c r="H31" s="432">
        <v>17.57</v>
      </c>
      <c r="I31" s="432">
        <v>9.24</v>
      </c>
      <c r="J31" s="432">
        <v>894.06</v>
      </c>
    </row>
    <row r="32" spans="1:10" ht="24">
      <c r="A32" s="430" t="s">
        <v>94</v>
      </c>
      <c r="B32" s="431" t="s">
        <v>95</v>
      </c>
      <c r="C32" s="431" t="s">
        <v>18</v>
      </c>
      <c r="D32" s="430" t="s">
        <v>96</v>
      </c>
      <c r="E32" s="431" t="s">
        <v>54</v>
      </c>
      <c r="F32" s="432">
        <v>1722.33</v>
      </c>
      <c r="G32" s="432">
        <v>1.77</v>
      </c>
      <c r="H32" s="432">
        <v>17.57</v>
      </c>
      <c r="I32" s="432">
        <v>2.08</v>
      </c>
      <c r="J32" s="432">
        <v>3582.45</v>
      </c>
    </row>
    <row r="33" spans="1:10" ht="24">
      <c r="A33" s="430" t="s">
        <v>97</v>
      </c>
      <c r="B33" s="431" t="s">
        <v>98</v>
      </c>
      <c r="C33" s="431" t="s">
        <v>18</v>
      </c>
      <c r="D33" s="430" t="s">
        <v>99</v>
      </c>
      <c r="E33" s="431" t="s">
        <v>20</v>
      </c>
      <c r="F33" s="432">
        <v>1897.96</v>
      </c>
      <c r="G33" s="432">
        <v>0.65</v>
      </c>
      <c r="H33" s="432">
        <v>17.57</v>
      </c>
      <c r="I33" s="432">
        <v>0.76</v>
      </c>
      <c r="J33" s="432">
        <v>1442.45</v>
      </c>
    </row>
    <row r="34" spans="1:10" ht="48">
      <c r="A34" s="430" t="s">
        <v>100</v>
      </c>
      <c r="B34" s="431" t="s">
        <v>101</v>
      </c>
      <c r="C34" s="431" t="s">
        <v>18</v>
      </c>
      <c r="D34" s="430" t="s">
        <v>102</v>
      </c>
      <c r="E34" s="431" t="s">
        <v>60</v>
      </c>
      <c r="F34" s="432">
        <v>127.65</v>
      </c>
      <c r="G34" s="432">
        <v>112.75</v>
      </c>
      <c r="H34" s="432">
        <v>17.57</v>
      </c>
      <c r="I34" s="432">
        <v>132.56</v>
      </c>
      <c r="J34" s="432">
        <v>16921.28</v>
      </c>
    </row>
    <row r="35" spans="1:10" ht="60">
      <c r="A35" s="430" t="s">
        <v>103</v>
      </c>
      <c r="B35" s="431" t="s">
        <v>104</v>
      </c>
      <c r="C35" s="431" t="s">
        <v>29</v>
      </c>
      <c r="D35" s="430" t="s">
        <v>105</v>
      </c>
      <c r="E35" s="431" t="s">
        <v>40</v>
      </c>
      <c r="F35" s="432">
        <v>749.93</v>
      </c>
      <c r="G35" s="432">
        <v>56.47</v>
      </c>
      <c r="H35" s="432">
        <v>17.57</v>
      </c>
      <c r="I35" s="432">
        <v>66.39</v>
      </c>
      <c r="J35" s="432">
        <v>49787.85</v>
      </c>
    </row>
    <row r="36" spans="1:10" ht="60">
      <c r="A36" s="430" t="s">
        <v>106</v>
      </c>
      <c r="B36" s="431" t="s">
        <v>107</v>
      </c>
      <c r="C36" s="431" t="s">
        <v>29</v>
      </c>
      <c r="D36" s="430" t="s">
        <v>108</v>
      </c>
      <c r="E36" s="431" t="s">
        <v>40</v>
      </c>
      <c r="F36" s="432">
        <v>147</v>
      </c>
      <c r="G36" s="432">
        <v>54.31</v>
      </c>
      <c r="H36" s="432">
        <v>17.57</v>
      </c>
      <c r="I36" s="432">
        <v>63.85</v>
      </c>
      <c r="J36" s="432">
        <v>9385.9500000000007</v>
      </c>
    </row>
    <row r="37" spans="1:10" ht="24">
      <c r="A37" s="430" t="s">
        <v>109</v>
      </c>
      <c r="B37" s="431" t="s">
        <v>110</v>
      </c>
      <c r="C37" s="431" t="s">
        <v>29</v>
      </c>
      <c r="D37" s="430" t="s">
        <v>111</v>
      </c>
      <c r="E37" s="431" t="s">
        <v>40</v>
      </c>
      <c r="F37" s="432">
        <v>715.92</v>
      </c>
      <c r="G37" s="432">
        <v>39.770000000000003</v>
      </c>
      <c r="H37" s="432">
        <v>17.57</v>
      </c>
      <c r="I37" s="432">
        <v>46.76</v>
      </c>
      <c r="J37" s="432">
        <v>33476.42</v>
      </c>
    </row>
    <row r="38" spans="1:10" ht="24">
      <c r="A38" s="430" t="s">
        <v>112</v>
      </c>
      <c r="B38" s="431" t="s">
        <v>113</v>
      </c>
      <c r="C38" s="431" t="s">
        <v>29</v>
      </c>
      <c r="D38" s="430" t="s">
        <v>114</v>
      </c>
      <c r="E38" s="431" t="s">
        <v>115</v>
      </c>
      <c r="F38" s="432">
        <v>21</v>
      </c>
      <c r="G38" s="432">
        <v>201.05</v>
      </c>
      <c r="H38" s="432">
        <v>17.57</v>
      </c>
      <c r="I38" s="432">
        <v>236.37</v>
      </c>
      <c r="J38" s="432">
        <v>4963.7700000000004</v>
      </c>
    </row>
    <row r="39" spans="1:10">
      <c r="A39" s="430" t="s">
        <v>116</v>
      </c>
      <c r="B39" s="431" t="s">
        <v>117</v>
      </c>
      <c r="C39" s="431" t="s">
        <v>29</v>
      </c>
      <c r="D39" s="430" t="s">
        <v>118</v>
      </c>
      <c r="E39" s="431" t="s">
        <v>20</v>
      </c>
      <c r="F39" s="432">
        <v>105</v>
      </c>
      <c r="G39" s="432">
        <v>13.8</v>
      </c>
      <c r="H39" s="432">
        <v>17.57</v>
      </c>
      <c r="I39" s="432">
        <v>16.22</v>
      </c>
      <c r="J39" s="432">
        <v>1703.1</v>
      </c>
    </row>
    <row r="40" spans="1:10" ht="20.100000000000001" customHeight="1">
      <c r="A40" s="428" t="s">
        <v>119</v>
      </c>
      <c r="B40" s="494" t="s">
        <v>120</v>
      </c>
      <c r="C40" s="494"/>
      <c r="D40" s="494"/>
      <c r="E40" s="494"/>
      <c r="F40" s="494"/>
      <c r="G40" s="494"/>
      <c r="H40" s="494"/>
      <c r="I40" s="494"/>
      <c r="J40" s="429">
        <v>2150.0500000000002</v>
      </c>
    </row>
    <row r="41" spans="1:10" ht="24">
      <c r="A41" s="430" t="s">
        <v>121</v>
      </c>
      <c r="B41" s="431" t="s">
        <v>122</v>
      </c>
      <c r="C41" s="431" t="s">
        <v>29</v>
      </c>
      <c r="D41" s="430" t="s">
        <v>123</v>
      </c>
      <c r="E41" s="431" t="s">
        <v>60</v>
      </c>
      <c r="F41" s="432">
        <v>0.99</v>
      </c>
      <c r="G41" s="432">
        <v>78.319999999999993</v>
      </c>
      <c r="H41" s="432">
        <v>17.57</v>
      </c>
      <c r="I41" s="432">
        <v>92.08</v>
      </c>
      <c r="J41" s="432">
        <v>91.16</v>
      </c>
    </row>
    <row r="42" spans="1:10" ht="24">
      <c r="A42" s="430" t="s">
        <v>124</v>
      </c>
      <c r="B42" s="431" t="s">
        <v>125</v>
      </c>
      <c r="C42" s="431" t="s">
        <v>29</v>
      </c>
      <c r="D42" s="430" t="s">
        <v>126</v>
      </c>
      <c r="E42" s="431" t="s">
        <v>60</v>
      </c>
      <c r="F42" s="432">
        <v>0.62</v>
      </c>
      <c r="G42" s="432">
        <v>436.13</v>
      </c>
      <c r="H42" s="432">
        <v>17.57</v>
      </c>
      <c r="I42" s="432">
        <v>512.76</v>
      </c>
      <c r="J42" s="432">
        <v>317.91000000000003</v>
      </c>
    </row>
    <row r="43" spans="1:10" ht="36">
      <c r="A43" s="430" t="s">
        <v>127</v>
      </c>
      <c r="B43" s="431" t="s">
        <v>128</v>
      </c>
      <c r="C43" s="431" t="s">
        <v>29</v>
      </c>
      <c r="D43" s="430" t="s">
        <v>129</v>
      </c>
      <c r="E43" s="431" t="s">
        <v>60</v>
      </c>
      <c r="F43" s="432">
        <v>0.99</v>
      </c>
      <c r="G43" s="432">
        <v>472.74</v>
      </c>
      <c r="H43" s="432">
        <v>17.57</v>
      </c>
      <c r="I43" s="432">
        <v>555.79999999999995</v>
      </c>
      <c r="J43" s="432">
        <v>550.24</v>
      </c>
    </row>
    <row r="44" spans="1:10" ht="24">
      <c r="A44" s="430" t="s">
        <v>130</v>
      </c>
      <c r="B44" s="431" t="s">
        <v>131</v>
      </c>
      <c r="C44" s="431" t="s">
        <v>18</v>
      </c>
      <c r="D44" s="430" t="s">
        <v>132</v>
      </c>
      <c r="E44" s="431" t="s">
        <v>60</v>
      </c>
      <c r="F44" s="432">
        <v>1.61</v>
      </c>
      <c r="G44" s="432">
        <v>129.79</v>
      </c>
      <c r="H44" s="432">
        <v>17.57</v>
      </c>
      <c r="I44" s="432">
        <v>152.59</v>
      </c>
      <c r="J44" s="432">
        <v>245.67</v>
      </c>
    </row>
    <row r="45" spans="1:10" ht="36">
      <c r="A45" s="430" t="s">
        <v>133</v>
      </c>
      <c r="B45" s="431" t="s">
        <v>134</v>
      </c>
      <c r="C45" s="431" t="s">
        <v>18</v>
      </c>
      <c r="D45" s="430" t="s">
        <v>135</v>
      </c>
      <c r="E45" s="431" t="s">
        <v>136</v>
      </c>
      <c r="F45" s="432">
        <v>12.32</v>
      </c>
      <c r="G45" s="432">
        <v>65.25</v>
      </c>
      <c r="H45" s="432">
        <v>17.57</v>
      </c>
      <c r="I45" s="432">
        <v>76.709999999999994</v>
      </c>
      <c r="J45" s="432">
        <v>945.07</v>
      </c>
    </row>
    <row r="46" spans="1:10" ht="20.100000000000001" customHeight="1">
      <c r="A46" s="428" t="s">
        <v>137</v>
      </c>
      <c r="B46" s="494" t="s">
        <v>138</v>
      </c>
      <c r="C46" s="494"/>
      <c r="D46" s="494"/>
      <c r="E46" s="494"/>
      <c r="F46" s="494"/>
      <c r="G46" s="494"/>
      <c r="H46" s="494"/>
      <c r="I46" s="494"/>
      <c r="J46" s="429">
        <v>13597.48</v>
      </c>
    </row>
    <row r="47" spans="1:10">
      <c r="A47" s="430" t="s">
        <v>139</v>
      </c>
      <c r="B47" s="431" t="s">
        <v>140</v>
      </c>
      <c r="C47" s="431" t="s">
        <v>141</v>
      </c>
      <c r="D47" s="430" t="s">
        <v>142</v>
      </c>
      <c r="E47" s="431" t="s">
        <v>143</v>
      </c>
      <c r="F47" s="432">
        <v>3</v>
      </c>
      <c r="G47" s="432">
        <v>355.35</v>
      </c>
      <c r="H47" s="432">
        <v>17.57</v>
      </c>
      <c r="I47" s="432">
        <v>417.78</v>
      </c>
      <c r="J47" s="432">
        <v>1253.3399999999999</v>
      </c>
    </row>
    <row r="48" spans="1:10">
      <c r="A48" s="430" t="s">
        <v>144</v>
      </c>
      <c r="B48" s="431" t="s">
        <v>145</v>
      </c>
      <c r="C48" s="431" t="s">
        <v>141</v>
      </c>
      <c r="D48" s="430" t="s">
        <v>146</v>
      </c>
      <c r="E48" s="431" t="s">
        <v>143</v>
      </c>
      <c r="F48" s="432">
        <v>3.94</v>
      </c>
      <c r="G48" s="432">
        <v>347.25</v>
      </c>
      <c r="H48" s="432">
        <v>17.57</v>
      </c>
      <c r="I48" s="432">
        <v>408.26</v>
      </c>
      <c r="J48" s="432">
        <v>1608.54</v>
      </c>
    </row>
    <row r="49" spans="1:10" ht="24">
      <c r="A49" s="430" t="s">
        <v>147</v>
      </c>
      <c r="B49" s="431" t="s">
        <v>148</v>
      </c>
      <c r="C49" s="431" t="s">
        <v>141</v>
      </c>
      <c r="D49" s="430" t="s">
        <v>149</v>
      </c>
      <c r="E49" s="431" t="s">
        <v>150</v>
      </c>
      <c r="F49" s="432">
        <v>14</v>
      </c>
      <c r="G49" s="432">
        <v>121.48</v>
      </c>
      <c r="H49" s="432">
        <v>17.57</v>
      </c>
      <c r="I49" s="432">
        <v>142.82</v>
      </c>
      <c r="J49" s="432">
        <v>1999.48</v>
      </c>
    </row>
    <row r="50" spans="1:10" ht="24">
      <c r="A50" s="430" t="s">
        <v>151</v>
      </c>
      <c r="B50" s="431" t="s">
        <v>152</v>
      </c>
      <c r="C50" s="431" t="s">
        <v>18</v>
      </c>
      <c r="D50" s="430" t="s">
        <v>153</v>
      </c>
      <c r="E50" s="431" t="s">
        <v>154</v>
      </c>
      <c r="F50" s="432">
        <v>6</v>
      </c>
      <c r="G50" s="432">
        <v>156.33000000000001</v>
      </c>
      <c r="H50" s="432">
        <v>17.57</v>
      </c>
      <c r="I50" s="432">
        <v>183.8</v>
      </c>
      <c r="J50" s="432">
        <v>1102.8</v>
      </c>
    </row>
    <row r="51" spans="1:10" ht="24">
      <c r="A51" s="430" t="s">
        <v>155</v>
      </c>
      <c r="B51" s="431" t="s">
        <v>156</v>
      </c>
      <c r="C51" s="431" t="s">
        <v>18</v>
      </c>
      <c r="D51" s="430" t="s">
        <v>157</v>
      </c>
      <c r="E51" s="431" t="s">
        <v>20</v>
      </c>
      <c r="F51" s="432">
        <v>2.88</v>
      </c>
      <c r="G51" s="432">
        <v>20.3</v>
      </c>
      <c r="H51" s="432">
        <v>17.57</v>
      </c>
      <c r="I51" s="432">
        <v>23.87</v>
      </c>
      <c r="J51" s="432">
        <v>68.75</v>
      </c>
    </row>
    <row r="52" spans="1:10" ht="48">
      <c r="A52" s="430" t="s">
        <v>158</v>
      </c>
      <c r="B52" s="431" t="s">
        <v>159</v>
      </c>
      <c r="C52" s="431" t="s">
        <v>29</v>
      </c>
      <c r="D52" s="430" t="s">
        <v>160</v>
      </c>
      <c r="E52" s="431" t="s">
        <v>40</v>
      </c>
      <c r="F52" s="432">
        <v>945.96</v>
      </c>
      <c r="G52" s="432">
        <v>5.48</v>
      </c>
      <c r="H52" s="432">
        <v>17.57</v>
      </c>
      <c r="I52" s="432">
        <v>6.44</v>
      </c>
      <c r="J52" s="432">
        <v>6091.98</v>
      </c>
    </row>
    <row r="53" spans="1:10" ht="48">
      <c r="A53" s="430" t="s">
        <v>161</v>
      </c>
      <c r="B53" s="431" t="s">
        <v>162</v>
      </c>
      <c r="C53" s="431" t="s">
        <v>29</v>
      </c>
      <c r="D53" s="430" t="s">
        <v>163</v>
      </c>
      <c r="E53" s="431" t="s">
        <v>20</v>
      </c>
      <c r="F53" s="432">
        <v>51.87</v>
      </c>
      <c r="G53" s="432">
        <v>24.15</v>
      </c>
      <c r="H53" s="432">
        <v>17.57</v>
      </c>
      <c r="I53" s="432">
        <v>28.39</v>
      </c>
      <c r="J53" s="432">
        <v>1472.59</v>
      </c>
    </row>
    <row r="54" spans="1:10" ht="20.100000000000001" customHeight="1">
      <c r="A54" s="428" t="s">
        <v>164</v>
      </c>
      <c r="B54" s="494" t="s">
        <v>165</v>
      </c>
      <c r="C54" s="494"/>
      <c r="D54" s="494"/>
      <c r="E54" s="494"/>
      <c r="F54" s="494"/>
      <c r="G54" s="494"/>
      <c r="H54" s="494"/>
      <c r="I54" s="494"/>
      <c r="J54" s="429">
        <v>9836</v>
      </c>
    </row>
    <row r="55" spans="1:10" ht="36">
      <c r="A55" s="430" t="s">
        <v>166</v>
      </c>
      <c r="B55" s="431" t="s">
        <v>167</v>
      </c>
      <c r="C55" s="431" t="s">
        <v>18</v>
      </c>
      <c r="D55" s="430" t="s">
        <v>168</v>
      </c>
      <c r="E55" s="431" t="s">
        <v>136</v>
      </c>
      <c r="F55" s="432">
        <v>74.47</v>
      </c>
      <c r="G55" s="432">
        <v>112.34</v>
      </c>
      <c r="H55" s="432">
        <v>17.57</v>
      </c>
      <c r="I55" s="432">
        <v>132.08000000000001</v>
      </c>
      <c r="J55" s="432">
        <v>9836</v>
      </c>
    </row>
    <row r="56" spans="1:10" ht="20.100000000000001" customHeight="1">
      <c r="A56" s="428" t="s">
        <v>169</v>
      </c>
      <c r="B56" s="494" t="s">
        <v>170</v>
      </c>
      <c r="C56" s="494"/>
      <c r="D56" s="494"/>
      <c r="E56" s="494"/>
      <c r="F56" s="494"/>
      <c r="G56" s="494"/>
      <c r="H56" s="494"/>
      <c r="I56" s="494"/>
      <c r="J56" s="429">
        <v>318933.56</v>
      </c>
    </row>
    <row r="57" spans="1:10" ht="48">
      <c r="A57" s="430" t="s">
        <v>171</v>
      </c>
      <c r="B57" s="431" t="s">
        <v>172</v>
      </c>
      <c r="C57" s="431" t="s">
        <v>29</v>
      </c>
      <c r="D57" s="430" t="s">
        <v>173</v>
      </c>
      <c r="E57" s="431" t="s">
        <v>31</v>
      </c>
      <c r="F57" s="432">
        <v>3</v>
      </c>
      <c r="G57" s="432">
        <v>830</v>
      </c>
      <c r="H57" s="432">
        <v>10.07</v>
      </c>
      <c r="I57" s="432">
        <v>913.58</v>
      </c>
      <c r="J57" s="432">
        <v>2740.74</v>
      </c>
    </row>
    <row r="58" spans="1:10" ht="36">
      <c r="A58" s="430" t="s">
        <v>174</v>
      </c>
      <c r="B58" s="431" t="s">
        <v>175</v>
      </c>
      <c r="C58" s="431" t="s">
        <v>29</v>
      </c>
      <c r="D58" s="430" t="s">
        <v>176</v>
      </c>
      <c r="E58" s="431" t="s">
        <v>31</v>
      </c>
      <c r="F58" s="432">
        <v>3</v>
      </c>
      <c r="G58" s="432">
        <v>648.42999999999995</v>
      </c>
      <c r="H58" s="432">
        <v>10.07</v>
      </c>
      <c r="I58" s="432">
        <v>713.73</v>
      </c>
      <c r="J58" s="432">
        <v>2141.19</v>
      </c>
    </row>
    <row r="59" spans="1:10" ht="48">
      <c r="A59" s="430" t="s">
        <v>177</v>
      </c>
      <c r="B59" s="431" t="s">
        <v>178</v>
      </c>
      <c r="C59" s="431" t="s">
        <v>29</v>
      </c>
      <c r="D59" s="430" t="s">
        <v>179</v>
      </c>
      <c r="E59" s="431" t="s">
        <v>20</v>
      </c>
      <c r="F59" s="432">
        <v>178.53</v>
      </c>
      <c r="G59" s="432">
        <v>49</v>
      </c>
      <c r="H59" s="432">
        <v>10.07</v>
      </c>
      <c r="I59" s="432">
        <v>53.93</v>
      </c>
      <c r="J59" s="432">
        <v>9628.1200000000008</v>
      </c>
    </row>
    <row r="60" spans="1:10" ht="48">
      <c r="A60" s="430" t="s">
        <v>180</v>
      </c>
      <c r="B60" s="431" t="s">
        <v>181</v>
      </c>
      <c r="C60" s="431" t="s">
        <v>29</v>
      </c>
      <c r="D60" s="430" t="s">
        <v>182</v>
      </c>
      <c r="E60" s="431" t="s">
        <v>20</v>
      </c>
      <c r="F60" s="432">
        <v>51.56</v>
      </c>
      <c r="G60" s="432">
        <v>53.92</v>
      </c>
      <c r="H60" s="432">
        <v>10.07</v>
      </c>
      <c r="I60" s="432">
        <v>59.35</v>
      </c>
      <c r="J60" s="432">
        <v>3060.09</v>
      </c>
    </row>
    <row r="61" spans="1:10" ht="36">
      <c r="A61" s="430" t="s">
        <v>183</v>
      </c>
      <c r="B61" s="431" t="s">
        <v>184</v>
      </c>
      <c r="C61" s="431" t="s">
        <v>29</v>
      </c>
      <c r="D61" s="430" t="s">
        <v>185</v>
      </c>
      <c r="E61" s="431" t="s">
        <v>186</v>
      </c>
      <c r="F61" s="432">
        <v>247.2</v>
      </c>
      <c r="G61" s="432">
        <v>522.5</v>
      </c>
      <c r="H61" s="432">
        <v>10.07</v>
      </c>
      <c r="I61" s="432">
        <v>575.12</v>
      </c>
      <c r="J61" s="432">
        <v>142169.66</v>
      </c>
    </row>
    <row r="62" spans="1:10" ht="24">
      <c r="A62" s="430" t="s">
        <v>187</v>
      </c>
      <c r="B62" s="431" t="s">
        <v>188</v>
      </c>
      <c r="C62" s="431" t="s">
        <v>18</v>
      </c>
      <c r="D62" s="430" t="s">
        <v>189</v>
      </c>
      <c r="E62" s="431" t="s">
        <v>44</v>
      </c>
      <c r="F62" s="432">
        <v>474.97</v>
      </c>
      <c r="G62" s="432">
        <v>56.1</v>
      </c>
      <c r="H62" s="432">
        <v>10.07</v>
      </c>
      <c r="I62" s="432">
        <v>61.75</v>
      </c>
      <c r="J62" s="432">
        <v>29329.4</v>
      </c>
    </row>
    <row r="63" spans="1:10">
      <c r="A63" s="430" t="s">
        <v>190</v>
      </c>
      <c r="B63" s="431" t="s">
        <v>191</v>
      </c>
      <c r="C63" s="431" t="s">
        <v>141</v>
      </c>
      <c r="D63" s="430" t="s">
        <v>192</v>
      </c>
      <c r="E63" s="431" t="s">
        <v>73</v>
      </c>
      <c r="F63" s="432">
        <v>530.80999999999995</v>
      </c>
      <c r="G63" s="432">
        <v>90.74</v>
      </c>
      <c r="H63" s="432">
        <v>10.07</v>
      </c>
      <c r="I63" s="432">
        <v>99.88</v>
      </c>
      <c r="J63" s="432">
        <v>53017.3</v>
      </c>
    </row>
    <row r="64" spans="1:10">
      <c r="A64" s="430" t="s">
        <v>193</v>
      </c>
      <c r="B64" s="431" t="s">
        <v>194</v>
      </c>
      <c r="C64" s="431" t="s">
        <v>141</v>
      </c>
      <c r="D64" s="430" t="s">
        <v>195</v>
      </c>
      <c r="E64" s="431" t="s">
        <v>73</v>
      </c>
      <c r="F64" s="432">
        <v>58.98</v>
      </c>
      <c r="G64" s="432">
        <v>74.53</v>
      </c>
      <c r="H64" s="432">
        <v>10.07</v>
      </c>
      <c r="I64" s="432">
        <v>82.04</v>
      </c>
      <c r="J64" s="432">
        <v>4838.72</v>
      </c>
    </row>
    <row r="65" spans="1:10" ht="36">
      <c r="A65" s="430" t="s">
        <v>196</v>
      </c>
      <c r="B65" s="431" t="s">
        <v>197</v>
      </c>
      <c r="C65" s="431" t="s">
        <v>29</v>
      </c>
      <c r="D65" s="430" t="s">
        <v>198</v>
      </c>
      <c r="E65" s="431" t="s">
        <v>60</v>
      </c>
      <c r="F65" s="432">
        <v>154.84</v>
      </c>
      <c r="G65" s="432">
        <v>422.5</v>
      </c>
      <c r="H65" s="432">
        <v>10.07</v>
      </c>
      <c r="I65" s="432">
        <v>465.05</v>
      </c>
      <c r="J65" s="432">
        <v>72008.34</v>
      </c>
    </row>
    <row r="66" spans="1:10" ht="20.100000000000001" customHeight="1">
      <c r="A66" s="428" t="s">
        <v>199</v>
      </c>
      <c r="B66" s="494" t="s">
        <v>200</v>
      </c>
      <c r="C66" s="494"/>
      <c r="D66" s="494"/>
      <c r="E66" s="494"/>
      <c r="F66" s="494"/>
      <c r="G66" s="494"/>
      <c r="H66" s="494"/>
      <c r="I66" s="494"/>
      <c r="J66" s="429">
        <v>284551.62</v>
      </c>
    </row>
    <row r="67" spans="1:10" ht="20.100000000000001" customHeight="1">
      <c r="A67" s="428" t="s">
        <v>201</v>
      </c>
      <c r="B67" s="494" t="s">
        <v>15</v>
      </c>
      <c r="C67" s="494"/>
      <c r="D67" s="494"/>
      <c r="E67" s="494"/>
      <c r="F67" s="494"/>
      <c r="G67" s="494"/>
      <c r="H67" s="494"/>
      <c r="I67" s="494"/>
      <c r="J67" s="429">
        <v>6960.06</v>
      </c>
    </row>
    <row r="68" spans="1:10" ht="24">
      <c r="A68" s="430" t="s">
        <v>202</v>
      </c>
      <c r="B68" s="431" t="s">
        <v>17</v>
      </c>
      <c r="C68" s="431" t="s">
        <v>18</v>
      </c>
      <c r="D68" s="430" t="s">
        <v>19</v>
      </c>
      <c r="E68" s="431" t="s">
        <v>20</v>
      </c>
      <c r="F68" s="432">
        <v>8</v>
      </c>
      <c r="G68" s="432">
        <v>564.99</v>
      </c>
      <c r="H68" s="432">
        <v>17.57</v>
      </c>
      <c r="I68" s="432">
        <v>664.26</v>
      </c>
      <c r="J68" s="432">
        <v>5314.08</v>
      </c>
    </row>
    <row r="69" spans="1:10" ht="24">
      <c r="A69" s="430" t="s">
        <v>203</v>
      </c>
      <c r="B69" s="431" t="s">
        <v>22</v>
      </c>
      <c r="C69" s="431" t="s">
        <v>18</v>
      </c>
      <c r="D69" s="430" t="s">
        <v>23</v>
      </c>
      <c r="E69" s="431" t="s">
        <v>24</v>
      </c>
      <c r="F69" s="432">
        <v>2</v>
      </c>
      <c r="G69" s="432">
        <v>700</v>
      </c>
      <c r="H69" s="432">
        <v>17.57</v>
      </c>
      <c r="I69" s="432">
        <v>822.99</v>
      </c>
      <c r="J69" s="432">
        <v>1645.98</v>
      </c>
    </row>
    <row r="70" spans="1:10" ht="20.100000000000001" customHeight="1">
      <c r="A70" s="428" t="s">
        <v>204</v>
      </c>
      <c r="B70" s="494" t="s">
        <v>26</v>
      </c>
      <c r="C70" s="494"/>
      <c r="D70" s="494"/>
      <c r="E70" s="494"/>
      <c r="F70" s="494"/>
      <c r="G70" s="494"/>
      <c r="H70" s="494"/>
      <c r="I70" s="494"/>
      <c r="J70" s="429">
        <v>12787.84</v>
      </c>
    </row>
    <row r="71" spans="1:10" ht="24">
      <c r="A71" s="430" t="s">
        <v>205</v>
      </c>
      <c r="B71" s="431" t="s">
        <v>28</v>
      </c>
      <c r="C71" s="431" t="s">
        <v>29</v>
      </c>
      <c r="D71" s="430" t="s">
        <v>30</v>
      </c>
      <c r="E71" s="431" t="s">
        <v>31</v>
      </c>
      <c r="F71" s="432">
        <v>0.25</v>
      </c>
      <c r="G71" s="432">
        <v>16819.14</v>
      </c>
      <c r="H71" s="432">
        <v>17.57</v>
      </c>
      <c r="I71" s="432">
        <v>19774.259999999998</v>
      </c>
      <c r="J71" s="432">
        <v>4943.57</v>
      </c>
    </row>
    <row r="72" spans="1:10" ht="24">
      <c r="A72" s="430" t="s">
        <v>206</v>
      </c>
      <c r="B72" s="431" t="s">
        <v>33</v>
      </c>
      <c r="C72" s="431" t="s">
        <v>29</v>
      </c>
      <c r="D72" s="430" t="s">
        <v>34</v>
      </c>
      <c r="E72" s="431" t="s">
        <v>31</v>
      </c>
      <c r="F72" s="432">
        <v>1</v>
      </c>
      <c r="G72" s="432">
        <v>6672</v>
      </c>
      <c r="H72" s="432">
        <v>17.57</v>
      </c>
      <c r="I72" s="432">
        <v>7844.27</v>
      </c>
      <c r="J72" s="432">
        <v>7844.27</v>
      </c>
    </row>
    <row r="73" spans="1:10" ht="20.100000000000001" customHeight="1">
      <c r="A73" s="428" t="s">
        <v>207</v>
      </c>
      <c r="B73" s="494" t="s">
        <v>36</v>
      </c>
      <c r="C73" s="494"/>
      <c r="D73" s="494"/>
      <c r="E73" s="494"/>
      <c r="F73" s="494"/>
      <c r="G73" s="494"/>
      <c r="H73" s="494"/>
      <c r="I73" s="494"/>
      <c r="J73" s="429">
        <v>1260.8</v>
      </c>
    </row>
    <row r="74" spans="1:10">
      <c r="A74" s="430" t="s">
        <v>208</v>
      </c>
      <c r="B74" s="431" t="s">
        <v>38</v>
      </c>
      <c r="C74" s="431" t="s">
        <v>29</v>
      </c>
      <c r="D74" s="430" t="s">
        <v>39</v>
      </c>
      <c r="E74" s="431" t="s">
        <v>40</v>
      </c>
      <c r="F74" s="432">
        <v>224.14</v>
      </c>
      <c r="G74" s="432">
        <v>0.49</v>
      </c>
      <c r="H74" s="432">
        <v>17.57</v>
      </c>
      <c r="I74" s="432">
        <v>0.57999999999999996</v>
      </c>
      <c r="J74" s="432">
        <v>130</v>
      </c>
    </row>
    <row r="75" spans="1:10" ht="24">
      <c r="A75" s="430" t="s">
        <v>209</v>
      </c>
      <c r="B75" s="431" t="s">
        <v>42</v>
      </c>
      <c r="C75" s="431" t="s">
        <v>18</v>
      </c>
      <c r="D75" s="430" t="s">
        <v>43</v>
      </c>
      <c r="E75" s="431" t="s">
        <v>44</v>
      </c>
      <c r="F75" s="432">
        <v>2.15</v>
      </c>
      <c r="G75" s="432">
        <v>212.24</v>
      </c>
      <c r="H75" s="432">
        <v>17.57</v>
      </c>
      <c r="I75" s="432">
        <v>249.53</v>
      </c>
      <c r="J75" s="432">
        <v>536.49</v>
      </c>
    </row>
    <row r="76" spans="1:10" ht="24">
      <c r="A76" s="430" t="s">
        <v>210</v>
      </c>
      <c r="B76" s="431" t="s">
        <v>46</v>
      </c>
      <c r="C76" s="431" t="s">
        <v>18</v>
      </c>
      <c r="D76" s="430" t="s">
        <v>47</v>
      </c>
      <c r="E76" s="431" t="s">
        <v>40</v>
      </c>
      <c r="F76" s="432">
        <v>38.4</v>
      </c>
      <c r="G76" s="432">
        <v>11.13</v>
      </c>
      <c r="H76" s="432">
        <v>17.57</v>
      </c>
      <c r="I76" s="432">
        <v>13.09</v>
      </c>
      <c r="J76" s="432">
        <v>502.66</v>
      </c>
    </row>
    <row r="77" spans="1:10" ht="48">
      <c r="A77" s="430" t="s">
        <v>211</v>
      </c>
      <c r="B77" s="431" t="s">
        <v>49</v>
      </c>
      <c r="C77" s="431" t="s">
        <v>18</v>
      </c>
      <c r="D77" s="430" t="s">
        <v>50</v>
      </c>
      <c r="E77" s="431" t="s">
        <v>44</v>
      </c>
      <c r="F77" s="432">
        <v>4.8499999999999996</v>
      </c>
      <c r="G77" s="432">
        <v>2.9</v>
      </c>
      <c r="H77" s="432">
        <v>17.57</v>
      </c>
      <c r="I77" s="432">
        <v>3.41</v>
      </c>
      <c r="J77" s="432">
        <v>16.54</v>
      </c>
    </row>
    <row r="78" spans="1:10" ht="36">
      <c r="A78" s="430" t="s">
        <v>212</v>
      </c>
      <c r="B78" s="431" t="s">
        <v>52</v>
      </c>
      <c r="C78" s="431" t="s">
        <v>29</v>
      </c>
      <c r="D78" s="430" t="s">
        <v>53</v>
      </c>
      <c r="E78" s="431" t="s">
        <v>54</v>
      </c>
      <c r="F78" s="432">
        <v>28.13</v>
      </c>
      <c r="G78" s="432">
        <v>2.27</v>
      </c>
      <c r="H78" s="432">
        <v>17.57</v>
      </c>
      <c r="I78" s="432">
        <v>2.67</v>
      </c>
      <c r="J78" s="432">
        <v>75.11</v>
      </c>
    </row>
    <row r="79" spans="1:10" ht="20.100000000000001" customHeight="1">
      <c r="A79" s="428" t="s">
        <v>213</v>
      </c>
      <c r="B79" s="494" t="s">
        <v>56</v>
      </c>
      <c r="C79" s="494"/>
      <c r="D79" s="494"/>
      <c r="E79" s="494"/>
      <c r="F79" s="494"/>
      <c r="G79" s="494"/>
      <c r="H79" s="494"/>
      <c r="I79" s="494"/>
      <c r="J79" s="429">
        <v>18611.169999999998</v>
      </c>
    </row>
    <row r="80" spans="1:10" ht="24">
      <c r="A80" s="430" t="s">
        <v>214</v>
      </c>
      <c r="B80" s="431" t="s">
        <v>58</v>
      </c>
      <c r="C80" s="431" t="s">
        <v>18</v>
      </c>
      <c r="D80" s="430" t="s">
        <v>59</v>
      </c>
      <c r="E80" s="431" t="s">
        <v>60</v>
      </c>
      <c r="F80" s="432">
        <v>697.83</v>
      </c>
      <c r="G80" s="432">
        <v>2.59</v>
      </c>
      <c r="H80" s="432">
        <v>17.57</v>
      </c>
      <c r="I80" s="432">
        <v>3.05</v>
      </c>
      <c r="J80" s="432">
        <v>2128.38</v>
      </c>
    </row>
    <row r="81" spans="1:10" ht="48">
      <c r="A81" s="430" t="s">
        <v>215</v>
      </c>
      <c r="B81" s="431" t="s">
        <v>49</v>
      </c>
      <c r="C81" s="431" t="s">
        <v>18</v>
      </c>
      <c r="D81" s="430" t="s">
        <v>50</v>
      </c>
      <c r="E81" s="431" t="s">
        <v>44</v>
      </c>
      <c r="F81" s="432">
        <v>872.29</v>
      </c>
      <c r="G81" s="432">
        <v>2.9</v>
      </c>
      <c r="H81" s="432">
        <v>17.57</v>
      </c>
      <c r="I81" s="432">
        <v>3.41</v>
      </c>
      <c r="J81" s="432">
        <v>2974.51</v>
      </c>
    </row>
    <row r="82" spans="1:10" ht="36">
      <c r="A82" s="430" t="s">
        <v>216</v>
      </c>
      <c r="B82" s="431" t="s">
        <v>52</v>
      </c>
      <c r="C82" s="431" t="s">
        <v>29</v>
      </c>
      <c r="D82" s="430" t="s">
        <v>53</v>
      </c>
      <c r="E82" s="431" t="s">
        <v>54</v>
      </c>
      <c r="F82" s="432">
        <v>5059.28</v>
      </c>
      <c r="G82" s="432">
        <v>2.27</v>
      </c>
      <c r="H82" s="432">
        <v>17.57</v>
      </c>
      <c r="I82" s="432">
        <v>2.67</v>
      </c>
      <c r="J82" s="432">
        <v>13508.28</v>
      </c>
    </row>
    <row r="83" spans="1:10" ht="20.100000000000001" customHeight="1">
      <c r="A83" s="428" t="s">
        <v>217</v>
      </c>
      <c r="B83" s="494" t="s">
        <v>11</v>
      </c>
      <c r="C83" s="494"/>
      <c r="D83" s="494"/>
      <c r="E83" s="494"/>
      <c r="F83" s="494"/>
      <c r="G83" s="494"/>
      <c r="H83" s="494"/>
      <c r="I83" s="494"/>
      <c r="J83" s="429">
        <v>105028</v>
      </c>
    </row>
    <row r="84" spans="1:10" ht="24">
      <c r="A84" s="430" t="s">
        <v>218</v>
      </c>
      <c r="B84" s="431" t="s">
        <v>65</v>
      </c>
      <c r="C84" s="431" t="s">
        <v>29</v>
      </c>
      <c r="D84" s="430" t="s">
        <v>66</v>
      </c>
      <c r="E84" s="431" t="s">
        <v>20</v>
      </c>
      <c r="F84" s="432">
        <v>1202.25</v>
      </c>
      <c r="G84" s="432">
        <v>2.79</v>
      </c>
      <c r="H84" s="432">
        <v>17.57</v>
      </c>
      <c r="I84" s="432">
        <v>3.28</v>
      </c>
      <c r="J84" s="432">
        <v>3943.38</v>
      </c>
    </row>
    <row r="85" spans="1:10" ht="24">
      <c r="A85" s="430" t="s">
        <v>219</v>
      </c>
      <c r="B85" s="431" t="s">
        <v>68</v>
      </c>
      <c r="C85" s="431" t="s">
        <v>18</v>
      </c>
      <c r="D85" s="430" t="s">
        <v>69</v>
      </c>
      <c r="E85" s="431" t="s">
        <v>44</v>
      </c>
      <c r="F85" s="432">
        <v>146.54</v>
      </c>
      <c r="G85" s="432">
        <v>104.33</v>
      </c>
      <c r="H85" s="432">
        <v>17.57</v>
      </c>
      <c r="I85" s="432">
        <v>122.66</v>
      </c>
      <c r="J85" s="432">
        <v>17974.599999999999</v>
      </c>
    </row>
    <row r="86" spans="1:10" ht="24">
      <c r="A86" s="430" t="s">
        <v>220</v>
      </c>
      <c r="B86" s="431" t="s">
        <v>71</v>
      </c>
      <c r="C86" s="431" t="s">
        <v>18</v>
      </c>
      <c r="D86" s="430" t="s">
        <v>72</v>
      </c>
      <c r="E86" s="431" t="s">
        <v>73</v>
      </c>
      <c r="F86" s="432">
        <v>211.14</v>
      </c>
      <c r="G86" s="432">
        <v>11.4</v>
      </c>
      <c r="H86" s="432">
        <v>17.57</v>
      </c>
      <c r="I86" s="432">
        <v>13.4</v>
      </c>
      <c r="J86" s="432">
        <v>2829.28</v>
      </c>
    </row>
    <row r="87" spans="1:10" ht="36">
      <c r="A87" s="430" t="s">
        <v>221</v>
      </c>
      <c r="B87" s="431" t="s">
        <v>75</v>
      </c>
      <c r="C87" s="431" t="s">
        <v>18</v>
      </c>
      <c r="D87" s="430" t="s">
        <v>76</v>
      </c>
      <c r="E87" s="431" t="s">
        <v>60</v>
      </c>
      <c r="F87" s="432">
        <v>186.19</v>
      </c>
      <c r="G87" s="432">
        <v>14.44</v>
      </c>
      <c r="H87" s="432">
        <v>17.57</v>
      </c>
      <c r="I87" s="432">
        <v>16.98</v>
      </c>
      <c r="J87" s="432">
        <v>3161.51</v>
      </c>
    </row>
    <row r="88" spans="1:10" ht="48">
      <c r="A88" s="430" t="s">
        <v>222</v>
      </c>
      <c r="B88" s="431" t="s">
        <v>49</v>
      </c>
      <c r="C88" s="431" t="s">
        <v>18</v>
      </c>
      <c r="D88" s="430" t="s">
        <v>50</v>
      </c>
      <c r="E88" s="431" t="s">
        <v>44</v>
      </c>
      <c r="F88" s="432">
        <v>496.66</v>
      </c>
      <c r="G88" s="432">
        <v>2.9</v>
      </c>
      <c r="H88" s="432">
        <v>17.57</v>
      </c>
      <c r="I88" s="432">
        <v>3.41</v>
      </c>
      <c r="J88" s="432">
        <v>1693.61</v>
      </c>
    </row>
    <row r="89" spans="1:10" ht="24">
      <c r="A89" s="430" t="s">
        <v>223</v>
      </c>
      <c r="B89" s="431" t="s">
        <v>79</v>
      </c>
      <c r="C89" s="431" t="s">
        <v>18</v>
      </c>
      <c r="D89" s="430" t="s">
        <v>80</v>
      </c>
      <c r="E89" s="431" t="s">
        <v>81</v>
      </c>
      <c r="F89" s="432">
        <v>5512.93</v>
      </c>
      <c r="G89" s="432">
        <v>1.37</v>
      </c>
      <c r="H89" s="432">
        <v>17.57</v>
      </c>
      <c r="I89" s="432">
        <v>1.61</v>
      </c>
      <c r="J89" s="432">
        <v>8875.82</v>
      </c>
    </row>
    <row r="90" spans="1:10" ht="48">
      <c r="A90" s="430" t="s">
        <v>224</v>
      </c>
      <c r="B90" s="431" t="s">
        <v>83</v>
      </c>
      <c r="C90" s="431" t="s">
        <v>18</v>
      </c>
      <c r="D90" s="430" t="s">
        <v>84</v>
      </c>
      <c r="E90" s="431" t="s">
        <v>20</v>
      </c>
      <c r="F90" s="432">
        <v>616.1</v>
      </c>
      <c r="G90" s="432">
        <v>20.41</v>
      </c>
      <c r="H90" s="432">
        <v>17.57</v>
      </c>
      <c r="I90" s="432">
        <v>24</v>
      </c>
      <c r="J90" s="432">
        <v>14786.4</v>
      </c>
    </row>
    <row r="91" spans="1:10" ht="24">
      <c r="A91" s="430" t="s">
        <v>225</v>
      </c>
      <c r="B91" s="431" t="s">
        <v>86</v>
      </c>
      <c r="C91" s="431" t="s">
        <v>18</v>
      </c>
      <c r="D91" s="430" t="s">
        <v>87</v>
      </c>
      <c r="E91" s="431" t="s">
        <v>20</v>
      </c>
      <c r="F91" s="432">
        <v>403.64</v>
      </c>
      <c r="G91" s="432">
        <v>7.62</v>
      </c>
      <c r="H91" s="432">
        <v>17.57</v>
      </c>
      <c r="I91" s="432">
        <v>8.9600000000000009</v>
      </c>
      <c r="J91" s="432">
        <v>3616.61</v>
      </c>
    </row>
    <row r="92" spans="1:10" ht="36">
      <c r="A92" s="430" t="s">
        <v>226</v>
      </c>
      <c r="B92" s="431" t="s">
        <v>89</v>
      </c>
      <c r="C92" s="431" t="s">
        <v>18</v>
      </c>
      <c r="D92" s="430" t="s">
        <v>90</v>
      </c>
      <c r="E92" s="431" t="s">
        <v>60</v>
      </c>
      <c r="F92" s="432">
        <v>20.18</v>
      </c>
      <c r="G92" s="432">
        <v>133.37</v>
      </c>
      <c r="H92" s="432">
        <v>17.57</v>
      </c>
      <c r="I92" s="432">
        <v>156.80000000000001</v>
      </c>
      <c r="J92" s="432">
        <v>3164.22</v>
      </c>
    </row>
    <row r="93" spans="1:10" ht="36">
      <c r="A93" s="430" t="s">
        <v>227</v>
      </c>
      <c r="B93" s="431" t="s">
        <v>92</v>
      </c>
      <c r="C93" s="431" t="s">
        <v>18</v>
      </c>
      <c r="D93" s="430" t="s">
        <v>93</v>
      </c>
      <c r="E93" s="431" t="s">
        <v>44</v>
      </c>
      <c r="F93" s="432">
        <v>20.18</v>
      </c>
      <c r="G93" s="432">
        <v>7.86</v>
      </c>
      <c r="H93" s="432">
        <v>17.57</v>
      </c>
      <c r="I93" s="432">
        <v>9.24</v>
      </c>
      <c r="J93" s="432">
        <v>186.46</v>
      </c>
    </row>
    <row r="94" spans="1:10" ht="24">
      <c r="A94" s="430" t="s">
        <v>228</v>
      </c>
      <c r="B94" s="431" t="s">
        <v>95</v>
      </c>
      <c r="C94" s="431" t="s">
        <v>18</v>
      </c>
      <c r="D94" s="430" t="s">
        <v>96</v>
      </c>
      <c r="E94" s="431" t="s">
        <v>54</v>
      </c>
      <c r="F94" s="432">
        <v>308.75</v>
      </c>
      <c r="G94" s="432">
        <v>1.77</v>
      </c>
      <c r="H94" s="432">
        <v>17.57</v>
      </c>
      <c r="I94" s="432">
        <v>2.08</v>
      </c>
      <c r="J94" s="432">
        <v>642.20000000000005</v>
      </c>
    </row>
    <row r="95" spans="1:10" ht="24">
      <c r="A95" s="430" t="s">
        <v>229</v>
      </c>
      <c r="B95" s="431" t="s">
        <v>98</v>
      </c>
      <c r="C95" s="431" t="s">
        <v>18</v>
      </c>
      <c r="D95" s="430" t="s">
        <v>99</v>
      </c>
      <c r="E95" s="431" t="s">
        <v>20</v>
      </c>
      <c r="F95" s="432">
        <v>481.72</v>
      </c>
      <c r="G95" s="432">
        <v>0.65</v>
      </c>
      <c r="H95" s="432">
        <v>17.57</v>
      </c>
      <c r="I95" s="432">
        <v>0.76</v>
      </c>
      <c r="J95" s="432">
        <v>366.11</v>
      </c>
    </row>
    <row r="96" spans="1:10" ht="48">
      <c r="A96" s="430" t="s">
        <v>230</v>
      </c>
      <c r="B96" s="431" t="s">
        <v>101</v>
      </c>
      <c r="C96" s="431" t="s">
        <v>18</v>
      </c>
      <c r="D96" s="430" t="s">
        <v>102</v>
      </c>
      <c r="E96" s="431" t="s">
        <v>60</v>
      </c>
      <c r="F96" s="432">
        <v>33.5</v>
      </c>
      <c r="G96" s="432">
        <v>112.75</v>
      </c>
      <c r="H96" s="432">
        <v>17.57</v>
      </c>
      <c r="I96" s="432">
        <v>132.56</v>
      </c>
      <c r="J96" s="432">
        <v>4440.76</v>
      </c>
    </row>
    <row r="97" spans="1:10" ht="60">
      <c r="A97" s="430" t="s">
        <v>231</v>
      </c>
      <c r="B97" s="431" t="s">
        <v>104</v>
      </c>
      <c r="C97" s="431" t="s">
        <v>29</v>
      </c>
      <c r="D97" s="430" t="s">
        <v>105</v>
      </c>
      <c r="E97" s="431" t="s">
        <v>40</v>
      </c>
      <c r="F97" s="432">
        <v>448.18</v>
      </c>
      <c r="G97" s="432">
        <v>56.47</v>
      </c>
      <c r="H97" s="432">
        <v>17.57</v>
      </c>
      <c r="I97" s="432">
        <v>66.39</v>
      </c>
      <c r="J97" s="432">
        <v>29754.67</v>
      </c>
    </row>
    <row r="98" spans="1:10" ht="60">
      <c r="A98" s="430" t="s">
        <v>232</v>
      </c>
      <c r="B98" s="431" t="s">
        <v>233</v>
      </c>
      <c r="C98" s="431" t="s">
        <v>29</v>
      </c>
      <c r="D98" s="430" t="s">
        <v>234</v>
      </c>
      <c r="E98" s="431" t="s">
        <v>40</v>
      </c>
      <c r="F98" s="432">
        <v>13.99</v>
      </c>
      <c r="G98" s="432">
        <v>60.43</v>
      </c>
      <c r="H98" s="432">
        <v>17.57</v>
      </c>
      <c r="I98" s="432">
        <v>71.05</v>
      </c>
      <c r="J98" s="432">
        <v>993.99</v>
      </c>
    </row>
    <row r="99" spans="1:10" ht="60">
      <c r="A99" s="430" t="s">
        <v>235</v>
      </c>
      <c r="B99" s="431" t="s">
        <v>107</v>
      </c>
      <c r="C99" s="431" t="s">
        <v>29</v>
      </c>
      <c r="D99" s="430" t="s">
        <v>108</v>
      </c>
      <c r="E99" s="431" t="s">
        <v>40</v>
      </c>
      <c r="F99" s="432">
        <v>28</v>
      </c>
      <c r="G99" s="432">
        <v>54.31</v>
      </c>
      <c r="H99" s="432">
        <v>17.57</v>
      </c>
      <c r="I99" s="432">
        <v>63.85</v>
      </c>
      <c r="J99" s="432">
        <v>1787.8</v>
      </c>
    </row>
    <row r="100" spans="1:10" ht="24">
      <c r="A100" s="430" t="s">
        <v>236</v>
      </c>
      <c r="B100" s="431" t="s">
        <v>110</v>
      </c>
      <c r="C100" s="431" t="s">
        <v>29</v>
      </c>
      <c r="D100" s="430" t="s">
        <v>111</v>
      </c>
      <c r="E100" s="431" t="s">
        <v>40</v>
      </c>
      <c r="F100" s="432">
        <v>112.47</v>
      </c>
      <c r="G100" s="432">
        <v>39.770000000000003</v>
      </c>
      <c r="H100" s="432">
        <v>17.57</v>
      </c>
      <c r="I100" s="432">
        <v>46.76</v>
      </c>
      <c r="J100" s="432">
        <v>5259.1</v>
      </c>
    </row>
    <row r="101" spans="1:10" ht="24">
      <c r="A101" s="430" t="s">
        <v>237</v>
      </c>
      <c r="B101" s="431" t="s">
        <v>238</v>
      </c>
      <c r="C101" s="431" t="s">
        <v>29</v>
      </c>
      <c r="D101" s="430" t="s">
        <v>239</v>
      </c>
      <c r="E101" s="431" t="s">
        <v>40</v>
      </c>
      <c r="F101" s="432">
        <v>4.76</v>
      </c>
      <c r="G101" s="432">
        <v>50.32</v>
      </c>
      <c r="H101" s="432">
        <v>17.57</v>
      </c>
      <c r="I101" s="432">
        <v>59.16</v>
      </c>
      <c r="J101" s="432">
        <v>281.60000000000002</v>
      </c>
    </row>
    <row r="102" spans="1:10" ht="24">
      <c r="A102" s="430" t="s">
        <v>240</v>
      </c>
      <c r="B102" s="431" t="s">
        <v>113</v>
      </c>
      <c r="C102" s="431" t="s">
        <v>29</v>
      </c>
      <c r="D102" s="430" t="s">
        <v>114</v>
      </c>
      <c r="E102" s="431" t="s">
        <v>115</v>
      </c>
      <c r="F102" s="432">
        <v>4</v>
      </c>
      <c r="G102" s="432">
        <v>201.05</v>
      </c>
      <c r="H102" s="432">
        <v>17.57</v>
      </c>
      <c r="I102" s="432">
        <v>236.37</v>
      </c>
      <c r="J102" s="432">
        <v>945.48</v>
      </c>
    </row>
    <row r="103" spans="1:10">
      <c r="A103" s="430" t="s">
        <v>241</v>
      </c>
      <c r="B103" s="431" t="s">
        <v>117</v>
      </c>
      <c r="C103" s="431" t="s">
        <v>29</v>
      </c>
      <c r="D103" s="430" t="s">
        <v>118</v>
      </c>
      <c r="E103" s="431" t="s">
        <v>20</v>
      </c>
      <c r="F103" s="432">
        <v>20</v>
      </c>
      <c r="G103" s="432">
        <v>13.8</v>
      </c>
      <c r="H103" s="432">
        <v>17.57</v>
      </c>
      <c r="I103" s="432">
        <v>16.22</v>
      </c>
      <c r="J103" s="432">
        <v>324.39999999999998</v>
      </c>
    </row>
    <row r="104" spans="1:10" ht="20.100000000000001" customHeight="1">
      <c r="A104" s="428" t="s">
        <v>242</v>
      </c>
      <c r="B104" s="494" t="s">
        <v>120</v>
      </c>
      <c r="C104" s="494"/>
      <c r="D104" s="494"/>
      <c r="E104" s="494"/>
      <c r="F104" s="494"/>
      <c r="G104" s="494"/>
      <c r="H104" s="494"/>
      <c r="I104" s="494"/>
      <c r="J104" s="429">
        <v>7441.58</v>
      </c>
    </row>
    <row r="105" spans="1:10" ht="24">
      <c r="A105" s="430" t="s">
        <v>243</v>
      </c>
      <c r="B105" s="431" t="s">
        <v>122</v>
      </c>
      <c r="C105" s="431" t="s">
        <v>29</v>
      </c>
      <c r="D105" s="430" t="s">
        <v>123</v>
      </c>
      <c r="E105" s="431" t="s">
        <v>60</v>
      </c>
      <c r="F105" s="432">
        <v>3.42</v>
      </c>
      <c r="G105" s="432">
        <v>78.319999999999993</v>
      </c>
      <c r="H105" s="432">
        <v>17.57</v>
      </c>
      <c r="I105" s="432">
        <v>92.08</v>
      </c>
      <c r="J105" s="432">
        <v>314.91000000000003</v>
      </c>
    </row>
    <row r="106" spans="1:10" ht="36">
      <c r="A106" s="430" t="s">
        <v>244</v>
      </c>
      <c r="B106" s="431" t="s">
        <v>128</v>
      </c>
      <c r="C106" s="431" t="s">
        <v>29</v>
      </c>
      <c r="D106" s="430" t="s">
        <v>129</v>
      </c>
      <c r="E106" s="431" t="s">
        <v>60</v>
      </c>
      <c r="F106" s="432">
        <v>3.42</v>
      </c>
      <c r="G106" s="432">
        <v>472.74</v>
      </c>
      <c r="H106" s="432">
        <v>17.57</v>
      </c>
      <c r="I106" s="432">
        <v>555.79999999999995</v>
      </c>
      <c r="J106" s="432">
        <v>1900.84</v>
      </c>
    </row>
    <row r="107" spans="1:10" ht="36">
      <c r="A107" s="430" t="s">
        <v>245</v>
      </c>
      <c r="B107" s="431" t="s">
        <v>134</v>
      </c>
      <c r="C107" s="431" t="s">
        <v>18</v>
      </c>
      <c r="D107" s="430" t="s">
        <v>135</v>
      </c>
      <c r="E107" s="431" t="s">
        <v>136</v>
      </c>
      <c r="F107" s="432">
        <v>42.76</v>
      </c>
      <c r="G107" s="432">
        <v>65.25</v>
      </c>
      <c r="H107" s="432">
        <v>17.57</v>
      </c>
      <c r="I107" s="432">
        <v>76.709999999999994</v>
      </c>
      <c r="J107" s="432">
        <v>3280.12</v>
      </c>
    </row>
    <row r="108" spans="1:10" ht="24">
      <c r="A108" s="430" t="s">
        <v>246</v>
      </c>
      <c r="B108" s="431" t="s">
        <v>125</v>
      </c>
      <c r="C108" s="431" t="s">
        <v>29</v>
      </c>
      <c r="D108" s="430" t="s">
        <v>126</v>
      </c>
      <c r="E108" s="431" t="s">
        <v>60</v>
      </c>
      <c r="F108" s="432">
        <v>2.14</v>
      </c>
      <c r="G108" s="432">
        <v>436.13</v>
      </c>
      <c r="H108" s="432">
        <v>17.57</v>
      </c>
      <c r="I108" s="432">
        <v>512.76</v>
      </c>
      <c r="J108" s="432">
        <v>1097.31</v>
      </c>
    </row>
    <row r="109" spans="1:10" ht="24">
      <c r="A109" s="430" t="s">
        <v>247</v>
      </c>
      <c r="B109" s="431" t="s">
        <v>131</v>
      </c>
      <c r="C109" s="431" t="s">
        <v>18</v>
      </c>
      <c r="D109" s="430" t="s">
        <v>132</v>
      </c>
      <c r="E109" s="431" t="s">
        <v>60</v>
      </c>
      <c r="F109" s="432">
        <v>5.56</v>
      </c>
      <c r="G109" s="432">
        <v>129.79</v>
      </c>
      <c r="H109" s="432">
        <v>17.57</v>
      </c>
      <c r="I109" s="432">
        <v>152.59</v>
      </c>
      <c r="J109" s="432">
        <v>848.4</v>
      </c>
    </row>
    <row r="110" spans="1:10" ht="20.100000000000001" customHeight="1">
      <c r="A110" s="428" t="s">
        <v>248</v>
      </c>
      <c r="B110" s="494" t="s">
        <v>138</v>
      </c>
      <c r="C110" s="494"/>
      <c r="D110" s="494"/>
      <c r="E110" s="494"/>
      <c r="F110" s="494"/>
      <c r="G110" s="494"/>
      <c r="H110" s="494"/>
      <c r="I110" s="494"/>
      <c r="J110" s="429">
        <v>5381.98</v>
      </c>
    </row>
    <row r="111" spans="1:10">
      <c r="A111" s="430" t="s">
        <v>249</v>
      </c>
      <c r="B111" s="431" t="s">
        <v>145</v>
      </c>
      <c r="C111" s="431" t="s">
        <v>141</v>
      </c>
      <c r="D111" s="430" t="s">
        <v>146</v>
      </c>
      <c r="E111" s="431" t="s">
        <v>143</v>
      </c>
      <c r="F111" s="432">
        <v>3.1</v>
      </c>
      <c r="G111" s="432">
        <v>347.25</v>
      </c>
      <c r="H111" s="432">
        <v>17.57</v>
      </c>
      <c r="I111" s="432">
        <v>408.26</v>
      </c>
      <c r="J111" s="432">
        <v>1265.6099999999999</v>
      </c>
    </row>
    <row r="112" spans="1:10" ht="24">
      <c r="A112" s="430" t="s">
        <v>250</v>
      </c>
      <c r="B112" s="431" t="s">
        <v>148</v>
      </c>
      <c r="C112" s="431" t="s">
        <v>141</v>
      </c>
      <c r="D112" s="430" t="s">
        <v>149</v>
      </c>
      <c r="E112" s="431" t="s">
        <v>150</v>
      </c>
      <c r="F112" s="432">
        <v>6</v>
      </c>
      <c r="G112" s="432">
        <v>121.48</v>
      </c>
      <c r="H112" s="432">
        <v>17.57</v>
      </c>
      <c r="I112" s="432">
        <v>142.82</v>
      </c>
      <c r="J112" s="432">
        <v>856.92</v>
      </c>
    </row>
    <row r="113" spans="1:10" ht="24">
      <c r="A113" s="430" t="s">
        <v>251</v>
      </c>
      <c r="B113" s="431" t="s">
        <v>152</v>
      </c>
      <c r="C113" s="431" t="s">
        <v>18</v>
      </c>
      <c r="D113" s="430" t="s">
        <v>153</v>
      </c>
      <c r="E113" s="431" t="s">
        <v>154</v>
      </c>
      <c r="F113" s="432">
        <v>4</v>
      </c>
      <c r="G113" s="432">
        <v>156.33000000000001</v>
      </c>
      <c r="H113" s="432">
        <v>17.57</v>
      </c>
      <c r="I113" s="432">
        <v>183.8</v>
      </c>
      <c r="J113" s="432">
        <v>735.2</v>
      </c>
    </row>
    <row r="114" spans="1:10" ht="24">
      <c r="A114" s="430" t="s">
        <v>252</v>
      </c>
      <c r="B114" s="431" t="s">
        <v>156</v>
      </c>
      <c r="C114" s="431" t="s">
        <v>18</v>
      </c>
      <c r="D114" s="430" t="s">
        <v>157</v>
      </c>
      <c r="E114" s="431" t="s">
        <v>20</v>
      </c>
      <c r="F114" s="432">
        <v>1.8</v>
      </c>
      <c r="G114" s="432">
        <v>20.3</v>
      </c>
      <c r="H114" s="432">
        <v>17.57</v>
      </c>
      <c r="I114" s="432">
        <v>23.87</v>
      </c>
      <c r="J114" s="432">
        <v>42.97</v>
      </c>
    </row>
    <row r="115" spans="1:10" ht="48">
      <c r="A115" s="430" t="s">
        <v>253</v>
      </c>
      <c r="B115" s="431" t="s">
        <v>159</v>
      </c>
      <c r="C115" s="431" t="s">
        <v>29</v>
      </c>
      <c r="D115" s="430" t="s">
        <v>160</v>
      </c>
      <c r="E115" s="431" t="s">
        <v>40</v>
      </c>
      <c r="F115" s="432">
        <v>300.64999999999998</v>
      </c>
      <c r="G115" s="432">
        <v>5.48</v>
      </c>
      <c r="H115" s="432">
        <v>17.57</v>
      </c>
      <c r="I115" s="432">
        <v>6.44</v>
      </c>
      <c r="J115" s="432">
        <v>1936.19</v>
      </c>
    </row>
    <row r="116" spans="1:10" ht="48">
      <c r="A116" s="430" t="s">
        <v>254</v>
      </c>
      <c r="B116" s="431" t="s">
        <v>162</v>
      </c>
      <c r="C116" s="431" t="s">
        <v>29</v>
      </c>
      <c r="D116" s="430" t="s">
        <v>163</v>
      </c>
      <c r="E116" s="431" t="s">
        <v>20</v>
      </c>
      <c r="F116" s="432">
        <v>19.2</v>
      </c>
      <c r="G116" s="432">
        <v>24.15</v>
      </c>
      <c r="H116" s="432">
        <v>17.57</v>
      </c>
      <c r="I116" s="432">
        <v>28.39</v>
      </c>
      <c r="J116" s="432">
        <v>545.09</v>
      </c>
    </row>
    <row r="117" spans="1:10" ht="20.100000000000001" customHeight="1">
      <c r="A117" s="428" t="s">
        <v>255</v>
      </c>
      <c r="B117" s="494" t="s">
        <v>165</v>
      </c>
      <c r="C117" s="494"/>
      <c r="D117" s="494"/>
      <c r="E117" s="494"/>
      <c r="F117" s="494"/>
      <c r="G117" s="494"/>
      <c r="H117" s="494"/>
      <c r="I117" s="494"/>
      <c r="J117" s="429">
        <v>412.09</v>
      </c>
    </row>
    <row r="118" spans="1:10" ht="36">
      <c r="A118" s="430" t="s">
        <v>256</v>
      </c>
      <c r="B118" s="431" t="s">
        <v>167</v>
      </c>
      <c r="C118" s="431" t="s">
        <v>18</v>
      </c>
      <c r="D118" s="430" t="s">
        <v>168</v>
      </c>
      <c r="E118" s="431" t="s">
        <v>136</v>
      </c>
      <c r="F118" s="432">
        <v>3.12</v>
      </c>
      <c r="G118" s="432">
        <v>112.34</v>
      </c>
      <c r="H118" s="432">
        <v>17.57</v>
      </c>
      <c r="I118" s="432">
        <v>132.08000000000001</v>
      </c>
      <c r="J118" s="432">
        <v>412.09</v>
      </c>
    </row>
    <row r="119" spans="1:10" ht="20.100000000000001" customHeight="1">
      <c r="A119" s="428" t="s">
        <v>257</v>
      </c>
      <c r="B119" s="494" t="s">
        <v>170</v>
      </c>
      <c r="C119" s="494"/>
      <c r="D119" s="494"/>
      <c r="E119" s="494"/>
      <c r="F119" s="494"/>
      <c r="G119" s="494"/>
      <c r="H119" s="494"/>
      <c r="I119" s="494"/>
      <c r="J119" s="429">
        <v>126668.1</v>
      </c>
    </row>
    <row r="120" spans="1:10" ht="36">
      <c r="A120" s="430" t="s">
        <v>258</v>
      </c>
      <c r="B120" s="431" t="s">
        <v>175</v>
      </c>
      <c r="C120" s="431" t="s">
        <v>29</v>
      </c>
      <c r="D120" s="430" t="s">
        <v>176</v>
      </c>
      <c r="E120" s="431" t="s">
        <v>31</v>
      </c>
      <c r="F120" s="432">
        <v>2</v>
      </c>
      <c r="G120" s="432">
        <v>648.42999999999995</v>
      </c>
      <c r="H120" s="432">
        <v>10.07</v>
      </c>
      <c r="I120" s="432">
        <v>713.73</v>
      </c>
      <c r="J120" s="432">
        <v>1427.46</v>
      </c>
    </row>
    <row r="121" spans="1:10" ht="48">
      <c r="A121" s="430" t="s">
        <v>259</v>
      </c>
      <c r="B121" s="431" t="s">
        <v>172</v>
      </c>
      <c r="C121" s="431" t="s">
        <v>29</v>
      </c>
      <c r="D121" s="430" t="s">
        <v>173</v>
      </c>
      <c r="E121" s="431" t="s">
        <v>31</v>
      </c>
      <c r="F121" s="432">
        <v>2</v>
      </c>
      <c r="G121" s="432">
        <v>830</v>
      </c>
      <c r="H121" s="432">
        <v>10.07</v>
      </c>
      <c r="I121" s="432">
        <v>913.58</v>
      </c>
      <c r="J121" s="432">
        <v>1827.16</v>
      </c>
    </row>
    <row r="122" spans="1:10" ht="48">
      <c r="A122" s="430" t="s">
        <v>260</v>
      </c>
      <c r="B122" s="431" t="s">
        <v>178</v>
      </c>
      <c r="C122" s="431" t="s">
        <v>29</v>
      </c>
      <c r="D122" s="430" t="s">
        <v>179</v>
      </c>
      <c r="E122" s="431" t="s">
        <v>20</v>
      </c>
      <c r="F122" s="432">
        <v>494.14</v>
      </c>
      <c r="G122" s="432">
        <v>49</v>
      </c>
      <c r="H122" s="432">
        <v>10.07</v>
      </c>
      <c r="I122" s="432">
        <v>53.93</v>
      </c>
      <c r="J122" s="432">
        <v>26648.97</v>
      </c>
    </row>
    <row r="123" spans="1:10" ht="48">
      <c r="A123" s="430" t="s">
        <v>261</v>
      </c>
      <c r="B123" s="431" t="s">
        <v>181</v>
      </c>
      <c r="C123" s="431" t="s">
        <v>29</v>
      </c>
      <c r="D123" s="430" t="s">
        <v>182</v>
      </c>
      <c r="E123" s="431" t="s">
        <v>20</v>
      </c>
      <c r="F123" s="432">
        <v>130.03</v>
      </c>
      <c r="G123" s="432">
        <v>53.92</v>
      </c>
      <c r="H123" s="432">
        <v>10.07</v>
      </c>
      <c r="I123" s="432">
        <v>59.35</v>
      </c>
      <c r="J123" s="432">
        <v>7717.28</v>
      </c>
    </row>
    <row r="124" spans="1:10" ht="36">
      <c r="A124" s="430" t="s">
        <v>262</v>
      </c>
      <c r="B124" s="431" t="s">
        <v>184</v>
      </c>
      <c r="C124" s="431" t="s">
        <v>29</v>
      </c>
      <c r="D124" s="430" t="s">
        <v>185</v>
      </c>
      <c r="E124" s="431" t="s">
        <v>186</v>
      </c>
      <c r="F124" s="432">
        <v>51.56</v>
      </c>
      <c r="G124" s="432">
        <v>522.5</v>
      </c>
      <c r="H124" s="432">
        <v>10.07</v>
      </c>
      <c r="I124" s="432">
        <v>575.12</v>
      </c>
      <c r="J124" s="432">
        <v>29653.19</v>
      </c>
    </row>
    <row r="125" spans="1:10" ht="24">
      <c r="A125" s="430" t="s">
        <v>263</v>
      </c>
      <c r="B125" s="431" t="s">
        <v>188</v>
      </c>
      <c r="C125" s="431" t="s">
        <v>18</v>
      </c>
      <c r="D125" s="430" t="s">
        <v>189</v>
      </c>
      <c r="E125" s="431" t="s">
        <v>44</v>
      </c>
      <c r="F125" s="432">
        <v>186.19</v>
      </c>
      <c r="G125" s="432">
        <v>56.1</v>
      </c>
      <c r="H125" s="432">
        <v>10.07</v>
      </c>
      <c r="I125" s="432">
        <v>61.75</v>
      </c>
      <c r="J125" s="432">
        <v>11497.23</v>
      </c>
    </row>
    <row r="126" spans="1:10">
      <c r="A126" s="430" t="s">
        <v>264</v>
      </c>
      <c r="B126" s="431" t="s">
        <v>191</v>
      </c>
      <c r="C126" s="431" t="s">
        <v>141</v>
      </c>
      <c r="D126" s="430" t="s">
        <v>192</v>
      </c>
      <c r="E126" s="431" t="s">
        <v>73</v>
      </c>
      <c r="F126" s="432">
        <v>266.04000000000002</v>
      </c>
      <c r="G126" s="432">
        <v>90.74</v>
      </c>
      <c r="H126" s="432">
        <v>10.07</v>
      </c>
      <c r="I126" s="432">
        <v>99.88</v>
      </c>
      <c r="J126" s="432">
        <v>26572.080000000002</v>
      </c>
    </row>
    <row r="127" spans="1:10">
      <c r="A127" s="430" t="s">
        <v>265</v>
      </c>
      <c r="B127" s="431" t="s">
        <v>194</v>
      </c>
      <c r="C127" s="431" t="s">
        <v>141</v>
      </c>
      <c r="D127" s="430" t="s">
        <v>195</v>
      </c>
      <c r="E127" s="431" t="s">
        <v>73</v>
      </c>
      <c r="F127" s="432">
        <v>29.56</v>
      </c>
      <c r="G127" s="432">
        <v>74.53</v>
      </c>
      <c r="H127" s="432">
        <v>10.07</v>
      </c>
      <c r="I127" s="432">
        <v>82.04</v>
      </c>
      <c r="J127" s="432">
        <v>2425.1</v>
      </c>
    </row>
    <row r="128" spans="1:10" ht="36">
      <c r="A128" s="430" t="s">
        <v>266</v>
      </c>
      <c r="B128" s="431" t="s">
        <v>197</v>
      </c>
      <c r="C128" s="431" t="s">
        <v>29</v>
      </c>
      <c r="D128" s="430" t="s">
        <v>198</v>
      </c>
      <c r="E128" s="431" t="s">
        <v>60</v>
      </c>
      <c r="F128" s="432">
        <v>40.64</v>
      </c>
      <c r="G128" s="432">
        <v>422.5</v>
      </c>
      <c r="H128" s="432">
        <v>10.07</v>
      </c>
      <c r="I128" s="432">
        <v>465.05</v>
      </c>
      <c r="J128" s="432">
        <v>18899.63</v>
      </c>
    </row>
    <row r="129" spans="1:10" ht="20.100000000000001" customHeight="1">
      <c r="A129" s="428" t="s">
        <v>267</v>
      </c>
      <c r="B129" s="494" t="s">
        <v>268</v>
      </c>
      <c r="C129" s="494"/>
      <c r="D129" s="494"/>
      <c r="E129" s="494"/>
      <c r="F129" s="494"/>
      <c r="G129" s="494"/>
      <c r="H129" s="494"/>
      <c r="I129" s="494"/>
      <c r="J129" s="429">
        <v>1062806.7</v>
      </c>
    </row>
    <row r="130" spans="1:10" ht="20.100000000000001" customHeight="1">
      <c r="A130" s="428" t="s">
        <v>269</v>
      </c>
      <c r="B130" s="494" t="s">
        <v>15</v>
      </c>
      <c r="C130" s="494"/>
      <c r="D130" s="494"/>
      <c r="E130" s="494"/>
      <c r="F130" s="494"/>
      <c r="G130" s="494"/>
      <c r="H130" s="494"/>
      <c r="I130" s="494"/>
      <c r="J130" s="429">
        <v>10252.02</v>
      </c>
    </row>
    <row r="131" spans="1:10" ht="24">
      <c r="A131" s="430" t="s">
        <v>270</v>
      </c>
      <c r="B131" s="431" t="s">
        <v>17</v>
      </c>
      <c r="C131" s="431" t="s">
        <v>18</v>
      </c>
      <c r="D131" s="430" t="s">
        <v>19</v>
      </c>
      <c r="E131" s="431" t="s">
        <v>20</v>
      </c>
      <c r="F131" s="432">
        <v>8</v>
      </c>
      <c r="G131" s="432">
        <v>564.99</v>
      </c>
      <c r="H131" s="432">
        <v>17.57</v>
      </c>
      <c r="I131" s="432">
        <v>664.26</v>
      </c>
      <c r="J131" s="432">
        <v>5314.08</v>
      </c>
    </row>
    <row r="132" spans="1:10" ht="24">
      <c r="A132" s="430" t="s">
        <v>271</v>
      </c>
      <c r="B132" s="431" t="s">
        <v>22</v>
      </c>
      <c r="C132" s="431" t="s">
        <v>18</v>
      </c>
      <c r="D132" s="430" t="s">
        <v>23</v>
      </c>
      <c r="E132" s="431" t="s">
        <v>24</v>
      </c>
      <c r="F132" s="432">
        <v>6</v>
      </c>
      <c r="G132" s="432">
        <v>700</v>
      </c>
      <c r="H132" s="432">
        <v>17.57</v>
      </c>
      <c r="I132" s="432">
        <v>822.99</v>
      </c>
      <c r="J132" s="432">
        <v>4937.9399999999996</v>
      </c>
    </row>
    <row r="133" spans="1:10" ht="20.100000000000001" customHeight="1">
      <c r="A133" s="428" t="s">
        <v>272</v>
      </c>
      <c r="B133" s="494" t="s">
        <v>26</v>
      </c>
      <c r="C133" s="494"/>
      <c r="D133" s="494"/>
      <c r="E133" s="494"/>
      <c r="F133" s="494"/>
      <c r="G133" s="494"/>
      <c r="H133" s="494"/>
      <c r="I133" s="494"/>
      <c r="J133" s="429">
        <v>38363.51</v>
      </c>
    </row>
    <row r="134" spans="1:10" ht="24">
      <c r="A134" s="430" t="s">
        <v>273</v>
      </c>
      <c r="B134" s="431" t="s">
        <v>28</v>
      </c>
      <c r="C134" s="431" t="s">
        <v>29</v>
      </c>
      <c r="D134" s="430" t="s">
        <v>30</v>
      </c>
      <c r="E134" s="431" t="s">
        <v>31</v>
      </c>
      <c r="F134" s="432">
        <v>0.75</v>
      </c>
      <c r="G134" s="432">
        <v>16819.14</v>
      </c>
      <c r="H134" s="432">
        <v>17.57</v>
      </c>
      <c r="I134" s="432">
        <v>19774.259999999998</v>
      </c>
      <c r="J134" s="432">
        <v>14830.7</v>
      </c>
    </row>
    <row r="135" spans="1:10" ht="24">
      <c r="A135" s="430" t="s">
        <v>274</v>
      </c>
      <c r="B135" s="431" t="s">
        <v>33</v>
      </c>
      <c r="C135" s="431" t="s">
        <v>29</v>
      </c>
      <c r="D135" s="430" t="s">
        <v>34</v>
      </c>
      <c r="E135" s="431" t="s">
        <v>31</v>
      </c>
      <c r="F135" s="432">
        <v>3</v>
      </c>
      <c r="G135" s="432">
        <v>6672</v>
      </c>
      <c r="H135" s="432">
        <v>17.57</v>
      </c>
      <c r="I135" s="432">
        <v>7844.27</v>
      </c>
      <c r="J135" s="432">
        <v>23532.81</v>
      </c>
    </row>
    <row r="136" spans="1:10" ht="20.100000000000001" customHeight="1">
      <c r="A136" s="428" t="s">
        <v>275</v>
      </c>
      <c r="B136" s="494" t="s">
        <v>36</v>
      </c>
      <c r="C136" s="494"/>
      <c r="D136" s="494"/>
      <c r="E136" s="494"/>
      <c r="F136" s="494"/>
      <c r="G136" s="494"/>
      <c r="H136" s="494"/>
      <c r="I136" s="494"/>
      <c r="J136" s="429">
        <v>48932.82</v>
      </c>
    </row>
    <row r="137" spans="1:10">
      <c r="A137" s="430" t="s">
        <v>276</v>
      </c>
      <c r="B137" s="431" t="s">
        <v>38</v>
      </c>
      <c r="C137" s="431" t="s">
        <v>29</v>
      </c>
      <c r="D137" s="430" t="s">
        <v>39</v>
      </c>
      <c r="E137" s="431" t="s">
        <v>40</v>
      </c>
      <c r="F137" s="432">
        <v>711.46</v>
      </c>
      <c r="G137" s="432">
        <v>0.49</v>
      </c>
      <c r="H137" s="432">
        <v>17.57</v>
      </c>
      <c r="I137" s="432">
        <v>0.57999999999999996</v>
      </c>
      <c r="J137" s="432">
        <v>412.65</v>
      </c>
    </row>
    <row r="138" spans="1:10" ht="24">
      <c r="A138" s="430" t="s">
        <v>277</v>
      </c>
      <c r="B138" s="431" t="s">
        <v>278</v>
      </c>
      <c r="C138" s="431" t="s">
        <v>29</v>
      </c>
      <c r="D138" s="430" t="s">
        <v>279</v>
      </c>
      <c r="E138" s="431" t="s">
        <v>115</v>
      </c>
      <c r="F138" s="432">
        <v>11</v>
      </c>
      <c r="G138" s="432">
        <v>64.73</v>
      </c>
      <c r="H138" s="432">
        <v>17.57</v>
      </c>
      <c r="I138" s="432">
        <v>76.099999999999994</v>
      </c>
      <c r="J138" s="432">
        <v>837.1</v>
      </c>
    </row>
    <row r="139" spans="1:10" ht="24">
      <c r="A139" s="430" t="s">
        <v>280</v>
      </c>
      <c r="B139" s="431" t="s">
        <v>281</v>
      </c>
      <c r="C139" s="431" t="s">
        <v>29</v>
      </c>
      <c r="D139" s="430" t="s">
        <v>282</v>
      </c>
      <c r="E139" s="431" t="s">
        <v>60</v>
      </c>
      <c r="F139" s="432">
        <v>222.19</v>
      </c>
      <c r="G139" s="432">
        <v>61.29</v>
      </c>
      <c r="H139" s="432">
        <v>17.57</v>
      </c>
      <c r="I139" s="432">
        <v>72.06</v>
      </c>
      <c r="J139" s="432">
        <v>16011.01</v>
      </c>
    </row>
    <row r="140" spans="1:10" ht="24">
      <c r="A140" s="430" t="s">
        <v>283</v>
      </c>
      <c r="B140" s="431" t="s">
        <v>42</v>
      </c>
      <c r="C140" s="431" t="s">
        <v>18</v>
      </c>
      <c r="D140" s="430" t="s">
        <v>43</v>
      </c>
      <c r="E140" s="431" t="s">
        <v>44</v>
      </c>
      <c r="F140" s="432">
        <v>103.05</v>
      </c>
      <c r="G140" s="432">
        <v>212.24</v>
      </c>
      <c r="H140" s="432">
        <v>17.57</v>
      </c>
      <c r="I140" s="432">
        <v>249.53</v>
      </c>
      <c r="J140" s="432">
        <v>25714.07</v>
      </c>
    </row>
    <row r="141" spans="1:10" ht="24">
      <c r="A141" s="430" t="s">
        <v>284</v>
      </c>
      <c r="B141" s="431" t="s">
        <v>46</v>
      </c>
      <c r="C141" s="431" t="s">
        <v>18</v>
      </c>
      <c r="D141" s="430" t="s">
        <v>47</v>
      </c>
      <c r="E141" s="431" t="s">
        <v>40</v>
      </c>
      <c r="F141" s="432">
        <v>166.64</v>
      </c>
      <c r="G141" s="432">
        <v>11.13</v>
      </c>
      <c r="H141" s="432">
        <v>17.57</v>
      </c>
      <c r="I141" s="432">
        <v>13.09</v>
      </c>
      <c r="J141" s="432">
        <v>2181.3200000000002</v>
      </c>
    </row>
    <row r="142" spans="1:10" ht="48">
      <c r="A142" s="430" t="s">
        <v>285</v>
      </c>
      <c r="B142" s="431" t="s">
        <v>49</v>
      </c>
      <c r="C142" s="431" t="s">
        <v>18</v>
      </c>
      <c r="D142" s="430" t="s">
        <v>50</v>
      </c>
      <c r="E142" s="431" t="s">
        <v>44</v>
      </c>
      <c r="F142" s="432">
        <v>418.84</v>
      </c>
      <c r="G142" s="432">
        <v>2.9</v>
      </c>
      <c r="H142" s="432">
        <v>17.57</v>
      </c>
      <c r="I142" s="432">
        <v>3.41</v>
      </c>
      <c r="J142" s="432">
        <v>1428.24</v>
      </c>
    </row>
    <row r="143" spans="1:10" ht="36">
      <c r="A143" s="430" t="s">
        <v>286</v>
      </c>
      <c r="B143" s="431" t="s">
        <v>52</v>
      </c>
      <c r="C143" s="431" t="s">
        <v>29</v>
      </c>
      <c r="D143" s="430" t="s">
        <v>53</v>
      </c>
      <c r="E143" s="431" t="s">
        <v>54</v>
      </c>
      <c r="F143" s="432">
        <v>879.56</v>
      </c>
      <c r="G143" s="432">
        <v>2.27</v>
      </c>
      <c r="H143" s="432">
        <v>17.57</v>
      </c>
      <c r="I143" s="432">
        <v>2.67</v>
      </c>
      <c r="J143" s="432">
        <v>2348.4299999999998</v>
      </c>
    </row>
    <row r="144" spans="1:10" ht="20.100000000000001" customHeight="1">
      <c r="A144" s="428" t="s">
        <v>287</v>
      </c>
      <c r="B144" s="494" t="s">
        <v>56</v>
      </c>
      <c r="C144" s="494"/>
      <c r="D144" s="494"/>
      <c r="E144" s="494"/>
      <c r="F144" s="494"/>
      <c r="G144" s="494"/>
      <c r="H144" s="494"/>
      <c r="I144" s="494"/>
      <c r="J144" s="429">
        <v>33250.019999999997</v>
      </c>
    </row>
    <row r="145" spans="1:10" ht="24">
      <c r="A145" s="430" t="s">
        <v>288</v>
      </c>
      <c r="B145" s="431" t="s">
        <v>58</v>
      </c>
      <c r="C145" s="431" t="s">
        <v>18</v>
      </c>
      <c r="D145" s="430" t="s">
        <v>59</v>
      </c>
      <c r="E145" s="431" t="s">
        <v>60</v>
      </c>
      <c r="F145" s="432">
        <v>2318.38</v>
      </c>
      <c r="G145" s="432">
        <v>2.59</v>
      </c>
      <c r="H145" s="432">
        <v>17.57</v>
      </c>
      <c r="I145" s="432">
        <v>3.05</v>
      </c>
      <c r="J145" s="432">
        <v>7071.06</v>
      </c>
    </row>
    <row r="146" spans="1:10" ht="48">
      <c r="A146" s="430" t="s">
        <v>289</v>
      </c>
      <c r="B146" s="431" t="s">
        <v>49</v>
      </c>
      <c r="C146" s="431" t="s">
        <v>18</v>
      </c>
      <c r="D146" s="430" t="s">
        <v>50</v>
      </c>
      <c r="E146" s="431" t="s">
        <v>44</v>
      </c>
      <c r="F146" s="432">
        <v>2883.15</v>
      </c>
      <c r="G146" s="432">
        <v>2.9</v>
      </c>
      <c r="H146" s="432">
        <v>17.57</v>
      </c>
      <c r="I146" s="432">
        <v>3.41</v>
      </c>
      <c r="J146" s="432">
        <v>9831.5400000000009</v>
      </c>
    </row>
    <row r="147" spans="1:10" ht="36">
      <c r="A147" s="430" t="s">
        <v>290</v>
      </c>
      <c r="B147" s="431" t="s">
        <v>52</v>
      </c>
      <c r="C147" s="431" t="s">
        <v>29</v>
      </c>
      <c r="D147" s="430" t="s">
        <v>53</v>
      </c>
      <c r="E147" s="431" t="s">
        <v>54</v>
      </c>
      <c r="F147" s="432">
        <v>6054.62</v>
      </c>
      <c r="G147" s="432">
        <v>2.27</v>
      </c>
      <c r="H147" s="432">
        <v>17.57</v>
      </c>
      <c r="I147" s="432">
        <v>2.67</v>
      </c>
      <c r="J147" s="432">
        <v>16165.84</v>
      </c>
    </row>
    <row r="148" spans="1:10" ht="36">
      <c r="A148" s="430" t="s">
        <v>291</v>
      </c>
      <c r="B148" s="431" t="s">
        <v>292</v>
      </c>
      <c r="C148" s="431" t="s">
        <v>29</v>
      </c>
      <c r="D148" s="430" t="s">
        <v>293</v>
      </c>
      <c r="E148" s="431" t="s">
        <v>60</v>
      </c>
      <c r="F148" s="432">
        <v>11.86</v>
      </c>
      <c r="G148" s="432">
        <v>13.02</v>
      </c>
      <c r="H148" s="432">
        <v>17.57</v>
      </c>
      <c r="I148" s="432">
        <v>15.31</v>
      </c>
      <c r="J148" s="432">
        <v>181.58</v>
      </c>
    </row>
    <row r="149" spans="1:10" ht="20.100000000000001" customHeight="1">
      <c r="A149" s="428" t="s">
        <v>294</v>
      </c>
      <c r="B149" s="494" t="s">
        <v>11</v>
      </c>
      <c r="C149" s="494"/>
      <c r="D149" s="494"/>
      <c r="E149" s="494"/>
      <c r="F149" s="494"/>
      <c r="G149" s="494"/>
      <c r="H149" s="494"/>
      <c r="I149" s="494"/>
      <c r="J149" s="429">
        <v>325867.65999999997</v>
      </c>
    </row>
    <row r="150" spans="1:10" ht="24">
      <c r="A150" s="430" t="s">
        <v>295</v>
      </c>
      <c r="B150" s="431" t="s">
        <v>65</v>
      </c>
      <c r="C150" s="431" t="s">
        <v>29</v>
      </c>
      <c r="D150" s="430" t="s">
        <v>66</v>
      </c>
      <c r="E150" s="431" t="s">
        <v>20</v>
      </c>
      <c r="F150" s="432">
        <v>5178.2700000000004</v>
      </c>
      <c r="G150" s="432">
        <v>2.79</v>
      </c>
      <c r="H150" s="432">
        <v>17.57</v>
      </c>
      <c r="I150" s="432">
        <v>3.28</v>
      </c>
      <c r="J150" s="432">
        <v>16984.73</v>
      </c>
    </row>
    <row r="151" spans="1:10" ht="24">
      <c r="A151" s="430" t="s">
        <v>296</v>
      </c>
      <c r="B151" s="431" t="s">
        <v>71</v>
      </c>
      <c r="C151" s="431" t="s">
        <v>18</v>
      </c>
      <c r="D151" s="430" t="s">
        <v>72</v>
      </c>
      <c r="E151" s="431" t="s">
        <v>73</v>
      </c>
      <c r="F151" s="432">
        <v>554.66</v>
      </c>
      <c r="G151" s="432">
        <v>11.4</v>
      </c>
      <c r="H151" s="432">
        <v>17.57</v>
      </c>
      <c r="I151" s="432">
        <v>13.4</v>
      </c>
      <c r="J151" s="432">
        <v>7432.44</v>
      </c>
    </row>
    <row r="152" spans="1:10" ht="36">
      <c r="A152" s="430" t="s">
        <v>297</v>
      </c>
      <c r="B152" s="431" t="s">
        <v>75</v>
      </c>
      <c r="C152" s="431" t="s">
        <v>18</v>
      </c>
      <c r="D152" s="430" t="s">
        <v>76</v>
      </c>
      <c r="E152" s="431" t="s">
        <v>60</v>
      </c>
      <c r="F152" s="432">
        <v>924.35</v>
      </c>
      <c r="G152" s="432">
        <v>14.44</v>
      </c>
      <c r="H152" s="432">
        <v>17.57</v>
      </c>
      <c r="I152" s="432">
        <v>16.98</v>
      </c>
      <c r="J152" s="432">
        <v>15695.46</v>
      </c>
    </row>
    <row r="153" spans="1:10" ht="48">
      <c r="A153" s="430" t="s">
        <v>298</v>
      </c>
      <c r="B153" s="431" t="s">
        <v>49</v>
      </c>
      <c r="C153" s="431" t="s">
        <v>18</v>
      </c>
      <c r="D153" s="430" t="s">
        <v>50</v>
      </c>
      <c r="E153" s="431" t="s">
        <v>44</v>
      </c>
      <c r="F153" s="432">
        <v>1848.76</v>
      </c>
      <c r="G153" s="432">
        <v>2.9</v>
      </c>
      <c r="H153" s="432">
        <v>17.57</v>
      </c>
      <c r="I153" s="432">
        <v>3.41</v>
      </c>
      <c r="J153" s="432">
        <v>6304.27</v>
      </c>
    </row>
    <row r="154" spans="1:10" ht="24">
      <c r="A154" s="430" t="s">
        <v>299</v>
      </c>
      <c r="B154" s="431" t="s">
        <v>79</v>
      </c>
      <c r="C154" s="431" t="s">
        <v>18</v>
      </c>
      <c r="D154" s="430" t="s">
        <v>80</v>
      </c>
      <c r="E154" s="431" t="s">
        <v>81</v>
      </c>
      <c r="F154" s="432">
        <v>13126.2</v>
      </c>
      <c r="G154" s="432">
        <v>1.37</v>
      </c>
      <c r="H154" s="432">
        <v>17.57</v>
      </c>
      <c r="I154" s="432">
        <v>1.61</v>
      </c>
      <c r="J154" s="432">
        <v>21133.18</v>
      </c>
    </row>
    <row r="155" spans="1:10" ht="48">
      <c r="A155" s="430" t="s">
        <v>300</v>
      </c>
      <c r="B155" s="431" t="s">
        <v>83</v>
      </c>
      <c r="C155" s="431" t="s">
        <v>18</v>
      </c>
      <c r="D155" s="430" t="s">
        <v>84</v>
      </c>
      <c r="E155" s="431" t="s">
        <v>20</v>
      </c>
      <c r="F155" s="432">
        <v>1480.51</v>
      </c>
      <c r="G155" s="432">
        <v>20.41</v>
      </c>
      <c r="H155" s="432">
        <v>17.57</v>
      </c>
      <c r="I155" s="432">
        <v>24</v>
      </c>
      <c r="J155" s="432">
        <v>35532.239999999998</v>
      </c>
    </row>
    <row r="156" spans="1:10" ht="24">
      <c r="A156" s="430" t="s">
        <v>301</v>
      </c>
      <c r="B156" s="431" t="s">
        <v>86</v>
      </c>
      <c r="C156" s="431" t="s">
        <v>18</v>
      </c>
      <c r="D156" s="430" t="s">
        <v>87</v>
      </c>
      <c r="E156" s="431" t="s">
        <v>20</v>
      </c>
      <c r="F156" s="432">
        <v>3029.02</v>
      </c>
      <c r="G156" s="432">
        <v>7.62</v>
      </c>
      <c r="H156" s="432">
        <v>17.57</v>
      </c>
      <c r="I156" s="432">
        <v>8.9600000000000009</v>
      </c>
      <c r="J156" s="432">
        <v>27140.02</v>
      </c>
    </row>
    <row r="157" spans="1:10" ht="36">
      <c r="A157" s="430" t="s">
        <v>302</v>
      </c>
      <c r="B157" s="431" t="s">
        <v>89</v>
      </c>
      <c r="C157" s="431" t="s">
        <v>18</v>
      </c>
      <c r="D157" s="430" t="s">
        <v>90</v>
      </c>
      <c r="E157" s="431" t="s">
        <v>60</v>
      </c>
      <c r="F157" s="432">
        <v>151.44999999999999</v>
      </c>
      <c r="G157" s="432">
        <v>133.37</v>
      </c>
      <c r="H157" s="432">
        <v>17.57</v>
      </c>
      <c r="I157" s="432">
        <v>156.80000000000001</v>
      </c>
      <c r="J157" s="432">
        <v>23747.360000000001</v>
      </c>
    </row>
    <row r="158" spans="1:10" ht="36">
      <c r="A158" s="430" t="s">
        <v>303</v>
      </c>
      <c r="B158" s="431" t="s">
        <v>92</v>
      </c>
      <c r="C158" s="431" t="s">
        <v>18</v>
      </c>
      <c r="D158" s="430" t="s">
        <v>93</v>
      </c>
      <c r="E158" s="431" t="s">
        <v>44</v>
      </c>
      <c r="F158" s="432">
        <v>151.44999999999999</v>
      </c>
      <c r="G158" s="432">
        <v>7.86</v>
      </c>
      <c r="H158" s="432">
        <v>17.57</v>
      </c>
      <c r="I158" s="432">
        <v>9.24</v>
      </c>
      <c r="J158" s="432">
        <v>1399.4</v>
      </c>
    </row>
    <row r="159" spans="1:10" ht="24">
      <c r="A159" s="430" t="s">
        <v>304</v>
      </c>
      <c r="B159" s="431" t="s">
        <v>95</v>
      </c>
      <c r="C159" s="431" t="s">
        <v>18</v>
      </c>
      <c r="D159" s="430" t="s">
        <v>96</v>
      </c>
      <c r="E159" s="431" t="s">
        <v>54</v>
      </c>
      <c r="F159" s="432">
        <v>2468.64</v>
      </c>
      <c r="G159" s="432">
        <v>1.77</v>
      </c>
      <c r="H159" s="432">
        <v>17.57</v>
      </c>
      <c r="I159" s="432">
        <v>2.08</v>
      </c>
      <c r="J159" s="432">
        <v>5134.7700000000004</v>
      </c>
    </row>
    <row r="160" spans="1:10" ht="24">
      <c r="A160" s="430" t="s">
        <v>305</v>
      </c>
      <c r="B160" s="431" t="s">
        <v>98</v>
      </c>
      <c r="C160" s="431" t="s">
        <v>18</v>
      </c>
      <c r="D160" s="430" t="s">
        <v>99</v>
      </c>
      <c r="E160" s="431" t="s">
        <v>20</v>
      </c>
      <c r="F160" s="432">
        <v>2014.65</v>
      </c>
      <c r="G160" s="432">
        <v>0.65</v>
      </c>
      <c r="H160" s="432">
        <v>17.57</v>
      </c>
      <c r="I160" s="432">
        <v>0.76</v>
      </c>
      <c r="J160" s="432">
        <v>1531.13</v>
      </c>
    </row>
    <row r="161" spans="1:10" ht="48">
      <c r="A161" s="430" t="s">
        <v>306</v>
      </c>
      <c r="B161" s="431" t="s">
        <v>101</v>
      </c>
      <c r="C161" s="431" t="s">
        <v>18</v>
      </c>
      <c r="D161" s="430" t="s">
        <v>102</v>
      </c>
      <c r="E161" s="431" t="s">
        <v>60</v>
      </c>
      <c r="F161" s="432">
        <v>139.88999999999999</v>
      </c>
      <c r="G161" s="432">
        <v>112.75</v>
      </c>
      <c r="H161" s="432">
        <v>17.57</v>
      </c>
      <c r="I161" s="432">
        <v>132.56</v>
      </c>
      <c r="J161" s="432">
        <v>18543.82</v>
      </c>
    </row>
    <row r="162" spans="1:10" ht="60">
      <c r="A162" s="430" t="s">
        <v>307</v>
      </c>
      <c r="B162" s="431" t="s">
        <v>104</v>
      </c>
      <c r="C162" s="431" t="s">
        <v>29</v>
      </c>
      <c r="D162" s="430" t="s">
        <v>105</v>
      </c>
      <c r="E162" s="431" t="s">
        <v>40</v>
      </c>
      <c r="F162" s="432">
        <v>1475.02</v>
      </c>
      <c r="G162" s="432">
        <v>56.47</v>
      </c>
      <c r="H162" s="432">
        <v>17.57</v>
      </c>
      <c r="I162" s="432">
        <v>66.39</v>
      </c>
      <c r="J162" s="432">
        <v>97926.58</v>
      </c>
    </row>
    <row r="163" spans="1:10" ht="60">
      <c r="A163" s="430" t="s">
        <v>308</v>
      </c>
      <c r="B163" s="431" t="s">
        <v>233</v>
      </c>
      <c r="C163" s="431" t="s">
        <v>29</v>
      </c>
      <c r="D163" s="430" t="s">
        <v>234</v>
      </c>
      <c r="E163" s="431" t="s">
        <v>40</v>
      </c>
      <c r="F163" s="432">
        <v>33.479999999999997</v>
      </c>
      <c r="G163" s="432">
        <v>60.43</v>
      </c>
      <c r="H163" s="432">
        <v>17.57</v>
      </c>
      <c r="I163" s="432">
        <v>71.05</v>
      </c>
      <c r="J163" s="432">
        <v>2378.75</v>
      </c>
    </row>
    <row r="164" spans="1:10" ht="24">
      <c r="A164" s="430" t="s">
        <v>309</v>
      </c>
      <c r="B164" s="431" t="s">
        <v>110</v>
      </c>
      <c r="C164" s="431" t="s">
        <v>29</v>
      </c>
      <c r="D164" s="430" t="s">
        <v>111</v>
      </c>
      <c r="E164" s="431" t="s">
        <v>40</v>
      </c>
      <c r="F164" s="432">
        <v>919.65</v>
      </c>
      <c r="G164" s="432">
        <v>39.770000000000003</v>
      </c>
      <c r="H164" s="432">
        <v>17.57</v>
      </c>
      <c r="I164" s="432">
        <v>46.76</v>
      </c>
      <c r="J164" s="432">
        <v>43002.83</v>
      </c>
    </row>
    <row r="165" spans="1:10" ht="24">
      <c r="A165" s="430" t="s">
        <v>310</v>
      </c>
      <c r="B165" s="431" t="s">
        <v>238</v>
      </c>
      <c r="C165" s="431" t="s">
        <v>29</v>
      </c>
      <c r="D165" s="430" t="s">
        <v>239</v>
      </c>
      <c r="E165" s="431" t="s">
        <v>40</v>
      </c>
      <c r="F165" s="432">
        <v>33.479999999999997</v>
      </c>
      <c r="G165" s="432">
        <v>50.32</v>
      </c>
      <c r="H165" s="432">
        <v>17.57</v>
      </c>
      <c r="I165" s="432">
        <v>59.16</v>
      </c>
      <c r="J165" s="432">
        <v>1980.68</v>
      </c>
    </row>
    <row r="166" spans="1:10" ht="20.100000000000001" customHeight="1">
      <c r="A166" s="428" t="s">
        <v>311</v>
      </c>
      <c r="B166" s="494" t="s">
        <v>120</v>
      </c>
      <c r="C166" s="494"/>
      <c r="D166" s="494"/>
      <c r="E166" s="494"/>
      <c r="F166" s="494"/>
      <c r="G166" s="494"/>
      <c r="H166" s="494"/>
      <c r="I166" s="494"/>
      <c r="J166" s="429">
        <v>57581.57</v>
      </c>
    </row>
    <row r="167" spans="1:10" ht="24">
      <c r="A167" s="430" t="s">
        <v>312</v>
      </c>
      <c r="B167" s="431" t="s">
        <v>122</v>
      </c>
      <c r="C167" s="431" t="s">
        <v>29</v>
      </c>
      <c r="D167" s="430" t="s">
        <v>123</v>
      </c>
      <c r="E167" s="431" t="s">
        <v>60</v>
      </c>
      <c r="F167" s="432">
        <v>4.76</v>
      </c>
      <c r="G167" s="432">
        <v>78.319999999999993</v>
      </c>
      <c r="H167" s="432">
        <v>17.57</v>
      </c>
      <c r="I167" s="432">
        <v>92.08</v>
      </c>
      <c r="J167" s="432">
        <v>438.3</v>
      </c>
    </row>
    <row r="168" spans="1:10" ht="60">
      <c r="A168" s="430" t="s">
        <v>313</v>
      </c>
      <c r="B168" s="431" t="s">
        <v>314</v>
      </c>
      <c r="C168" s="431" t="s">
        <v>29</v>
      </c>
      <c r="D168" s="430" t="s">
        <v>315</v>
      </c>
      <c r="E168" s="431" t="s">
        <v>60</v>
      </c>
      <c r="F168" s="432">
        <v>33.19</v>
      </c>
      <c r="G168" s="432">
        <v>6.48</v>
      </c>
      <c r="H168" s="432">
        <v>17.57</v>
      </c>
      <c r="I168" s="432">
        <v>7.62</v>
      </c>
      <c r="J168" s="432">
        <v>252.91</v>
      </c>
    </row>
    <row r="169" spans="1:10" ht="60">
      <c r="A169" s="430" t="s">
        <v>316</v>
      </c>
      <c r="B169" s="431" t="s">
        <v>317</v>
      </c>
      <c r="C169" s="431" t="s">
        <v>29</v>
      </c>
      <c r="D169" s="430" t="s">
        <v>318</v>
      </c>
      <c r="E169" s="431" t="s">
        <v>60</v>
      </c>
      <c r="F169" s="432">
        <v>12.44</v>
      </c>
      <c r="G169" s="432">
        <v>23.75</v>
      </c>
      <c r="H169" s="432">
        <v>17.57</v>
      </c>
      <c r="I169" s="432">
        <v>27.92</v>
      </c>
      <c r="J169" s="432">
        <v>347.32</v>
      </c>
    </row>
    <row r="170" spans="1:10" ht="48">
      <c r="A170" s="430" t="s">
        <v>319</v>
      </c>
      <c r="B170" s="431" t="s">
        <v>49</v>
      </c>
      <c r="C170" s="431" t="s">
        <v>18</v>
      </c>
      <c r="D170" s="430" t="s">
        <v>50</v>
      </c>
      <c r="E170" s="431" t="s">
        <v>44</v>
      </c>
      <c r="F170" s="432">
        <v>25.94</v>
      </c>
      <c r="G170" s="432">
        <v>2.9</v>
      </c>
      <c r="H170" s="432">
        <v>17.57</v>
      </c>
      <c r="I170" s="432">
        <v>3.41</v>
      </c>
      <c r="J170" s="432">
        <v>88.46</v>
      </c>
    </row>
    <row r="171" spans="1:10" ht="36">
      <c r="A171" s="430" t="s">
        <v>320</v>
      </c>
      <c r="B171" s="431" t="s">
        <v>52</v>
      </c>
      <c r="C171" s="431" t="s">
        <v>29</v>
      </c>
      <c r="D171" s="430" t="s">
        <v>53</v>
      </c>
      <c r="E171" s="431" t="s">
        <v>54</v>
      </c>
      <c r="F171" s="432">
        <v>54.47</v>
      </c>
      <c r="G171" s="432">
        <v>2.27</v>
      </c>
      <c r="H171" s="432">
        <v>17.57</v>
      </c>
      <c r="I171" s="432">
        <v>2.67</v>
      </c>
      <c r="J171" s="432">
        <v>145.43</v>
      </c>
    </row>
    <row r="172" spans="1:10" ht="24">
      <c r="A172" s="430" t="s">
        <v>321</v>
      </c>
      <c r="B172" s="431" t="s">
        <v>125</v>
      </c>
      <c r="C172" s="431" t="s">
        <v>29</v>
      </c>
      <c r="D172" s="430" t="s">
        <v>126</v>
      </c>
      <c r="E172" s="431" t="s">
        <v>60</v>
      </c>
      <c r="F172" s="432">
        <v>14.19</v>
      </c>
      <c r="G172" s="432">
        <v>436.13</v>
      </c>
      <c r="H172" s="432">
        <v>17.57</v>
      </c>
      <c r="I172" s="432">
        <v>512.76</v>
      </c>
      <c r="J172" s="432">
        <v>7276.06</v>
      </c>
    </row>
    <row r="173" spans="1:10" ht="36">
      <c r="A173" s="430" t="s">
        <v>322</v>
      </c>
      <c r="B173" s="431" t="s">
        <v>128</v>
      </c>
      <c r="C173" s="431" t="s">
        <v>29</v>
      </c>
      <c r="D173" s="430" t="s">
        <v>129</v>
      </c>
      <c r="E173" s="431" t="s">
        <v>60</v>
      </c>
      <c r="F173" s="432">
        <v>16.78</v>
      </c>
      <c r="G173" s="432">
        <v>472.74</v>
      </c>
      <c r="H173" s="432">
        <v>17.57</v>
      </c>
      <c r="I173" s="432">
        <v>555.79999999999995</v>
      </c>
      <c r="J173" s="432">
        <v>9326.32</v>
      </c>
    </row>
    <row r="174" spans="1:10" ht="24">
      <c r="A174" s="430" t="s">
        <v>323</v>
      </c>
      <c r="B174" s="431" t="s">
        <v>131</v>
      </c>
      <c r="C174" s="431" t="s">
        <v>18</v>
      </c>
      <c r="D174" s="430" t="s">
        <v>132</v>
      </c>
      <c r="E174" s="431" t="s">
        <v>60</v>
      </c>
      <c r="F174" s="432">
        <v>38.99</v>
      </c>
      <c r="G174" s="432">
        <v>129.79</v>
      </c>
      <c r="H174" s="432">
        <v>17.57</v>
      </c>
      <c r="I174" s="432">
        <v>152.59</v>
      </c>
      <c r="J174" s="432">
        <v>5949.48</v>
      </c>
    </row>
    <row r="175" spans="1:10" ht="36">
      <c r="A175" s="430" t="s">
        <v>324</v>
      </c>
      <c r="B175" s="431" t="s">
        <v>134</v>
      </c>
      <c r="C175" s="431" t="s">
        <v>18</v>
      </c>
      <c r="D175" s="430" t="s">
        <v>135</v>
      </c>
      <c r="E175" s="431" t="s">
        <v>136</v>
      </c>
      <c r="F175" s="432">
        <v>59.54</v>
      </c>
      <c r="G175" s="432">
        <v>65.25</v>
      </c>
      <c r="H175" s="432">
        <v>17.57</v>
      </c>
      <c r="I175" s="432">
        <v>76.709999999999994</v>
      </c>
      <c r="J175" s="432">
        <v>4567.3100000000004</v>
      </c>
    </row>
    <row r="176" spans="1:10" ht="36">
      <c r="A176" s="430" t="s">
        <v>325</v>
      </c>
      <c r="B176" s="431" t="s">
        <v>326</v>
      </c>
      <c r="C176" s="431" t="s">
        <v>29</v>
      </c>
      <c r="D176" s="430" t="s">
        <v>327</v>
      </c>
      <c r="E176" s="431" t="s">
        <v>328</v>
      </c>
      <c r="F176" s="432">
        <v>716.68</v>
      </c>
      <c r="G176" s="432">
        <v>15.14</v>
      </c>
      <c r="H176" s="432">
        <v>17.57</v>
      </c>
      <c r="I176" s="432">
        <v>17.8</v>
      </c>
      <c r="J176" s="432">
        <v>12756.9</v>
      </c>
    </row>
    <row r="177" spans="1:10" ht="48">
      <c r="A177" s="430" t="s">
        <v>329</v>
      </c>
      <c r="B177" s="431" t="s">
        <v>330</v>
      </c>
      <c r="C177" s="431" t="s">
        <v>18</v>
      </c>
      <c r="D177" s="430" t="s">
        <v>331</v>
      </c>
      <c r="E177" s="431" t="s">
        <v>20</v>
      </c>
      <c r="F177" s="432">
        <v>56.58</v>
      </c>
      <c r="G177" s="432">
        <v>1.1000000000000001</v>
      </c>
      <c r="H177" s="432">
        <v>17.57</v>
      </c>
      <c r="I177" s="432">
        <v>1.29</v>
      </c>
      <c r="J177" s="432">
        <v>72.989999999999995</v>
      </c>
    </row>
    <row r="178" spans="1:10" ht="36">
      <c r="A178" s="430" t="s">
        <v>332</v>
      </c>
      <c r="B178" s="431" t="s">
        <v>333</v>
      </c>
      <c r="C178" s="431" t="s">
        <v>29</v>
      </c>
      <c r="D178" s="430" t="s">
        <v>334</v>
      </c>
      <c r="E178" s="431" t="s">
        <v>20</v>
      </c>
      <c r="F178" s="432">
        <v>75.44</v>
      </c>
      <c r="G178" s="432">
        <v>105.62</v>
      </c>
      <c r="H178" s="432">
        <v>17.57</v>
      </c>
      <c r="I178" s="432">
        <v>124.18</v>
      </c>
      <c r="J178" s="432">
        <v>9368.14</v>
      </c>
    </row>
    <row r="179" spans="1:10" ht="36">
      <c r="A179" s="430" t="s">
        <v>335</v>
      </c>
      <c r="B179" s="431" t="s">
        <v>336</v>
      </c>
      <c r="C179" s="431" t="s">
        <v>29</v>
      </c>
      <c r="D179" s="430" t="s">
        <v>337</v>
      </c>
      <c r="E179" s="431" t="s">
        <v>20</v>
      </c>
      <c r="F179" s="432">
        <v>75.44</v>
      </c>
      <c r="G179" s="432">
        <v>4.0999999999999996</v>
      </c>
      <c r="H179" s="432">
        <v>17.57</v>
      </c>
      <c r="I179" s="432">
        <v>4.82</v>
      </c>
      <c r="J179" s="432">
        <v>363.62</v>
      </c>
    </row>
    <row r="180" spans="1:10" ht="48">
      <c r="A180" s="430" t="s">
        <v>338</v>
      </c>
      <c r="B180" s="431" t="s">
        <v>339</v>
      </c>
      <c r="C180" s="431" t="s">
        <v>29</v>
      </c>
      <c r="D180" s="430" t="s">
        <v>340</v>
      </c>
      <c r="E180" s="431" t="s">
        <v>20</v>
      </c>
      <c r="F180" s="432">
        <v>75.44</v>
      </c>
      <c r="G180" s="432">
        <v>24.83</v>
      </c>
      <c r="H180" s="432">
        <v>17.57</v>
      </c>
      <c r="I180" s="432">
        <v>29.19</v>
      </c>
      <c r="J180" s="432">
        <v>2202.09</v>
      </c>
    </row>
    <row r="181" spans="1:10" ht="24">
      <c r="A181" s="430" t="s">
        <v>341</v>
      </c>
      <c r="B181" s="431" t="s">
        <v>342</v>
      </c>
      <c r="C181" s="431" t="s">
        <v>29</v>
      </c>
      <c r="D181" s="430" t="s">
        <v>343</v>
      </c>
      <c r="E181" s="431" t="s">
        <v>60</v>
      </c>
      <c r="F181" s="432">
        <v>8.02</v>
      </c>
      <c r="G181" s="432">
        <v>469.42</v>
      </c>
      <c r="H181" s="432">
        <v>17.57</v>
      </c>
      <c r="I181" s="432">
        <v>551.9</v>
      </c>
      <c r="J181" s="432">
        <v>4426.24</v>
      </c>
    </row>
    <row r="182" spans="1:10" ht="20.100000000000001" customHeight="1">
      <c r="A182" s="428" t="s">
        <v>344</v>
      </c>
      <c r="B182" s="494" t="s">
        <v>138</v>
      </c>
      <c r="C182" s="494"/>
      <c r="D182" s="494"/>
      <c r="E182" s="494"/>
      <c r="F182" s="494"/>
      <c r="G182" s="494"/>
      <c r="H182" s="494"/>
      <c r="I182" s="494"/>
      <c r="J182" s="429">
        <v>14049.6</v>
      </c>
    </row>
    <row r="183" spans="1:10">
      <c r="A183" s="430" t="s">
        <v>345</v>
      </c>
      <c r="B183" s="431" t="s">
        <v>140</v>
      </c>
      <c r="C183" s="431" t="s">
        <v>141</v>
      </c>
      <c r="D183" s="430" t="s">
        <v>142</v>
      </c>
      <c r="E183" s="431" t="s">
        <v>143</v>
      </c>
      <c r="F183" s="432">
        <v>0.6</v>
      </c>
      <c r="G183" s="432">
        <v>355.35</v>
      </c>
      <c r="H183" s="432">
        <v>17.57</v>
      </c>
      <c r="I183" s="432">
        <v>417.78</v>
      </c>
      <c r="J183" s="432">
        <v>250.67</v>
      </c>
    </row>
    <row r="184" spans="1:10">
      <c r="A184" s="430" t="s">
        <v>346</v>
      </c>
      <c r="B184" s="431" t="s">
        <v>145</v>
      </c>
      <c r="C184" s="431" t="s">
        <v>141</v>
      </c>
      <c r="D184" s="430" t="s">
        <v>146</v>
      </c>
      <c r="E184" s="431" t="s">
        <v>143</v>
      </c>
      <c r="F184" s="432">
        <v>4.3</v>
      </c>
      <c r="G184" s="432">
        <v>347.25</v>
      </c>
      <c r="H184" s="432">
        <v>17.57</v>
      </c>
      <c r="I184" s="432">
        <v>408.26</v>
      </c>
      <c r="J184" s="432">
        <v>1755.52</v>
      </c>
    </row>
    <row r="185" spans="1:10" ht="24">
      <c r="A185" s="430" t="s">
        <v>347</v>
      </c>
      <c r="B185" s="431" t="s">
        <v>148</v>
      </c>
      <c r="C185" s="431" t="s">
        <v>141</v>
      </c>
      <c r="D185" s="430" t="s">
        <v>149</v>
      </c>
      <c r="E185" s="431" t="s">
        <v>150</v>
      </c>
      <c r="F185" s="432">
        <v>16</v>
      </c>
      <c r="G185" s="432">
        <v>121.48</v>
      </c>
      <c r="H185" s="432">
        <v>17.57</v>
      </c>
      <c r="I185" s="432">
        <v>142.82</v>
      </c>
      <c r="J185" s="432">
        <v>2285.12</v>
      </c>
    </row>
    <row r="186" spans="1:10" ht="24">
      <c r="A186" s="430" t="s">
        <v>348</v>
      </c>
      <c r="B186" s="431" t="s">
        <v>152</v>
      </c>
      <c r="C186" s="431" t="s">
        <v>18</v>
      </c>
      <c r="D186" s="430" t="s">
        <v>153</v>
      </c>
      <c r="E186" s="431" t="s">
        <v>154</v>
      </c>
      <c r="F186" s="432">
        <v>5</v>
      </c>
      <c r="G186" s="432">
        <v>156.33000000000001</v>
      </c>
      <c r="H186" s="432">
        <v>17.57</v>
      </c>
      <c r="I186" s="432">
        <v>183.8</v>
      </c>
      <c r="J186" s="432">
        <v>919</v>
      </c>
    </row>
    <row r="187" spans="1:10" ht="24">
      <c r="A187" s="430" t="s">
        <v>349</v>
      </c>
      <c r="B187" s="431" t="s">
        <v>156</v>
      </c>
      <c r="C187" s="431" t="s">
        <v>18</v>
      </c>
      <c r="D187" s="430" t="s">
        <v>157</v>
      </c>
      <c r="E187" s="431" t="s">
        <v>20</v>
      </c>
      <c r="F187" s="432">
        <v>9.7200000000000006</v>
      </c>
      <c r="G187" s="432">
        <v>20.3</v>
      </c>
      <c r="H187" s="432">
        <v>17.57</v>
      </c>
      <c r="I187" s="432">
        <v>23.87</v>
      </c>
      <c r="J187" s="432">
        <v>232.02</v>
      </c>
    </row>
    <row r="188" spans="1:10" ht="48">
      <c r="A188" s="430" t="s">
        <v>350</v>
      </c>
      <c r="B188" s="431" t="s">
        <v>159</v>
      </c>
      <c r="C188" s="431" t="s">
        <v>29</v>
      </c>
      <c r="D188" s="430" t="s">
        <v>160</v>
      </c>
      <c r="E188" s="431" t="s">
        <v>40</v>
      </c>
      <c r="F188" s="432">
        <v>1130.22</v>
      </c>
      <c r="G188" s="432">
        <v>5.48</v>
      </c>
      <c r="H188" s="432">
        <v>17.57</v>
      </c>
      <c r="I188" s="432">
        <v>6.44</v>
      </c>
      <c r="J188" s="432">
        <v>7278.62</v>
      </c>
    </row>
    <row r="189" spans="1:10" ht="48">
      <c r="A189" s="430" t="s">
        <v>351</v>
      </c>
      <c r="B189" s="431" t="s">
        <v>162</v>
      </c>
      <c r="C189" s="431" t="s">
        <v>29</v>
      </c>
      <c r="D189" s="430" t="s">
        <v>163</v>
      </c>
      <c r="E189" s="431" t="s">
        <v>20</v>
      </c>
      <c r="F189" s="432">
        <v>46.8</v>
      </c>
      <c r="G189" s="432">
        <v>24.15</v>
      </c>
      <c r="H189" s="432">
        <v>17.57</v>
      </c>
      <c r="I189" s="432">
        <v>28.39</v>
      </c>
      <c r="J189" s="432">
        <v>1328.65</v>
      </c>
    </row>
    <row r="190" spans="1:10" ht="20.100000000000001" customHeight="1">
      <c r="A190" s="428" t="s">
        <v>352</v>
      </c>
      <c r="B190" s="494" t="s">
        <v>165</v>
      </c>
      <c r="C190" s="494"/>
      <c r="D190" s="494"/>
      <c r="E190" s="494"/>
      <c r="F190" s="494"/>
      <c r="G190" s="494"/>
      <c r="H190" s="494"/>
      <c r="I190" s="494"/>
      <c r="J190" s="429">
        <v>2155.5500000000002</v>
      </c>
    </row>
    <row r="191" spans="1:10" ht="36">
      <c r="A191" s="430" t="s">
        <v>353</v>
      </c>
      <c r="B191" s="431" t="s">
        <v>167</v>
      </c>
      <c r="C191" s="431" t="s">
        <v>18</v>
      </c>
      <c r="D191" s="430" t="s">
        <v>168</v>
      </c>
      <c r="E191" s="431" t="s">
        <v>136</v>
      </c>
      <c r="F191" s="432">
        <v>16.32</v>
      </c>
      <c r="G191" s="432">
        <v>112.34</v>
      </c>
      <c r="H191" s="432">
        <v>17.57</v>
      </c>
      <c r="I191" s="432">
        <v>132.08000000000001</v>
      </c>
      <c r="J191" s="432">
        <v>2155.5500000000002</v>
      </c>
    </row>
    <row r="192" spans="1:10" ht="20.100000000000001" customHeight="1">
      <c r="A192" s="428" t="s">
        <v>354</v>
      </c>
      <c r="B192" s="494" t="s">
        <v>170</v>
      </c>
      <c r="C192" s="494"/>
      <c r="D192" s="494"/>
      <c r="E192" s="494"/>
      <c r="F192" s="494"/>
      <c r="G192" s="494"/>
      <c r="H192" s="494"/>
      <c r="I192" s="494"/>
      <c r="J192" s="429">
        <v>532353.94999999995</v>
      </c>
    </row>
    <row r="193" spans="1:10" ht="48">
      <c r="A193" s="430" t="s">
        <v>355</v>
      </c>
      <c r="B193" s="431" t="s">
        <v>172</v>
      </c>
      <c r="C193" s="431" t="s">
        <v>29</v>
      </c>
      <c r="D193" s="430" t="s">
        <v>173</v>
      </c>
      <c r="E193" s="431" t="s">
        <v>31</v>
      </c>
      <c r="F193" s="432">
        <v>6</v>
      </c>
      <c r="G193" s="432">
        <v>830</v>
      </c>
      <c r="H193" s="432">
        <v>10.07</v>
      </c>
      <c r="I193" s="432">
        <v>913.58</v>
      </c>
      <c r="J193" s="432">
        <v>5481.48</v>
      </c>
    </row>
    <row r="194" spans="1:10" ht="36">
      <c r="A194" s="430" t="s">
        <v>356</v>
      </c>
      <c r="B194" s="431" t="s">
        <v>175</v>
      </c>
      <c r="C194" s="431" t="s">
        <v>29</v>
      </c>
      <c r="D194" s="430" t="s">
        <v>176</v>
      </c>
      <c r="E194" s="431" t="s">
        <v>31</v>
      </c>
      <c r="F194" s="432">
        <v>6</v>
      </c>
      <c r="G194" s="432">
        <v>648.42999999999995</v>
      </c>
      <c r="H194" s="432">
        <v>10.07</v>
      </c>
      <c r="I194" s="432">
        <v>713.73</v>
      </c>
      <c r="J194" s="432">
        <v>4282.38</v>
      </c>
    </row>
    <row r="195" spans="1:10" ht="48">
      <c r="A195" s="430" t="s">
        <v>357</v>
      </c>
      <c r="B195" s="431" t="s">
        <v>178</v>
      </c>
      <c r="C195" s="431" t="s">
        <v>29</v>
      </c>
      <c r="D195" s="430" t="s">
        <v>179</v>
      </c>
      <c r="E195" s="431" t="s">
        <v>20</v>
      </c>
      <c r="F195" s="432">
        <v>1345.79</v>
      </c>
      <c r="G195" s="432">
        <v>49</v>
      </c>
      <c r="H195" s="432">
        <v>10.07</v>
      </c>
      <c r="I195" s="432">
        <v>53.93</v>
      </c>
      <c r="J195" s="432">
        <v>72578.45</v>
      </c>
    </row>
    <row r="196" spans="1:10" ht="48">
      <c r="A196" s="430" t="s">
        <v>358</v>
      </c>
      <c r="B196" s="431" t="s">
        <v>181</v>
      </c>
      <c r="C196" s="431" t="s">
        <v>29</v>
      </c>
      <c r="D196" s="430" t="s">
        <v>182</v>
      </c>
      <c r="E196" s="431" t="s">
        <v>20</v>
      </c>
      <c r="F196" s="432">
        <v>154.11000000000001</v>
      </c>
      <c r="G196" s="432">
        <v>53.92</v>
      </c>
      <c r="H196" s="432">
        <v>10.07</v>
      </c>
      <c r="I196" s="432">
        <v>59.35</v>
      </c>
      <c r="J196" s="432">
        <v>9146.43</v>
      </c>
    </row>
    <row r="197" spans="1:10" ht="36">
      <c r="A197" s="430" t="s">
        <v>359</v>
      </c>
      <c r="B197" s="431" t="s">
        <v>184</v>
      </c>
      <c r="C197" s="431" t="s">
        <v>29</v>
      </c>
      <c r="D197" s="430" t="s">
        <v>185</v>
      </c>
      <c r="E197" s="431" t="s">
        <v>186</v>
      </c>
      <c r="F197" s="432">
        <v>386.92</v>
      </c>
      <c r="G197" s="432">
        <v>522.5</v>
      </c>
      <c r="H197" s="432">
        <v>10.07</v>
      </c>
      <c r="I197" s="432">
        <v>575.12</v>
      </c>
      <c r="J197" s="432">
        <v>222525.43</v>
      </c>
    </row>
    <row r="198" spans="1:10" ht="24">
      <c r="A198" s="430" t="s">
        <v>360</v>
      </c>
      <c r="B198" s="431" t="s">
        <v>188</v>
      </c>
      <c r="C198" s="431" t="s">
        <v>18</v>
      </c>
      <c r="D198" s="430" t="s">
        <v>189</v>
      </c>
      <c r="E198" s="431" t="s">
        <v>44</v>
      </c>
      <c r="F198" s="432">
        <v>924.35</v>
      </c>
      <c r="G198" s="432">
        <v>56.1</v>
      </c>
      <c r="H198" s="432">
        <v>10.07</v>
      </c>
      <c r="I198" s="432">
        <v>61.75</v>
      </c>
      <c r="J198" s="432">
        <v>57078.61</v>
      </c>
    </row>
    <row r="199" spans="1:10">
      <c r="A199" s="430" t="s">
        <v>361</v>
      </c>
      <c r="B199" s="431" t="s">
        <v>191</v>
      </c>
      <c r="C199" s="431" t="s">
        <v>141</v>
      </c>
      <c r="D199" s="430" t="s">
        <v>192</v>
      </c>
      <c r="E199" s="431" t="s">
        <v>73</v>
      </c>
      <c r="F199" s="432">
        <v>698.87</v>
      </c>
      <c r="G199" s="432">
        <v>90.74</v>
      </c>
      <c r="H199" s="432">
        <v>10.07</v>
      </c>
      <c r="I199" s="432">
        <v>99.88</v>
      </c>
      <c r="J199" s="432">
        <v>69803.14</v>
      </c>
    </row>
    <row r="200" spans="1:10">
      <c r="A200" s="430" t="s">
        <v>362</v>
      </c>
      <c r="B200" s="431" t="s">
        <v>194</v>
      </c>
      <c r="C200" s="431" t="s">
        <v>141</v>
      </c>
      <c r="D200" s="430" t="s">
        <v>195</v>
      </c>
      <c r="E200" s="431" t="s">
        <v>73</v>
      </c>
      <c r="F200" s="432">
        <v>77.650000000000006</v>
      </c>
      <c r="G200" s="432">
        <v>74.53</v>
      </c>
      <c r="H200" s="432">
        <v>10.07</v>
      </c>
      <c r="I200" s="432">
        <v>82.04</v>
      </c>
      <c r="J200" s="432">
        <v>6370.41</v>
      </c>
    </row>
    <row r="201" spans="1:10" ht="36">
      <c r="A201" s="430" t="s">
        <v>363</v>
      </c>
      <c r="B201" s="431" t="s">
        <v>197</v>
      </c>
      <c r="C201" s="431" t="s">
        <v>29</v>
      </c>
      <c r="D201" s="430" t="s">
        <v>198</v>
      </c>
      <c r="E201" s="431" t="s">
        <v>60</v>
      </c>
      <c r="F201" s="432">
        <v>169.69</v>
      </c>
      <c r="G201" s="432">
        <v>422.5</v>
      </c>
      <c r="H201" s="432">
        <v>10.07</v>
      </c>
      <c r="I201" s="432">
        <v>465.05</v>
      </c>
      <c r="J201" s="432">
        <v>78914.33</v>
      </c>
    </row>
    <row r="202" spans="1:10" ht="36">
      <c r="A202" s="430" t="s">
        <v>364</v>
      </c>
      <c r="B202" s="431" t="s">
        <v>365</v>
      </c>
      <c r="C202" s="431" t="s">
        <v>29</v>
      </c>
      <c r="D202" s="430" t="s">
        <v>366</v>
      </c>
      <c r="E202" s="431" t="s">
        <v>20</v>
      </c>
      <c r="F202" s="432">
        <v>59.41</v>
      </c>
      <c r="G202" s="432">
        <v>94.4</v>
      </c>
      <c r="H202" s="432">
        <v>10.07</v>
      </c>
      <c r="I202" s="432">
        <v>103.91</v>
      </c>
      <c r="J202" s="432">
        <v>6173.29</v>
      </c>
    </row>
    <row r="203" spans="1:10" ht="20.100000000000001" customHeight="1">
      <c r="A203" s="428" t="s">
        <v>367</v>
      </c>
      <c r="B203" s="494" t="s">
        <v>368</v>
      </c>
      <c r="C203" s="494"/>
      <c r="D203" s="494"/>
      <c r="E203" s="494"/>
      <c r="F203" s="494"/>
      <c r="G203" s="494"/>
      <c r="H203" s="494"/>
      <c r="I203" s="494"/>
      <c r="J203" s="429">
        <v>1007912.41</v>
      </c>
    </row>
    <row r="204" spans="1:10" ht="20.100000000000001" customHeight="1">
      <c r="A204" s="428" t="s">
        <v>369</v>
      </c>
      <c r="B204" s="494" t="s">
        <v>15</v>
      </c>
      <c r="C204" s="494"/>
      <c r="D204" s="494"/>
      <c r="E204" s="494"/>
      <c r="F204" s="494"/>
      <c r="G204" s="494"/>
      <c r="H204" s="494"/>
      <c r="I204" s="494"/>
      <c r="J204" s="429">
        <v>9429.0300000000007</v>
      </c>
    </row>
    <row r="205" spans="1:10" ht="24">
      <c r="A205" s="430" t="s">
        <v>370</v>
      </c>
      <c r="B205" s="431" t="s">
        <v>17</v>
      </c>
      <c r="C205" s="431" t="s">
        <v>18</v>
      </c>
      <c r="D205" s="430" t="s">
        <v>19</v>
      </c>
      <c r="E205" s="431" t="s">
        <v>20</v>
      </c>
      <c r="F205" s="432">
        <v>8</v>
      </c>
      <c r="G205" s="432">
        <v>564.99</v>
      </c>
      <c r="H205" s="432">
        <v>17.57</v>
      </c>
      <c r="I205" s="432">
        <v>664.26</v>
      </c>
      <c r="J205" s="432">
        <v>5314.08</v>
      </c>
    </row>
    <row r="206" spans="1:10" ht="24">
      <c r="A206" s="430" t="s">
        <v>371</v>
      </c>
      <c r="B206" s="431" t="s">
        <v>22</v>
      </c>
      <c r="C206" s="431" t="s">
        <v>18</v>
      </c>
      <c r="D206" s="430" t="s">
        <v>23</v>
      </c>
      <c r="E206" s="431" t="s">
        <v>24</v>
      </c>
      <c r="F206" s="432">
        <v>5</v>
      </c>
      <c r="G206" s="432">
        <v>700</v>
      </c>
      <c r="H206" s="432">
        <v>17.57</v>
      </c>
      <c r="I206" s="432">
        <v>822.99</v>
      </c>
      <c r="J206" s="432">
        <v>4114.95</v>
      </c>
    </row>
    <row r="207" spans="1:10" ht="20.100000000000001" customHeight="1">
      <c r="A207" s="428" t="s">
        <v>372</v>
      </c>
      <c r="B207" s="494" t="s">
        <v>26</v>
      </c>
      <c r="C207" s="494"/>
      <c r="D207" s="494"/>
      <c r="E207" s="494"/>
      <c r="F207" s="494"/>
      <c r="G207" s="494"/>
      <c r="H207" s="494"/>
      <c r="I207" s="494"/>
      <c r="J207" s="429">
        <v>32068.46</v>
      </c>
    </row>
    <row r="208" spans="1:10" ht="24">
      <c r="A208" s="430" t="s">
        <v>373</v>
      </c>
      <c r="B208" s="431" t="s">
        <v>28</v>
      </c>
      <c r="C208" s="431" t="s">
        <v>29</v>
      </c>
      <c r="D208" s="430" t="s">
        <v>30</v>
      </c>
      <c r="E208" s="431" t="s">
        <v>31</v>
      </c>
      <c r="F208" s="432">
        <v>0.63</v>
      </c>
      <c r="G208" s="432">
        <v>16819.14</v>
      </c>
      <c r="H208" s="432">
        <v>17.57</v>
      </c>
      <c r="I208" s="432">
        <v>19774.259999999998</v>
      </c>
      <c r="J208" s="432">
        <v>12457.78</v>
      </c>
    </row>
    <row r="209" spans="1:10" ht="24">
      <c r="A209" s="430" t="s">
        <v>374</v>
      </c>
      <c r="B209" s="431" t="s">
        <v>33</v>
      </c>
      <c r="C209" s="431" t="s">
        <v>29</v>
      </c>
      <c r="D209" s="430" t="s">
        <v>34</v>
      </c>
      <c r="E209" s="431" t="s">
        <v>31</v>
      </c>
      <c r="F209" s="432">
        <v>2.5</v>
      </c>
      <c r="G209" s="432">
        <v>6672</v>
      </c>
      <c r="H209" s="432">
        <v>17.57</v>
      </c>
      <c r="I209" s="432">
        <v>7844.27</v>
      </c>
      <c r="J209" s="432">
        <v>19610.68</v>
      </c>
    </row>
    <row r="210" spans="1:10" ht="20.100000000000001" customHeight="1">
      <c r="A210" s="428" t="s">
        <v>375</v>
      </c>
      <c r="B210" s="494" t="s">
        <v>36</v>
      </c>
      <c r="C210" s="494"/>
      <c r="D210" s="494"/>
      <c r="E210" s="494"/>
      <c r="F210" s="494"/>
      <c r="G210" s="494"/>
      <c r="H210" s="494"/>
      <c r="I210" s="494"/>
      <c r="J210" s="429">
        <v>2593.17</v>
      </c>
    </row>
    <row r="211" spans="1:10">
      <c r="A211" s="430" t="s">
        <v>376</v>
      </c>
      <c r="B211" s="431" t="s">
        <v>38</v>
      </c>
      <c r="C211" s="431" t="s">
        <v>29</v>
      </c>
      <c r="D211" s="430" t="s">
        <v>39</v>
      </c>
      <c r="E211" s="431" t="s">
        <v>40</v>
      </c>
      <c r="F211" s="432">
        <v>524.27</v>
      </c>
      <c r="G211" s="432">
        <v>0.49</v>
      </c>
      <c r="H211" s="432">
        <v>17.57</v>
      </c>
      <c r="I211" s="432">
        <v>0.57999999999999996</v>
      </c>
      <c r="J211" s="432">
        <v>304.08</v>
      </c>
    </row>
    <row r="212" spans="1:10" ht="24">
      <c r="A212" s="430" t="s">
        <v>377</v>
      </c>
      <c r="B212" s="431" t="s">
        <v>42</v>
      </c>
      <c r="C212" s="431" t="s">
        <v>18</v>
      </c>
      <c r="D212" s="430" t="s">
        <v>43</v>
      </c>
      <c r="E212" s="431" t="s">
        <v>44</v>
      </c>
      <c r="F212" s="432">
        <v>8.2100000000000009</v>
      </c>
      <c r="G212" s="432">
        <v>212.24</v>
      </c>
      <c r="H212" s="432">
        <v>17.57</v>
      </c>
      <c r="I212" s="432">
        <v>249.53</v>
      </c>
      <c r="J212" s="432">
        <v>2048.64</v>
      </c>
    </row>
    <row r="213" spans="1:10" ht="48">
      <c r="A213" s="430" t="s">
        <v>378</v>
      </c>
      <c r="B213" s="431" t="s">
        <v>49</v>
      </c>
      <c r="C213" s="431" t="s">
        <v>18</v>
      </c>
      <c r="D213" s="430" t="s">
        <v>50</v>
      </c>
      <c r="E213" s="431" t="s">
        <v>44</v>
      </c>
      <c r="F213" s="432">
        <v>10.26</v>
      </c>
      <c r="G213" s="432">
        <v>2.9</v>
      </c>
      <c r="H213" s="432">
        <v>17.57</v>
      </c>
      <c r="I213" s="432">
        <v>3.41</v>
      </c>
      <c r="J213" s="432">
        <v>34.99</v>
      </c>
    </row>
    <row r="214" spans="1:10" ht="36">
      <c r="A214" s="430" t="s">
        <v>379</v>
      </c>
      <c r="B214" s="431" t="s">
        <v>52</v>
      </c>
      <c r="C214" s="431" t="s">
        <v>29</v>
      </c>
      <c r="D214" s="430" t="s">
        <v>53</v>
      </c>
      <c r="E214" s="431" t="s">
        <v>54</v>
      </c>
      <c r="F214" s="432">
        <v>76.95</v>
      </c>
      <c r="G214" s="432">
        <v>2.27</v>
      </c>
      <c r="H214" s="432">
        <v>17.57</v>
      </c>
      <c r="I214" s="432">
        <v>2.67</v>
      </c>
      <c r="J214" s="432">
        <v>205.46</v>
      </c>
    </row>
    <row r="215" spans="1:10" ht="20.100000000000001" customHeight="1">
      <c r="A215" s="428" t="s">
        <v>380</v>
      </c>
      <c r="B215" s="494" t="s">
        <v>381</v>
      </c>
      <c r="C215" s="494"/>
      <c r="D215" s="494"/>
      <c r="E215" s="494"/>
      <c r="F215" s="494"/>
      <c r="G215" s="494"/>
      <c r="H215" s="494"/>
      <c r="I215" s="494"/>
      <c r="J215" s="429">
        <v>84837.95</v>
      </c>
    </row>
    <row r="216" spans="1:10" ht="24">
      <c r="A216" s="430" t="s">
        <v>382</v>
      </c>
      <c r="B216" s="431" t="s">
        <v>58</v>
      </c>
      <c r="C216" s="431" t="s">
        <v>18</v>
      </c>
      <c r="D216" s="430" t="s">
        <v>59</v>
      </c>
      <c r="E216" s="431" t="s">
        <v>60</v>
      </c>
      <c r="F216" s="432">
        <v>2626.68</v>
      </c>
      <c r="G216" s="432">
        <v>2.59</v>
      </c>
      <c r="H216" s="432">
        <v>17.57</v>
      </c>
      <c r="I216" s="432">
        <v>3.05</v>
      </c>
      <c r="J216" s="432">
        <v>8011.37</v>
      </c>
    </row>
    <row r="217" spans="1:10" ht="48">
      <c r="A217" s="430" t="s">
        <v>383</v>
      </c>
      <c r="B217" s="431" t="s">
        <v>49</v>
      </c>
      <c r="C217" s="431" t="s">
        <v>18</v>
      </c>
      <c r="D217" s="430" t="s">
        <v>50</v>
      </c>
      <c r="E217" s="431" t="s">
        <v>44</v>
      </c>
      <c r="F217" s="432">
        <v>3272.73</v>
      </c>
      <c r="G217" s="432">
        <v>2.9</v>
      </c>
      <c r="H217" s="432">
        <v>17.57</v>
      </c>
      <c r="I217" s="432">
        <v>3.41</v>
      </c>
      <c r="J217" s="432">
        <v>11160.01</v>
      </c>
    </row>
    <row r="218" spans="1:10" ht="36">
      <c r="A218" s="430" t="s">
        <v>384</v>
      </c>
      <c r="B218" s="431" t="s">
        <v>52</v>
      </c>
      <c r="C218" s="431" t="s">
        <v>29</v>
      </c>
      <c r="D218" s="430" t="s">
        <v>53</v>
      </c>
      <c r="E218" s="431" t="s">
        <v>54</v>
      </c>
      <c r="F218" s="432">
        <v>24545.48</v>
      </c>
      <c r="G218" s="432">
        <v>2.27</v>
      </c>
      <c r="H218" s="432">
        <v>17.57</v>
      </c>
      <c r="I218" s="432">
        <v>2.67</v>
      </c>
      <c r="J218" s="432">
        <v>65536.429999999993</v>
      </c>
    </row>
    <row r="219" spans="1:10" ht="36">
      <c r="A219" s="430" t="s">
        <v>385</v>
      </c>
      <c r="B219" s="431" t="s">
        <v>292</v>
      </c>
      <c r="C219" s="431" t="s">
        <v>29</v>
      </c>
      <c r="D219" s="430" t="s">
        <v>293</v>
      </c>
      <c r="E219" s="431" t="s">
        <v>60</v>
      </c>
      <c r="F219" s="432">
        <v>8.5</v>
      </c>
      <c r="G219" s="432">
        <v>13.02</v>
      </c>
      <c r="H219" s="432">
        <v>17.57</v>
      </c>
      <c r="I219" s="432">
        <v>15.31</v>
      </c>
      <c r="J219" s="432">
        <v>130.13999999999999</v>
      </c>
    </row>
    <row r="220" spans="1:10" ht="20.100000000000001" customHeight="1">
      <c r="A220" s="428" t="s">
        <v>386</v>
      </c>
      <c r="B220" s="494" t="s">
        <v>11</v>
      </c>
      <c r="C220" s="494"/>
      <c r="D220" s="494"/>
      <c r="E220" s="494"/>
      <c r="F220" s="494"/>
      <c r="G220" s="494"/>
      <c r="H220" s="494"/>
      <c r="I220" s="494"/>
      <c r="J220" s="429">
        <v>234283.49</v>
      </c>
    </row>
    <row r="221" spans="1:10" ht="24">
      <c r="A221" s="430" t="s">
        <v>387</v>
      </c>
      <c r="B221" s="431" t="s">
        <v>65</v>
      </c>
      <c r="C221" s="431" t="s">
        <v>29</v>
      </c>
      <c r="D221" s="430" t="s">
        <v>66</v>
      </c>
      <c r="E221" s="431" t="s">
        <v>20</v>
      </c>
      <c r="F221" s="432">
        <v>4417.3999999999996</v>
      </c>
      <c r="G221" s="432">
        <v>2.79</v>
      </c>
      <c r="H221" s="432">
        <v>17.57</v>
      </c>
      <c r="I221" s="432">
        <v>3.28</v>
      </c>
      <c r="J221" s="432">
        <v>14489.07</v>
      </c>
    </row>
    <row r="222" spans="1:10" ht="24">
      <c r="A222" s="430" t="s">
        <v>388</v>
      </c>
      <c r="B222" s="431" t="s">
        <v>71</v>
      </c>
      <c r="C222" s="431" t="s">
        <v>18</v>
      </c>
      <c r="D222" s="430" t="s">
        <v>72</v>
      </c>
      <c r="E222" s="431" t="s">
        <v>73</v>
      </c>
      <c r="F222" s="432">
        <v>798.57</v>
      </c>
      <c r="G222" s="432">
        <v>11.4</v>
      </c>
      <c r="H222" s="432">
        <v>17.57</v>
      </c>
      <c r="I222" s="432">
        <v>13.4</v>
      </c>
      <c r="J222" s="432">
        <v>10700.84</v>
      </c>
    </row>
    <row r="223" spans="1:10" ht="36">
      <c r="A223" s="430" t="s">
        <v>389</v>
      </c>
      <c r="B223" s="431" t="s">
        <v>75</v>
      </c>
      <c r="C223" s="431" t="s">
        <v>18</v>
      </c>
      <c r="D223" s="430" t="s">
        <v>76</v>
      </c>
      <c r="E223" s="431" t="s">
        <v>60</v>
      </c>
      <c r="F223" s="432">
        <v>798.57</v>
      </c>
      <c r="G223" s="432">
        <v>14.44</v>
      </c>
      <c r="H223" s="432">
        <v>17.57</v>
      </c>
      <c r="I223" s="432">
        <v>16.98</v>
      </c>
      <c r="J223" s="432">
        <v>13559.72</v>
      </c>
    </row>
    <row r="224" spans="1:10" ht="48">
      <c r="A224" s="430" t="s">
        <v>390</v>
      </c>
      <c r="B224" s="431" t="s">
        <v>49</v>
      </c>
      <c r="C224" s="431" t="s">
        <v>18</v>
      </c>
      <c r="D224" s="430" t="s">
        <v>50</v>
      </c>
      <c r="E224" s="431" t="s">
        <v>44</v>
      </c>
      <c r="F224" s="432">
        <v>1996.43</v>
      </c>
      <c r="G224" s="432">
        <v>2.9</v>
      </c>
      <c r="H224" s="432">
        <v>17.57</v>
      </c>
      <c r="I224" s="432">
        <v>3.41</v>
      </c>
      <c r="J224" s="432">
        <v>6807.83</v>
      </c>
    </row>
    <row r="225" spans="1:10" ht="24">
      <c r="A225" s="430" t="s">
        <v>391</v>
      </c>
      <c r="B225" s="431" t="s">
        <v>79</v>
      </c>
      <c r="C225" s="431" t="s">
        <v>18</v>
      </c>
      <c r="D225" s="430" t="s">
        <v>80</v>
      </c>
      <c r="E225" s="431" t="s">
        <v>81</v>
      </c>
      <c r="F225" s="432">
        <v>14773.58</v>
      </c>
      <c r="G225" s="432">
        <v>1.37</v>
      </c>
      <c r="H225" s="432">
        <v>17.57</v>
      </c>
      <c r="I225" s="432">
        <v>1.61</v>
      </c>
      <c r="J225" s="432">
        <v>23785.46</v>
      </c>
    </row>
    <row r="226" spans="1:10" ht="48">
      <c r="A226" s="430" t="s">
        <v>392</v>
      </c>
      <c r="B226" s="431" t="s">
        <v>83</v>
      </c>
      <c r="C226" s="431" t="s">
        <v>18</v>
      </c>
      <c r="D226" s="430" t="s">
        <v>84</v>
      </c>
      <c r="E226" s="431" t="s">
        <v>20</v>
      </c>
      <c r="F226" s="432">
        <v>3992.83</v>
      </c>
      <c r="G226" s="432">
        <v>20.41</v>
      </c>
      <c r="H226" s="432">
        <v>17.57</v>
      </c>
      <c r="I226" s="432">
        <v>24</v>
      </c>
      <c r="J226" s="432">
        <v>95827.92</v>
      </c>
    </row>
    <row r="227" spans="1:10" ht="60">
      <c r="A227" s="430" t="s">
        <v>393</v>
      </c>
      <c r="B227" s="431" t="s">
        <v>104</v>
      </c>
      <c r="C227" s="431" t="s">
        <v>29</v>
      </c>
      <c r="D227" s="430" t="s">
        <v>105</v>
      </c>
      <c r="E227" s="431" t="s">
        <v>40</v>
      </c>
      <c r="F227" s="432">
        <v>1041.01</v>
      </c>
      <c r="G227" s="432">
        <v>56.47</v>
      </c>
      <c r="H227" s="432">
        <v>17.57</v>
      </c>
      <c r="I227" s="432">
        <v>66.39</v>
      </c>
      <c r="J227" s="432">
        <v>69112.649999999994</v>
      </c>
    </row>
    <row r="228" spans="1:10" ht="20.100000000000001" customHeight="1">
      <c r="A228" s="428" t="s">
        <v>394</v>
      </c>
      <c r="B228" s="494" t="s">
        <v>120</v>
      </c>
      <c r="C228" s="494"/>
      <c r="D228" s="494"/>
      <c r="E228" s="494"/>
      <c r="F228" s="494"/>
      <c r="G228" s="494"/>
      <c r="H228" s="494"/>
      <c r="I228" s="494"/>
      <c r="J228" s="429">
        <v>221037.63</v>
      </c>
    </row>
    <row r="229" spans="1:10" ht="24">
      <c r="A229" s="430" t="s">
        <v>395</v>
      </c>
      <c r="B229" s="431" t="s">
        <v>122</v>
      </c>
      <c r="C229" s="431" t="s">
        <v>29</v>
      </c>
      <c r="D229" s="430" t="s">
        <v>123</v>
      </c>
      <c r="E229" s="431" t="s">
        <v>60</v>
      </c>
      <c r="F229" s="432">
        <v>4.16</v>
      </c>
      <c r="G229" s="432">
        <v>78.319999999999993</v>
      </c>
      <c r="H229" s="432">
        <v>17.57</v>
      </c>
      <c r="I229" s="432">
        <v>92.08</v>
      </c>
      <c r="J229" s="432">
        <v>383.05</v>
      </c>
    </row>
    <row r="230" spans="1:10" ht="60">
      <c r="A230" s="430" t="s">
        <v>396</v>
      </c>
      <c r="B230" s="431" t="s">
        <v>314</v>
      </c>
      <c r="C230" s="431" t="s">
        <v>29</v>
      </c>
      <c r="D230" s="430" t="s">
        <v>315</v>
      </c>
      <c r="E230" s="431" t="s">
        <v>60</v>
      </c>
      <c r="F230" s="432">
        <v>37.32</v>
      </c>
      <c r="G230" s="432">
        <v>6.48</v>
      </c>
      <c r="H230" s="432">
        <v>17.57</v>
      </c>
      <c r="I230" s="432">
        <v>7.62</v>
      </c>
      <c r="J230" s="432">
        <v>284.38</v>
      </c>
    </row>
    <row r="231" spans="1:10" ht="60">
      <c r="A231" s="430" t="s">
        <v>397</v>
      </c>
      <c r="B231" s="431" t="s">
        <v>317</v>
      </c>
      <c r="C231" s="431" t="s">
        <v>29</v>
      </c>
      <c r="D231" s="430" t="s">
        <v>318</v>
      </c>
      <c r="E231" s="431" t="s">
        <v>60</v>
      </c>
      <c r="F231" s="432">
        <v>12.79</v>
      </c>
      <c r="G231" s="432">
        <v>23.75</v>
      </c>
      <c r="H231" s="432">
        <v>17.57</v>
      </c>
      <c r="I231" s="432">
        <v>27.92</v>
      </c>
      <c r="J231" s="432">
        <v>357.1</v>
      </c>
    </row>
    <row r="232" spans="1:10" ht="48">
      <c r="A232" s="430" t="s">
        <v>398</v>
      </c>
      <c r="B232" s="431" t="s">
        <v>49</v>
      </c>
      <c r="C232" s="431" t="s">
        <v>18</v>
      </c>
      <c r="D232" s="430" t="s">
        <v>50</v>
      </c>
      <c r="E232" s="431" t="s">
        <v>44</v>
      </c>
      <c r="F232" s="432">
        <v>30.66</v>
      </c>
      <c r="G232" s="432">
        <v>2.9</v>
      </c>
      <c r="H232" s="432">
        <v>17.57</v>
      </c>
      <c r="I232" s="432">
        <v>3.41</v>
      </c>
      <c r="J232" s="432">
        <v>104.55</v>
      </c>
    </row>
    <row r="233" spans="1:10" ht="36">
      <c r="A233" s="430" t="s">
        <v>399</v>
      </c>
      <c r="B233" s="431" t="s">
        <v>52</v>
      </c>
      <c r="C233" s="431" t="s">
        <v>29</v>
      </c>
      <c r="D233" s="430" t="s">
        <v>53</v>
      </c>
      <c r="E233" s="431" t="s">
        <v>54</v>
      </c>
      <c r="F233" s="432">
        <v>229.95</v>
      </c>
      <c r="G233" s="432">
        <v>2.27</v>
      </c>
      <c r="H233" s="432">
        <v>17.57</v>
      </c>
      <c r="I233" s="432">
        <v>2.67</v>
      </c>
      <c r="J233" s="432">
        <v>613.97</v>
      </c>
    </row>
    <row r="234" spans="1:10" ht="36">
      <c r="A234" s="430" t="s">
        <v>400</v>
      </c>
      <c r="B234" s="431" t="s">
        <v>128</v>
      </c>
      <c r="C234" s="431" t="s">
        <v>29</v>
      </c>
      <c r="D234" s="430" t="s">
        <v>129</v>
      </c>
      <c r="E234" s="431" t="s">
        <v>60</v>
      </c>
      <c r="F234" s="432">
        <v>58.88</v>
      </c>
      <c r="G234" s="432">
        <v>472.74</v>
      </c>
      <c r="H234" s="432">
        <v>17.57</v>
      </c>
      <c r="I234" s="432">
        <v>555.79999999999995</v>
      </c>
      <c r="J234" s="432">
        <v>32725.5</v>
      </c>
    </row>
    <row r="235" spans="1:10" ht="36">
      <c r="A235" s="430" t="s">
        <v>401</v>
      </c>
      <c r="B235" s="431" t="s">
        <v>134</v>
      </c>
      <c r="C235" s="431" t="s">
        <v>18</v>
      </c>
      <c r="D235" s="430" t="s">
        <v>135</v>
      </c>
      <c r="E235" s="431" t="s">
        <v>136</v>
      </c>
      <c r="F235" s="432">
        <v>52.02</v>
      </c>
      <c r="G235" s="432">
        <v>65.25</v>
      </c>
      <c r="H235" s="432">
        <v>17.57</v>
      </c>
      <c r="I235" s="432">
        <v>76.709999999999994</v>
      </c>
      <c r="J235" s="432">
        <v>3990.45</v>
      </c>
    </row>
    <row r="236" spans="1:10" ht="24">
      <c r="A236" s="430" t="s">
        <v>402</v>
      </c>
      <c r="B236" s="431" t="s">
        <v>125</v>
      </c>
      <c r="C236" s="431" t="s">
        <v>29</v>
      </c>
      <c r="D236" s="430" t="s">
        <v>126</v>
      </c>
      <c r="E236" s="431" t="s">
        <v>60</v>
      </c>
      <c r="F236" s="432">
        <v>45.06</v>
      </c>
      <c r="G236" s="432">
        <v>436.13</v>
      </c>
      <c r="H236" s="432">
        <v>17.57</v>
      </c>
      <c r="I236" s="432">
        <v>512.76</v>
      </c>
      <c r="J236" s="432">
        <v>23104.97</v>
      </c>
    </row>
    <row r="237" spans="1:10" ht="36">
      <c r="A237" s="430" t="s">
        <v>403</v>
      </c>
      <c r="B237" s="431" t="s">
        <v>326</v>
      </c>
      <c r="C237" s="431" t="s">
        <v>29</v>
      </c>
      <c r="D237" s="430" t="s">
        <v>327</v>
      </c>
      <c r="E237" s="431" t="s">
        <v>328</v>
      </c>
      <c r="F237" s="432">
        <v>3532.04</v>
      </c>
      <c r="G237" s="432">
        <v>15.14</v>
      </c>
      <c r="H237" s="432">
        <v>17.57</v>
      </c>
      <c r="I237" s="432">
        <v>17.8</v>
      </c>
      <c r="J237" s="432">
        <v>62870.31</v>
      </c>
    </row>
    <row r="238" spans="1:10" ht="48">
      <c r="A238" s="430" t="s">
        <v>404</v>
      </c>
      <c r="B238" s="431" t="s">
        <v>330</v>
      </c>
      <c r="C238" s="431" t="s">
        <v>18</v>
      </c>
      <c r="D238" s="430" t="s">
        <v>331</v>
      </c>
      <c r="E238" s="431" t="s">
        <v>20</v>
      </c>
      <c r="F238" s="432">
        <v>246.73</v>
      </c>
      <c r="G238" s="432">
        <v>1.1000000000000001</v>
      </c>
      <c r="H238" s="432">
        <v>17.57</v>
      </c>
      <c r="I238" s="432">
        <v>1.29</v>
      </c>
      <c r="J238" s="432">
        <v>318.27999999999997</v>
      </c>
    </row>
    <row r="239" spans="1:10" ht="36">
      <c r="A239" s="430" t="s">
        <v>405</v>
      </c>
      <c r="B239" s="431" t="s">
        <v>333</v>
      </c>
      <c r="C239" s="431" t="s">
        <v>29</v>
      </c>
      <c r="D239" s="430" t="s">
        <v>334</v>
      </c>
      <c r="E239" s="431" t="s">
        <v>20</v>
      </c>
      <c r="F239" s="432">
        <v>345.01</v>
      </c>
      <c r="G239" s="432">
        <v>105.62</v>
      </c>
      <c r="H239" s="432">
        <v>17.57</v>
      </c>
      <c r="I239" s="432">
        <v>124.18</v>
      </c>
      <c r="J239" s="432">
        <v>42843.34</v>
      </c>
    </row>
    <row r="240" spans="1:10" ht="36">
      <c r="A240" s="430" t="s">
        <v>406</v>
      </c>
      <c r="B240" s="431" t="s">
        <v>336</v>
      </c>
      <c r="C240" s="431" t="s">
        <v>29</v>
      </c>
      <c r="D240" s="430" t="s">
        <v>337</v>
      </c>
      <c r="E240" s="431" t="s">
        <v>20</v>
      </c>
      <c r="F240" s="432">
        <v>345.01</v>
      </c>
      <c r="G240" s="432">
        <v>4.0999999999999996</v>
      </c>
      <c r="H240" s="432">
        <v>17.57</v>
      </c>
      <c r="I240" s="432">
        <v>4.82</v>
      </c>
      <c r="J240" s="432">
        <v>1662.95</v>
      </c>
    </row>
    <row r="241" spans="1:10" ht="48">
      <c r="A241" s="430" t="s">
        <v>407</v>
      </c>
      <c r="B241" s="431" t="s">
        <v>339</v>
      </c>
      <c r="C241" s="431" t="s">
        <v>29</v>
      </c>
      <c r="D241" s="430" t="s">
        <v>340</v>
      </c>
      <c r="E241" s="431" t="s">
        <v>20</v>
      </c>
      <c r="F241" s="432">
        <v>345.01</v>
      </c>
      <c r="G241" s="432">
        <v>24.83</v>
      </c>
      <c r="H241" s="432">
        <v>17.57</v>
      </c>
      <c r="I241" s="432">
        <v>29.19</v>
      </c>
      <c r="J241" s="432">
        <v>10070.84</v>
      </c>
    </row>
    <row r="242" spans="1:10" ht="24">
      <c r="A242" s="430" t="s">
        <v>408</v>
      </c>
      <c r="B242" s="431" t="s">
        <v>342</v>
      </c>
      <c r="C242" s="431" t="s">
        <v>29</v>
      </c>
      <c r="D242" s="430" t="s">
        <v>343</v>
      </c>
      <c r="E242" s="431" t="s">
        <v>60</v>
      </c>
      <c r="F242" s="432">
        <v>36.69</v>
      </c>
      <c r="G242" s="432">
        <v>469.42</v>
      </c>
      <c r="H242" s="432">
        <v>17.57</v>
      </c>
      <c r="I242" s="432">
        <v>551.9</v>
      </c>
      <c r="J242" s="432">
        <v>20249.21</v>
      </c>
    </row>
    <row r="243" spans="1:10" ht="24">
      <c r="A243" s="430" t="s">
        <v>409</v>
      </c>
      <c r="B243" s="431" t="s">
        <v>131</v>
      </c>
      <c r="C243" s="431" t="s">
        <v>18</v>
      </c>
      <c r="D243" s="430" t="s">
        <v>132</v>
      </c>
      <c r="E243" s="431" t="s">
        <v>60</v>
      </c>
      <c r="F243" s="432">
        <v>140.63</v>
      </c>
      <c r="G243" s="432">
        <v>129.79</v>
      </c>
      <c r="H243" s="432">
        <v>17.57</v>
      </c>
      <c r="I243" s="432">
        <v>152.59</v>
      </c>
      <c r="J243" s="432">
        <v>21458.73</v>
      </c>
    </row>
    <row r="244" spans="1:10" ht="20.100000000000001" customHeight="1">
      <c r="A244" s="428" t="s">
        <v>410</v>
      </c>
      <c r="B244" s="494" t="s">
        <v>138</v>
      </c>
      <c r="C244" s="494"/>
      <c r="D244" s="494"/>
      <c r="E244" s="494"/>
      <c r="F244" s="494"/>
      <c r="G244" s="494"/>
      <c r="H244" s="494"/>
      <c r="I244" s="494"/>
      <c r="J244" s="429">
        <v>4432.12</v>
      </c>
    </row>
    <row r="245" spans="1:10">
      <c r="A245" s="430" t="s">
        <v>411</v>
      </c>
      <c r="B245" s="431" t="s">
        <v>145</v>
      </c>
      <c r="C245" s="431" t="s">
        <v>141</v>
      </c>
      <c r="D245" s="430" t="s">
        <v>146</v>
      </c>
      <c r="E245" s="431" t="s">
        <v>143</v>
      </c>
      <c r="F245" s="432">
        <v>5.4</v>
      </c>
      <c r="G245" s="432">
        <v>347.25</v>
      </c>
      <c r="H245" s="432">
        <v>17.57</v>
      </c>
      <c r="I245" s="432">
        <v>408.26</v>
      </c>
      <c r="J245" s="432">
        <v>2204.6</v>
      </c>
    </row>
    <row r="246" spans="1:10" ht="24">
      <c r="A246" s="430" t="s">
        <v>412</v>
      </c>
      <c r="B246" s="431" t="s">
        <v>148</v>
      </c>
      <c r="C246" s="431" t="s">
        <v>141</v>
      </c>
      <c r="D246" s="430" t="s">
        <v>149</v>
      </c>
      <c r="E246" s="431" t="s">
        <v>150</v>
      </c>
      <c r="F246" s="432">
        <v>12</v>
      </c>
      <c r="G246" s="432">
        <v>121.48</v>
      </c>
      <c r="H246" s="432">
        <v>17.57</v>
      </c>
      <c r="I246" s="432">
        <v>142.82</v>
      </c>
      <c r="J246" s="432">
        <v>1713.84</v>
      </c>
    </row>
    <row r="247" spans="1:10" ht="24">
      <c r="A247" s="430" t="s">
        <v>413</v>
      </c>
      <c r="B247" s="431" t="s">
        <v>152</v>
      </c>
      <c r="C247" s="431" t="s">
        <v>18</v>
      </c>
      <c r="D247" s="430" t="s">
        <v>153</v>
      </c>
      <c r="E247" s="431" t="s">
        <v>154</v>
      </c>
      <c r="F247" s="432">
        <v>2</v>
      </c>
      <c r="G247" s="432">
        <v>156.33000000000001</v>
      </c>
      <c r="H247" s="432">
        <v>17.57</v>
      </c>
      <c r="I247" s="432">
        <v>183.8</v>
      </c>
      <c r="J247" s="432">
        <v>367.6</v>
      </c>
    </row>
    <row r="248" spans="1:10" ht="24">
      <c r="A248" s="430" t="s">
        <v>414</v>
      </c>
      <c r="B248" s="431" t="s">
        <v>156</v>
      </c>
      <c r="C248" s="431" t="s">
        <v>18</v>
      </c>
      <c r="D248" s="430" t="s">
        <v>157</v>
      </c>
      <c r="E248" s="431" t="s">
        <v>20</v>
      </c>
      <c r="F248" s="432">
        <v>6.12</v>
      </c>
      <c r="G248" s="432">
        <v>20.3</v>
      </c>
      <c r="H248" s="432">
        <v>17.57</v>
      </c>
      <c r="I248" s="432">
        <v>23.87</v>
      </c>
      <c r="J248" s="432">
        <v>146.08000000000001</v>
      </c>
    </row>
    <row r="249" spans="1:10" ht="20.100000000000001" customHeight="1">
      <c r="A249" s="428" t="s">
        <v>415</v>
      </c>
      <c r="B249" s="494" t="s">
        <v>170</v>
      </c>
      <c r="C249" s="494"/>
      <c r="D249" s="494"/>
      <c r="E249" s="494"/>
      <c r="F249" s="494"/>
      <c r="G249" s="494"/>
      <c r="H249" s="494"/>
      <c r="I249" s="494"/>
      <c r="J249" s="429">
        <v>419230.56</v>
      </c>
    </row>
    <row r="250" spans="1:10" ht="48">
      <c r="A250" s="430" t="s">
        <v>416</v>
      </c>
      <c r="B250" s="431" t="s">
        <v>172</v>
      </c>
      <c r="C250" s="431" t="s">
        <v>29</v>
      </c>
      <c r="D250" s="430" t="s">
        <v>173</v>
      </c>
      <c r="E250" s="431" t="s">
        <v>31</v>
      </c>
      <c r="F250" s="432">
        <v>5</v>
      </c>
      <c r="G250" s="432">
        <v>830</v>
      </c>
      <c r="H250" s="432">
        <v>10.07</v>
      </c>
      <c r="I250" s="432">
        <v>913.58</v>
      </c>
      <c r="J250" s="432">
        <v>4567.8999999999996</v>
      </c>
    </row>
    <row r="251" spans="1:10" ht="36">
      <c r="A251" s="430" t="s">
        <v>417</v>
      </c>
      <c r="B251" s="431" t="s">
        <v>175</v>
      </c>
      <c r="C251" s="431" t="s">
        <v>29</v>
      </c>
      <c r="D251" s="430" t="s">
        <v>176</v>
      </c>
      <c r="E251" s="431" t="s">
        <v>31</v>
      </c>
      <c r="F251" s="432">
        <v>5</v>
      </c>
      <c r="G251" s="432">
        <v>648.42999999999995</v>
      </c>
      <c r="H251" s="432">
        <v>10.07</v>
      </c>
      <c r="I251" s="432">
        <v>713.73</v>
      </c>
      <c r="J251" s="432">
        <v>3568.65</v>
      </c>
    </row>
    <row r="252" spans="1:10" ht="48">
      <c r="A252" s="430" t="s">
        <v>418</v>
      </c>
      <c r="B252" s="431" t="s">
        <v>178</v>
      </c>
      <c r="C252" s="431" t="s">
        <v>29</v>
      </c>
      <c r="D252" s="430" t="s">
        <v>179</v>
      </c>
      <c r="E252" s="431" t="s">
        <v>20</v>
      </c>
      <c r="F252" s="432">
        <v>2746.87</v>
      </c>
      <c r="G252" s="432">
        <v>49</v>
      </c>
      <c r="H252" s="432">
        <v>10.07</v>
      </c>
      <c r="I252" s="432">
        <v>53.93</v>
      </c>
      <c r="J252" s="432">
        <v>148138.70000000001</v>
      </c>
    </row>
    <row r="253" spans="1:10" ht="48">
      <c r="A253" s="430" t="s">
        <v>419</v>
      </c>
      <c r="B253" s="431" t="s">
        <v>181</v>
      </c>
      <c r="C253" s="431" t="s">
        <v>29</v>
      </c>
      <c r="D253" s="430" t="s">
        <v>182</v>
      </c>
      <c r="E253" s="431" t="s">
        <v>20</v>
      </c>
      <c r="F253" s="432">
        <v>1298.27</v>
      </c>
      <c r="G253" s="432">
        <v>53.92</v>
      </c>
      <c r="H253" s="432">
        <v>10.07</v>
      </c>
      <c r="I253" s="432">
        <v>59.35</v>
      </c>
      <c r="J253" s="432">
        <v>77052.320000000007</v>
      </c>
    </row>
    <row r="254" spans="1:10" ht="24">
      <c r="A254" s="430" t="s">
        <v>420</v>
      </c>
      <c r="B254" s="431" t="s">
        <v>188</v>
      </c>
      <c r="C254" s="431" t="s">
        <v>18</v>
      </c>
      <c r="D254" s="430" t="s">
        <v>189</v>
      </c>
      <c r="E254" s="431" t="s">
        <v>44</v>
      </c>
      <c r="F254" s="432">
        <v>798.57</v>
      </c>
      <c r="G254" s="432">
        <v>56.1</v>
      </c>
      <c r="H254" s="432">
        <v>10.07</v>
      </c>
      <c r="I254" s="432">
        <v>61.75</v>
      </c>
      <c r="J254" s="432">
        <v>49311.7</v>
      </c>
    </row>
    <row r="255" spans="1:10">
      <c r="A255" s="430" t="s">
        <v>421</v>
      </c>
      <c r="B255" s="431" t="s">
        <v>191</v>
      </c>
      <c r="C255" s="431" t="s">
        <v>141</v>
      </c>
      <c r="D255" s="430" t="s">
        <v>192</v>
      </c>
      <c r="E255" s="431" t="s">
        <v>73</v>
      </c>
      <c r="F255" s="432">
        <v>1006.2</v>
      </c>
      <c r="G255" s="432">
        <v>90.74</v>
      </c>
      <c r="H255" s="432">
        <v>10.07</v>
      </c>
      <c r="I255" s="432">
        <v>99.88</v>
      </c>
      <c r="J255" s="432">
        <v>100499.26</v>
      </c>
    </row>
    <row r="256" spans="1:10">
      <c r="A256" s="430" t="s">
        <v>422</v>
      </c>
      <c r="B256" s="431" t="s">
        <v>194</v>
      </c>
      <c r="C256" s="431" t="s">
        <v>141</v>
      </c>
      <c r="D256" s="430" t="s">
        <v>195</v>
      </c>
      <c r="E256" s="431" t="s">
        <v>73</v>
      </c>
      <c r="F256" s="432">
        <v>111.8</v>
      </c>
      <c r="G256" s="432">
        <v>74.53</v>
      </c>
      <c r="H256" s="432">
        <v>10.07</v>
      </c>
      <c r="I256" s="432">
        <v>82.04</v>
      </c>
      <c r="J256" s="432">
        <v>9172.07</v>
      </c>
    </row>
    <row r="257" spans="1:10" ht="36">
      <c r="A257" s="430" t="s">
        <v>423</v>
      </c>
      <c r="B257" s="431" t="s">
        <v>365</v>
      </c>
      <c r="C257" s="431" t="s">
        <v>29</v>
      </c>
      <c r="D257" s="430" t="s">
        <v>366</v>
      </c>
      <c r="E257" s="431" t="s">
        <v>20</v>
      </c>
      <c r="F257" s="432">
        <v>259.07</v>
      </c>
      <c r="G257" s="432">
        <v>94.4</v>
      </c>
      <c r="H257" s="432">
        <v>10.07</v>
      </c>
      <c r="I257" s="432">
        <v>103.91</v>
      </c>
      <c r="J257" s="432">
        <v>26919.96</v>
      </c>
    </row>
    <row r="258" spans="1:10" ht="20.100000000000001" customHeight="1">
      <c r="A258" s="428" t="s">
        <v>424</v>
      </c>
      <c r="B258" s="494" t="s">
        <v>425</v>
      </c>
      <c r="C258" s="494"/>
      <c r="D258" s="494"/>
      <c r="E258" s="494"/>
      <c r="F258" s="494"/>
      <c r="G258" s="494"/>
      <c r="H258" s="494"/>
      <c r="I258" s="494"/>
      <c r="J258" s="429">
        <v>342941.99</v>
      </c>
    </row>
    <row r="259" spans="1:10" ht="20.100000000000001" customHeight="1">
      <c r="A259" s="428" t="s">
        <v>426</v>
      </c>
      <c r="B259" s="494" t="s">
        <v>15</v>
      </c>
      <c r="C259" s="494"/>
      <c r="D259" s="494"/>
      <c r="E259" s="494"/>
      <c r="F259" s="494"/>
      <c r="G259" s="494"/>
      <c r="H259" s="494"/>
      <c r="I259" s="494"/>
      <c r="J259" s="429">
        <v>7783.05</v>
      </c>
    </row>
    <row r="260" spans="1:10" ht="24">
      <c r="A260" s="430" t="s">
        <v>427</v>
      </c>
      <c r="B260" s="431" t="s">
        <v>17</v>
      </c>
      <c r="C260" s="431" t="s">
        <v>18</v>
      </c>
      <c r="D260" s="430" t="s">
        <v>19</v>
      </c>
      <c r="E260" s="431" t="s">
        <v>20</v>
      </c>
      <c r="F260" s="432">
        <v>8</v>
      </c>
      <c r="G260" s="432">
        <v>564.99</v>
      </c>
      <c r="H260" s="432">
        <v>17.57</v>
      </c>
      <c r="I260" s="432">
        <v>664.26</v>
      </c>
      <c r="J260" s="432">
        <v>5314.08</v>
      </c>
    </row>
    <row r="261" spans="1:10" ht="24">
      <c r="A261" s="430" t="s">
        <v>428</v>
      </c>
      <c r="B261" s="431" t="s">
        <v>22</v>
      </c>
      <c r="C261" s="431" t="s">
        <v>18</v>
      </c>
      <c r="D261" s="430" t="s">
        <v>23</v>
      </c>
      <c r="E261" s="431" t="s">
        <v>24</v>
      </c>
      <c r="F261" s="432">
        <v>3</v>
      </c>
      <c r="G261" s="432">
        <v>700</v>
      </c>
      <c r="H261" s="432">
        <v>17.57</v>
      </c>
      <c r="I261" s="432">
        <v>822.99</v>
      </c>
      <c r="J261" s="432">
        <v>2468.9699999999998</v>
      </c>
    </row>
    <row r="262" spans="1:10" ht="20.100000000000001" customHeight="1">
      <c r="A262" s="428" t="s">
        <v>429</v>
      </c>
      <c r="B262" s="494" t="s">
        <v>26</v>
      </c>
      <c r="C262" s="494"/>
      <c r="D262" s="494"/>
      <c r="E262" s="494"/>
      <c r="F262" s="494"/>
      <c r="G262" s="494"/>
      <c r="H262" s="494"/>
      <c r="I262" s="494"/>
      <c r="J262" s="429">
        <v>16378.25</v>
      </c>
    </row>
    <row r="263" spans="1:10" ht="24">
      <c r="A263" s="430" t="s">
        <v>430</v>
      </c>
      <c r="B263" s="431" t="s">
        <v>28</v>
      </c>
      <c r="C263" s="431" t="s">
        <v>29</v>
      </c>
      <c r="D263" s="430" t="s">
        <v>30</v>
      </c>
      <c r="E263" s="431" t="s">
        <v>31</v>
      </c>
      <c r="F263" s="432">
        <v>0.38</v>
      </c>
      <c r="G263" s="432">
        <v>16819.14</v>
      </c>
      <c r="H263" s="432">
        <v>17.57</v>
      </c>
      <c r="I263" s="432">
        <v>19774.259999999998</v>
      </c>
      <c r="J263" s="432">
        <v>7514.22</v>
      </c>
    </row>
    <row r="264" spans="1:10" ht="24">
      <c r="A264" s="430" t="s">
        <v>431</v>
      </c>
      <c r="B264" s="431" t="s">
        <v>33</v>
      </c>
      <c r="C264" s="431" t="s">
        <v>29</v>
      </c>
      <c r="D264" s="430" t="s">
        <v>34</v>
      </c>
      <c r="E264" s="431" t="s">
        <v>31</v>
      </c>
      <c r="F264" s="432">
        <v>1.1299999999999999</v>
      </c>
      <c r="G264" s="432">
        <v>6672</v>
      </c>
      <c r="H264" s="432">
        <v>17.57</v>
      </c>
      <c r="I264" s="432">
        <v>7844.27</v>
      </c>
      <c r="J264" s="432">
        <v>8864.0300000000007</v>
      </c>
    </row>
    <row r="265" spans="1:10" ht="20.100000000000001" customHeight="1">
      <c r="A265" s="428" t="s">
        <v>432</v>
      </c>
      <c r="B265" s="494" t="s">
        <v>36</v>
      </c>
      <c r="C265" s="494"/>
      <c r="D265" s="494"/>
      <c r="E265" s="494"/>
      <c r="F265" s="494"/>
      <c r="G265" s="494"/>
      <c r="H265" s="494"/>
      <c r="I265" s="494"/>
      <c r="J265" s="429">
        <v>5203.0200000000004</v>
      </c>
    </row>
    <row r="266" spans="1:10">
      <c r="A266" s="430" t="s">
        <v>433</v>
      </c>
      <c r="B266" s="431" t="s">
        <v>38</v>
      </c>
      <c r="C266" s="431" t="s">
        <v>29</v>
      </c>
      <c r="D266" s="430" t="s">
        <v>39</v>
      </c>
      <c r="E266" s="431" t="s">
        <v>40</v>
      </c>
      <c r="F266" s="432">
        <v>246.96</v>
      </c>
      <c r="G266" s="432">
        <v>0.49</v>
      </c>
      <c r="H266" s="432">
        <v>17.57</v>
      </c>
      <c r="I266" s="432">
        <v>0.57999999999999996</v>
      </c>
      <c r="J266" s="432">
        <v>143.24</v>
      </c>
    </row>
    <row r="267" spans="1:10" ht="24">
      <c r="A267" s="430" t="s">
        <v>434</v>
      </c>
      <c r="B267" s="431" t="s">
        <v>42</v>
      </c>
      <c r="C267" s="431" t="s">
        <v>18</v>
      </c>
      <c r="D267" s="430" t="s">
        <v>43</v>
      </c>
      <c r="E267" s="431" t="s">
        <v>44</v>
      </c>
      <c r="F267" s="432">
        <v>18.059999999999999</v>
      </c>
      <c r="G267" s="432">
        <v>212.24</v>
      </c>
      <c r="H267" s="432">
        <v>17.57</v>
      </c>
      <c r="I267" s="432">
        <v>249.53</v>
      </c>
      <c r="J267" s="432">
        <v>4506.51</v>
      </c>
    </row>
    <row r="268" spans="1:10" ht="48">
      <c r="A268" s="430" t="s">
        <v>435</v>
      </c>
      <c r="B268" s="431" t="s">
        <v>49</v>
      </c>
      <c r="C268" s="431" t="s">
        <v>18</v>
      </c>
      <c r="D268" s="430" t="s">
        <v>50</v>
      </c>
      <c r="E268" s="431" t="s">
        <v>44</v>
      </c>
      <c r="F268" s="432">
        <v>22.58</v>
      </c>
      <c r="G268" s="432">
        <v>2.9</v>
      </c>
      <c r="H268" s="432">
        <v>17.57</v>
      </c>
      <c r="I268" s="432">
        <v>3.41</v>
      </c>
      <c r="J268" s="432">
        <v>77</v>
      </c>
    </row>
    <row r="269" spans="1:10" ht="36">
      <c r="A269" s="430" t="s">
        <v>436</v>
      </c>
      <c r="B269" s="431" t="s">
        <v>52</v>
      </c>
      <c r="C269" s="431" t="s">
        <v>29</v>
      </c>
      <c r="D269" s="430" t="s">
        <v>53</v>
      </c>
      <c r="E269" s="431" t="s">
        <v>54</v>
      </c>
      <c r="F269" s="432">
        <v>178.38</v>
      </c>
      <c r="G269" s="432">
        <v>2.27</v>
      </c>
      <c r="H269" s="432">
        <v>17.57</v>
      </c>
      <c r="I269" s="432">
        <v>2.67</v>
      </c>
      <c r="J269" s="432">
        <v>476.27</v>
      </c>
    </row>
    <row r="270" spans="1:10" ht="20.100000000000001" customHeight="1">
      <c r="A270" s="428" t="s">
        <v>437</v>
      </c>
      <c r="B270" s="494" t="s">
        <v>381</v>
      </c>
      <c r="C270" s="494"/>
      <c r="D270" s="494"/>
      <c r="E270" s="494"/>
      <c r="F270" s="494"/>
      <c r="G270" s="494"/>
      <c r="H270" s="494"/>
      <c r="I270" s="494"/>
      <c r="J270" s="429">
        <v>19653</v>
      </c>
    </row>
    <row r="271" spans="1:10" ht="24">
      <c r="A271" s="430" t="s">
        <v>438</v>
      </c>
      <c r="B271" s="431" t="s">
        <v>58</v>
      </c>
      <c r="C271" s="431" t="s">
        <v>18</v>
      </c>
      <c r="D271" s="430" t="s">
        <v>59</v>
      </c>
      <c r="E271" s="431" t="s">
        <v>60</v>
      </c>
      <c r="F271" s="432">
        <v>585.77</v>
      </c>
      <c r="G271" s="432">
        <v>2.59</v>
      </c>
      <c r="H271" s="432">
        <v>17.57</v>
      </c>
      <c r="I271" s="432">
        <v>3.05</v>
      </c>
      <c r="J271" s="432">
        <v>1786.6</v>
      </c>
    </row>
    <row r="272" spans="1:10" ht="48">
      <c r="A272" s="430" t="s">
        <v>439</v>
      </c>
      <c r="B272" s="431" t="s">
        <v>49</v>
      </c>
      <c r="C272" s="431" t="s">
        <v>18</v>
      </c>
      <c r="D272" s="430" t="s">
        <v>50</v>
      </c>
      <c r="E272" s="431" t="s">
        <v>44</v>
      </c>
      <c r="F272" s="432">
        <v>726.09</v>
      </c>
      <c r="G272" s="432">
        <v>2.9</v>
      </c>
      <c r="H272" s="432">
        <v>17.57</v>
      </c>
      <c r="I272" s="432">
        <v>3.41</v>
      </c>
      <c r="J272" s="432">
        <v>2475.9699999999998</v>
      </c>
    </row>
    <row r="273" spans="1:10" ht="36">
      <c r="A273" s="430" t="s">
        <v>440</v>
      </c>
      <c r="B273" s="431" t="s">
        <v>52</v>
      </c>
      <c r="C273" s="431" t="s">
        <v>29</v>
      </c>
      <c r="D273" s="430" t="s">
        <v>53</v>
      </c>
      <c r="E273" s="431" t="s">
        <v>54</v>
      </c>
      <c r="F273" s="432">
        <v>5736.11</v>
      </c>
      <c r="G273" s="432">
        <v>2.27</v>
      </c>
      <c r="H273" s="432">
        <v>17.57</v>
      </c>
      <c r="I273" s="432">
        <v>2.67</v>
      </c>
      <c r="J273" s="432">
        <v>15315.41</v>
      </c>
    </row>
    <row r="274" spans="1:10" ht="36">
      <c r="A274" s="430" t="s">
        <v>441</v>
      </c>
      <c r="B274" s="431" t="s">
        <v>292</v>
      </c>
      <c r="C274" s="431" t="s">
        <v>29</v>
      </c>
      <c r="D274" s="430" t="s">
        <v>293</v>
      </c>
      <c r="E274" s="431" t="s">
        <v>60</v>
      </c>
      <c r="F274" s="432">
        <v>4.9000000000000004</v>
      </c>
      <c r="G274" s="432">
        <v>13.02</v>
      </c>
      <c r="H274" s="432">
        <v>17.57</v>
      </c>
      <c r="I274" s="432">
        <v>15.31</v>
      </c>
      <c r="J274" s="432">
        <v>75.02</v>
      </c>
    </row>
    <row r="275" spans="1:10" ht="20.100000000000001" customHeight="1">
      <c r="A275" s="428" t="s">
        <v>442</v>
      </c>
      <c r="B275" s="494" t="s">
        <v>11</v>
      </c>
      <c r="C275" s="494"/>
      <c r="D275" s="494"/>
      <c r="E275" s="494"/>
      <c r="F275" s="494"/>
      <c r="G275" s="494"/>
      <c r="H275" s="494"/>
      <c r="I275" s="494"/>
      <c r="J275" s="429">
        <v>80528.63</v>
      </c>
    </row>
    <row r="276" spans="1:10" ht="24">
      <c r="A276" s="430" t="s">
        <v>443</v>
      </c>
      <c r="B276" s="431" t="s">
        <v>65</v>
      </c>
      <c r="C276" s="431" t="s">
        <v>29</v>
      </c>
      <c r="D276" s="430" t="s">
        <v>66</v>
      </c>
      <c r="E276" s="431" t="s">
        <v>20</v>
      </c>
      <c r="F276" s="432">
        <v>1828.39</v>
      </c>
      <c r="G276" s="432">
        <v>2.79</v>
      </c>
      <c r="H276" s="432">
        <v>17.57</v>
      </c>
      <c r="I276" s="432">
        <v>3.28</v>
      </c>
      <c r="J276" s="432">
        <v>5997.12</v>
      </c>
    </row>
    <row r="277" spans="1:10" ht="24">
      <c r="A277" s="430" t="s">
        <v>444</v>
      </c>
      <c r="B277" s="431" t="s">
        <v>71</v>
      </c>
      <c r="C277" s="431" t="s">
        <v>18</v>
      </c>
      <c r="D277" s="430" t="s">
        <v>72</v>
      </c>
      <c r="E277" s="431" t="s">
        <v>73</v>
      </c>
      <c r="F277" s="432">
        <v>75.06</v>
      </c>
      <c r="G277" s="432">
        <v>11.4</v>
      </c>
      <c r="H277" s="432">
        <v>17.57</v>
      </c>
      <c r="I277" s="432">
        <v>13.4</v>
      </c>
      <c r="J277" s="432">
        <v>1005.8</v>
      </c>
    </row>
    <row r="278" spans="1:10" ht="36">
      <c r="A278" s="430" t="s">
        <v>445</v>
      </c>
      <c r="B278" s="431" t="s">
        <v>75</v>
      </c>
      <c r="C278" s="431" t="s">
        <v>18</v>
      </c>
      <c r="D278" s="430" t="s">
        <v>76</v>
      </c>
      <c r="E278" s="431" t="s">
        <v>60</v>
      </c>
      <c r="F278" s="432">
        <v>351.38</v>
      </c>
      <c r="G278" s="432">
        <v>14.44</v>
      </c>
      <c r="H278" s="432">
        <v>17.57</v>
      </c>
      <c r="I278" s="432">
        <v>16.98</v>
      </c>
      <c r="J278" s="432">
        <v>5966.43</v>
      </c>
    </row>
    <row r="279" spans="1:10" ht="48">
      <c r="A279" s="430" t="s">
        <v>446</v>
      </c>
      <c r="B279" s="431" t="s">
        <v>49</v>
      </c>
      <c r="C279" s="431" t="s">
        <v>18</v>
      </c>
      <c r="D279" s="430" t="s">
        <v>50</v>
      </c>
      <c r="E279" s="431" t="s">
        <v>44</v>
      </c>
      <c r="F279" s="432">
        <v>533.04999999999995</v>
      </c>
      <c r="G279" s="432">
        <v>2.9</v>
      </c>
      <c r="H279" s="432">
        <v>17.57</v>
      </c>
      <c r="I279" s="432">
        <v>3.41</v>
      </c>
      <c r="J279" s="432">
        <v>1817.7</v>
      </c>
    </row>
    <row r="280" spans="1:10" ht="24">
      <c r="A280" s="430" t="s">
        <v>447</v>
      </c>
      <c r="B280" s="431" t="s">
        <v>79</v>
      </c>
      <c r="C280" s="431" t="s">
        <v>18</v>
      </c>
      <c r="D280" s="430" t="s">
        <v>80</v>
      </c>
      <c r="E280" s="431" t="s">
        <v>81</v>
      </c>
      <c r="F280" s="432">
        <v>2985.08</v>
      </c>
      <c r="G280" s="432">
        <v>1.37</v>
      </c>
      <c r="H280" s="432">
        <v>17.57</v>
      </c>
      <c r="I280" s="432">
        <v>1.61</v>
      </c>
      <c r="J280" s="432">
        <v>4805.9799999999996</v>
      </c>
    </row>
    <row r="281" spans="1:10" ht="48">
      <c r="A281" s="430" t="s">
        <v>448</v>
      </c>
      <c r="B281" s="431" t="s">
        <v>83</v>
      </c>
      <c r="C281" s="431" t="s">
        <v>18</v>
      </c>
      <c r="D281" s="430" t="s">
        <v>84</v>
      </c>
      <c r="E281" s="431" t="s">
        <v>20</v>
      </c>
      <c r="F281" s="432">
        <v>1327.96</v>
      </c>
      <c r="G281" s="432">
        <v>20.41</v>
      </c>
      <c r="H281" s="432">
        <v>17.57</v>
      </c>
      <c r="I281" s="432">
        <v>24</v>
      </c>
      <c r="J281" s="432">
        <v>31871.040000000001</v>
      </c>
    </row>
    <row r="282" spans="1:10" ht="24">
      <c r="A282" s="430" t="s">
        <v>449</v>
      </c>
      <c r="B282" s="431" t="s">
        <v>86</v>
      </c>
      <c r="C282" s="431" t="s">
        <v>18</v>
      </c>
      <c r="D282" s="430" t="s">
        <v>87</v>
      </c>
      <c r="E282" s="431" t="s">
        <v>20</v>
      </c>
      <c r="F282" s="432">
        <v>407.19</v>
      </c>
      <c r="G282" s="432">
        <v>7.62</v>
      </c>
      <c r="H282" s="432">
        <v>17.57</v>
      </c>
      <c r="I282" s="432">
        <v>8.9600000000000009</v>
      </c>
      <c r="J282" s="432">
        <v>3648.42</v>
      </c>
    </row>
    <row r="283" spans="1:10" ht="36">
      <c r="A283" s="430" t="s">
        <v>450</v>
      </c>
      <c r="B283" s="431" t="s">
        <v>89</v>
      </c>
      <c r="C283" s="431" t="s">
        <v>18</v>
      </c>
      <c r="D283" s="430" t="s">
        <v>90</v>
      </c>
      <c r="E283" s="431" t="s">
        <v>60</v>
      </c>
      <c r="F283" s="432">
        <v>20.36</v>
      </c>
      <c r="G283" s="432">
        <v>133.37</v>
      </c>
      <c r="H283" s="432">
        <v>17.57</v>
      </c>
      <c r="I283" s="432">
        <v>156.80000000000001</v>
      </c>
      <c r="J283" s="432">
        <v>3192.45</v>
      </c>
    </row>
    <row r="284" spans="1:10" ht="36">
      <c r="A284" s="430" t="s">
        <v>451</v>
      </c>
      <c r="B284" s="431" t="s">
        <v>92</v>
      </c>
      <c r="C284" s="431" t="s">
        <v>18</v>
      </c>
      <c r="D284" s="430" t="s">
        <v>93</v>
      </c>
      <c r="E284" s="431" t="s">
        <v>44</v>
      </c>
      <c r="F284" s="432">
        <v>20.36</v>
      </c>
      <c r="G284" s="432">
        <v>7.86</v>
      </c>
      <c r="H284" s="432">
        <v>17.57</v>
      </c>
      <c r="I284" s="432">
        <v>9.24</v>
      </c>
      <c r="J284" s="432">
        <v>188.13</v>
      </c>
    </row>
    <row r="285" spans="1:10" ht="24">
      <c r="A285" s="430" t="s">
        <v>452</v>
      </c>
      <c r="B285" s="431" t="s">
        <v>95</v>
      </c>
      <c r="C285" s="431" t="s">
        <v>18</v>
      </c>
      <c r="D285" s="430" t="s">
        <v>96</v>
      </c>
      <c r="E285" s="431" t="s">
        <v>54</v>
      </c>
      <c r="F285" s="432">
        <v>374.62</v>
      </c>
      <c r="G285" s="432">
        <v>1.77</v>
      </c>
      <c r="H285" s="432">
        <v>17.57</v>
      </c>
      <c r="I285" s="432">
        <v>2.08</v>
      </c>
      <c r="J285" s="432">
        <v>779.21</v>
      </c>
    </row>
    <row r="286" spans="1:10" ht="24">
      <c r="A286" s="430" t="s">
        <v>453</v>
      </c>
      <c r="B286" s="431" t="s">
        <v>98</v>
      </c>
      <c r="C286" s="431" t="s">
        <v>18</v>
      </c>
      <c r="D286" s="430" t="s">
        <v>99</v>
      </c>
      <c r="E286" s="431" t="s">
        <v>20</v>
      </c>
      <c r="F286" s="432">
        <v>264.83999999999997</v>
      </c>
      <c r="G286" s="432">
        <v>0.65</v>
      </c>
      <c r="H286" s="432">
        <v>17.57</v>
      </c>
      <c r="I286" s="432">
        <v>0.76</v>
      </c>
      <c r="J286" s="432">
        <v>201.28</v>
      </c>
    </row>
    <row r="287" spans="1:10" ht="48">
      <c r="A287" s="430" t="s">
        <v>454</v>
      </c>
      <c r="B287" s="431" t="s">
        <v>101</v>
      </c>
      <c r="C287" s="431" t="s">
        <v>18</v>
      </c>
      <c r="D287" s="430" t="s">
        <v>102</v>
      </c>
      <c r="E287" s="431" t="s">
        <v>60</v>
      </c>
      <c r="F287" s="432">
        <v>17.77</v>
      </c>
      <c r="G287" s="432">
        <v>112.75</v>
      </c>
      <c r="H287" s="432">
        <v>17.57</v>
      </c>
      <c r="I287" s="432">
        <v>132.56</v>
      </c>
      <c r="J287" s="432">
        <v>2355.59</v>
      </c>
    </row>
    <row r="288" spans="1:10" ht="60">
      <c r="A288" s="430" t="s">
        <v>455</v>
      </c>
      <c r="B288" s="431" t="s">
        <v>104</v>
      </c>
      <c r="C288" s="431" t="s">
        <v>29</v>
      </c>
      <c r="D288" s="430" t="s">
        <v>105</v>
      </c>
      <c r="E288" s="431" t="s">
        <v>40</v>
      </c>
      <c r="F288" s="432">
        <v>163.01</v>
      </c>
      <c r="G288" s="432">
        <v>56.47</v>
      </c>
      <c r="H288" s="432">
        <v>17.57</v>
      </c>
      <c r="I288" s="432">
        <v>66.39</v>
      </c>
      <c r="J288" s="432">
        <v>10822.23</v>
      </c>
    </row>
    <row r="289" spans="1:10" ht="60">
      <c r="A289" s="430" t="s">
        <v>456</v>
      </c>
      <c r="B289" s="431" t="s">
        <v>233</v>
      </c>
      <c r="C289" s="431" t="s">
        <v>29</v>
      </c>
      <c r="D289" s="430" t="s">
        <v>234</v>
      </c>
      <c r="E289" s="431" t="s">
        <v>40</v>
      </c>
      <c r="F289" s="432">
        <v>12.59</v>
      </c>
      <c r="G289" s="432">
        <v>60.43</v>
      </c>
      <c r="H289" s="432">
        <v>17.57</v>
      </c>
      <c r="I289" s="432">
        <v>71.05</v>
      </c>
      <c r="J289" s="432">
        <v>894.52</v>
      </c>
    </row>
    <row r="290" spans="1:10" ht="60">
      <c r="A290" s="430" t="s">
        <v>457</v>
      </c>
      <c r="B290" s="431" t="s">
        <v>107</v>
      </c>
      <c r="C290" s="431" t="s">
        <v>29</v>
      </c>
      <c r="D290" s="430" t="s">
        <v>108</v>
      </c>
      <c r="E290" s="431" t="s">
        <v>40</v>
      </c>
      <c r="F290" s="432">
        <v>1.8</v>
      </c>
      <c r="G290" s="432">
        <v>54.31</v>
      </c>
      <c r="H290" s="432">
        <v>17.57</v>
      </c>
      <c r="I290" s="432">
        <v>63.85</v>
      </c>
      <c r="J290" s="432">
        <v>114.93</v>
      </c>
    </row>
    <row r="291" spans="1:10" ht="24">
      <c r="A291" s="430" t="s">
        <v>458</v>
      </c>
      <c r="B291" s="431" t="s">
        <v>110</v>
      </c>
      <c r="C291" s="431" t="s">
        <v>29</v>
      </c>
      <c r="D291" s="430" t="s">
        <v>111</v>
      </c>
      <c r="E291" s="431" t="s">
        <v>40</v>
      </c>
      <c r="F291" s="432">
        <v>134.93</v>
      </c>
      <c r="G291" s="432">
        <v>39.770000000000003</v>
      </c>
      <c r="H291" s="432">
        <v>17.57</v>
      </c>
      <c r="I291" s="432">
        <v>46.76</v>
      </c>
      <c r="J291" s="432">
        <v>6309.33</v>
      </c>
    </row>
    <row r="292" spans="1:10" ht="24">
      <c r="A292" s="430" t="s">
        <v>459</v>
      </c>
      <c r="B292" s="431" t="s">
        <v>238</v>
      </c>
      <c r="C292" s="431" t="s">
        <v>29</v>
      </c>
      <c r="D292" s="430" t="s">
        <v>239</v>
      </c>
      <c r="E292" s="431" t="s">
        <v>40</v>
      </c>
      <c r="F292" s="432">
        <v>9.44</v>
      </c>
      <c r="G292" s="432">
        <v>50.32</v>
      </c>
      <c r="H292" s="432">
        <v>17.57</v>
      </c>
      <c r="I292" s="432">
        <v>59.16</v>
      </c>
      <c r="J292" s="432">
        <v>558.47</v>
      </c>
    </row>
    <row r="293" spans="1:10" ht="20.100000000000001" customHeight="1">
      <c r="A293" s="428" t="s">
        <v>460</v>
      </c>
      <c r="B293" s="494" t="s">
        <v>120</v>
      </c>
      <c r="C293" s="494"/>
      <c r="D293" s="494"/>
      <c r="E293" s="494"/>
      <c r="F293" s="494"/>
      <c r="G293" s="494"/>
      <c r="H293" s="494"/>
      <c r="I293" s="494"/>
      <c r="J293" s="429">
        <v>32973.9</v>
      </c>
    </row>
    <row r="294" spans="1:10" ht="24">
      <c r="A294" s="430" t="s">
        <v>461</v>
      </c>
      <c r="B294" s="431" t="s">
        <v>122</v>
      </c>
      <c r="C294" s="431" t="s">
        <v>29</v>
      </c>
      <c r="D294" s="430" t="s">
        <v>123</v>
      </c>
      <c r="E294" s="431" t="s">
        <v>60</v>
      </c>
      <c r="F294" s="432">
        <v>5.62</v>
      </c>
      <c r="G294" s="432">
        <v>78.319999999999993</v>
      </c>
      <c r="H294" s="432">
        <v>17.57</v>
      </c>
      <c r="I294" s="432">
        <v>92.08</v>
      </c>
      <c r="J294" s="432">
        <v>517.49</v>
      </c>
    </row>
    <row r="295" spans="1:10" ht="36">
      <c r="A295" s="430" t="s">
        <v>462</v>
      </c>
      <c r="B295" s="431" t="s">
        <v>128</v>
      </c>
      <c r="C295" s="431" t="s">
        <v>29</v>
      </c>
      <c r="D295" s="430" t="s">
        <v>129</v>
      </c>
      <c r="E295" s="431" t="s">
        <v>60</v>
      </c>
      <c r="F295" s="432">
        <v>6.71</v>
      </c>
      <c r="G295" s="432">
        <v>472.74</v>
      </c>
      <c r="H295" s="432">
        <v>17.57</v>
      </c>
      <c r="I295" s="432">
        <v>555.79999999999995</v>
      </c>
      <c r="J295" s="432">
        <v>3729.42</v>
      </c>
    </row>
    <row r="296" spans="1:10" ht="36">
      <c r="A296" s="430" t="s">
        <v>463</v>
      </c>
      <c r="B296" s="431" t="s">
        <v>134</v>
      </c>
      <c r="C296" s="431" t="s">
        <v>18</v>
      </c>
      <c r="D296" s="430" t="s">
        <v>135</v>
      </c>
      <c r="E296" s="431" t="s">
        <v>136</v>
      </c>
      <c r="F296" s="432">
        <v>70.19</v>
      </c>
      <c r="G296" s="432">
        <v>65.25</v>
      </c>
      <c r="H296" s="432">
        <v>17.57</v>
      </c>
      <c r="I296" s="432">
        <v>76.709999999999994</v>
      </c>
      <c r="J296" s="432">
        <v>5384.27</v>
      </c>
    </row>
    <row r="297" spans="1:10" ht="60">
      <c r="A297" s="430" t="s">
        <v>464</v>
      </c>
      <c r="B297" s="431" t="s">
        <v>465</v>
      </c>
      <c r="C297" s="431" t="s">
        <v>29</v>
      </c>
      <c r="D297" s="430" t="s">
        <v>466</v>
      </c>
      <c r="E297" s="431" t="s">
        <v>60</v>
      </c>
      <c r="F297" s="432">
        <v>67.33</v>
      </c>
      <c r="G297" s="432">
        <v>10.039999999999999</v>
      </c>
      <c r="H297" s="432">
        <v>17.57</v>
      </c>
      <c r="I297" s="432">
        <v>11.8</v>
      </c>
      <c r="J297" s="432">
        <v>794.49</v>
      </c>
    </row>
    <row r="298" spans="1:10" ht="60">
      <c r="A298" s="430" t="s">
        <v>467</v>
      </c>
      <c r="B298" s="431" t="s">
        <v>468</v>
      </c>
      <c r="C298" s="431" t="s">
        <v>29</v>
      </c>
      <c r="D298" s="430" t="s">
        <v>469</v>
      </c>
      <c r="E298" s="431" t="s">
        <v>60</v>
      </c>
      <c r="F298" s="432">
        <v>53.05</v>
      </c>
      <c r="G298" s="432">
        <v>29.29</v>
      </c>
      <c r="H298" s="432">
        <v>17.57</v>
      </c>
      <c r="I298" s="432">
        <v>34.44</v>
      </c>
      <c r="J298" s="432">
        <v>1827.04</v>
      </c>
    </row>
    <row r="299" spans="1:10" ht="60">
      <c r="A299" s="430" t="s">
        <v>470</v>
      </c>
      <c r="B299" s="431" t="s">
        <v>471</v>
      </c>
      <c r="C299" s="431" t="s">
        <v>29</v>
      </c>
      <c r="D299" s="430" t="s">
        <v>472</v>
      </c>
      <c r="E299" s="431" t="s">
        <v>60</v>
      </c>
      <c r="F299" s="432">
        <v>9.5500000000000007</v>
      </c>
      <c r="G299" s="432">
        <v>22.62</v>
      </c>
      <c r="H299" s="432">
        <v>17.57</v>
      </c>
      <c r="I299" s="432">
        <v>26.59</v>
      </c>
      <c r="J299" s="432">
        <v>253.93</v>
      </c>
    </row>
    <row r="300" spans="1:10" ht="48">
      <c r="A300" s="430" t="s">
        <v>473</v>
      </c>
      <c r="B300" s="431" t="s">
        <v>49</v>
      </c>
      <c r="C300" s="431" t="s">
        <v>18</v>
      </c>
      <c r="D300" s="430" t="s">
        <v>50</v>
      </c>
      <c r="E300" s="431" t="s">
        <v>44</v>
      </c>
      <c r="F300" s="432">
        <v>29.31</v>
      </c>
      <c r="G300" s="432">
        <v>2.9</v>
      </c>
      <c r="H300" s="432">
        <v>17.57</v>
      </c>
      <c r="I300" s="432">
        <v>3.41</v>
      </c>
      <c r="J300" s="432">
        <v>99.95</v>
      </c>
    </row>
    <row r="301" spans="1:10" ht="36">
      <c r="A301" s="430" t="s">
        <v>474</v>
      </c>
      <c r="B301" s="431" t="s">
        <v>52</v>
      </c>
      <c r="C301" s="431" t="s">
        <v>29</v>
      </c>
      <c r="D301" s="430" t="s">
        <v>53</v>
      </c>
      <c r="E301" s="431" t="s">
        <v>54</v>
      </c>
      <c r="F301" s="432">
        <v>231.55</v>
      </c>
      <c r="G301" s="432">
        <v>2.27</v>
      </c>
      <c r="H301" s="432">
        <v>17.57</v>
      </c>
      <c r="I301" s="432">
        <v>2.67</v>
      </c>
      <c r="J301" s="432">
        <v>618.24</v>
      </c>
    </row>
    <row r="302" spans="1:10" ht="24">
      <c r="A302" s="430" t="s">
        <v>475</v>
      </c>
      <c r="B302" s="431" t="s">
        <v>125</v>
      </c>
      <c r="C302" s="431" t="s">
        <v>29</v>
      </c>
      <c r="D302" s="430" t="s">
        <v>126</v>
      </c>
      <c r="E302" s="431" t="s">
        <v>60</v>
      </c>
      <c r="F302" s="432">
        <v>4.53</v>
      </c>
      <c r="G302" s="432">
        <v>436.13</v>
      </c>
      <c r="H302" s="432">
        <v>17.57</v>
      </c>
      <c r="I302" s="432">
        <v>512.76</v>
      </c>
      <c r="J302" s="432">
        <v>2322.8000000000002</v>
      </c>
    </row>
    <row r="303" spans="1:10" ht="36">
      <c r="A303" s="430" t="s">
        <v>476</v>
      </c>
      <c r="B303" s="431" t="s">
        <v>477</v>
      </c>
      <c r="C303" s="431" t="s">
        <v>29</v>
      </c>
      <c r="D303" s="430" t="s">
        <v>478</v>
      </c>
      <c r="E303" s="431" t="s">
        <v>115</v>
      </c>
      <c r="F303" s="432">
        <v>4</v>
      </c>
      <c r="G303" s="432">
        <v>2575.58</v>
      </c>
      <c r="H303" s="432">
        <v>17.57</v>
      </c>
      <c r="I303" s="432">
        <v>3028.11</v>
      </c>
      <c r="J303" s="432">
        <v>12112.44</v>
      </c>
    </row>
    <row r="304" spans="1:10" ht="36">
      <c r="A304" s="430" t="s">
        <v>479</v>
      </c>
      <c r="B304" s="431" t="s">
        <v>480</v>
      </c>
      <c r="C304" s="431" t="s">
        <v>29</v>
      </c>
      <c r="D304" s="430" t="s">
        <v>481</v>
      </c>
      <c r="E304" s="431" t="s">
        <v>20</v>
      </c>
      <c r="F304" s="432">
        <v>5.04</v>
      </c>
      <c r="G304" s="432">
        <v>39.6</v>
      </c>
      <c r="H304" s="432">
        <v>17.57</v>
      </c>
      <c r="I304" s="432">
        <v>46.56</v>
      </c>
      <c r="J304" s="432">
        <v>234.66</v>
      </c>
    </row>
    <row r="305" spans="1:10" ht="36">
      <c r="A305" s="430" t="s">
        <v>482</v>
      </c>
      <c r="B305" s="431" t="s">
        <v>326</v>
      </c>
      <c r="C305" s="431" t="s">
        <v>29</v>
      </c>
      <c r="D305" s="430" t="s">
        <v>327</v>
      </c>
      <c r="E305" s="431" t="s">
        <v>328</v>
      </c>
      <c r="F305" s="432">
        <v>165.44</v>
      </c>
      <c r="G305" s="432">
        <v>15.14</v>
      </c>
      <c r="H305" s="432">
        <v>17.57</v>
      </c>
      <c r="I305" s="432">
        <v>17.8</v>
      </c>
      <c r="J305" s="432">
        <v>2944.83</v>
      </c>
    </row>
    <row r="306" spans="1:10" ht="24">
      <c r="A306" s="430" t="s">
        <v>483</v>
      </c>
      <c r="B306" s="431" t="s">
        <v>131</v>
      </c>
      <c r="C306" s="431" t="s">
        <v>18</v>
      </c>
      <c r="D306" s="430" t="s">
        <v>132</v>
      </c>
      <c r="E306" s="431" t="s">
        <v>60</v>
      </c>
      <c r="F306" s="432">
        <v>11.24</v>
      </c>
      <c r="G306" s="432">
        <v>129.79</v>
      </c>
      <c r="H306" s="432">
        <v>17.57</v>
      </c>
      <c r="I306" s="432">
        <v>152.59</v>
      </c>
      <c r="J306" s="432">
        <v>1715.11</v>
      </c>
    </row>
    <row r="307" spans="1:10" ht="36">
      <c r="A307" s="430" t="s">
        <v>484</v>
      </c>
      <c r="B307" s="431" t="s">
        <v>485</v>
      </c>
      <c r="C307" s="431" t="s">
        <v>29</v>
      </c>
      <c r="D307" s="430" t="s">
        <v>486</v>
      </c>
      <c r="E307" s="431" t="s">
        <v>40</v>
      </c>
      <c r="F307" s="432">
        <v>89.77</v>
      </c>
      <c r="G307" s="432">
        <v>3.97</v>
      </c>
      <c r="H307" s="432">
        <v>17.57</v>
      </c>
      <c r="I307" s="432">
        <v>4.67</v>
      </c>
      <c r="J307" s="432">
        <v>419.23</v>
      </c>
    </row>
    <row r="308" spans="1:10" ht="20.100000000000001" customHeight="1">
      <c r="A308" s="428" t="s">
        <v>487</v>
      </c>
      <c r="B308" s="494" t="s">
        <v>138</v>
      </c>
      <c r="C308" s="494"/>
      <c r="D308" s="494"/>
      <c r="E308" s="494"/>
      <c r="F308" s="494"/>
      <c r="G308" s="494"/>
      <c r="H308" s="494"/>
      <c r="I308" s="494"/>
      <c r="J308" s="429">
        <v>4761.17</v>
      </c>
    </row>
    <row r="309" spans="1:10">
      <c r="A309" s="430" t="s">
        <v>488</v>
      </c>
      <c r="B309" s="431" t="s">
        <v>145</v>
      </c>
      <c r="C309" s="431" t="s">
        <v>141</v>
      </c>
      <c r="D309" s="430" t="s">
        <v>146</v>
      </c>
      <c r="E309" s="431" t="s">
        <v>143</v>
      </c>
      <c r="F309" s="432">
        <v>3.54</v>
      </c>
      <c r="G309" s="432">
        <v>347.25</v>
      </c>
      <c r="H309" s="432">
        <v>17.57</v>
      </c>
      <c r="I309" s="432">
        <v>408.26</v>
      </c>
      <c r="J309" s="432">
        <v>1445.24</v>
      </c>
    </row>
    <row r="310" spans="1:10" ht="24">
      <c r="A310" s="430" t="s">
        <v>489</v>
      </c>
      <c r="B310" s="431" t="s">
        <v>148</v>
      </c>
      <c r="C310" s="431" t="s">
        <v>141</v>
      </c>
      <c r="D310" s="430" t="s">
        <v>149</v>
      </c>
      <c r="E310" s="431" t="s">
        <v>150</v>
      </c>
      <c r="F310" s="432">
        <v>10</v>
      </c>
      <c r="G310" s="432">
        <v>121.48</v>
      </c>
      <c r="H310" s="432">
        <v>17.57</v>
      </c>
      <c r="I310" s="432">
        <v>142.82</v>
      </c>
      <c r="J310" s="432">
        <v>1428.2</v>
      </c>
    </row>
    <row r="311" spans="1:10" ht="24">
      <c r="A311" s="430" t="s">
        <v>490</v>
      </c>
      <c r="B311" s="431" t="s">
        <v>152</v>
      </c>
      <c r="C311" s="431" t="s">
        <v>18</v>
      </c>
      <c r="D311" s="430" t="s">
        <v>153</v>
      </c>
      <c r="E311" s="431" t="s">
        <v>154</v>
      </c>
      <c r="F311" s="432">
        <v>3</v>
      </c>
      <c r="G311" s="432">
        <v>156.33000000000001</v>
      </c>
      <c r="H311" s="432">
        <v>17.57</v>
      </c>
      <c r="I311" s="432">
        <v>183.8</v>
      </c>
      <c r="J311" s="432">
        <v>551.4</v>
      </c>
    </row>
    <row r="312" spans="1:10" ht="48">
      <c r="A312" s="430" t="s">
        <v>491</v>
      </c>
      <c r="B312" s="431" t="s">
        <v>159</v>
      </c>
      <c r="C312" s="431" t="s">
        <v>29</v>
      </c>
      <c r="D312" s="430" t="s">
        <v>160</v>
      </c>
      <c r="E312" s="431" t="s">
        <v>40</v>
      </c>
      <c r="F312" s="432">
        <v>160.07</v>
      </c>
      <c r="G312" s="432">
        <v>5.48</v>
      </c>
      <c r="H312" s="432">
        <v>17.57</v>
      </c>
      <c r="I312" s="432">
        <v>6.44</v>
      </c>
      <c r="J312" s="432">
        <v>1030.8499999999999</v>
      </c>
    </row>
    <row r="313" spans="1:10" ht="48">
      <c r="A313" s="430" t="s">
        <v>492</v>
      </c>
      <c r="B313" s="431" t="s">
        <v>162</v>
      </c>
      <c r="C313" s="431" t="s">
        <v>29</v>
      </c>
      <c r="D313" s="430" t="s">
        <v>163</v>
      </c>
      <c r="E313" s="431" t="s">
        <v>20</v>
      </c>
      <c r="F313" s="432">
        <v>10.76</v>
      </c>
      <c r="G313" s="432">
        <v>24.15</v>
      </c>
      <c r="H313" s="432">
        <v>17.57</v>
      </c>
      <c r="I313" s="432">
        <v>28.39</v>
      </c>
      <c r="J313" s="432">
        <v>305.48</v>
      </c>
    </row>
    <row r="314" spans="1:10" ht="20.100000000000001" customHeight="1">
      <c r="A314" s="428" t="s">
        <v>493</v>
      </c>
      <c r="B314" s="494" t="s">
        <v>165</v>
      </c>
      <c r="C314" s="494"/>
      <c r="D314" s="494"/>
      <c r="E314" s="494"/>
      <c r="F314" s="494"/>
      <c r="G314" s="494"/>
      <c r="H314" s="494"/>
      <c r="I314" s="494"/>
      <c r="J314" s="429">
        <v>1452.88</v>
      </c>
    </row>
    <row r="315" spans="1:10" ht="36">
      <c r="A315" s="430" t="s">
        <v>494</v>
      </c>
      <c r="B315" s="431" t="s">
        <v>167</v>
      </c>
      <c r="C315" s="431" t="s">
        <v>18</v>
      </c>
      <c r="D315" s="430" t="s">
        <v>168</v>
      </c>
      <c r="E315" s="431" t="s">
        <v>136</v>
      </c>
      <c r="F315" s="432">
        <v>11</v>
      </c>
      <c r="G315" s="432">
        <v>112.34</v>
      </c>
      <c r="H315" s="432">
        <v>17.57</v>
      </c>
      <c r="I315" s="432">
        <v>132.08000000000001</v>
      </c>
      <c r="J315" s="432">
        <v>1452.88</v>
      </c>
    </row>
    <row r="316" spans="1:10" ht="20.100000000000001" customHeight="1">
      <c r="A316" s="428" t="s">
        <v>495</v>
      </c>
      <c r="B316" s="494" t="s">
        <v>170</v>
      </c>
      <c r="C316" s="494"/>
      <c r="D316" s="494"/>
      <c r="E316" s="494"/>
      <c r="F316" s="494"/>
      <c r="G316" s="494"/>
      <c r="H316" s="494"/>
      <c r="I316" s="494"/>
      <c r="J316" s="429">
        <v>174208.09</v>
      </c>
    </row>
    <row r="317" spans="1:10" ht="48">
      <c r="A317" s="430" t="s">
        <v>496</v>
      </c>
      <c r="B317" s="431" t="s">
        <v>172</v>
      </c>
      <c r="C317" s="431" t="s">
        <v>29</v>
      </c>
      <c r="D317" s="430" t="s">
        <v>173</v>
      </c>
      <c r="E317" s="431" t="s">
        <v>31</v>
      </c>
      <c r="F317" s="432">
        <v>3</v>
      </c>
      <c r="G317" s="432">
        <v>830</v>
      </c>
      <c r="H317" s="432">
        <v>10.07</v>
      </c>
      <c r="I317" s="432">
        <v>913.58</v>
      </c>
      <c r="J317" s="432">
        <v>2740.74</v>
      </c>
    </row>
    <row r="318" spans="1:10" ht="36">
      <c r="A318" s="430" t="s">
        <v>497</v>
      </c>
      <c r="B318" s="431" t="s">
        <v>175</v>
      </c>
      <c r="C318" s="431" t="s">
        <v>29</v>
      </c>
      <c r="D318" s="430" t="s">
        <v>176</v>
      </c>
      <c r="E318" s="431" t="s">
        <v>31</v>
      </c>
      <c r="F318" s="432">
        <v>3</v>
      </c>
      <c r="G318" s="432">
        <v>648.42999999999995</v>
      </c>
      <c r="H318" s="432">
        <v>10.07</v>
      </c>
      <c r="I318" s="432">
        <v>713.73</v>
      </c>
      <c r="J318" s="432">
        <v>2141.19</v>
      </c>
    </row>
    <row r="319" spans="1:10" ht="48">
      <c r="A319" s="430" t="s">
        <v>498</v>
      </c>
      <c r="B319" s="431" t="s">
        <v>178</v>
      </c>
      <c r="C319" s="431" t="s">
        <v>29</v>
      </c>
      <c r="D319" s="430" t="s">
        <v>179</v>
      </c>
      <c r="E319" s="431" t="s">
        <v>20</v>
      </c>
      <c r="F319" s="432">
        <v>920.11</v>
      </c>
      <c r="G319" s="432">
        <v>49</v>
      </c>
      <c r="H319" s="432">
        <v>10.07</v>
      </c>
      <c r="I319" s="432">
        <v>53.93</v>
      </c>
      <c r="J319" s="432">
        <v>49621.53</v>
      </c>
    </row>
    <row r="320" spans="1:10" ht="48">
      <c r="A320" s="430" t="s">
        <v>499</v>
      </c>
      <c r="B320" s="431" t="s">
        <v>181</v>
      </c>
      <c r="C320" s="431" t="s">
        <v>29</v>
      </c>
      <c r="D320" s="430" t="s">
        <v>182</v>
      </c>
      <c r="E320" s="431" t="s">
        <v>20</v>
      </c>
      <c r="F320" s="432">
        <v>425.25</v>
      </c>
      <c r="G320" s="432">
        <v>53.92</v>
      </c>
      <c r="H320" s="432">
        <v>10.07</v>
      </c>
      <c r="I320" s="432">
        <v>59.35</v>
      </c>
      <c r="J320" s="432">
        <v>25238.59</v>
      </c>
    </row>
    <row r="321" spans="1:10" ht="36">
      <c r="A321" s="430" t="s">
        <v>500</v>
      </c>
      <c r="B321" s="431" t="s">
        <v>184</v>
      </c>
      <c r="C321" s="431" t="s">
        <v>29</v>
      </c>
      <c r="D321" s="430" t="s">
        <v>185</v>
      </c>
      <c r="E321" s="431" t="s">
        <v>186</v>
      </c>
      <c r="F321" s="432">
        <v>52.02</v>
      </c>
      <c r="G321" s="432">
        <v>522.5</v>
      </c>
      <c r="H321" s="432">
        <v>10.07</v>
      </c>
      <c r="I321" s="432">
        <v>575.12</v>
      </c>
      <c r="J321" s="432">
        <v>29917.74</v>
      </c>
    </row>
    <row r="322" spans="1:10" ht="24">
      <c r="A322" s="430" t="s">
        <v>501</v>
      </c>
      <c r="B322" s="431" t="s">
        <v>502</v>
      </c>
      <c r="C322" s="431" t="s">
        <v>141</v>
      </c>
      <c r="D322" s="430" t="s">
        <v>503</v>
      </c>
      <c r="E322" s="431" t="s">
        <v>504</v>
      </c>
      <c r="F322" s="432">
        <v>89.77</v>
      </c>
      <c r="G322" s="432">
        <v>227.86</v>
      </c>
      <c r="H322" s="432">
        <v>10.07</v>
      </c>
      <c r="I322" s="432">
        <v>250.81</v>
      </c>
      <c r="J322" s="432">
        <v>22515.21</v>
      </c>
    </row>
    <row r="323" spans="1:10" ht="24">
      <c r="A323" s="430" t="s">
        <v>505</v>
      </c>
      <c r="B323" s="431" t="s">
        <v>188</v>
      </c>
      <c r="C323" s="431" t="s">
        <v>18</v>
      </c>
      <c r="D323" s="430" t="s">
        <v>189</v>
      </c>
      <c r="E323" s="431" t="s">
        <v>44</v>
      </c>
      <c r="F323" s="432">
        <v>351.38</v>
      </c>
      <c r="G323" s="432">
        <v>56.1</v>
      </c>
      <c r="H323" s="432">
        <v>10.07</v>
      </c>
      <c r="I323" s="432">
        <v>61.75</v>
      </c>
      <c r="J323" s="432">
        <v>21697.72</v>
      </c>
    </row>
    <row r="324" spans="1:10">
      <c r="A324" s="430" t="s">
        <v>506</v>
      </c>
      <c r="B324" s="431" t="s">
        <v>191</v>
      </c>
      <c r="C324" s="431" t="s">
        <v>141</v>
      </c>
      <c r="D324" s="430" t="s">
        <v>192</v>
      </c>
      <c r="E324" s="431" t="s">
        <v>73</v>
      </c>
      <c r="F324" s="432">
        <v>94.58</v>
      </c>
      <c r="G324" s="432">
        <v>90.74</v>
      </c>
      <c r="H324" s="432">
        <v>10.07</v>
      </c>
      <c r="I324" s="432">
        <v>99.88</v>
      </c>
      <c r="J324" s="432">
        <v>9446.65</v>
      </c>
    </row>
    <row r="325" spans="1:10">
      <c r="A325" s="430" t="s">
        <v>507</v>
      </c>
      <c r="B325" s="431" t="s">
        <v>194</v>
      </c>
      <c r="C325" s="431" t="s">
        <v>141</v>
      </c>
      <c r="D325" s="430" t="s">
        <v>195</v>
      </c>
      <c r="E325" s="431" t="s">
        <v>73</v>
      </c>
      <c r="F325" s="432">
        <v>10.51</v>
      </c>
      <c r="G325" s="432">
        <v>74.53</v>
      </c>
      <c r="H325" s="432">
        <v>10.07</v>
      </c>
      <c r="I325" s="432">
        <v>82.04</v>
      </c>
      <c r="J325" s="432">
        <v>862.24</v>
      </c>
    </row>
    <row r="326" spans="1:10" ht="36">
      <c r="A326" s="430" t="s">
        <v>508</v>
      </c>
      <c r="B326" s="431" t="s">
        <v>197</v>
      </c>
      <c r="C326" s="431" t="s">
        <v>29</v>
      </c>
      <c r="D326" s="430" t="s">
        <v>198</v>
      </c>
      <c r="E326" s="431" t="s">
        <v>60</v>
      </c>
      <c r="F326" s="432">
        <v>21.56</v>
      </c>
      <c r="G326" s="432">
        <v>422.5</v>
      </c>
      <c r="H326" s="432">
        <v>10.07</v>
      </c>
      <c r="I326" s="432">
        <v>465.05</v>
      </c>
      <c r="J326" s="432">
        <v>10026.48</v>
      </c>
    </row>
    <row r="327" spans="1:10" ht="20.100000000000001" customHeight="1">
      <c r="A327" s="428" t="s">
        <v>509</v>
      </c>
      <c r="B327" s="494" t="s">
        <v>510</v>
      </c>
      <c r="C327" s="494"/>
      <c r="D327" s="494"/>
      <c r="E327" s="494"/>
      <c r="F327" s="494"/>
      <c r="G327" s="494"/>
      <c r="H327" s="494"/>
      <c r="I327" s="494"/>
      <c r="J327" s="429">
        <v>384780.74</v>
      </c>
    </row>
    <row r="328" spans="1:10" ht="20.100000000000001" customHeight="1">
      <c r="A328" s="428" t="s">
        <v>511</v>
      </c>
      <c r="B328" s="494" t="s">
        <v>15</v>
      </c>
      <c r="C328" s="494"/>
      <c r="D328" s="494"/>
      <c r="E328" s="494"/>
      <c r="F328" s="494"/>
      <c r="G328" s="494"/>
      <c r="H328" s="494"/>
      <c r="I328" s="494"/>
      <c r="J328" s="429">
        <v>7783.05</v>
      </c>
    </row>
    <row r="329" spans="1:10" ht="24">
      <c r="A329" s="430" t="s">
        <v>512</v>
      </c>
      <c r="B329" s="431" t="s">
        <v>17</v>
      </c>
      <c r="C329" s="431" t="s">
        <v>18</v>
      </c>
      <c r="D329" s="430" t="s">
        <v>19</v>
      </c>
      <c r="E329" s="431" t="s">
        <v>20</v>
      </c>
      <c r="F329" s="432">
        <v>8</v>
      </c>
      <c r="G329" s="432">
        <v>564.99</v>
      </c>
      <c r="H329" s="432">
        <v>17.57</v>
      </c>
      <c r="I329" s="432">
        <v>664.26</v>
      </c>
      <c r="J329" s="432">
        <v>5314.08</v>
      </c>
    </row>
    <row r="330" spans="1:10" ht="24">
      <c r="A330" s="430" t="s">
        <v>513</v>
      </c>
      <c r="B330" s="431" t="s">
        <v>22</v>
      </c>
      <c r="C330" s="431" t="s">
        <v>18</v>
      </c>
      <c r="D330" s="430" t="s">
        <v>23</v>
      </c>
      <c r="E330" s="431" t="s">
        <v>24</v>
      </c>
      <c r="F330" s="432">
        <v>3</v>
      </c>
      <c r="G330" s="432">
        <v>700</v>
      </c>
      <c r="H330" s="432">
        <v>17.57</v>
      </c>
      <c r="I330" s="432">
        <v>822.99</v>
      </c>
      <c r="J330" s="432">
        <v>2468.9699999999998</v>
      </c>
    </row>
    <row r="331" spans="1:10" ht="20.100000000000001" customHeight="1">
      <c r="A331" s="428" t="s">
        <v>514</v>
      </c>
      <c r="B331" s="494" t="s">
        <v>26</v>
      </c>
      <c r="C331" s="494"/>
      <c r="D331" s="494"/>
      <c r="E331" s="494"/>
      <c r="F331" s="494"/>
      <c r="G331" s="494"/>
      <c r="H331" s="494"/>
      <c r="I331" s="494"/>
      <c r="J331" s="429">
        <v>16378.25</v>
      </c>
    </row>
    <row r="332" spans="1:10" ht="24">
      <c r="A332" s="430" t="s">
        <v>515</v>
      </c>
      <c r="B332" s="431" t="s">
        <v>28</v>
      </c>
      <c r="C332" s="431" t="s">
        <v>29</v>
      </c>
      <c r="D332" s="430" t="s">
        <v>30</v>
      </c>
      <c r="E332" s="431" t="s">
        <v>31</v>
      </c>
      <c r="F332" s="432">
        <v>0.38</v>
      </c>
      <c r="G332" s="432">
        <v>16819.14</v>
      </c>
      <c r="H332" s="432">
        <v>17.57</v>
      </c>
      <c r="I332" s="432">
        <v>19774.259999999998</v>
      </c>
      <c r="J332" s="432">
        <v>7514.22</v>
      </c>
    </row>
    <row r="333" spans="1:10" ht="24">
      <c r="A333" s="430" t="s">
        <v>516</v>
      </c>
      <c r="B333" s="431" t="s">
        <v>33</v>
      </c>
      <c r="C333" s="431" t="s">
        <v>29</v>
      </c>
      <c r="D333" s="430" t="s">
        <v>34</v>
      </c>
      <c r="E333" s="431" t="s">
        <v>31</v>
      </c>
      <c r="F333" s="432">
        <v>1.1299999999999999</v>
      </c>
      <c r="G333" s="432">
        <v>6672</v>
      </c>
      <c r="H333" s="432">
        <v>17.57</v>
      </c>
      <c r="I333" s="432">
        <v>7844.27</v>
      </c>
      <c r="J333" s="432">
        <v>8864.0300000000007</v>
      </c>
    </row>
    <row r="334" spans="1:10" ht="20.100000000000001" customHeight="1">
      <c r="A334" s="428" t="s">
        <v>517</v>
      </c>
      <c r="B334" s="494" t="s">
        <v>36</v>
      </c>
      <c r="C334" s="494"/>
      <c r="D334" s="494"/>
      <c r="E334" s="494"/>
      <c r="F334" s="494"/>
      <c r="G334" s="494"/>
      <c r="H334" s="494"/>
      <c r="I334" s="494"/>
      <c r="J334" s="429">
        <v>4094.66</v>
      </c>
    </row>
    <row r="335" spans="1:10">
      <c r="A335" s="430" t="s">
        <v>518</v>
      </c>
      <c r="B335" s="431" t="s">
        <v>38</v>
      </c>
      <c r="C335" s="431" t="s">
        <v>29</v>
      </c>
      <c r="D335" s="430" t="s">
        <v>39</v>
      </c>
      <c r="E335" s="431" t="s">
        <v>40</v>
      </c>
      <c r="F335" s="432">
        <v>394.19</v>
      </c>
      <c r="G335" s="432">
        <v>0.49</v>
      </c>
      <c r="H335" s="432">
        <v>17.57</v>
      </c>
      <c r="I335" s="432">
        <v>0.57999999999999996</v>
      </c>
      <c r="J335" s="432">
        <v>228.63</v>
      </c>
    </row>
    <row r="336" spans="1:10" ht="24">
      <c r="A336" s="430" t="s">
        <v>519</v>
      </c>
      <c r="B336" s="431" t="s">
        <v>520</v>
      </c>
      <c r="C336" s="431" t="s">
        <v>18</v>
      </c>
      <c r="D336" s="430" t="s">
        <v>521</v>
      </c>
      <c r="E336" s="431" t="s">
        <v>20</v>
      </c>
      <c r="F336" s="432">
        <v>109.34</v>
      </c>
      <c r="G336" s="432">
        <v>20.77</v>
      </c>
      <c r="H336" s="432">
        <v>17.57</v>
      </c>
      <c r="I336" s="432">
        <v>24.42</v>
      </c>
      <c r="J336" s="432">
        <v>2670.08</v>
      </c>
    </row>
    <row r="337" spans="1:10" ht="48">
      <c r="A337" s="430" t="s">
        <v>522</v>
      </c>
      <c r="B337" s="431" t="s">
        <v>49</v>
      </c>
      <c r="C337" s="431" t="s">
        <v>18</v>
      </c>
      <c r="D337" s="430" t="s">
        <v>50</v>
      </c>
      <c r="E337" s="431" t="s">
        <v>44</v>
      </c>
      <c r="F337" s="432">
        <v>136.68</v>
      </c>
      <c r="G337" s="432">
        <v>2.9</v>
      </c>
      <c r="H337" s="432">
        <v>17.57</v>
      </c>
      <c r="I337" s="432">
        <v>3.41</v>
      </c>
      <c r="J337" s="432">
        <v>466.08</v>
      </c>
    </row>
    <row r="338" spans="1:10" ht="36">
      <c r="A338" s="430" t="s">
        <v>523</v>
      </c>
      <c r="B338" s="431" t="s">
        <v>52</v>
      </c>
      <c r="C338" s="431" t="s">
        <v>29</v>
      </c>
      <c r="D338" s="430" t="s">
        <v>53</v>
      </c>
      <c r="E338" s="431" t="s">
        <v>54</v>
      </c>
      <c r="F338" s="432">
        <v>273.36</v>
      </c>
      <c r="G338" s="432">
        <v>2.27</v>
      </c>
      <c r="H338" s="432">
        <v>17.57</v>
      </c>
      <c r="I338" s="432">
        <v>2.67</v>
      </c>
      <c r="J338" s="432">
        <v>729.87</v>
      </c>
    </row>
    <row r="339" spans="1:10" ht="20.100000000000001" customHeight="1">
      <c r="A339" s="428" t="s">
        <v>524</v>
      </c>
      <c r="B339" s="494" t="s">
        <v>381</v>
      </c>
      <c r="C339" s="494"/>
      <c r="D339" s="494"/>
      <c r="E339" s="494"/>
      <c r="F339" s="494"/>
      <c r="G339" s="494"/>
      <c r="H339" s="494"/>
      <c r="I339" s="494"/>
      <c r="J339" s="429">
        <v>11573.85</v>
      </c>
    </row>
    <row r="340" spans="1:10" ht="24">
      <c r="A340" s="430" t="s">
        <v>525</v>
      </c>
      <c r="B340" s="431" t="s">
        <v>58</v>
      </c>
      <c r="C340" s="431" t="s">
        <v>18</v>
      </c>
      <c r="D340" s="430" t="s">
        <v>59</v>
      </c>
      <c r="E340" s="431" t="s">
        <v>60</v>
      </c>
      <c r="F340" s="432">
        <v>827.2</v>
      </c>
      <c r="G340" s="432">
        <v>2.59</v>
      </c>
      <c r="H340" s="432">
        <v>17.57</v>
      </c>
      <c r="I340" s="432">
        <v>3.05</v>
      </c>
      <c r="J340" s="432">
        <v>2522.96</v>
      </c>
    </row>
    <row r="341" spans="1:10" ht="48">
      <c r="A341" s="430" t="s">
        <v>526</v>
      </c>
      <c r="B341" s="431" t="s">
        <v>49</v>
      </c>
      <c r="C341" s="431" t="s">
        <v>18</v>
      </c>
      <c r="D341" s="430" t="s">
        <v>50</v>
      </c>
      <c r="E341" s="431" t="s">
        <v>44</v>
      </c>
      <c r="F341" s="432">
        <v>1033.04</v>
      </c>
      <c r="G341" s="432">
        <v>2.9</v>
      </c>
      <c r="H341" s="432">
        <v>17.57</v>
      </c>
      <c r="I341" s="432">
        <v>3.41</v>
      </c>
      <c r="J341" s="432">
        <v>3522.67</v>
      </c>
    </row>
    <row r="342" spans="1:10" ht="36">
      <c r="A342" s="430" t="s">
        <v>527</v>
      </c>
      <c r="B342" s="431" t="s">
        <v>52</v>
      </c>
      <c r="C342" s="431" t="s">
        <v>29</v>
      </c>
      <c r="D342" s="430" t="s">
        <v>53</v>
      </c>
      <c r="E342" s="431" t="s">
        <v>54</v>
      </c>
      <c r="F342" s="432">
        <v>2066.08</v>
      </c>
      <c r="G342" s="432">
        <v>2.27</v>
      </c>
      <c r="H342" s="432">
        <v>17.57</v>
      </c>
      <c r="I342" s="432">
        <v>2.67</v>
      </c>
      <c r="J342" s="432">
        <v>5516.43</v>
      </c>
    </row>
    <row r="343" spans="1:10" ht="36">
      <c r="A343" s="430" t="s">
        <v>528</v>
      </c>
      <c r="B343" s="431" t="s">
        <v>292</v>
      </c>
      <c r="C343" s="431" t="s">
        <v>29</v>
      </c>
      <c r="D343" s="430" t="s">
        <v>293</v>
      </c>
      <c r="E343" s="431" t="s">
        <v>60</v>
      </c>
      <c r="F343" s="432">
        <v>0.77</v>
      </c>
      <c r="G343" s="432">
        <v>13.02</v>
      </c>
      <c r="H343" s="432">
        <v>17.57</v>
      </c>
      <c r="I343" s="432">
        <v>15.31</v>
      </c>
      <c r="J343" s="432">
        <v>11.79</v>
      </c>
    </row>
    <row r="344" spans="1:10" ht="20.100000000000001" customHeight="1">
      <c r="A344" s="428" t="s">
        <v>529</v>
      </c>
      <c r="B344" s="494" t="s">
        <v>11</v>
      </c>
      <c r="C344" s="494"/>
      <c r="D344" s="494"/>
      <c r="E344" s="494"/>
      <c r="F344" s="494"/>
      <c r="G344" s="494"/>
      <c r="H344" s="494"/>
      <c r="I344" s="494"/>
      <c r="J344" s="429">
        <v>123164.56</v>
      </c>
    </row>
    <row r="345" spans="1:10" ht="24">
      <c r="A345" s="430" t="s">
        <v>530</v>
      </c>
      <c r="B345" s="431" t="s">
        <v>65</v>
      </c>
      <c r="C345" s="431" t="s">
        <v>29</v>
      </c>
      <c r="D345" s="430" t="s">
        <v>66</v>
      </c>
      <c r="E345" s="431" t="s">
        <v>20</v>
      </c>
      <c r="F345" s="432">
        <v>2181.41</v>
      </c>
      <c r="G345" s="432">
        <v>2.79</v>
      </c>
      <c r="H345" s="432">
        <v>17.57</v>
      </c>
      <c r="I345" s="432">
        <v>3.28</v>
      </c>
      <c r="J345" s="432">
        <v>7155.02</v>
      </c>
    </row>
    <row r="346" spans="1:10" ht="24">
      <c r="A346" s="430" t="s">
        <v>531</v>
      </c>
      <c r="B346" s="431" t="s">
        <v>71</v>
      </c>
      <c r="C346" s="431" t="s">
        <v>18</v>
      </c>
      <c r="D346" s="430" t="s">
        <v>72</v>
      </c>
      <c r="E346" s="431" t="s">
        <v>73</v>
      </c>
      <c r="F346" s="432">
        <v>327.20999999999998</v>
      </c>
      <c r="G346" s="432">
        <v>11.4</v>
      </c>
      <c r="H346" s="432">
        <v>17.57</v>
      </c>
      <c r="I346" s="432">
        <v>13.4</v>
      </c>
      <c r="J346" s="432">
        <v>4384.6099999999997</v>
      </c>
    </row>
    <row r="347" spans="1:10" ht="36">
      <c r="A347" s="430" t="s">
        <v>532</v>
      </c>
      <c r="B347" s="431" t="s">
        <v>75</v>
      </c>
      <c r="C347" s="431" t="s">
        <v>18</v>
      </c>
      <c r="D347" s="430" t="s">
        <v>76</v>
      </c>
      <c r="E347" s="431" t="s">
        <v>60</v>
      </c>
      <c r="F347" s="432">
        <v>327.20999999999998</v>
      </c>
      <c r="G347" s="432">
        <v>14.44</v>
      </c>
      <c r="H347" s="432">
        <v>17.57</v>
      </c>
      <c r="I347" s="432">
        <v>16.98</v>
      </c>
      <c r="J347" s="432">
        <v>5556.03</v>
      </c>
    </row>
    <row r="348" spans="1:10" ht="48">
      <c r="A348" s="430" t="s">
        <v>533</v>
      </c>
      <c r="B348" s="431" t="s">
        <v>49</v>
      </c>
      <c r="C348" s="431" t="s">
        <v>18</v>
      </c>
      <c r="D348" s="430" t="s">
        <v>50</v>
      </c>
      <c r="E348" s="431" t="s">
        <v>44</v>
      </c>
      <c r="F348" s="432">
        <v>818.03</v>
      </c>
      <c r="G348" s="432">
        <v>2.9</v>
      </c>
      <c r="H348" s="432">
        <v>17.57</v>
      </c>
      <c r="I348" s="432">
        <v>3.41</v>
      </c>
      <c r="J348" s="432">
        <v>2789.48</v>
      </c>
    </row>
    <row r="349" spans="1:10" ht="24">
      <c r="A349" s="430" t="s">
        <v>534</v>
      </c>
      <c r="B349" s="431" t="s">
        <v>79</v>
      </c>
      <c r="C349" s="431" t="s">
        <v>18</v>
      </c>
      <c r="D349" s="430" t="s">
        <v>80</v>
      </c>
      <c r="E349" s="431" t="s">
        <v>81</v>
      </c>
      <c r="F349" s="432">
        <v>6217.03</v>
      </c>
      <c r="G349" s="432">
        <v>1.37</v>
      </c>
      <c r="H349" s="432">
        <v>17.57</v>
      </c>
      <c r="I349" s="432">
        <v>1.61</v>
      </c>
      <c r="J349" s="432">
        <v>10009.42</v>
      </c>
    </row>
    <row r="350" spans="1:10" ht="48">
      <c r="A350" s="430" t="s">
        <v>535</v>
      </c>
      <c r="B350" s="431" t="s">
        <v>83</v>
      </c>
      <c r="C350" s="431" t="s">
        <v>18</v>
      </c>
      <c r="D350" s="430" t="s">
        <v>84</v>
      </c>
      <c r="E350" s="431" t="s">
        <v>20</v>
      </c>
      <c r="F350" s="432">
        <v>2181.41</v>
      </c>
      <c r="G350" s="432">
        <v>20.41</v>
      </c>
      <c r="H350" s="432">
        <v>17.57</v>
      </c>
      <c r="I350" s="432">
        <v>24</v>
      </c>
      <c r="J350" s="432">
        <v>52353.84</v>
      </c>
    </row>
    <row r="351" spans="1:10" ht="60">
      <c r="A351" s="430" t="s">
        <v>536</v>
      </c>
      <c r="B351" s="431" t="s">
        <v>104</v>
      </c>
      <c r="C351" s="431" t="s">
        <v>29</v>
      </c>
      <c r="D351" s="430" t="s">
        <v>105</v>
      </c>
      <c r="E351" s="431" t="s">
        <v>40</v>
      </c>
      <c r="F351" s="432">
        <v>616.29999999999995</v>
      </c>
      <c r="G351" s="432">
        <v>56.47</v>
      </c>
      <c r="H351" s="432">
        <v>17.57</v>
      </c>
      <c r="I351" s="432">
        <v>66.39</v>
      </c>
      <c r="J351" s="432">
        <v>40916.160000000003</v>
      </c>
    </row>
    <row r="352" spans="1:10" ht="20.100000000000001" customHeight="1">
      <c r="A352" s="428" t="s">
        <v>537</v>
      </c>
      <c r="B352" s="494" t="s">
        <v>120</v>
      </c>
      <c r="C352" s="494"/>
      <c r="D352" s="494"/>
      <c r="E352" s="494"/>
      <c r="F352" s="494"/>
      <c r="G352" s="494"/>
      <c r="H352" s="494"/>
      <c r="I352" s="494"/>
      <c r="J352" s="429">
        <v>27518.25</v>
      </c>
    </row>
    <row r="353" spans="1:10" ht="24">
      <c r="A353" s="430" t="s">
        <v>538</v>
      </c>
      <c r="B353" s="431" t="s">
        <v>122</v>
      </c>
      <c r="C353" s="431" t="s">
        <v>29</v>
      </c>
      <c r="D353" s="430" t="s">
        <v>123</v>
      </c>
      <c r="E353" s="431" t="s">
        <v>60</v>
      </c>
      <c r="F353" s="432">
        <v>12.65</v>
      </c>
      <c r="G353" s="432">
        <v>78.319999999999993</v>
      </c>
      <c r="H353" s="432">
        <v>17.57</v>
      </c>
      <c r="I353" s="432">
        <v>92.08</v>
      </c>
      <c r="J353" s="432">
        <v>1164.81</v>
      </c>
    </row>
    <row r="354" spans="1:10" ht="24">
      <c r="A354" s="430" t="s">
        <v>539</v>
      </c>
      <c r="B354" s="431" t="s">
        <v>125</v>
      </c>
      <c r="C354" s="431" t="s">
        <v>29</v>
      </c>
      <c r="D354" s="430" t="s">
        <v>126</v>
      </c>
      <c r="E354" s="431" t="s">
        <v>60</v>
      </c>
      <c r="F354" s="432">
        <v>7.91</v>
      </c>
      <c r="G354" s="432">
        <v>436.13</v>
      </c>
      <c r="H354" s="432">
        <v>17.57</v>
      </c>
      <c r="I354" s="432">
        <v>512.76</v>
      </c>
      <c r="J354" s="432">
        <v>4055.93</v>
      </c>
    </row>
    <row r="355" spans="1:10" ht="36">
      <c r="A355" s="430" t="s">
        <v>540</v>
      </c>
      <c r="B355" s="431" t="s">
        <v>128</v>
      </c>
      <c r="C355" s="431" t="s">
        <v>29</v>
      </c>
      <c r="D355" s="430" t="s">
        <v>129</v>
      </c>
      <c r="E355" s="431" t="s">
        <v>60</v>
      </c>
      <c r="F355" s="432">
        <v>12.65</v>
      </c>
      <c r="G355" s="432">
        <v>472.74</v>
      </c>
      <c r="H355" s="432">
        <v>17.57</v>
      </c>
      <c r="I355" s="432">
        <v>555.79999999999995</v>
      </c>
      <c r="J355" s="432">
        <v>7030.87</v>
      </c>
    </row>
    <row r="356" spans="1:10" ht="24">
      <c r="A356" s="430" t="s">
        <v>541</v>
      </c>
      <c r="B356" s="431" t="s">
        <v>131</v>
      </c>
      <c r="C356" s="431" t="s">
        <v>18</v>
      </c>
      <c r="D356" s="430" t="s">
        <v>132</v>
      </c>
      <c r="E356" s="431" t="s">
        <v>60</v>
      </c>
      <c r="F356" s="432">
        <v>20.56</v>
      </c>
      <c r="G356" s="432">
        <v>129.79</v>
      </c>
      <c r="H356" s="432">
        <v>17.57</v>
      </c>
      <c r="I356" s="432">
        <v>152.59</v>
      </c>
      <c r="J356" s="432">
        <v>3137.25</v>
      </c>
    </row>
    <row r="357" spans="1:10" ht="36">
      <c r="A357" s="430" t="s">
        <v>542</v>
      </c>
      <c r="B357" s="431" t="s">
        <v>134</v>
      </c>
      <c r="C357" s="431" t="s">
        <v>18</v>
      </c>
      <c r="D357" s="430" t="s">
        <v>135</v>
      </c>
      <c r="E357" s="431" t="s">
        <v>136</v>
      </c>
      <c r="F357" s="432">
        <v>158.12</v>
      </c>
      <c r="G357" s="432">
        <v>65.25</v>
      </c>
      <c r="H357" s="432">
        <v>17.57</v>
      </c>
      <c r="I357" s="432">
        <v>76.709999999999994</v>
      </c>
      <c r="J357" s="432">
        <v>12129.39</v>
      </c>
    </row>
    <row r="358" spans="1:10" ht="20.100000000000001" customHeight="1">
      <c r="A358" s="428" t="s">
        <v>543</v>
      </c>
      <c r="B358" s="494" t="s">
        <v>138</v>
      </c>
      <c r="C358" s="494"/>
      <c r="D358" s="494"/>
      <c r="E358" s="494"/>
      <c r="F358" s="494"/>
      <c r="G358" s="494"/>
      <c r="H358" s="494"/>
      <c r="I358" s="494"/>
      <c r="J358" s="429">
        <v>2347.36</v>
      </c>
    </row>
    <row r="359" spans="1:10">
      <c r="A359" s="430" t="s">
        <v>544</v>
      </c>
      <c r="B359" s="431" t="s">
        <v>145</v>
      </c>
      <c r="C359" s="431" t="s">
        <v>141</v>
      </c>
      <c r="D359" s="430" t="s">
        <v>146</v>
      </c>
      <c r="E359" s="431" t="s">
        <v>143</v>
      </c>
      <c r="F359" s="432">
        <v>2.25</v>
      </c>
      <c r="G359" s="432">
        <v>347.25</v>
      </c>
      <c r="H359" s="432">
        <v>17.57</v>
      </c>
      <c r="I359" s="432">
        <v>408.26</v>
      </c>
      <c r="J359" s="432">
        <v>918.59</v>
      </c>
    </row>
    <row r="360" spans="1:10" ht="24">
      <c r="A360" s="430" t="s">
        <v>545</v>
      </c>
      <c r="B360" s="431" t="s">
        <v>148</v>
      </c>
      <c r="C360" s="431" t="s">
        <v>141</v>
      </c>
      <c r="D360" s="430" t="s">
        <v>149</v>
      </c>
      <c r="E360" s="431" t="s">
        <v>150</v>
      </c>
      <c r="F360" s="432">
        <v>5</v>
      </c>
      <c r="G360" s="432">
        <v>121.48</v>
      </c>
      <c r="H360" s="432">
        <v>17.57</v>
      </c>
      <c r="I360" s="432">
        <v>142.82</v>
      </c>
      <c r="J360" s="432">
        <v>714.1</v>
      </c>
    </row>
    <row r="361" spans="1:10" ht="24">
      <c r="A361" s="430" t="s">
        <v>546</v>
      </c>
      <c r="B361" s="431" t="s">
        <v>152</v>
      </c>
      <c r="C361" s="431" t="s">
        <v>18</v>
      </c>
      <c r="D361" s="430" t="s">
        <v>153</v>
      </c>
      <c r="E361" s="431" t="s">
        <v>154</v>
      </c>
      <c r="F361" s="432">
        <v>3</v>
      </c>
      <c r="G361" s="432">
        <v>156.33000000000001</v>
      </c>
      <c r="H361" s="432">
        <v>17.57</v>
      </c>
      <c r="I361" s="432">
        <v>183.8</v>
      </c>
      <c r="J361" s="432">
        <v>551.4</v>
      </c>
    </row>
    <row r="362" spans="1:10" ht="24">
      <c r="A362" s="430" t="s">
        <v>547</v>
      </c>
      <c r="B362" s="431" t="s">
        <v>156</v>
      </c>
      <c r="C362" s="431" t="s">
        <v>18</v>
      </c>
      <c r="D362" s="430" t="s">
        <v>157</v>
      </c>
      <c r="E362" s="431" t="s">
        <v>20</v>
      </c>
      <c r="F362" s="432">
        <v>6.84</v>
      </c>
      <c r="G362" s="432">
        <v>20.3</v>
      </c>
      <c r="H362" s="432">
        <v>17.57</v>
      </c>
      <c r="I362" s="432">
        <v>23.87</v>
      </c>
      <c r="J362" s="432">
        <v>163.27000000000001</v>
      </c>
    </row>
    <row r="363" spans="1:10" ht="20.100000000000001" customHeight="1">
      <c r="A363" s="428" t="s">
        <v>548</v>
      </c>
      <c r="B363" s="494" t="s">
        <v>170</v>
      </c>
      <c r="C363" s="494"/>
      <c r="D363" s="494"/>
      <c r="E363" s="494"/>
      <c r="F363" s="494"/>
      <c r="G363" s="494"/>
      <c r="H363" s="494"/>
      <c r="I363" s="494"/>
      <c r="J363" s="429">
        <v>191920.76</v>
      </c>
    </row>
    <row r="364" spans="1:10" ht="48">
      <c r="A364" s="430" t="s">
        <v>549</v>
      </c>
      <c r="B364" s="431" t="s">
        <v>172</v>
      </c>
      <c r="C364" s="431" t="s">
        <v>29</v>
      </c>
      <c r="D364" s="430" t="s">
        <v>173</v>
      </c>
      <c r="E364" s="431" t="s">
        <v>31</v>
      </c>
      <c r="F364" s="432">
        <v>3</v>
      </c>
      <c r="G364" s="432">
        <v>830</v>
      </c>
      <c r="H364" s="432">
        <v>10.07</v>
      </c>
      <c r="I364" s="432">
        <v>913.58</v>
      </c>
      <c r="J364" s="432">
        <v>2740.74</v>
      </c>
    </row>
    <row r="365" spans="1:10" ht="36">
      <c r="A365" s="430" t="s">
        <v>550</v>
      </c>
      <c r="B365" s="431" t="s">
        <v>175</v>
      </c>
      <c r="C365" s="431" t="s">
        <v>29</v>
      </c>
      <c r="D365" s="430" t="s">
        <v>176</v>
      </c>
      <c r="E365" s="431" t="s">
        <v>31</v>
      </c>
      <c r="F365" s="432">
        <v>3</v>
      </c>
      <c r="G365" s="432">
        <v>648.42999999999995</v>
      </c>
      <c r="H365" s="432">
        <v>10.07</v>
      </c>
      <c r="I365" s="432">
        <v>713.73</v>
      </c>
      <c r="J365" s="432">
        <v>2141.19</v>
      </c>
    </row>
    <row r="366" spans="1:10" ht="48">
      <c r="A366" s="430" t="s">
        <v>551</v>
      </c>
      <c r="B366" s="431" t="s">
        <v>178</v>
      </c>
      <c r="C366" s="431" t="s">
        <v>29</v>
      </c>
      <c r="D366" s="430" t="s">
        <v>179</v>
      </c>
      <c r="E366" s="431" t="s">
        <v>20</v>
      </c>
      <c r="F366" s="432">
        <v>1709.5</v>
      </c>
      <c r="G366" s="432">
        <v>49</v>
      </c>
      <c r="H366" s="432">
        <v>10.07</v>
      </c>
      <c r="I366" s="432">
        <v>53.93</v>
      </c>
      <c r="J366" s="432">
        <v>92193.34</v>
      </c>
    </row>
    <row r="367" spans="1:10" ht="48">
      <c r="A367" s="430" t="s">
        <v>552</v>
      </c>
      <c r="B367" s="431" t="s">
        <v>181</v>
      </c>
      <c r="C367" s="431" t="s">
        <v>29</v>
      </c>
      <c r="D367" s="430" t="s">
        <v>182</v>
      </c>
      <c r="E367" s="431" t="s">
        <v>20</v>
      </c>
      <c r="F367" s="432">
        <v>500.48</v>
      </c>
      <c r="G367" s="432">
        <v>53.92</v>
      </c>
      <c r="H367" s="432">
        <v>10.07</v>
      </c>
      <c r="I367" s="432">
        <v>59.35</v>
      </c>
      <c r="J367" s="432">
        <v>29703.49</v>
      </c>
    </row>
    <row r="368" spans="1:10" ht="24">
      <c r="A368" s="430" t="s">
        <v>553</v>
      </c>
      <c r="B368" s="431" t="s">
        <v>188</v>
      </c>
      <c r="C368" s="431" t="s">
        <v>18</v>
      </c>
      <c r="D368" s="430" t="s">
        <v>189</v>
      </c>
      <c r="E368" s="431" t="s">
        <v>44</v>
      </c>
      <c r="F368" s="432">
        <v>327.20999999999998</v>
      </c>
      <c r="G368" s="432">
        <v>56.1</v>
      </c>
      <c r="H368" s="432">
        <v>10.07</v>
      </c>
      <c r="I368" s="432">
        <v>61.75</v>
      </c>
      <c r="J368" s="432">
        <v>20205.22</v>
      </c>
    </row>
    <row r="369" spans="1:10">
      <c r="A369" s="430" t="s">
        <v>554</v>
      </c>
      <c r="B369" s="431" t="s">
        <v>191</v>
      </c>
      <c r="C369" s="431" t="s">
        <v>141</v>
      </c>
      <c r="D369" s="430" t="s">
        <v>192</v>
      </c>
      <c r="E369" s="431" t="s">
        <v>73</v>
      </c>
      <c r="F369" s="432">
        <v>412.28</v>
      </c>
      <c r="G369" s="432">
        <v>90.74</v>
      </c>
      <c r="H369" s="432">
        <v>10.07</v>
      </c>
      <c r="I369" s="432">
        <v>99.88</v>
      </c>
      <c r="J369" s="432">
        <v>41178.53</v>
      </c>
    </row>
    <row r="370" spans="1:10">
      <c r="A370" s="430" t="s">
        <v>555</v>
      </c>
      <c r="B370" s="431" t="s">
        <v>194</v>
      </c>
      <c r="C370" s="431" t="s">
        <v>141</v>
      </c>
      <c r="D370" s="430" t="s">
        <v>195</v>
      </c>
      <c r="E370" s="431" t="s">
        <v>73</v>
      </c>
      <c r="F370" s="432">
        <v>45.81</v>
      </c>
      <c r="G370" s="432">
        <v>74.53</v>
      </c>
      <c r="H370" s="432">
        <v>10.07</v>
      </c>
      <c r="I370" s="432">
        <v>82.04</v>
      </c>
      <c r="J370" s="432">
        <v>3758.25</v>
      </c>
    </row>
    <row r="371" spans="1:10" ht="20.100000000000001" customHeight="1">
      <c r="A371" s="428" t="s">
        <v>556</v>
      </c>
      <c r="B371" s="494" t="s">
        <v>557</v>
      </c>
      <c r="C371" s="494"/>
      <c r="D371" s="494"/>
      <c r="E371" s="494"/>
      <c r="F371" s="494"/>
      <c r="G371" s="494"/>
      <c r="H371" s="494"/>
      <c r="I371" s="494"/>
      <c r="J371" s="429">
        <v>464222.44</v>
      </c>
    </row>
    <row r="372" spans="1:10" ht="20.100000000000001" customHeight="1">
      <c r="A372" s="428" t="s">
        <v>558</v>
      </c>
      <c r="B372" s="494" t="s">
        <v>15</v>
      </c>
      <c r="C372" s="494"/>
      <c r="D372" s="494"/>
      <c r="E372" s="494"/>
      <c r="F372" s="494"/>
      <c r="G372" s="494"/>
      <c r="H372" s="494"/>
      <c r="I372" s="494"/>
      <c r="J372" s="429">
        <v>7783.05</v>
      </c>
    </row>
    <row r="373" spans="1:10" ht="24">
      <c r="A373" s="430" t="s">
        <v>559</v>
      </c>
      <c r="B373" s="431" t="s">
        <v>17</v>
      </c>
      <c r="C373" s="431" t="s">
        <v>18</v>
      </c>
      <c r="D373" s="430" t="s">
        <v>19</v>
      </c>
      <c r="E373" s="431" t="s">
        <v>20</v>
      </c>
      <c r="F373" s="432">
        <v>8</v>
      </c>
      <c r="G373" s="432">
        <v>564.99</v>
      </c>
      <c r="H373" s="432">
        <v>17.57</v>
      </c>
      <c r="I373" s="432">
        <v>664.26</v>
      </c>
      <c r="J373" s="432">
        <v>5314.08</v>
      </c>
    </row>
    <row r="374" spans="1:10" ht="24">
      <c r="A374" s="430" t="s">
        <v>560</v>
      </c>
      <c r="B374" s="431" t="s">
        <v>22</v>
      </c>
      <c r="C374" s="431" t="s">
        <v>18</v>
      </c>
      <c r="D374" s="430" t="s">
        <v>23</v>
      </c>
      <c r="E374" s="431" t="s">
        <v>24</v>
      </c>
      <c r="F374" s="432">
        <v>3</v>
      </c>
      <c r="G374" s="432">
        <v>700</v>
      </c>
      <c r="H374" s="432">
        <v>17.57</v>
      </c>
      <c r="I374" s="432">
        <v>822.99</v>
      </c>
      <c r="J374" s="432">
        <v>2468.9699999999998</v>
      </c>
    </row>
    <row r="375" spans="1:10" ht="20.100000000000001" customHeight="1">
      <c r="A375" s="428" t="s">
        <v>561</v>
      </c>
      <c r="B375" s="494" t="s">
        <v>26</v>
      </c>
      <c r="C375" s="494"/>
      <c r="D375" s="494"/>
      <c r="E375" s="494"/>
      <c r="F375" s="494"/>
      <c r="G375" s="494"/>
      <c r="H375" s="494"/>
      <c r="I375" s="494"/>
      <c r="J375" s="429">
        <v>19280.63</v>
      </c>
    </row>
    <row r="376" spans="1:10" ht="24">
      <c r="A376" s="430" t="s">
        <v>562</v>
      </c>
      <c r="B376" s="431" t="s">
        <v>28</v>
      </c>
      <c r="C376" s="431" t="s">
        <v>29</v>
      </c>
      <c r="D376" s="430" t="s">
        <v>30</v>
      </c>
      <c r="E376" s="431" t="s">
        <v>31</v>
      </c>
      <c r="F376" s="432">
        <v>0.38</v>
      </c>
      <c r="G376" s="432">
        <v>16819.14</v>
      </c>
      <c r="H376" s="432">
        <v>17.57</v>
      </c>
      <c r="I376" s="432">
        <v>19774.259999999998</v>
      </c>
      <c r="J376" s="432">
        <v>7514.22</v>
      </c>
    </row>
    <row r="377" spans="1:10" ht="24">
      <c r="A377" s="430" t="s">
        <v>563</v>
      </c>
      <c r="B377" s="431" t="s">
        <v>33</v>
      </c>
      <c r="C377" s="431" t="s">
        <v>29</v>
      </c>
      <c r="D377" s="430" t="s">
        <v>34</v>
      </c>
      <c r="E377" s="431" t="s">
        <v>31</v>
      </c>
      <c r="F377" s="432">
        <v>1.5</v>
      </c>
      <c r="G377" s="432">
        <v>6672</v>
      </c>
      <c r="H377" s="432">
        <v>17.57</v>
      </c>
      <c r="I377" s="432">
        <v>7844.27</v>
      </c>
      <c r="J377" s="432">
        <v>11766.41</v>
      </c>
    </row>
    <row r="378" spans="1:10" ht="20.100000000000001" customHeight="1">
      <c r="A378" s="428" t="s">
        <v>564</v>
      </c>
      <c r="B378" s="494" t="s">
        <v>36</v>
      </c>
      <c r="C378" s="494"/>
      <c r="D378" s="494"/>
      <c r="E378" s="494"/>
      <c r="F378" s="494"/>
      <c r="G378" s="494"/>
      <c r="H378" s="494"/>
      <c r="I378" s="494"/>
      <c r="J378" s="429">
        <v>3525.39</v>
      </c>
    </row>
    <row r="379" spans="1:10">
      <c r="A379" s="430" t="s">
        <v>565</v>
      </c>
      <c r="B379" s="431" t="s">
        <v>38</v>
      </c>
      <c r="C379" s="431" t="s">
        <v>29</v>
      </c>
      <c r="D379" s="430" t="s">
        <v>39</v>
      </c>
      <c r="E379" s="431" t="s">
        <v>40</v>
      </c>
      <c r="F379" s="432">
        <v>386.41</v>
      </c>
      <c r="G379" s="432">
        <v>0.49</v>
      </c>
      <c r="H379" s="432">
        <v>17.57</v>
      </c>
      <c r="I379" s="432">
        <v>0.57999999999999996</v>
      </c>
      <c r="J379" s="432">
        <v>224.12</v>
      </c>
    </row>
    <row r="380" spans="1:10" ht="24">
      <c r="A380" s="430" t="s">
        <v>566</v>
      </c>
      <c r="B380" s="431" t="s">
        <v>42</v>
      </c>
      <c r="C380" s="431" t="s">
        <v>18</v>
      </c>
      <c r="D380" s="430" t="s">
        <v>43</v>
      </c>
      <c r="E380" s="431" t="s">
        <v>44</v>
      </c>
      <c r="F380" s="432">
        <v>11.59</v>
      </c>
      <c r="G380" s="432">
        <v>212.24</v>
      </c>
      <c r="H380" s="432">
        <v>17.57</v>
      </c>
      <c r="I380" s="432">
        <v>249.53</v>
      </c>
      <c r="J380" s="432">
        <v>2892.05</v>
      </c>
    </row>
    <row r="381" spans="1:10" ht="48">
      <c r="A381" s="430" t="s">
        <v>567</v>
      </c>
      <c r="B381" s="431" t="s">
        <v>49</v>
      </c>
      <c r="C381" s="431" t="s">
        <v>18</v>
      </c>
      <c r="D381" s="430" t="s">
        <v>50</v>
      </c>
      <c r="E381" s="431" t="s">
        <v>44</v>
      </c>
      <c r="F381" s="432">
        <v>14.49</v>
      </c>
      <c r="G381" s="432">
        <v>2.9</v>
      </c>
      <c r="H381" s="432">
        <v>17.57</v>
      </c>
      <c r="I381" s="432">
        <v>3.41</v>
      </c>
      <c r="J381" s="432">
        <v>49.41</v>
      </c>
    </row>
    <row r="382" spans="1:10" ht="36">
      <c r="A382" s="430" t="s">
        <v>568</v>
      </c>
      <c r="B382" s="431" t="s">
        <v>52</v>
      </c>
      <c r="C382" s="431" t="s">
        <v>29</v>
      </c>
      <c r="D382" s="430" t="s">
        <v>53</v>
      </c>
      <c r="E382" s="431" t="s">
        <v>54</v>
      </c>
      <c r="F382" s="432">
        <v>134.76</v>
      </c>
      <c r="G382" s="432">
        <v>2.27</v>
      </c>
      <c r="H382" s="432">
        <v>17.57</v>
      </c>
      <c r="I382" s="432">
        <v>2.67</v>
      </c>
      <c r="J382" s="432">
        <v>359.81</v>
      </c>
    </row>
    <row r="383" spans="1:10" ht="20.100000000000001" customHeight="1">
      <c r="A383" s="428" t="s">
        <v>569</v>
      </c>
      <c r="B383" s="494" t="s">
        <v>381</v>
      </c>
      <c r="C383" s="494"/>
      <c r="D383" s="494"/>
      <c r="E383" s="494"/>
      <c r="F383" s="494"/>
      <c r="G383" s="494"/>
      <c r="H383" s="494"/>
      <c r="I383" s="494"/>
      <c r="J383" s="429">
        <v>14273.67</v>
      </c>
    </row>
    <row r="384" spans="1:10" ht="24">
      <c r="A384" s="430" t="s">
        <v>570</v>
      </c>
      <c r="B384" s="431" t="s">
        <v>58</v>
      </c>
      <c r="C384" s="431" t="s">
        <v>18</v>
      </c>
      <c r="D384" s="430" t="s">
        <v>59</v>
      </c>
      <c r="E384" s="431" t="s">
        <v>60</v>
      </c>
      <c r="F384" s="432">
        <v>382.45</v>
      </c>
      <c r="G384" s="432">
        <v>2.59</v>
      </c>
      <c r="H384" s="432">
        <v>17.57</v>
      </c>
      <c r="I384" s="432">
        <v>3.05</v>
      </c>
      <c r="J384" s="432">
        <v>1166.47</v>
      </c>
    </row>
    <row r="385" spans="1:10" ht="48">
      <c r="A385" s="430" t="s">
        <v>571</v>
      </c>
      <c r="B385" s="431" t="s">
        <v>49</v>
      </c>
      <c r="C385" s="431" t="s">
        <v>18</v>
      </c>
      <c r="D385" s="430" t="s">
        <v>50</v>
      </c>
      <c r="E385" s="431" t="s">
        <v>44</v>
      </c>
      <c r="F385" s="432">
        <v>453.44</v>
      </c>
      <c r="G385" s="432">
        <v>2.9</v>
      </c>
      <c r="H385" s="432">
        <v>17.57</v>
      </c>
      <c r="I385" s="432">
        <v>3.41</v>
      </c>
      <c r="J385" s="432">
        <v>1546.23</v>
      </c>
    </row>
    <row r="386" spans="1:10" ht="36">
      <c r="A386" s="430" t="s">
        <v>572</v>
      </c>
      <c r="B386" s="431" t="s">
        <v>52</v>
      </c>
      <c r="C386" s="431" t="s">
        <v>29</v>
      </c>
      <c r="D386" s="430" t="s">
        <v>53</v>
      </c>
      <c r="E386" s="431" t="s">
        <v>54</v>
      </c>
      <c r="F386" s="432">
        <v>4216.99</v>
      </c>
      <c r="G386" s="432">
        <v>2.27</v>
      </c>
      <c r="H386" s="432">
        <v>17.57</v>
      </c>
      <c r="I386" s="432">
        <v>2.67</v>
      </c>
      <c r="J386" s="432">
        <v>11259.36</v>
      </c>
    </row>
    <row r="387" spans="1:10" ht="36">
      <c r="A387" s="430" t="s">
        <v>573</v>
      </c>
      <c r="B387" s="431" t="s">
        <v>292</v>
      </c>
      <c r="C387" s="431" t="s">
        <v>29</v>
      </c>
      <c r="D387" s="430" t="s">
        <v>293</v>
      </c>
      <c r="E387" s="431" t="s">
        <v>60</v>
      </c>
      <c r="F387" s="432">
        <v>19.7</v>
      </c>
      <c r="G387" s="432">
        <v>13.02</v>
      </c>
      <c r="H387" s="432">
        <v>17.57</v>
      </c>
      <c r="I387" s="432">
        <v>15.31</v>
      </c>
      <c r="J387" s="432">
        <v>301.61</v>
      </c>
    </row>
    <row r="388" spans="1:10" ht="20.100000000000001" customHeight="1">
      <c r="A388" s="428" t="s">
        <v>574</v>
      </c>
      <c r="B388" s="494" t="s">
        <v>11</v>
      </c>
      <c r="C388" s="494"/>
      <c r="D388" s="494"/>
      <c r="E388" s="494"/>
      <c r="F388" s="494"/>
      <c r="G388" s="494"/>
      <c r="H388" s="494"/>
      <c r="I388" s="494"/>
      <c r="J388" s="429">
        <v>134743.32999999999</v>
      </c>
    </row>
    <row r="389" spans="1:10" ht="24">
      <c r="A389" s="430" t="s">
        <v>575</v>
      </c>
      <c r="B389" s="431" t="s">
        <v>65</v>
      </c>
      <c r="C389" s="431" t="s">
        <v>29</v>
      </c>
      <c r="D389" s="430" t="s">
        <v>66</v>
      </c>
      <c r="E389" s="431" t="s">
        <v>20</v>
      </c>
      <c r="F389" s="432">
        <v>2706</v>
      </c>
      <c r="G389" s="432">
        <v>2.79</v>
      </c>
      <c r="H389" s="432">
        <v>17.57</v>
      </c>
      <c r="I389" s="432">
        <v>3.28</v>
      </c>
      <c r="J389" s="432">
        <v>8875.68</v>
      </c>
    </row>
    <row r="390" spans="1:10" ht="36">
      <c r="A390" s="430" t="s">
        <v>576</v>
      </c>
      <c r="B390" s="431" t="s">
        <v>75</v>
      </c>
      <c r="C390" s="431" t="s">
        <v>18</v>
      </c>
      <c r="D390" s="430" t="s">
        <v>76</v>
      </c>
      <c r="E390" s="431" t="s">
        <v>60</v>
      </c>
      <c r="F390" s="432">
        <v>345.15</v>
      </c>
      <c r="G390" s="432">
        <v>14.44</v>
      </c>
      <c r="H390" s="432">
        <v>17.57</v>
      </c>
      <c r="I390" s="432">
        <v>16.98</v>
      </c>
      <c r="J390" s="432">
        <v>5860.65</v>
      </c>
    </row>
    <row r="391" spans="1:10" ht="48">
      <c r="A391" s="430" t="s">
        <v>577</v>
      </c>
      <c r="B391" s="431" t="s">
        <v>49</v>
      </c>
      <c r="C391" s="431" t="s">
        <v>18</v>
      </c>
      <c r="D391" s="430" t="s">
        <v>50</v>
      </c>
      <c r="E391" s="431" t="s">
        <v>44</v>
      </c>
      <c r="F391" s="432">
        <v>431.44</v>
      </c>
      <c r="G391" s="432">
        <v>2.9</v>
      </c>
      <c r="H391" s="432">
        <v>17.57</v>
      </c>
      <c r="I391" s="432">
        <v>3.41</v>
      </c>
      <c r="J391" s="432">
        <v>1471.21</v>
      </c>
    </row>
    <row r="392" spans="1:10" ht="24">
      <c r="A392" s="430" t="s">
        <v>578</v>
      </c>
      <c r="B392" s="431" t="s">
        <v>79</v>
      </c>
      <c r="C392" s="431" t="s">
        <v>18</v>
      </c>
      <c r="D392" s="430" t="s">
        <v>80</v>
      </c>
      <c r="E392" s="431" t="s">
        <v>81</v>
      </c>
      <c r="F392" s="432">
        <v>6299.02</v>
      </c>
      <c r="G392" s="432">
        <v>1.37</v>
      </c>
      <c r="H392" s="432">
        <v>17.57</v>
      </c>
      <c r="I392" s="432">
        <v>1.61</v>
      </c>
      <c r="J392" s="432">
        <v>10141.42</v>
      </c>
    </row>
    <row r="393" spans="1:10" ht="48">
      <c r="A393" s="430" t="s">
        <v>579</v>
      </c>
      <c r="B393" s="431" t="s">
        <v>83</v>
      </c>
      <c r="C393" s="431" t="s">
        <v>18</v>
      </c>
      <c r="D393" s="430" t="s">
        <v>84</v>
      </c>
      <c r="E393" s="431" t="s">
        <v>20</v>
      </c>
      <c r="F393" s="432">
        <v>2300.9699999999998</v>
      </c>
      <c r="G393" s="432">
        <v>20.41</v>
      </c>
      <c r="H393" s="432">
        <v>17.57</v>
      </c>
      <c r="I393" s="432">
        <v>24</v>
      </c>
      <c r="J393" s="432">
        <v>55223.28</v>
      </c>
    </row>
    <row r="394" spans="1:10" ht="60">
      <c r="A394" s="430" t="s">
        <v>580</v>
      </c>
      <c r="B394" s="431" t="s">
        <v>104</v>
      </c>
      <c r="C394" s="431" t="s">
        <v>29</v>
      </c>
      <c r="D394" s="430" t="s">
        <v>105</v>
      </c>
      <c r="E394" s="431" t="s">
        <v>40</v>
      </c>
      <c r="F394" s="432">
        <v>800.89</v>
      </c>
      <c r="G394" s="432">
        <v>56.47</v>
      </c>
      <c r="H394" s="432">
        <v>17.57</v>
      </c>
      <c r="I394" s="432">
        <v>66.39</v>
      </c>
      <c r="J394" s="432">
        <v>53171.09</v>
      </c>
    </row>
    <row r="395" spans="1:10" ht="20.100000000000001" customHeight="1">
      <c r="A395" s="428" t="s">
        <v>581</v>
      </c>
      <c r="B395" s="494" t="s">
        <v>120</v>
      </c>
      <c r="C395" s="494"/>
      <c r="D395" s="494"/>
      <c r="E395" s="494"/>
      <c r="F395" s="494"/>
      <c r="G395" s="494"/>
      <c r="H395" s="494"/>
      <c r="I395" s="494"/>
      <c r="J395" s="429">
        <v>98051.15</v>
      </c>
    </row>
    <row r="396" spans="1:10" ht="36">
      <c r="A396" s="430" t="s">
        <v>582</v>
      </c>
      <c r="B396" s="431" t="s">
        <v>128</v>
      </c>
      <c r="C396" s="431" t="s">
        <v>29</v>
      </c>
      <c r="D396" s="430" t="s">
        <v>129</v>
      </c>
      <c r="E396" s="431" t="s">
        <v>60</v>
      </c>
      <c r="F396" s="432">
        <v>51.61</v>
      </c>
      <c r="G396" s="432">
        <v>472.74</v>
      </c>
      <c r="H396" s="432">
        <v>17.57</v>
      </c>
      <c r="I396" s="432">
        <v>555.79999999999995</v>
      </c>
      <c r="J396" s="432">
        <v>28684.84</v>
      </c>
    </row>
    <row r="397" spans="1:10" ht="60">
      <c r="A397" s="430" t="s">
        <v>583</v>
      </c>
      <c r="B397" s="431" t="s">
        <v>314</v>
      </c>
      <c r="C397" s="431" t="s">
        <v>29</v>
      </c>
      <c r="D397" s="430" t="s">
        <v>315</v>
      </c>
      <c r="E397" s="431" t="s">
        <v>60</v>
      </c>
      <c r="F397" s="432">
        <v>3.05</v>
      </c>
      <c r="G397" s="432">
        <v>6.48</v>
      </c>
      <c r="H397" s="432">
        <v>17.57</v>
      </c>
      <c r="I397" s="432">
        <v>7.62</v>
      </c>
      <c r="J397" s="432">
        <v>23.24</v>
      </c>
    </row>
    <row r="398" spans="1:10" ht="60">
      <c r="A398" s="430" t="s">
        <v>584</v>
      </c>
      <c r="B398" s="431" t="s">
        <v>317</v>
      </c>
      <c r="C398" s="431" t="s">
        <v>29</v>
      </c>
      <c r="D398" s="430" t="s">
        <v>318</v>
      </c>
      <c r="E398" s="431" t="s">
        <v>60</v>
      </c>
      <c r="F398" s="432">
        <v>1.1399999999999999</v>
      </c>
      <c r="G398" s="432">
        <v>23.75</v>
      </c>
      <c r="H398" s="432">
        <v>17.57</v>
      </c>
      <c r="I398" s="432">
        <v>27.92</v>
      </c>
      <c r="J398" s="432">
        <v>31.83</v>
      </c>
    </row>
    <row r="399" spans="1:10" ht="48">
      <c r="A399" s="430" t="s">
        <v>585</v>
      </c>
      <c r="B399" s="431" t="s">
        <v>49</v>
      </c>
      <c r="C399" s="431" t="s">
        <v>18</v>
      </c>
      <c r="D399" s="430" t="s">
        <v>50</v>
      </c>
      <c r="E399" s="431" t="s">
        <v>44</v>
      </c>
      <c r="F399" s="432">
        <v>2.39</v>
      </c>
      <c r="G399" s="432">
        <v>2.9</v>
      </c>
      <c r="H399" s="432">
        <v>17.57</v>
      </c>
      <c r="I399" s="432">
        <v>3.41</v>
      </c>
      <c r="J399" s="432">
        <v>8.15</v>
      </c>
    </row>
    <row r="400" spans="1:10" ht="36">
      <c r="A400" s="430" t="s">
        <v>586</v>
      </c>
      <c r="B400" s="431" t="s">
        <v>52</v>
      </c>
      <c r="C400" s="431" t="s">
        <v>29</v>
      </c>
      <c r="D400" s="430" t="s">
        <v>53</v>
      </c>
      <c r="E400" s="431" t="s">
        <v>54</v>
      </c>
      <c r="F400" s="432">
        <v>22.23</v>
      </c>
      <c r="G400" s="432">
        <v>2.27</v>
      </c>
      <c r="H400" s="432">
        <v>17.57</v>
      </c>
      <c r="I400" s="432">
        <v>2.67</v>
      </c>
      <c r="J400" s="432">
        <v>59.35</v>
      </c>
    </row>
    <row r="401" spans="1:10" ht="24">
      <c r="A401" s="430" t="s">
        <v>587</v>
      </c>
      <c r="B401" s="431" t="s">
        <v>125</v>
      </c>
      <c r="C401" s="431" t="s">
        <v>29</v>
      </c>
      <c r="D401" s="430" t="s">
        <v>126</v>
      </c>
      <c r="E401" s="431" t="s">
        <v>60</v>
      </c>
      <c r="F401" s="432">
        <v>0.52</v>
      </c>
      <c r="G401" s="432">
        <v>436.13</v>
      </c>
      <c r="H401" s="432">
        <v>17.57</v>
      </c>
      <c r="I401" s="432">
        <v>512.76</v>
      </c>
      <c r="J401" s="432">
        <v>266.64</v>
      </c>
    </row>
    <row r="402" spans="1:10" ht="36">
      <c r="A402" s="430" t="s">
        <v>588</v>
      </c>
      <c r="B402" s="431" t="s">
        <v>326</v>
      </c>
      <c r="C402" s="431" t="s">
        <v>29</v>
      </c>
      <c r="D402" s="430" t="s">
        <v>327</v>
      </c>
      <c r="E402" s="431" t="s">
        <v>328</v>
      </c>
      <c r="F402" s="432">
        <v>3357.7</v>
      </c>
      <c r="G402" s="432">
        <v>15.14</v>
      </c>
      <c r="H402" s="432">
        <v>17.57</v>
      </c>
      <c r="I402" s="432">
        <v>17.8</v>
      </c>
      <c r="J402" s="432">
        <v>59767.06</v>
      </c>
    </row>
    <row r="403" spans="1:10" ht="48">
      <c r="A403" s="430" t="s">
        <v>589</v>
      </c>
      <c r="B403" s="431" t="s">
        <v>330</v>
      </c>
      <c r="C403" s="431" t="s">
        <v>18</v>
      </c>
      <c r="D403" s="430" t="s">
        <v>331</v>
      </c>
      <c r="E403" s="431" t="s">
        <v>20</v>
      </c>
      <c r="F403" s="432">
        <v>243.02</v>
      </c>
      <c r="G403" s="432">
        <v>1.1000000000000001</v>
      </c>
      <c r="H403" s="432">
        <v>17.57</v>
      </c>
      <c r="I403" s="432">
        <v>1.29</v>
      </c>
      <c r="J403" s="432">
        <v>313.5</v>
      </c>
    </row>
    <row r="404" spans="1:10" ht="36">
      <c r="A404" s="430" t="s">
        <v>590</v>
      </c>
      <c r="B404" s="431" t="s">
        <v>333</v>
      </c>
      <c r="C404" s="431" t="s">
        <v>29</v>
      </c>
      <c r="D404" s="430" t="s">
        <v>334</v>
      </c>
      <c r="E404" s="431" t="s">
        <v>20</v>
      </c>
      <c r="F404" s="432">
        <v>4.04</v>
      </c>
      <c r="G404" s="432">
        <v>105.62</v>
      </c>
      <c r="H404" s="432">
        <v>17.57</v>
      </c>
      <c r="I404" s="432">
        <v>124.18</v>
      </c>
      <c r="J404" s="432">
        <v>501.69</v>
      </c>
    </row>
    <row r="405" spans="1:10" ht="36">
      <c r="A405" s="430" t="s">
        <v>591</v>
      </c>
      <c r="B405" s="431" t="s">
        <v>336</v>
      </c>
      <c r="C405" s="431" t="s">
        <v>29</v>
      </c>
      <c r="D405" s="430" t="s">
        <v>337</v>
      </c>
      <c r="E405" s="431" t="s">
        <v>20</v>
      </c>
      <c r="F405" s="432">
        <v>4.04</v>
      </c>
      <c r="G405" s="432">
        <v>4.0999999999999996</v>
      </c>
      <c r="H405" s="432">
        <v>17.57</v>
      </c>
      <c r="I405" s="432">
        <v>4.82</v>
      </c>
      <c r="J405" s="432">
        <v>19.47</v>
      </c>
    </row>
    <row r="406" spans="1:10" ht="48">
      <c r="A406" s="430" t="s">
        <v>592</v>
      </c>
      <c r="B406" s="431" t="s">
        <v>339</v>
      </c>
      <c r="C406" s="431" t="s">
        <v>29</v>
      </c>
      <c r="D406" s="430" t="s">
        <v>340</v>
      </c>
      <c r="E406" s="431" t="s">
        <v>20</v>
      </c>
      <c r="F406" s="432">
        <v>4.04</v>
      </c>
      <c r="G406" s="432">
        <v>24.83</v>
      </c>
      <c r="H406" s="432">
        <v>17.57</v>
      </c>
      <c r="I406" s="432">
        <v>29.19</v>
      </c>
      <c r="J406" s="432">
        <v>117.93</v>
      </c>
    </row>
    <row r="407" spans="1:10" ht="24">
      <c r="A407" s="430" t="s">
        <v>593</v>
      </c>
      <c r="B407" s="431" t="s">
        <v>342</v>
      </c>
      <c r="C407" s="431" t="s">
        <v>29</v>
      </c>
      <c r="D407" s="430" t="s">
        <v>343</v>
      </c>
      <c r="E407" s="431" t="s">
        <v>60</v>
      </c>
      <c r="F407" s="432">
        <v>0.43</v>
      </c>
      <c r="G407" s="432">
        <v>469.42</v>
      </c>
      <c r="H407" s="432">
        <v>17.57</v>
      </c>
      <c r="I407" s="432">
        <v>551.9</v>
      </c>
      <c r="J407" s="432">
        <v>237.32</v>
      </c>
    </row>
    <row r="408" spans="1:10" ht="24">
      <c r="A408" s="430" t="s">
        <v>594</v>
      </c>
      <c r="B408" s="431" t="s">
        <v>131</v>
      </c>
      <c r="C408" s="431" t="s">
        <v>18</v>
      </c>
      <c r="D408" s="430" t="s">
        <v>132</v>
      </c>
      <c r="E408" s="431" t="s">
        <v>60</v>
      </c>
      <c r="F408" s="432">
        <v>52.56</v>
      </c>
      <c r="G408" s="432">
        <v>129.79</v>
      </c>
      <c r="H408" s="432">
        <v>17.57</v>
      </c>
      <c r="I408" s="432">
        <v>152.59</v>
      </c>
      <c r="J408" s="432">
        <v>8020.13</v>
      </c>
    </row>
    <row r="409" spans="1:10" ht="20.100000000000001" customHeight="1">
      <c r="A409" s="428" t="s">
        <v>595</v>
      </c>
      <c r="B409" s="494" t="s">
        <v>138</v>
      </c>
      <c r="C409" s="494"/>
      <c r="D409" s="494"/>
      <c r="E409" s="494"/>
      <c r="F409" s="494"/>
      <c r="G409" s="494"/>
      <c r="H409" s="494"/>
      <c r="I409" s="494"/>
      <c r="J409" s="429">
        <v>3015.71</v>
      </c>
    </row>
    <row r="410" spans="1:10">
      <c r="A410" s="430" t="s">
        <v>596</v>
      </c>
      <c r="B410" s="431" t="s">
        <v>145</v>
      </c>
      <c r="C410" s="431" t="s">
        <v>141</v>
      </c>
      <c r="D410" s="430" t="s">
        <v>146</v>
      </c>
      <c r="E410" s="431" t="s">
        <v>143</v>
      </c>
      <c r="F410" s="432">
        <v>2.7</v>
      </c>
      <c r="G410" s="432">
        <v>347.25</v>
      </c>
      <c r="H410" s="432">
        <v>17.57</v>
      </c>
      <c r="I410" s="432">
        <v>408.26</v>
      </c>
      <c r="J410" s="432">
        <v>1102.3</v>
      </c>
    </row>
    <row r="411" spans="1:10" ht="24">
      <c r="A411" s="430" t="s">
        <v>597</v>
      </c>
      <c r="B411" s="431" t="s">
        <v>148</v>
      </c>
      <c r="C411" s="431" t="s">
        <v>141</v>
      </c>
      <c r="D411" s="430" t="s">
        <v>149</v>
      </c>
      <c r="E411" s="431" t="s">
        <v>150</v>
      </c>
      <c r="F411" s="432">
        <v>6</v>
      </c>
      <c r="G411" s="432">
        <v>121.48</v>
      </c>
      <c r="H411" s="432">
        <v>17.57</v>
      </c>
      <c r="I411" s="432">
        <v>142.82</v>
      </c>
      <c r="J411" s="432">
        <v>856.92</v>
      </c>
    </row>
    <row r="412" spans="1:10" ht="24">
      <c r="A412" s="430" t="s">
        <v>598</v>
      </c>
      <c r="B412" s="431" t="s">
        <v>152</v>
      </c>
      <c r="C412" s="431" t="s">
        <v>18</v>
      </c>
      <c r="D412" s="430" t="s">
        <v>153</v>
      </c>
      <c r="E412" s="431" t="s">
        <v>154</v>
      </c>
      <c r="F412" s="432">
        <v>5</v>
      </c>
      <c r="G412" s="432">
        <v>156.33000000000001</v>
      </c>
      <c r="H412" s="432">
        <v>17.57</v>
      </c>
      <c r="I412" s="432">
        <v>183.8</v>
      </c>
      <c r="J412" s="432">
        <v>919</v>
      </c>
    </row>
    <row r="413" spans="1:10" ht="24">
      <c r="A413" s="430" t="s">
        <v>599</v>
      </c>
      <c r="B413" s="431" t="s">
        <v>156</v>
      </c>
      <c r="C413" s="431" t="s">
        <v>18</v>
      </c>
      <c r="D413" s="430" t="s">
        <v>157</v>
      </c>
      <c r="E413" s="431" t="s">
        <v>20</v>
      </c>
      <c r="F413" s="432">
        <v>5.76</v>
      </c>
      <c r="G413" s="432">
        <v>20.3</v>
      </c>
      <c r="H413" s="432">
        <v>17.57</v>
      </c>
      <c r="I413" s="432">
        <v>23.87</v>
      </c>
      <c r="J413" s="432">
        <v>137.49</v>
      </c>
    </row>
    <row r="414" spans="1:10" ht="20.100000000000001" customHeight="1">
      <c r="A414" s="428" t="s">
        <v>600</v>
      </c>
      <c r="B414" s="494" t="s">
        <v>170</v>
      </c>
      <c r="C414" s="494"/>
      <c r="D414" s="494"/>
      <c r="E414" s="494"/>
      <c r="F414" s="494"/>
      <c r="G414" s="494"/>
      <c r="H414" s="494"/>
      <c r="I414" s="494"/>
      <c r="J414" s="429">
        <v>183549.51</v>
      </c>
    </row>
    <row r="415" spans="1:10" ht="48">
      <c r="A415" s="430" t="s">
        <v>601</v>
      </c>
      <c r="B415" s="431" t="s">
        <v>172</v>
      </c>
      <c r="C415" s="431" t="s">
        <v>29</v>
      </c>
      <c r="D415" s="430" t="s">
        <v>173</v>
      </c>
      <c r="E415" s="431" t="s">
        <v>31</v>
      </c>
      <c r="F415" s="432">
        <v>3</v>
      </c>
      <c r="G415" s="432">
        <v>830</v>
      </c>
      <c r="H415" s="432">
        <v>10.07</v>
      </c>
      <c r="I415" s="432">
        <v>913.58</v>
      </c>
      <c r="J415" s="432">
        <v>2740.74</v>
      </c>
    </row>
    <row r="416" spans="1:10" ht="36">
      <c r="A416" s="430" t="s">
        <v>602</v>
      </c>
      <c r="B416" s="431" t="s">
        <v>175</v>
      </c>
      <c r="C416" s="431" t="s">
        <v>29</v>
      </c>
      <c r="D416" s="430" t="s">
        <v>176</v>
      </c>
      <c r="E416" s="431" t="s">
        <v>31</v>
      </c>
      <c r="F416" s="432">
        <v>3</v>
      </c>
      <c r="G416" s="432">
        <v>648.42999999999995</v>
      </c>
      <c r="H416" s="432">
        <v>10.07</v>
      </c>
      <c r="I416" s="432">
        <v>713.73</v>
      </c>
      <c r="J416" s="432">
        <v>2141.19</v>
      </c>
    </row>
    <row r="417" spans="1:10" ht="48">
      <c r="A417" s="430" t="s">
        <v>603</v>
      </c>
      <c r="B417" s="431" t="s">
        <v>178</v>
      </c>
      <c r="C417" s="431" t="s">
        <v>29</v>
      </c>
      <c r="D417" s="430" t="s">
        <v>179</v>
      </c>
      <c r="E417" s="431" t="s">
        <v>20</v>
      </c>
      <c r="F417" s="432">
        <v>1385.89</v>
      </c>
      <c r="G417" s="432">
        <v>49</v>
      </c>
      <c r="H417" s="432">
        <v>10.07</v>
      </c>
      <c r="I417" s="432">
        <v>53.93</v>
      </c>
      <c r="J417" s="432">
        <v>74741.05</v>
      </c>
    </row>
    <row r="418" spans="1:10" ht="48">
      <c r="A418" s="430" t="s">
        <v>604</v>
      </c>
      <c r="B418" s="431" t="s">
        <v>181</v>
      </c>
      <c r="C418" s="431" t="s">
        <v>29</v>
      </c>
      <c r="D418" s="430" t="s">
        <v>182</v>
      </c>
      <c r="E418" s="431" t="s">
        <v>20</v>
      </c>
      <c r="F418" s="432">
        <v>945.22</v>
      </c>
      <c r="G418" s="432">
        <v>53.92</v>
      </c>
      <c r="H418" s="432">
        <v>10.07</v>
      </c>
      <c r="I418" s="432">
        <v>59.35</v>
      </c>
      <c r="J418" s="432">
        <v>56098.81</v>
      </c>
    </row>
    <row r="419" spans="1:10" ht="24">
      <c r="A419" s="430" t="s">
        <v>605</v>
      </c>
      <c r="B419" s="431" t="s">
        <v>188</v>
      </c>
      <c r="C419" s="431" t="s">
        <v>18</v>
      </c>
      <c r="D419" s="430" t="s">
        <v>189</v>
      </c>
      <c r="E419" s="431" t="s">
        <v>44</v>
      </c>
      <c r="F419" s="432">
        <v>345.15</v>
      </c>
      <c r="G419" s="432">
        <v>56.1</v>
      </c>
      <c r="H419" s="432">
        <v>10.07</v>
      </c>
      <c r="I419" s="432">
        <v>61.75</v>
      </c>
      <c r="J419" s="432">
        <v>21313.01</v>
      </c>
    </row>
    <row r="420" spans="1:10" ht="36">
      <c r="A420" s="430" t="s">
        <v>606</v>
      </c>
      <c r="B420" s="431" t="s">
        <v>365</v>
      </c>
      <c r="C420" s="431" t="s">
        <v>29</v>
      </c>
      <c r="D420" s="430" t="s">
        <v>366</v>
      </c>
      <c r="E420" s="431" t="s">
        <v>20</v>
      </c>
      <c r="F420" s="432">
        <v>255.17</v>
      </c>
      <c r="G420" s="432">
        <v>94.4</v>
      </c>
      <c r="H420" s="432">
        <v>10.07</v>
      </c>
      <c r="I420" s="432">
        <v>103.91</v>
      </c>
      <c r="J420" s="432">
        <v>26514.71</v>
      </c>
    </row>
    <row r="421" spans="1:10" ht="20.100000000000001" customHeight="1">
      <c r="A421" s="428" t="s">
        <v>607</v>
      </c>
      <c r="B421" s="494" t="s">
        <v>608</v>
      </c>
      <c r="C421" s="494"/>
      <c r="D421" s="494"/>
      <c r="E421" s="494"/>
      <c r="F421" s="494"/>
      <c r="G421" s="494"/>
      <c r="H421" s="494"/>
      <c r="I421" s="494"/>
      <c r="J421" s="429">
        <v>586818.35</v>
      </c>
    </row>
    <row r="422" spans="1:10" ht="20.100000000000001" customHeight="1">
      <c r="A422" s="428" t="s">
        <v>609</v>
      </c>
      <c r="B422" s="494" t="s">
        <v>15</v>
      </c>
      <c r="C422" s="494"/>
      <c r="D422" s="494"/>
      <c r="E422" s="494"/>
      <c r="F422" s="494"/>
      <c r="G422" s="494"/>
      <c r="H422" s="494"/>
      <c r="I422" s="494"/>
      <c r="J422" s="429">
        <v>8606.0400000000009</v>
      </c>
    </row>
    <row r="423" spans="1:10" ht="24">
      <c r="A423" s="430" t="s">
        <v>610</v>
      </c>
      <c r="B423" s="431" t="s">
        <v>17</v>
      </c>
      <c r="C423" s="431" t="s">
        <v>18</v>
      </c>
      <c r="D423" s="430" t="s">
        <v>19</v>
      </c>
      <c r="E423" s="431" t="s">
        <v>20</v>
      </c>
      <c r="F423" s="432">
        <v>8</v>
      </c>
      <c r="G423" s="432">
        <v>564.99</v>
      </c>
      <c r="H423" s="432">
        <v>17.57</v>
      </c>
      <c r="I423" s="432">
        <v>664.26</v>
      </c>
      <c r="J423" s="432">
        <v>5314.08</v>
      </c>
    </row>
    <row r="424" spans="1:10" ht="24">
      <c r="A424" s="430" t="s">
        <v>611</v>
      </c>
      <c r="B424" s="431" t="s">
        <v>22</v>
      </c>
      <c r="C424" s="431" t="s">
        <v>18</v>
      </c>
      <c r="D424" s="430" t="s">
        <v>23</v>
      </c>
      <c r="E424" s="431" t="s">
        <v>24</v>
      </c>
      <c r="F424" s="432">
        <v>4</v>
      </c>
      <c r="G424" s="432">
        <v>700</v>
      </c>
      <c r="H424" s="432">
        <v>17.57</v>
      </c>
      <c r="I424" s="432">
        <v>822.99</v>
      </c>
      <c r="J424" s="432">
        <v>3291.96</v>
      </c>
    </row>
    <row r="425" spans="1:10" ht="20.100000000000001" customHeight="1">
      <c r="A425" s="428" t="s">
        <v>612</v>
      </c>
      <c r="B425" s="494" t="s">
        <v>26</v>
      </c>
      <c r="C425" s="494"/>
      <c r="D425" s="494"/>
      <c r="E425" s="494"/>
      <c r="F425" s="494"/>
      <c r="G425" s="494"/>
      <c r="H425" s="494"/>
      <c r="I425" s="494"/>
      <c r="J425" s="429">
        <v>25575.67</v>
      </c>
    </row>
    <row r="426" spans="1:10" ht="24">
      <c r="A426" s="430" t="s">
        <v>613</v>
      </c>
      <c r="B426" s="431" t="s">
        <v>28</v>
      </c>
      <c r="C426" s="431" t="s">
        <v>29</v>
      </c>
      <c r="D426" s="430" t="s">
        <v>30</v>
      </c>
      <c r="E426" s="431" t="s">
        <v>31</v>
      </c>
      <c r="F426" s="432">
        <v>0.5</v>
      </c>
      <c r="G426" s="432">
        <v>16819.14</v>
      </c>
      <c r="H426" s="432">
        <v>17.57</v>
      </c>
      <c r="I426" s="432">
        <v>19774.259999999998</v>
      </c>
      <c r="J426" s="432">
        <v>9887.1299999999992</v>
      </c>
    </row>
    <row r="427" spans="1:10" ht="24">
      <c r="A427" s="430" t="s">
        <v>614</v>
      </c>
      <c r="B427" s="431" t="s">
        <v>33</v>
      </c>
      <c r="C427" s="431" t="s">
        <v>29</v>
      </c>
      <c r="D427" s="430" t="s">
        <v>34</v>
      </c>
      <c r="E427" s="431" t="s">
        <v>31</v>
      </c>
      <c r="F427" s="432">
        <v>2</v>
      </c>
      <c r="G427" s="432">
        <v>6672</v>
      </c>
      <c r="H427" s="432">
        <v>17.57</v>
      </c>
      <c r="I427" s="432">
        <v>7844.27</v>
      </c>
      <c r="J427" s="432">
        <v>15688.54</v>
      </c>
    </row>
    <row r="428" spans="1:10" ht="20.100000000000001" customHeight="1">
      <c r="A428" s="428" t="s">
        <v>615</v>
      </c>
      <c r="B428" s="494" t="s">
        <v>36</v>
      </c>
      <c r="C428" s="494"/>
      <c r="D428" s="494"/>
      <c r="E428" s="494"/>
      <c r="F428" s="494"/>
      <c r="G428" s="494"/>
      <c r="H428" s="494"/>
      <c r="I428" s="494"/>
      <c r="J428" s="429">
        <v>3040.82</v>
      </c>
    </row>
    <row r="429" spans="1:10">
      <c r="A429" s="430" t="s">
        <v>616</v>
      </c>
      <c r="B429" s="431" t="s">
        <v>38</v>
      </c>
      <c r="C429" s="431" t="s">
        <v>29</v>
      </c>
      <c r="D429" s="430" t="s">
        <v>39</v>
      </c>
      <c r="E429" s="431" t="s">
        <v>40</v>
      </c>
      <c r="F429" s="432">
        <v>413.1</v>
      </c>
      <c r="G429" s="432">
        <v>0.49</v>
      </c>
      <c r="H429" s="432">
        <v>17.57</v>
      </c>
      <c r="I429" s="432">
        <v>0.57999999999999996</v>
      </c>
      <c r="J429" s="432">
        <v>239.6</v>
      </c>
    </row>
    <row r="430" spans="1:10" ht="24">
      <c r="A430" s="430" t="s">
        <v>617</v>
      </c>
      <c r="B430" s="431" t="s">
        <v>42</v>
      </c>
      <c r="C430" s="431" t="s">
        <v>18</v>
      </c>
      <c r="D430" s="430" t="s">
        <v>43</v>
      </c>
      <c r="E430" s="431" t="s">
        <v>44</v>
      </c>
      <c r="F430" s="432">
        <v>9.02</v>
      </c>
      <c r="G430" s="432">
        <v>212.24</v>
      </c>
      <c r="H430" s="432">
        <v>17.57</v>
      </c>
      <c r="I430" s="432">
        <v>249.53</v>
      </c>
      <c r="J430" s="432">
        <v>2250.7600000000002</v>
      </c>
    </row>
    <row r="431" spans="1:10" ht="48">
      <c r="A431" s="430" t="s">
        <v>618</v>
      </c>
      <c r="B431" s="431" t="s">
        <v>49</v>
      </c>
      <c r="C431" s="431" t="s">
        <v>18</v>
      </c>
      <c r="D431" s="430" t="s">
        <v>50</v>
      </c>
      <c r="E431" s="431" t="s">
        <v>44</v>
      </c>
      <c r="F431" s="432">
        <v>11.28</v>
      </c>
      <c r="G431" s="432">
        <v>2.9</v>
      </c>
      <c r="H431" s="432">
        <v>17.57</v>
      </c>
      <c r="I431" s="432">
        <v>3.41</v>
      </c>
      <c r="J431" s="432">
        <v>38.46</v>
      </c>
    </row>
    <row r="432" spans="1:10" ht="36">
      <c r="A432" s="430" t="s">
        <v>619</v>
      </c>
      <c r="B432" s="431" t="s">
        <v>52</v>
      </c>
      <c r="C432" s="431" t="s">
        <v>29</v>
      </c>
      <c r="D432" s="430" t="s">
        <v>53</v>
      </c>
      <c r="E432" s="431" t="s">
        <v>54</v>
      </c>
      <c r="F432" s="432">
        <v>191.76</v>
      </c>
      <c r="G432" s="432">
        <v>2.27</v>
      </c>
      <c r="H432" s="432">
        <v>17.57</v>
      </c>
      <c r="I432" s="432">
        <v>2.67</v>
      </c>
      <c r="J432" s="432">
        <v>512</v>
      </c>
    </row>
    <row r="433" spans="1:10" ht="20.100000000000001" customHeight="1">
      <c r="A433" s="428" t="s">
        <v>620</v>
      </c>
      <c r="B433" s="494" t="s">
        <v>381</v>
      </c>
      <c r="C433" s="494"/>
      <c r="D433" s="494"/>
      <c r="E433" s="494"/>
      <c r="F433" s="494"/>
      <c r="G433" s="494"/>
      <c r="H433" s="494"/>
      <c r="I433" s="494"/>
      <c r="J433" s="429">
        <v>35713.35</v>
      </c>
    </row>
    <row r="434" spans="1:10" ht="24">
      <c r="A434" s="430" t="s">
        <v>621</v>
      </c>
      <c r="B434" s="431" t="s">
        <v>58</v>
      </c>
      <c r="C434" s="431" t="s">
        <v>18</v>
      </c>
      <c r="D434" s="430" t="s">
        <v>59</v>
      </c>
      <c r="E434" s="431" t="s">
        <v>60</v>
      </c>
      <c r="F434" s="432">
        <v>571.91999999999996</v>
      </c>
      <c r="G434" s="432">
        <v>2.59</v>
      </c>
      <c r="H434" s="432">
        <v>17.57</v>
      </c>
      <c r="I434" s="432">
        <v>3.05</v>
      </c>
      <c r="J434" s="432">
        <v>1744.36</v>
      </c>
    </row>
    <row r="435" spans="1:10" ht="48">
      <c r="A435" s="430" t="s">
        <v>622</v>
      </c>
      <c r="B435" s="431" t="s">
        <v>49</v>
      </c>
      <c r="C435" s="431" t="s">
        <v>18</v>
      </c>
      <c r="D435" s="430" t="s">
        <v>50</v>
      </c>
      <c r="E435" s="431" t="s">
        <v>44</v>
      </c>
      <c r="F435" s="432">
        <v>689.78</v>
      </c>
      <c r="G435" s="432">
        <v>2.9</v>
      </c>
      <c r="H435" s="432">
        <v>17.57</v>
      </c>
      <c r="I435" s="432">
        <v>3.41</v>
      </c>
      <c r="J435" s="432">
        <v>2352.15</v>
      </c>
    </row>
    <row r="436" spans="1:10" ht="36">
      <c r="A436" s="430" t="s">
        <v>623</v>
      </c>
      <c r="B436" s="431" t="s">
        <v>52</v>
      </c>
      <c r="C436" s="431" t="s">
        <v>29</v>
      </c>
      <c r="D436" s="430" t="s">
        <v>53</v>
      </c>
      <c r="E436" s="431" t="s">
        <v>54</v>
      </c>
      <c r="F436" s="432">
        <v>11726.26</v>
      </c>
      <c r="G436" s="432">
        <v>2.27</v>
      </c>
      <c r="H436" s="432">
        <v>17.57</v>
      </c>
      <c r="I436" s="432">
        <v>2.67</v>
      </c>
      <c r="J436" s="432">
        <v>31309.11</v>
      </c>
    </row>
    <row r="437" spans="1:10" ht="36">
      <c r="A437" s="430" t="s">
        <v>624</v>
      </c>
      <c r="B437" s="431" t="s">
        <v>292</v>
      </c>
      <c r="C437" s="431" t="s">
        <v>29</v>
      </c>
      <c r="D437" s="430" t="s">
        <v>293</v>
      </c>
      <c r="E437" s="431" t="s">
        <v>60</v>
      </c>
      <c r="F437" s="432">
        <v>20.100000000000001</v>
      </c>
      <c r="G437" s="432">
        <v>13.02</v>
      </c>
      <c r="H437" s="432">
        <v>17.57</v>
      </c>
      <c r="I437" s="432">
        <v>15.31</v>
      </c>
      <c r="J437" s="432">
        <v>307.73</v>
      </c>
    </row>
    <row r="438" spans="1:10" ht="20.100000000000001" customHeight="1">
      <c r="A438" s="428" t="s">
        <v>625</v>
      </c>
      <c r="B438" s="494" t="s">
        <v>11</v>
      </c>
      <c r="C438" s="494"/>
      <c r="D438" s="494"/>
      <c r="E438" s="494"/>
      <c r="F438" s="494"/>
      <c r="G438" s="494"/>
      <c r="H438" s="494"/>
      <c r="I438" s="494"/>
      <c r="J438" s="429">
        <v>138021.14000000001</v>
      </c>
    </row>
    <row r="439" spans="1:10" ht="24">
      <c r="A439" s="430" t="s">
        <v>626</v>
      </c>
      <c r="B439" s="431" t="s">
        <v>65</v>
      </c>
      <c r="C439" s="431" t="s">
        <v>29</v>
      </c>
      <c r="D439" s="430" t="s">
        <v>66</v>
      </c>
      <c r="E439" s="431" t="s">
        <v>20</v>
      </c>
      <c r="F439" s="432">
        <v>2252.38</v>
      </c>
      <c r="G439" s="432">
        <v>2.79</v>
      </c>
      <c r="H439" s="432">
        <v>17.57</v>
      </c>
      <c r="I439" s="432">
        <v>3.28</v>
      </c>
      <c r="J439" s="432">
        <v>7387.81</v>
      </c>
    </row>
    <row r="440" spans="1:10" ht="36">
      <c r="A440" s="430" t="s">
        <v>627</v>
      </c>
      <c r="B440" s="431" t="s">
        <v>75</v>
      </c>
      <c r="C440" s="431" t="s">
        <v>18</v>
      </c>
      <c r="D440" s="430" t="s">
        <v>76</v>
      </c>
      <c r="E440" s="431" t="s">
        <v>60</v>
      </c>
      <c r="F440" s="432">
        <v>503.55</v>
      </c>
      <c r="G440" s="432">
        <v>14.44</v>
      </c>
      <c r="H440" s="432">
        <v>17.57</v>
      </c>
      <c r="I440" s="432">
        <v>16.98</v>
      </c>
      <c r="J440" s="432">
        <v>8550.2800000000007</v>
      </c>
    </row>
    <row r="441" spans="1:10" ht="48">
      <c r="A441" s="430" t="s">
        <v>628</v>
      </c>
      <c r="B441" s="431" t="s">
        <v>49</v>
      </c>
      <c r="C441" s="431" t="s">
        <v>18</v>
      </c>
      <c r="D441" s="430" t="s">
        <v>50</v>
      </c>
      <c r="E441" s="431" t="s">
        <v>44</v>
      </c>
      <c r="F441" s="432">
        <v>629.44000000000005</v>
      </c>
      <c r="G441" s="432">
        <v>2.9</v>
      </c>
      <c r="H441" s="432">
        <v>17.57</v>
      </c>
      <c r="I441" s="432">
        <v>3.41</v>
      </c>
      <c r="J441" s="432">
        <v>2146.39</v>
      </c>
    </row>
    <row r="442" spans="1:10" ht="24">
      <c r="A442" s="430" t="s">
        <v>629</v>
      </c>
      <c r="B442" s="431" t="s">
        <v>79</v>
      </c>
      <c r="C442" s="431" t="s">
        <v>18</v>
      </c>
      <c r="D442" s="430" t="s">
        <v>80</v>
      </c>
      <c r="E442" s="431" t="s">
        <v>81</v>
      </c>
      <c r="F442" s="432">
        <v>8497.44</v>
      </c>
      <c r="G442" s="432">
        <v>1.37</v>
      </c>
      <c r="H442" s="432">
        <v>17.57</v>
      </c>
      <c r="I442" s="432">
        <v>1.61</v>
      </c>
      <c r="J442" s="432">
        <v>13680.88</v>
      </c>
    </row>
    <row r="443" spans="1:10" ht="48">
      <c r="A443" s="430" t="s">
        <v>630</v>
      </c>
      <c r="B443" s="431" t="s">
        <v>83</v>
      </c>
      <c r="C443" s="431" t="s">
        <v>18</v>
      </c>
      <c r="D443" s="430" t="s">
        <v>84</v>
      </c>
      <c r="E443" s="431" t="s">
        <v>20</v>
      </c>
      <c r="F443" s="432">
        <v>2014.17</v>
      </c>
      <c r="G443" s="432">
        <v>20.41</v>
      </c>
      <c r="H443" s="432">
        <v>17.57</v>
      </c>
      <c r="I443" s="432">
        <v>24</v>
      </c>
      <c r="J443" s="432">
        <v>48340.08</v>
      </c>
    </row>
    <row r="444" spans="1:10" ht="60">
      <c r="A444" s="430" t="s">
        <v>631</v>
      </c>
      <c r="B444" s="431" t="s">
        <v>104</v>
      </c>
      <c r="C444" s="431" t="s">
        <v>29</v>
      </c>
      <c r="D444" s="430" t="s">
        <v>105</v>
      </c>
      <c r="E444" s="431" t="s">
        <v>40</v>
      </c>
      <c r="F444" s="432">
        <v>855.19</v>
      </c>
      <c r="G444" s="432">
        <v>56.47</v>
      </c>
      <c r="H444" s="432">
        <v>17.57</v>
      </c>
      <c r="I444" s="432">
        <v>66.39</v>
      </c>
      <c r="J444" s="432">
        <v>56776.06</v>
      </c>
    </row>
    <row r="445" spans="1:10" ht="60">
      <c r="A445" s="430" t="s">
        <v>632</v>
      </c>
      <c r="B445" s="431" t="s">
        <v>233</v>
      </c>
      <c r="C445" s="431" t="s">
        <v>29</v>
      </c>
      <c r="D445" s="430" t="s">
        <v>234</v>
      </c>
      <c r="E445" s="431" t="s">
        <v>40</v>
      </c>
      <c r="F445" s="432">
        <v>16.04</v>
      </c>
      <c r="G445" s="432">
        <v>60.43</v>
      </c>
      <c r="H445" s="432">
        <v>17.57</v>
      </c>
      <c r="I445" s="432">
        <v>71.05</v>
      </c>
      <c r="J445" s="432">
        <v>1139.6400000000001</v>
      </c>
    </row>
    <row r="446" spans="1:10" ht="20.100000000000001" customHeight="1">
      <c r="A446" s="428" t="s">
        <v>633</v>
      </c>
      <c r="B446" s="494" t="s">
        <v>120</v>
      </c>
      <c r="C446" s="494"/>
      <c r="D446" s="494"/>
      <c r="E446" s="494"/>
      <c r="F446" s="494"/>
      <c r="G446" s="494"/>
      <c r="H446" s="494"/>
      <c r="I446" s="494"/>
      <c r="J446" s="429">
        <v>165553.24</v>
      </c>
    </row>
    <row r="447" spans="1:10" ht="24">
      <c r="A447" s="430" t="s">
        <v>634</v>
      </c>
      <c r="B447" s="431" t="s">
        <v>122</v>
      </c>
      <c r="C447" s="431" t="s">
        <v>29</v>
      </c>
      <c r="D447" s="430" t="s">
        <v>123</v>
      </c>
      <c r="E447" s="431" t="s">
        <v>60</v>
      </c>
      <c r="F447" s="432">
        <v>6.02</v>
      </c>
      <c r="G447" s="432">
        <v>78.319999999999993</v>
      </c>
      <c r="H447" s="432">
        <v>17.57</v>
      </c>
      <c r="I447" s="432">
        <v>92.08</v>
      </c>
      <c r="J447" s="432">
        <v>554.32000000000005</v>
      </c>
    </row>
    <row r="448" spans="1:10" ht="60">
      <c r="A448" s="430" t="s">
        <v>635</v>
      </c>
      <c r="B448" s="431" t="s">
        <v>314</v>
      </c>
      <c r="C448" s="431" t="s">
        <v>29</v>
      </c>
      <c r="D448" s="430" t="s">
        <v>315</v>
      </c>
      <c r="E448" s="431" t="s">
        <v>60</v>
      </c>
      <c r="F448" s="432">
        <v>83.79</v>
      </c>
      <c r="G448" s="432">
        <v>6.48</v>
      </c>
      <c r="H448" s="432">
        <v>17.57</v>
      </c>
      <c r="I448" s="432">
        <v>7.62</v>
      </c>
      <c r="J448" s="432">
        <v>638.48</v>
      </c>
    </row>
    <row r="449" spans="1:10" ht="60">
      <c r="A449" s="430" t="s">
        <v>636</v>
      </c>
      <c r="B449" s="431" t="s">
        <v>637</v>
      </c>
      <c r="C449" s="431" t="s">
        <v>29</v>
      </c>
      <c r="D449" s="430" t="s">
        <v>638</v>
      </c>
      <c r="E449" s="431" t="s">
        <v>60</v>
      </c>
      <c r="F449" s="432">
        <v>62.48</v>
      </c>
      <c r="G449" s="432">
        <v>8.5399999999999991</v>
      </c>
      <c r="H449" s="432">
        <v>17.57</v>
      </c>
      <c r="I449" s="432">
        <v>10.039999999999999</v>
      </c>
      <c r="J449" s="432">
        <v>627.29999999999995</v>
      </c>
    </row>
    <row r="450" spans="1:10" ht="60">
      <c r="A450" s="430" t="s">
        <v>639</v>
      </c>
      <c r="B450" s="431" t="s">
        <v>317</v>
      </c>
      <c r="C450" s="431" t="s">
        <v>29</v>
      </c>
      <c r="D450" s="430" t="s">
        <v>318</v>
      </c>
      <c r="E450" s="431" t="s">
        <v>60</v>
      </c>
      <c r="F450" s="432">
        <v>33.979999999999997</v>
      </c>
      <c r="G450" s="432">
        <v>23.75</v>
      </c>
      <c r="H450" s="432">
        <v>17.57</v>
      </c>
      <c r="I450" s="432">
        <v>27.92</v>
      </c>
      <c r="J450" s="432">
        <v>948.72</v>
      </c>
    </row>
    <row r="451" spans="1:10" ht="60">
      <c r="A451" s="430" t="s">
        <v>640</v>
      </c>
      <c r="B451" s="431" t="s">
        <v>471</v>
      </c>
      <c r="C451" s="431" t="s">
        <v>29</v>
      </c>
      <c r="D451" s="430" t="s">
        <v>472</v>
      </c>
      <c r="E451" s="431" t="s">
        <v>60</v>
      </c>
      <c r="F451" s="432">
        <v>41.82</v>
      </c>
      <c r="G451" s="432">
        <v>22.62</v>
      </c>
      <c r="H451" s="432">
        <v>17.57</v>
      </c>
      <c r="I451" s="432">
        <v>26.59</v>
      </c>
      <c r="J451" s="432">
        <v>1111.99</v>
      </c>
    </row>
    <row r="452" spans="1:10" ht="48">
      <c r="A452" s="430" t="s">
        <v>641</v>
      </c>
      <c r="B452" s="431" t="s">
        <v>49</v>
      </c>
      <c r="C452" s="431" t="s">
        <v>18</v>
      </c>
      <c r="D452" s="430" t="s">
        <v>642</v>
      </c>
      <c r="E452" s="431" t="s">
        <v>44</v>
      </c>
      <c r="F452" s="432">
        <v>88.09</v>
      </c>
      <c r="G452" s="432">
        <v>2.9</v>
      </c>
      <c r="H452" s="432">
        <v>17.57</v>
      </c>
      <c r="I452" s="432">
        <v>3.41</v>
      </c>
      <c r="J452" s="432">
        <v>300.39</v>
      </c>
    </row>
    <row r="453" spans="1:10" ht="36">
      <c r="A453" s="430" t="s">
        <v>643</v>
      </c>
      <c r="B453" s="431" t="s">
        <v>52</v>
      </c>
      <c r="C453" s="431" t="s">
        <v>29</v>
      </c>
      <c r="D453" s="430" t="s">
        <v>53</v>
      </c>
      <c r="E453" s="431" t="s">
        <v>54</v>
      </c>
      <c r="F453" s="432">
        <v>1497.53</v>
      </c>
      <c r="G453" s="432">
        <v>2.27</v>
      </c>
      <c r="H453" s="432">
        <v>17.57</v>
      </c>
      <c r="I453" s="432">
        <v>2.67</v>
      </c>
      <c r="J453" s="432">
        <v>3998.41</v>
      </c>
    </row>
    <row r="454" spans="1:10" ht="36">
      <c r="A454" s="430" t="s">
        <v>644</v>
      </c>
      <c r="B454" s="431" t="s">
        <v>128</v>
      </c>
      <c r="C454" s="431" t="s">
        <v>29</v>
      </c>
      <c r="D454" s="430" t="s">
        <v>129</v>
      </c>
      <c r="E454" s="431" t="s">
        <v>60</v>
      </c>
      <c r="F454" s="432">
        <v>38.15</v>
      </c>
      <c r="G454" s="432">
        <v>472.74</v>
      </c>
      <c r="H454" s="432">
        <v>17.57</v>
      </c>
      <c r="I454" s="432">
        <v>555.79999999999995</v>
      </c>
      <c r="J454" s="432">
        <v>21203.77</v>
      </c>
    </row>
    <row r="455" spans="1:10" ht="36">
      <c r="A455" s="430" t="s">
        <v>645</v>
      </c>
      <c r="B455" s="431" t="s">
        <v>134</v>
      </c>
      <c r="C455" s="431" t="s">
        <v>18</v>
      </c>
      <c r="D455" s="430" t="s">
        <v>135</v>
      </c>
      <c r="E455" s="431" t="s">
        <v>136</v>
      </c>
      <c r="F455" s="432">
        <v>75.239999999999995</v>
      </c>
      <c r="G455" s="432">
        <v>65.25</v>
      </c>
      <c r="H455" s="432">
        <v>17.57</v>
      </c>
      <c r="I455" s="432">
        <v>76.709999999999994</v>
      </c>
      <c r="J455" s="432">
        <v>5771.66</v>
      </c>
    </row>
    <row r="456" spans="1:10" ht="24">
      <c r="A456" s="430" t="s">
        <v>646</v>
      </c>
      <c r="B456" s="431" t="s">
        <v>125</v>
      </c>
      <c r="C456" s="431" t="s">
        <v>29</v>
      </c>
      <c r="D456" s="430" t="s">
        <v>126</v>
      </c>
      <c r="E456" s="431" t="s">
        <v>60</v>
      </c>
      <c r="F456" s="432">
        <v>28.56</v>
      </c>
      <c r="G456" s="432">
        <v>436.13</v>
      </c>
      <c r="H456" s="432">
        <v>17.57</v>
      </c>
      <c r="I456" s="432">
        <v>512.76</v>
      </c>
      <c r="J456" s="432">
        <v>14644.43</v>
      </c>
    </row>
    <row r="457" spans="1:10" ht="36">
      <c r="A457" s="430" t="s">
        <v>647</v>
      </c>
      <c r="B457" s="431" t="s">
        <v>477</v>
      </c>
      <c r="C457" s="431" t="s">
        <v>29</v>
      </c>
      <c r="D457" s="430" t="s">
        <v>478</v>
      </c>
      <c r="E457" s="431" t="s">
        <v>115</v>
      </c>
      <c r="F457" s="432">
        <v>5</v>
      </c>
      <c r="G457" s="432">
        <v>2575.58</v>
      </c>
      <c r="H457" s="432">
        <v>17.57</v>
      </c>
      <c r="I457" s="432">
        <v>3028.11</v>
      </c>
      <c r="J457" s="432">
        <v>15140.55</v>
      </c>
    </row>
    <row r="458" spans="1:10" ht="36">
      <c r="A458" s="430" t="s">
        <v>648</v>
      </c>
      <c r="B458" s="431" t="s">
        <v>326</v>
      </c>
      <c r="C458" s="431" t="s">
        <v>29</v>
      </c>
      <c r="D458" s="430" t="s">
        <v>327</v>
      </c>
      <c r="E458" s="431" t="s">
        <v>328</v>
      </c>
      <c r="F458" s="432">
        <v>2244.06</v>
      </c>
      <c r="G458" s="432">
        <v>15.14</v>
      </c>
      <c r="H458" s="432">
        <v>17.57</v>
      </c>
      <c r="I458" s="432">
        <v>17.8</v>
      </c>
      <c r="J458" s="432">
        <v>39944.269999999997</v>
      </c>
    </row>
    <row r="459" spans="1:10" ht="48">
      <c r="A459" s="430" t="s">
        <v>649</v>
      </c>
      <c r="B459" s="431" t="s">
        <v>330</v>
      </c>
      <c r="C459" s="431" t="s">
        <v>18</v>
      </c>
      <c r="D459" s="430" t="s">
        <v>331</v>
      </c>
      <c r="E459" s="431" t="s">
        <v>20</v>
      </c>
      <c r="F459" s="432">
        <v>151.33000000000001</v>
      </c>
      <c r="G459" s="432">
        <v>1.1000000000000001</v>
      </c>
      <c r="H459" s="432">
        <v>17.57</v>
      </c>
      <c r="I459" s="432">
        <v>1.29</v>
      </c>
      <c r="J459" s="432">
        <v>195.22</v>
      </c>
    </row>
    <row r="460" spans="1:10" ht="36">
      <c r="A460" s="430" t="s">
        <v>650</v>
      </c>
      <c r="B460" s="431" t="s">
        <v>333</v>
      </c>
      <c r="C460" s="431" t="s">
        <v>29</v>
      </c>
      <c r="D460" s="430" t="s">
        <v>334</v>
      </c>
      <c r="E460" s="431" t="s">
        <v>20</v>
      </c>
      <c r="F460" s="432">
        <v>190.57</v>
      </c>
      <c r="G460" s="432">
        <v>105.62</v>
      </c>
      <c r="H460" s="432">
        <v>17.57</v>
      </c>
      <c r="I460" s="432">
        <v>124.18</v>
      </c>
      <c r="J460" s="432">
        <v>23664.98</v>
      </c>
    </row>
    <row r="461" spans="1:10" ht="36">
      <c r="A461" s="430" t="s">
        <v>651</v>
      </c>
      <c r="B461" s="431" t="s">
        <v>336</v>
      </c>
      <c r="C461" s="431" t="s">
        <v>29</v>
      </c>
      <c r="D461" s="430" t="s">
        <v>337</v>
      </c>
      <c r="E461" s="431" t="s">
        <v>20</v>
      </c>
      <c r="F461" s="432">
        <v>190.57</v>
      </c>
      <c r="G461" s="432">
        <v>4.0999999999999996</v>
      </c>
      <c r="H461" s="432">
        <v>17.57</v>
      </c>
      <c r="I461" s="432">
        <v>4.82</v>
      </c>
      <c r="J461" s="432">
        <v>918.55</v>
      </c>
    </row>
    <row r="462" spans="1:10" ht="48">
      <c r="A462" s="430" t="s">
        <v>652</v>
      </c>
      <c r="B462" s="431" t="s">
        <v>339</v>
      </c>
      <c r="C462" s="431" t="s">
        <v>29</v>
      </c>
      <c r="D462" s="430" t="s">
        <v>340</v>
      </c>
      <c r="E462" s="431" t="s">
        <v>20</v>
      </c>
      <c r="F462" s="432">
        <v>190.57</v>
      </c>
      <c r="G462" s="432">
        <v>24.83</v>
      </c>
      <c r="H462" s="432">
        <v>17.57</v>
      </c>
      <c r="I462" s="432">
        <v>29.19</v>
      </c>
      <c r="J462" s="432">
        <v>5562.74</v>
      </c>
    </row>
    <row r="463" spans="1:10" ht="24">
      <c r="A463" s="430" t="s">
        <v>653</v>
      </c>
      <c r="B463" s="431" t="s">
        <v>342</v>
      </c>
      <c r="C463" s="431" t="s">
        <v>29</v>
      </c>
      <c r="D463" s="430" t="s">
        <v>343</v>
      </c>
      <c r="E463" s="431" t="s">
        <v>60</v>
      </c>
      <c r="F463" s="432">
        <v>22.39</v>
      </c>
      <c r="G463" s="432">
        <v>469.42</v>
      </c>
      <c r="H463" s="432">
        <v>17.57</v>
      </c>
      <c r="I463" s="432">
        <v>551.9</v>
      </c>
      <c r="J463" s="432">
        <v>12357.04</v>
      </c>
    </row>
    <row r="464" spans="1:10" ht="24">
      <c r="A464" s="430" t="s">
        <v>654</v>
      </c>
      <c r="B464" s="431" t="s">
        <v>131</v>
      </c>
      <c r="C464" s="431" t="s">
        <v>18</v>
      </c>
      <c r="D464" s="430" t="s">
        <v>132</v>
      </c>
      <c r="E464" s="431" t="s">
        <v>60</v>
      </c>
      <c r="F464" s="432">
        <v>89.1</v>
      </c>
      <c r="G464" s="432">
        <v>129.79</v>
      </c>
      <c r="H464" s="432">
        <v>17.57</v>
      </c>
      <c r="I464" s="432">
        <v>152.59</v>
      </c>
      <c r="J464" s="432">
        <v>13595.77</v>
      </c>
    </row>
    <row r="465" spans="1:10" ht="36">
      <c r="A465" s="430" t="s">
        <v>655</v>
      </c>
      <c r="B465" s="431" t="s">
        <v>656</v>
      </c>
      <c r="C465" s="431" t="s">
        <v>29</v>
      </c>
      <c r="D465" s="430" t="s">
        <v>657</v>
      </c>
      <c r="E465" s="431" t="s">
        <v>115</v>
      </c>
      <c r="F465" s="432">
        <v>1</v>
      </c>
      <c r="G465" s="432">
        <v>2365.21</v>
      </c>
      <c r="H465" s="432">
        <v>17.57</v>
      </c>
      <c r="I465" s="432">
        <v>2780.78</v>
      </c>
      <c r="J465" s="432">
        <v>2780.78</v>
      </c>
    </row>
    <row r="466" spans="1:10" ht="36">
      <c r="A466" s="430" t="s">
        <v>658</v>
      </c>
      <c r="B466" s="431" t="s">
        <v>659</v>
      </c>
      <c r="C466" s="431" t="s">
        <v>29</v>
      </c>
      <c r="D466" s="430" t="s">
        <v>660</v>
      </c>
      <c r="E466" s="431" t="s">
        <v>40</v>
      </c>
      <c r="F466" s="432">
        <v>73.08</v>
      </c>
      <c r="G466" s="432">
        <v>18.55</v>
      </c>
      <c r="H466" s="432">
        <v>17.57</v>
      </c>
      <c r="I466" s="432">
        <v>21.81</v>
      </c>
      <c r="J466" s="432">
        <v>1593.87</v>
      </c>
    </row>
    <row r="467" spans="1:10" ht="20.100000000000001" customHeight="1">
      <c r="A467" s="428" t="s">
        <v>661</v>
      </c>
      <c r="B467" s="494" t="s">
        <v>138</v>
      </c>
      <c r="C467" s="494"/>
      <c r="D467" s="494"/>
      <c r="E467" s="494"/>
      <c r="F467" s="494"/>
      <c r="G467" s="494"/>
      <c r="H467" s="494"/>
      <c r="I467" s="494"/>
      <c r="J467" s="429">
        <v>3088.92</v>
      </c>
    </row>
    <row r="468" spans="1:10">
      <c r="A468" s="430" t="s">
        <v>662</v>
      </c>
      <c r="B468" s="431" t="s">
        <v>145</v>
      </c>
      <c r="C468" s="431" t="s">
        <v>141</v>
      </c>
      <c r="D468" s="430" t="s">
        <v>146</v>
      </c>
      <c r="E468" s="431" t="s">
        <v>143</v>
      </c>
      <c r="F468" s="432">
        <v>3.6</v>
      </c>
      <c r="G468" s="432">
        <v>347.25</v>
      </c>
      <c r="H468" s="432">
        <v>17.57</v>
      </c>
      <c r="I468" s="432">
        <v>408.26</v>
      </c>
      <c r="J468" s="432">
        <v>1469.74</v>
      </c>
    </row>
    <row r="469" spans="1:10" ht="24">
      <c r="A469" s="430" t="s">
        <v>663</v>
      </c>
      <c r="B469" s="431" t="s">
        <v>148</v>
      </c>
      <c r="C469" s="431" t="s">
        <v>141</v>
      </c>
      <c r="D469" s="430" t="s">
        <v>149</v>
      </c>
      <c r="E469" s="431" t="s">
        <v>150</v>
      </c>
      <c r="F469" s="432">
        <v>4</v>
      </c>
      <c r="G469" s="432">
        <v>121.48</v>
      </c>
      <c r="H469" s="432">
        <v>17.57</v>
      </c>
      <c r="I469" s="432">
        <v>142.82</v>
      </c>
      <c r="J469" s="432">
        <v>571.28</v>
      </c>
    </row>
    <row r="470" spans="1:10" ht="24">
      <c r="A470" s="430" t="s">
        <v>664</v>
      </c>
      <c r="B470" s="431" t="s">
        <v>152</v>
      </c>
      <c r="C470" s="431" t="s">
        <v>18</v>
      </c>
      <c r="D470" s="430" t="s">
        <v>153</v>
      </c>
      <c r="E470" s="431" t="s">
        <v>154</v>
      </c>
      <c r="F470" s="432">
        <v>5</v>
      </c>
      <c r="G470" s="432">
        <v>156.33000000000001</v>
      </c>
      <c r="H470" s="432">
        <v>17.57</v>
      </c>
      <c r="I470" s="432">
        <v>183.8</v>
      </c>
      <c r="J470" s="432">
        <v>919</v>
      </c>
    </row>
    <row r="471" spans="1:10" ht="24">
      <c r="A471" s="430" t="s">
        <v>665</v>
      </c>
      <c r="B471" s="431" t="s">
        <v>156</v>
      </c>
      <c r="C471" s="431" t="s">
        <v>18</v>
      </c>
      <c r="D471" s="430" t="s">
        <v>157</v>
      </c>
      <c r="E471" s="431" t="s">
        <v>20</v>
      </c>
      <c r="F471" s="432">
        <v>5.4</v>
      </c>
      <c r="G471" s="432">
        <v>20.3</v>
      </c>
      <c r="H471" s="432">
        <v>17.57</v>
      </c>
      <c r="I471" s="432">
        <v>23.87</v>
      </c>
      <c r="J471" s="432">
        <v>128.9</v>
      </c>
    </row>
    <row r="472" spans="1:10" ht="20.100000000000001" customHeight="1">
      <c r="A472" s="428" t="s">
        <v>666</v>
      </c>
      <c r="B472" s="494" t="s">
        <v>170</v>
      </c>
      <c r="C472" s="494"/>
      <c r="D472" s="494"/>
      <c r="E472" s="494"/>
      <c r="F472" s="494"/>
      <c r="G472" s="494"/>
      <c r="H472" s="494"/>
      <c r="I472" s="494"/>
      <c r="J472" s="429">
        <v>207219.17</v>
      </c>
    </row>
    <row r="473" spans="1:10" ht="48">
      <c r="A473" s="430" t="s">
        <v>667</v>
      </c>
      <c r="B473" s="431" t="s">
        <v>172</v>
      </c>
      <c r="C473" s="431" t="s">
        <v>29</v>
      </c>
      <c r="D473" s="430" t="s">
        <v>173</v>
      </c>
      <c r="E473" s="431" t="s">
        <v>31</v>
      </c>
      <c r="F473" s="432">
        <v>4</v>
      </c>
      <c r="G473" s="432">
        <v>830</v>
      </c>
      <c r="H473" s="432">
        <v>10.07</v>
      </c>
      <c r="I473" s="432">
        <v>913.58</v>
      </c>
      <c r="J473" s="432">
        <v>3654.32</v>
      </c>
    </row>
    <row r="474" spans="1:10" ht="36">
      <c r="A474" s="430" t="s">
        <v>668</v>
      </c>
      <c r="B474" s="431" t="s">
        <v>175</v>
      </c>
      <c r="C474" s="431" t="s">
        <v>29</v>
      </c>
      <c r="D474" s="430" t="s">
        <v>176</v>
      </c>
      <c r="E474" s="431" t="s">
        <v>31</v>
      </c>
      <c r="F474" s="432">
        <v>4</v>
      </c>
      <c r="G474" s="432">
        <v>648.42999999999995</v>
      </c>
      <c r="H474" s="432">
        <v>10.07</v>
      </c>
      <c r="I474" s="432">
        <v>713.73</v>
      </c>
      <c r="J474" s="432">
        <v>2854.92</v>
      </c>
    </row>
    <row r="475" spans="1:10" ht="48">
      <c r="A475" s="430" t="s">
        <v>669</v>
      </c>
      <c r="B475" s="431" t="s">
        <v>178</v>
      </c>
      <c r="C475" s="431" t="s">
        <v>29</v>
      </c>
      <c r="D475" s="430" t="s">
        <v>179</v>
      </c>
      <c r="E475" s="431" t="s">
        <v>20</v>
      </c>
      <c r="F475" s="432">
        <v>1538.89</v>
      </c>
      <c r="G475" s="432">
        <v>49</v>
      </c>
      <c r="H475" s="432">
        <v>10.07</v>
      </c>
      <c r="I475" s="432">
        <v>53.93</v>
      </c>
      <c r="J475" s="432">
        <v>82992.34</v>
      </c>
    </row>
    <row r="476" spans="1:10" ht="48">
      <c r="A476" s="430" t="s">
        <v>670</v>
      </c>
      <c r="B476" s="431" t="s">
        <v>181</v>
      </c>
      <c r="C476" s="431" t="s">
        <v>29</v>
      </c>
      <c r="D476" s="430" t="s">
        <v>182</v>
      </c>
      <c r="E476" s="431" t="s">
        <v>20</v>
      </c>
      <c r="F476" s="432">
        <v>501.67</v>
      </c>
      <c r="G476" s="432">
        <v>53.92</v>
      </c>
      <c r="H476" s="432">
        <v>10.07</v>
      </c>
      <c r="I476" s="432">
        <v>59.35</v>
      </c>
      <c r="J476" s="432">
        <v>29774.11</v>
      </c>
    </row>
    <row r="477" spans="1:10" ht="24">
      <c r="A477" s="430" t="s">
        <v>671</v>
      </c>
      <c r="B477" s="431" t="s">
        <v>672</v>
      </c>
      <c r="C477" s="431" t="s">
        <v>141</v>
      </c>
      <c r="D477" s="430" t="s">
        <v>673</v>
      </c>
      <c r="E477" s="431" t="s">
        <v>504</v>
      </c>
      <c r="F477" s="432">
        <v>73.08</v>
      </c>
      <c r="G477" s="432">
        <v>501.47</v>
      </c>
      <c r="H477" s="432">
        <v>10.07</v>
      </c>
      <c r="I477" s="432">
        <v>551.97</v>
      </c>
      <c r="J477" s="432">
        <v>40337.97</v>
      </c>
    </row>
    <row r="478" spans="1:10" ht="24">
      <c r="A478" s="430" t="s">
        <v>674</v>
      </c>
      <c r="B478" s="431" t="s">
        <v>188</v>
      </c>
      <c r="C478" s="431" t="s">
        <v>18</v>
      </c>
      <c r="D478" s="430" t="s">
        <v>189</v>
      </c>
      <c r="E478" s="431" t="s">
        <v>44</v>
      </c>
      <c r="F478" s="432">
        <v>503.55</v>
      </c>
      <c r="G478" s="432">
        <v>56.1</v>
      </c>
      <c r="H478" s="432">
        <v>10.07</v>
      </c>
      <c r="I478" s="432">
        <v>61.75</v>
      </c>
      <c r="J478" s="432">
        <v>31094.21</v>
      </c>
    </row>
    <row r="479" spans="1:10" ht="36">
      <c r="A479" s="430" t="s">
        <v>675</v>
      </c>
      <c r="B479" s="431" t="s">
        <v>365</v>
      </c>
      <c r="C479" s="431" t="s">
        <v>29</v>
      </c>
      <c r="D479" s="430" t="s">
        <v>366</v>
      </c>
      <c r="E479" s="431" t="s">
        <v>20</v>
      </c>
      <c r="F479" s="432">
        <v>158.9</v>
      </c>
      <c r="G479" s="432">
        <v>94.4</v>
      </c>
      <c r="H479" s="432">
        <v>10.07</v>
      </c>
      <c r="I479" s="432">
        <v>103.91</v>
      </c>
      <c r="J479" s="432">
        <v>16511.3</v>
      </c>
    </row>
    <row r="480" spans="1:10" ht="20.100000000000001" customHeight="1">
      <c r="A480" s="428" t="s">
        <v>676</v>
      </c>
      <c r="B480" s="494" t="s">
        <v>677</v>
      </c>
      <c r="C480" s="494"/>
      <c r="D480" s="494"/>
      <c r="E480" s="494"/>
      <c r="F480" s="494"/>
      <c r="G480" s="494"/>
      <c r="H480" s="494"/>
      <c r="I480" s="494"/>
      <c r="J480" s="429">
        <v>794716.79</v>
      </c>
    </row>
    <row r="481" spans="1:10" ht="20.100000000000001" customHeight="1">
      <c r="A481" s="428" t="s">
        <v>678</v>
      </c>
      <c r="B481" s="494" t="s">
        <v>15</v>
      </c>
      <c r="C481" s="494"/>
      <c r="D481" s="494"/>
      <c r="E481" s="494"/>
      <c r="F481" s="494"/>
      <c r="G481" s="494"/>
      <c r="H481" s="494"/>
      <c r="I481" s="494"/>
      <c r="J481" s="429">
        <v>8606.0400000000009</v>
      </c>
    </row>
    <row r="482" spans="1:10" ht="24">
      <c r="A482" s="430" t="s">
        <v>679</v>
      </c>
      <c r="B482" s="431" t="s">
        <v>17</v>
      </c>
      <c r="C482" s="431" t="s">
        <v>18</v>
      </c>
      <c r="D482" s="430" t="s">
        <v>19</v>
      </c>
      <c r="E482" s="431" t="s">
        <v>20</v>
      </c>
      <c r="F482" s="432">
        <v>8</v>
      </c>
      <c r="G482" s="432">
        <v>564.99</v>
      </c>
      <c r="H482" s="432">
        <v>17.57</v>
      </c>
      <c r="I482" s="432">
        <v>664.26</v>
      </c>
      <c r="J482" s="432">
        <v>5314.08</v>
      </c>
    </row>
    <row r="483" spans="1:10" ht="24">
      <c r="A483" s="430" t="s">
        <v>680</v>
      </c>
      <c r="B483" s="431" t="s">
        <v>22</v>
      </c>
      <c r="C483" s="431" t="s">
        <v>18</v>
      </c>
      <c r="D483" s="430" t="s">
        <v>23</v>
      </c>
      <c r="E483" s="431" t="s">
        <v>24</v>
      </c>
      <c r="F483" s="432">
        <v>4</v>
      </c>
      <c r="G483" s="432">
        <v>700</v>
      </c>
      <c r="H483" s="432">
        <v>17.57</v>
      </c>
      <c r="I483" s="432">
        <v>822.99</v>
      </c>
      <c r="J483" s="432">
        <v>3291.96</v>
      </c>
    </row>
    <row r="484" spans="1:10" ht="20.100000000000001" customHeight="1">
      <c r="A484" s="428" t="s">
        <v>681</v>
      </c>
      <c r="B484" s="494" t="s">
        <v>26</v>
      </c>
      <c r="C484" s="494"/>
      <c r="D484" s="494"/>
      <c r="E484" s="494"/>
      <c r="F484" s="494"/>
      <c r="G484" s="494"/>
      <c r="H484" s="494"/>
      <c r="I484" s="494"/>
      <c r="J484" s="429">
        <v>25575.67</v>
      </c>
    </row>
    <row r="485" spans="1:10" ht="24">
      <c r="A485" s="430" t="s">
        <v>682</v>
      </c>
      <c r="B485" s="431" t="s">
        <v>28</v>
      </c>
      <c r="C485" s="431" t="s">
        <v>29</v>
      </c>
      <c r="D485" s="430" t="s">
        <v>30</v>
      </c>
      <c r="E485" s="431" t="s">
        <v>31</v>
      </c>
      <c r="F485" s="432">
        <v>0.5</v>
      </c>
      <c r="G485" s="432">
        <v>16819.14</v>
      </c>
      <c r="H485" s="432">
        <v>17.57</v>
      </c>
      <c r="I485" s="432">
        <v>19774.259999999998</v>
      </c>
      <c r="J485" s="432">
        <v>9887.1299999999992</v>
      </c>
    </row>
    <row r="486" spans="1:10" ht="24">
      <c r="A486" s="430" t="s">
        <v>683</v>
      </c>
      <c r="B486" s="431" t="s">
        <v>33</v>
      </c>
      <c r="C486" s="431" t="s">
        <v>29</v>
      </c>
      <c r="D486" s="430" t="s">
        <v>34</v>
      </c>
      <c r="E486" s="431" t="s">
        <v>31</v>
      </c>
      <c r="F486" s="432">
        <v>2</v>
      </c>
      <c r="G486" s="432">
        <v>6672</v>
      </c>
      <c r="H486" s="432">
        <v>17.57</v>
      </c>
      <c r="I486" s="432">
        <v>7844.27</v>
      </c>
      <c r="J486" s="432">
        <v>15688.54</v>
      </c>
    </row>
    <row r="487" spans="1:10" ht="20.100000000000001" customHeight="1">
      <c r="A487" s="428" t="s">
        <v>684</v>
      </c>
      <c r="B487" s="494" t="s">
        <v>36</v>
      </c>
      <c r="C487" s="494"/>
      <c r="D487" s="494"/>
      <c r="E487" s="494"/>
      <c r="F487" s="494"/>
      <c r="G487" s="494"/>
      <c r="H487" s="494"/>
      <c r="I487" s="494"/>
      <c r="J487" s="429">
        <v>6700.45</v>
      </c>
    </row>
    <row r="488" spans="1:10">
      <c r="A488" s="430" t="s">
        <v>685</v>
      </c>
      <c r="B488" s="431" t="s">
        <v>38</v>
      </c>
      <c r="C488" s="431" t="s">
        <v>29</v>
      </c>
      <c r="D488" s="430" t="s">
        <v>39</v>
      </c>
      <c r="E488" s="431" t="s">
        <v>40</v>
      </c>
      <c r="F488" s="432">
        <v>319.12</v>
      </c>
      <c r="G488" s="432">
        <v>0.49</v>
      </c>
      <c r="H488" s="432">
        <v>17.57</v>
      </c>
      <c r="I488" s="432">
        <v>0.57999999999999996</v>
      </c>
      <c r="J488" s="432">
        <v>185.09</v>
      </c>
    </row>
    <row r="489" spans="1:10" ht="24">
      <c r="A489" s="430" t="s">
        <v>686</v>
      </c>
      <c r="B489" s="431" t="s">
        <v>42</v>
      </c>
      <c r="C489" s="431" t="s">
        <v>18</v>
      </c>
      <c r="D489" s="430" t="s">
        <v>43</v>
      </c>
      <c r="E489" s="431" t="s">
        <v>44</v>
      </c>
      <c r="F489" s="432">
        <v>3.93</v>
      </c>
      <c r="G489" s="432">
        <v>212.24</v>
      </c>
      <c r="H489" s="432">
        <v>17.57</v>
      </c>
      <c r="I489" s="432">
        <v>249.53</v>
      </c>
      <c r="J489" s="432">
        <v>980.65</v>
      </c>
    </row>
    <row r="490" spans="1:10" ht="24">
      <c r="A490" s="430" t="s">
        <v>687</v>
      </c>
      <c r="B490" s="431" t="s">
        <v>688</v>
      </c>
      <c r="C490" s="431" t="s">
        <v>18</v>
      </c>
      <c r="D490" s="430" t="s">
        <v>689</v>
      </c>
      <c r="E490" s="431" t="s">
        <v>504</v>
      </c>
      <c r="F490" s="432">
        <v>64.38</v>
      </c>
      <c r="G490" s="432">
        <v>69.3</v>
      </c>
      <c r="H490" s="432">
        <v>17.57</v>
      </c>
      <c r="I490" s="432">
        <v>81.48</v>
      </c>
      <c r="J490" s="432">
        <v>5245.68</v>
      </c>
    </row>
    <row r="491" spans="1:10" ht="48">
      <c r="A491" s="430" t="s">
        <v>690</v>
      </c>
      <c r="B491" s="431" t="s">
        <v>49</v>
      </c>
      <c r="C491" s="431" t="s">
        <v>18</v>
      </c>
      <c r="D491" s="430" t="s">
        <v>50</v>
      </c>
      <c r="E491" s="431" t="s">
        <v>44</v>
      </c>
      <c r="F491" s="432">
        <v>6.53</v>
      </c>
      <c r="G491" s="432">
        <v>2.9</v>
      </c>
      <c r="H491" s="432">
        <v>17.57</v>
      </c>
      <c r="I491" s="432">
        <v>3.41</v>
      </c>
      <c r="J491" s="432">
        <v>22.27</v>
      </c>
    </row>
    <row r="492" spans="1:10" ht="36">
      <c r="A492" s="430" t="s">
        <v>691</v>
      </c>
      <c r="B492" s="431" t="s">
        <v>52</v>
      </c>
      <c r="C492" s="431" t="s">
        <v>29</v>
      </c>
      <c r="D492" s="430" t="s">
        <v>53</v>
      </c>
      <c r="E492" s="431" t="s">
        <v>54</v>
      </c>
      <c r="F492" s="432">
        <v>99.91</v>
      </c>
      <c r="G492" s="432">
        <v>2.27</v>
      </c>
      <c r="H492" s="432">
        <v>17.57</v>
      </c>
      <c r="I492" s="432">
        <v>2.67</v>
      </c>
      <c r="J492" s="432">
        <v>266.76</v>
      </c>
    </row>
    <row r="493" spans="1:10" ht="20.100000000000001" customHeight="1">
      <c r="A493" s="428" t="s">
        <v>692</v>
      </c>
      <c r="B493" s="494" t="s">
        <v>381</v>
      </c>
      <c r="C493" s="494"/>
      <c r="D493" s="494"/>
      <c r="E493" s="494"/>
      <c r="F493" s="494"/>
      <c r="G493" s="494"/>
      <c r="H493" s="494"/>
      <c r="I493" s="494"/>
      <c r="J493" s="429">
        <v>23956.61</v>
      </c>
    </row>
    <row r="494" spans="1:10" ht="24">
      <c r="A494" s="430" t="s">
        <v>693</v>
      </c>
      <c r="B494" s="431" t="s">
        <v>58</v>
      </c>
      <c r="C494" s="431" t="s">
        <v>18</v>
      </c>
      <c r="D494" s="430" t="s">
        <v>59</v>
      </c>
      <c r="E494" s="431" t="s">
        <v>60</v>
      </c>
      <c r="F494" s="432">
        <v>306.89999999999998</v>
      </c>
      <c r="G494" s="432">
        <v>2.59</v>
      </c>
      <c r="H494" s="432">
        <v>17.57</v>
      </c>
      <c r="I494" s="432">
        <v>3.05</v>
      </c>
      <c r="J494" s="432">
        <v>936.05</v>
      </c>
    </row>
    <row r="495" spans="1:10" ht="48">
      <c r="A495" s="430" t="s">
        <v>694</v>
      </c>
      <c r="B495" s="431" t="s">
        <v>49</v>
      </c>
      <c r="C495" s="431" t="s">
        <v>18</v>
      </c>
      <c r="D495" s="430" t="s">
        <v>50</v>
      </c>
      <c r="E495" s="431" t="s">
        <v>44</v>
      </c>
      <c r="F495" s="432">
        <v>383.63</v>
      </c>
      <c r="G495" s="432">
        <v>2.9</v>
      </c>
      <c r="H495" s="432">
        <v>17.57</v>
      </c>
      <c r="I495" s="432">
        <v>3.41</v>
      </c>
      <c r="J495" s="432">
        <v>1308.18</v>
      </c>
    </row>
    <row r="496" spans="1:10" ht="36">
      <c r="A496" s="430" t="s">
        <v>695</v>
      </c>
      <c r="B496" s="431" t="s">
        <v>52</v>
      </c>
      <c r="C496" s="431" t="s">
        <v>29</v>
      </c>
      <c r="D496" s="430" t="s">
        <v>53</v>
      </c>
      <c r="E496" s="431" t="s">
        <v>54</v>
      </c>
      <c r="F496" s="432">
        <v>5869.54</v>
      </c>
      <c r="G496" s="432">
        <v>2.27</v>
      </c>
      <c r="H496" s="432">
        <v>17.57</v>
      </c>
      <c r="I496" s="432">
        <v>2.67</v>
      </c>
      <c r="J496" s="432">
        <v>15671.67</v>
      </c>
    </row>
    <row r="497" spans="1:10" ht="36">
      <c r="A497" s="430" t="s">
        <v>696</v>
      </c>
      <c r="B497" s="431" t="s">
        <v>292</v>
      </c>
      <c r="C497" s="431" t="s">
        <v>29</v>
      </c>
      <c r="D497" s="430" t="s">
        <v>293</v>
      </c>
      <c r="E497" s="431" t="s">
        <v>60</v>
      </c>
      <c r="F497" s="432">
        <v>394.56</v>
      </c>
      <c r="G497" s="432">
        <v>13.02</v>
      </c>
      <c r="H497" s="432">
        <v>17.57</v>
      </c>
      <c r="I497" s="432">
        <v>15.31</v>
      </c>
      <c r="J497" s="432">
        <v>6040.71</v>
      </c>
    </row>
    <row r="498" spans="1:10" ht="20.100000000000001" customHeight="1">
      <c r="A498" s="428" t="s">
        <v>697</v>
      </c>
      <c r="B498" s="494" t="s">
        <v>11</v>
      </c>
      <c r="C498" s="494"/>
      <c r="D498" s="494"/>
      <c r="E498" s="494"/>
      <c r="F498" s="494"/>
      <c r="G498" s="494"/>
      <c r="H498" s="494"/>
      <c r="I498" s="494"/>
      <c r="J498" s="429">
        <v>146402.26</v>
      </c>
    </row>
    <row r="499" spans="1:10" ht="24">
      <c r="A499" s="430" t="s">
        <v>698</v>
      </c>
      <c r="B499" s="431" t="s">
        <v>65</v>
      </c>
      <c r="C499" s="431" t="s">
        <v>29</v>
      </c>
      <c r="D499" s="430" t="s">
        <v>66</v>
      </c>
      <c r="E499" s="431" t="s">
        <v>20</v>
      </c>
      <c r="F499" s="432">
        <v>2620.7199999999998</v>
      </c>
      <c r="G499" s="432">
        <v>2.79</v>
      </c>
      <c r="H499" s="432">
        <v>17.57</v>
      </c>
      <c r="I499" s="432">
        <v>3.28</v>
      </c>
      <c r="J499" s="432">
        <v>8595.9599999999991</v>
      </c>
    </row>
    <row r="500" spans="1:10" ht="36">
      <c r="A500" s="430" t="s">
        <v>699</v>
      </c>
      <c r="B500" s="431" t="s">
        <v>75</v>
      </c>
      <c r="C500" s="431" t="s">
        <v>18</v>
      </c>
      <c r="D500" s="430" t="s">
        <v>76</v>
      </c>
      <c r="E500" s="431" t="s">
        <v>60</v>
      </c>
      <c r="F500" s="432">
        <v>393.11</v>
      </c>
      <c r="G500" s="432">
        <v>14.44</v>
      </c>
      <c r="H500" s="432">
        <v>17.57</v>
      </c>
      <c r="I500" s="432">
        <v>16.98</v>
      </c>
      <c r="J500" s="432">
        <v>6675.01</v>
      </c>
    </row>
    <row r="501" spans="1:10" ht="48">
      <c r="A501" s="430" t="s">
        <v>700</v>
      </c>
      <c r="B501" s="431" t="s">
        <v>49</v>
      </c>
      <c r="C501" s="431" t="s">
        <v>18</v>
      </c>
      <c r="D501" s="430" t="s">
        <v>50</v>
      </c>
      <c r="E501" s="431" t="s">
        <v>44</v>
      </c>
      <c r="F501" s="432">
        <v>491.39</v>
      </c>
      <c r="G501" s="432">
        <v>2.9</v>
      </c>
      <c r="H501" s="432">
        <v>17.57</v>
      </c>
      <c r="I501" s="432">
        <v>3.41</v>
      </c>
      <c r="J501" s="432">
        <v>1675.64</v>
      </c>
    </row>
    <row r="502" spans="1:10" ht="24">
      <c r="A502" s="430" t="s">
        <v>701</v>
      </c>
      <c r="B502" s="431" t="s">
        <v>79</v>
      </c>
      <c r="C502" s="431" t="s">
        <v>18</v>
      </c>
      <c r="D502" s="430" t="s">
        <v>80</v>
      </c>
      <c r="E502" s="431" t="s">
        <v>81</v>
      </c>
      <c r="F502" s="432">
        <v>7321.71</v>
      </c>
      <c r="G502" s="432">
        <v>1.37</v>
      </c>
      <c r="H502" s="432">
        <v>17.57</v>
      </c>
      <c r="I502" s="432">
        <v>1.61</v>
      </c>
      <c r="J502" s="432">
        <v>11787.95</v>
      </c>
    </row>
    <row r="503" spans="1:10" ht="48">
      <c r="A503" s="430" t="s">
        <v>702</v>
      </c>
      <c r="B503" s="431" t="s">
        <v>83</v>
      </c>
      <c r="C503" s="431" t="s">
        <v>18</v>
      </c>
      <c r="D503" s="430" t="s">
        <v>84</v>
      </c>
      <c r="E503" s="431" t="s">
        <v>20</v>
      </c>
      <c r="F503" s="432">
        <v>2620.7199999999998</v>
      </c>
      <c r="G503" s="432">
        <v>20.41</v>
      </c>
      <c r="H503" s="432">
        <v>17.57</v>
      </c>
      <c r="I503" s="432">
        <v>24</v>
      </c>
      <c r="J503" s="432">
        <v>62897.279999999999</v>
      </c>
    </row>
    <row r="504" spans="1:10" ht="60">
      <c r="A504" s="430" t="s">
        <v>703</v>
      </c>
      <c r="B504" s="431" t="s">
        <v>104</v>
      </c>
      <c r="C504" s="431" t="s">
        <v>29</v>
      </c>
      <c r="D504" s="430" t="s">
        <v>105</v>
      </c>
      <c r="E504" s="431" t="s">
        <v>40</v>
      </c>
      <c r="F504" s="432">
        <v>824.98</v>
      </c>
      <c r="G504" s="432">
        <v>56.47</v>
      </c>
      <c r="H504" s="432">
        <v>17.57</v>
      </c>
      <c r="I504" s="432">
        <v>66.39</v>
      </c>
      <c r="J504" s="432">
        <v>54770.42</v>
      </c>
    </row>
    <row r="505" spans="1:10" ht="20.100000000000001" customHeight="1">
      <c r="A505" s="428" t="s">
        <v>704</v>
      </c>
      <c r="B505" s="494" t="s">
        <v>120</v>
      </c>
      <c r="C505" s="494"/>
      <c r="D505" s="494"/>
      <c r="E505" s="494"/>
      <c r="F505" s="494"/>
      <c r="G505" s="494"/>
      <c r="H505" s="494"/>
      <c r="I505" s="494"/>
      <c r="J505" s="429">
        <v>105126.49</v>
      </c>
    </row>
    <row r="506" spans="1:10" ht="24">
      <c r="A506" s="430" t="s">
        <v>705</v>
      </c>
      <c r="B506" s="431" t="s">
        <v>122</v>
      </c>
      <c r="C506" s="431" t="s">
        <v>29</v>
      </c>
      <c r="D506" s="430" t="s">
        <v>123</v>
      </c>
      <c r="E506" s="431" t="s">
        <v>60</v>
      </c>
      <c r="F506" s="432">
        <v>10.210000000000001</v>
      </c>
      <c r="G506" s="432">
        <v>78.319999999999993</v>
      </c>
      <c r="H506" s="432">
        <v>17.57</v>
      </c>
      <c r="I506" s="432">
        <v>92.08</v>
      </c>
      <c r="J506" s="432">
        <v>940.14</v>
      </c>
    </row>
    <row r="507" spans="1:10" ht="24">
      <c r="A507" s="430" t="s">
        <v>706</v>
      </c>
      <c r="B507" s="431" t="s">
        <v>125</v>
      </c>
      <c r="C507" s="431" t="s">
        <v>29</v>
      </c>
      <c r="D507" s="430" t="s">
        <v>126</v>
      </c>
      <c r="E507" s="431" t="s">
        <v>60</v>
      </c>
      <c r="F507" s="432">
        <v>6.38</v>
      </c>
      <c r="G507" s="432">
        <v>436.13</v>
      </c>
      <c r="H507" s="432">
        <v>17.57</v>
      </c>
      <c r="I507" s="432">
        <v>512.76</v>
      </c>
      <c r="J507" s="432">
        <v>3271.41</v>
      </c>
    </row>
    <row r="508" spans="1:10" ht="36">
      <c r="A508" s="430" t="s">
        <v>707</v>
      </c>
      <c r="B508" s="431" t="s">
        <v>128</v>
      </c>
      <c r="C508" s="431" t="s">
        <v>29</v>
      </c>
      <c r="D508" s="430" t="s">
        <v>129</v>
      </c>
      <c r="E508" s="431" t="s">
        <v>60</v>
      </c>
      <c r="F508" s="432">
        <v>16.350000000000001</v>
      </c>
      <c r="G508" s="432">
        <v>472.74</v>
      </c>
      <c r="H508" s="432">
        <v>17.57</v>
      </c>
      <c r="I508" s="432">
        <v>555.79999999999995</v>
      </c>
      <c r="J508" s="432">
        <v>9087.33</v>
      </c>
    </row>
    <row r="509" spans="1:10" ht="24">
      <c r="A509" s="430" t="s">
        <v>708</v>
      </c>
      <c r="B509" s="431" t="s">
        <v>131</v>
      </c>
      <c r="C509" s="431" t="s">
        <v>18</v>
      </c>
      <c r="D509" s="430" t="s">
        <v>132</v>
      </c>
      <c r="E509" s="431" t="s">
        <v>60</v>
      </c>
      <c r="F509" s="432">
        <v>22.73</v>
      </c>
      <c r="G509" s="432">
        <v>129.79</v>
      </c>
      <c r="H509" s="432">
        <v>17.57</v>
      </c>
      <c r="I509" s="432">
        <v>152.59</v>
      </c>
      <c r="J509" s="432">
        <v>3468.37</v>
      </c>
    </row>
    <row r="510" spans="1:10" ht="36">
      <c r="A510" s="430" t="s">
        <v>709</v>
      </c>
      <c r="B510" s="431" t="s">
        <v>134</v>
      </c>
      <c r="C510" s="431" t="s">
        <v>18</v>
      </c>
      <c r="D510" s="430" t="s">
        <v>135</v>
      </c>
      <c r="E510" s="431" t="s">
        <v>136</v>
      </c>
      <c r="F510" s="432">
        <v>127.66</v>
      </c>
      <c r="G510" s="432">
        <v>65.25</v>
      </c>
      <c r="H510" s="432">
        <v>17.57</v>
      </c>
      <c r="I510" s="432">
        <v>76.709999999999994</v>
      </c>
      <c r="J510" s="432">
        <v>9792.7999999999993</v>
      </c>
    </row>
    <row r="511" spans="1:10" ht="60">
      <c r="A511" s="430" t="s">
        <v>710</v>
      </c>
      <c r="B511" s="431" t="s">
        <v>465</v>
      </c>
      <c r="C511" s="431" t="s">
        <v>29</v>
      </c>
      <c r="D511" s="430" t="s">
        <v>466</v>
      </c>
      <c r="E511" s="431" t="s">
        <v>60</v>
      </c>
      <c r="F511" s="432">
        <v>179.27</v>
      </c>
      <c r="G511" s="432">
        <v>10.039999999999999</v>
      </c>
      <c r="H511" s="432">
        <v>17.57</v>
      </c>
      <c r="I511" s="432">
        <v>11.8</v>
      </c>
      <c r="J511" s="432">
        <v>2115.39</v>
      </c>
    </row>
    <row r="512" spans="1:10" ht="60">
      <c r="A512" s="430" t="s">
        <v>711</v>
      </c>
      <c r="B512" s="431" t="s">
        <v>712</v>
      </c>
      <c r="C512" s="431" t="s">
        <v>29</v>
      </c>
      <c r="D512" s="430" t="s">
        <v>713</v>
      </c>
      <c r="E512" s="431" t="s">
        <v>60</v>
      </c>
      <c r="F512" s="432">
        <v>64.8</v>
      </c>
      <c r="G512" s="432">
        <v>6.45</v>
      </c>
      <c r="H512" s="432">
        <v>17.57</v>
      </c>
      <c r="I512" s="432">
        <v>7.58</v>
      </c>
      <c r="J512" s="432">
        <v>491.18</v>
      </c>
    </row>
    <row r="513" spans="1:10" ht="60">
      <c r="A513" s="430" t="s">
        <v>714</v>
      </c>
      <c r="B513" s="431" t="s">
        <v>468</v>
      </c>
      <c r="C513" s="431" t="s">
        <v>29</v>
      </c>
      <c r="D513" s="430" t="s">
        <v>469</v>
      </c>
      <c r="E513" s="431" t="s">
        <v>60</v>
      </c>
      <c r="F513" s="432">
        <v>132.91</v>
      </c>
      <c r="G513" s="432">
        <v>29.29</v>
      </c>
      <c r="H513" s="432">
        <v>17.57</v>
      </c>
      <c r="I513" s="432">
        <v>34.44</v>
      </c>
      <c r="J513" s="432">
        <v>4577.42</v>
      </c>
    </row>
    <row r="514" spans="1:10" ht="60">
      <c r="A514" s="430" t="s">
        <v>715</v>
      </c>
      <c r="B514" s="431" t="s">
        <v>716</v>
      </c>
      <c r="C514" s="431" t="s">
        <v>29</v>
      </c>
      <c r="D514" s="430" t="s">
        <v>717</v>
      </c>
      <c r="E514" s="431" t="s">
        <v>60</v>
      </c>
      <c r="F514" s="432">
        <v>33.049999999999997</v>
      </c>
      <c r="G514" s="432">
        <v>13.55</v>
      </c>
      <c r="H514" s="432">
        <v>17.57</v>
      </c>
      <c r="I514" s="432">
        <v>15.93</v>
      </c>
      <c r="J514" s="432">
        <v>526.49</v>
      </c>
    </row>
    <row r="515" spans="1:10" ht="48">
      <c r="A515" s="430" t="s">
        <v>718</v>
      </c>
      <c r="B515" s="431" t="s">
        <v>49</v>
      </c>
      <c r="C515" s="431" t="s">
        <v>18</v>
      </c>
      <c r="D515" s="430" t="s">
        <v>50</v>
      </c>
      <c r="E515" s="431" t="s">
        <v>44</v>
      </c>
      <c r="F515" s="432">
        <v>97.64</v>
      </c>
      <c r="G515" s="432">
        <v>2.9</v>
      </c>
      <c r="H515" s="432">
        <v>17.57</v>
      </c>
      <c r="I515" s="432">
        <v>3.41</v>
      </c>
      <c r="J515" s="432">
        <v>332.95</v>
      </c>
    </row>
    <row r="516" spans="1:10" ht="36">
      <c r="A516" s="430" t="s">
        <v>719</v>
      </c>
      <c r="B516" s="431" t="s">
        <v>52</v>
      </c>
      <c r="C516" s="431" t="s">
        <v>29</v>
      </c>
      <c r="D516" s="430" t="s">
        <v>53</v>
      </c>
      <c r="E516" s="431" t="s">
        <v>54</v>
      </c>
      <c r="F516" s="432">
        <v>1493.89</v>
      </c>
      <c r="G516" s="432">
        <v>2.27</v>
      </c>
      <c r="H516" s="432">
        <v>17.57</v>
      </c>
      <c r="I516" s="432">
        <v>2.67</v>
      </c>
      <c r="J516" s="432">
        <v>3988.69</v>
      </c>
    </row>
    <row r="517" spans="1:10" ht="36">
      <c r="A517" s="430" t="s">
        <v>720</v>
      </c>
      <c r="B517" s="431" t="s">
        <v>477</v>
      </c>
      <c r="C517" s="431" t="s">
        <v>29</v>
      </c>
      <c r="D517" s="430" t="s">
        <v>478</v>
      </c>
      <c r="E517" s="431" t="s">
        <v>115</v>
      </c>
      <c r="F517" s="432">
        <v>12</v>
      </c>
      <c r="G517" s="432">
        <v>2575.58</v>
      </c>
      <c r="H517" s="432">
        <v>17.57</v>
      </c>
      <c r="I517" s="432">
        <v>3028.11</v>
      </c>
      <c r="J517" s="432">
        <v>36337.32</v>
      </c>
    </row>
    <row r="518" spans="1:10" ht="36">
      <c r="A518" s="430" t="s">
        <v>721</v>
      </c>
      <c r="B518" s="431" t="s">
        <v>722</v>
      </c>
      <c r="C518" s="431" t="s">
        <v>29</v>
      </c>
      <c r="D518" s="430" t="s">
        <v>723</v>
      </c>
      <c r="E518" s="431" t="s">
        <v>40</v>
      </c>
      <c r="F518" s="432">
        <v>12</v>
      </c>
      <c r="G518" s="432">
        <v>1178.53</v>
      </c>
      <c r="H518" s="432">
        <v>17.57</v>
      </c>
      <c r="I518" s="432">
        <v>1385.6</v>
      </c>
      <c r="J518" s="432">
        <v>16627.2</v>
      </c>
    </row>
    <row r="519" spans="1:10" ht="36">
      <c r="A519" s="430" t="s">
        <v>724</v>
      </c>
      <c r="B519" s="431" t="s">
        <v>480</v>
      </c>
      <c r="C519" s="431" t="s">
        <v>29</v>
      </c>
      <c r="D519" s="430" t="s">
        <v>481</v>
      </c>
      <c r="E519" s="431" t="s">
        <v>20</v>
      </c>
      <c r="F519" s="432">
        <v>15.12</v>
      </c>
      <c r="G519" s="432">
        <v>39.6</v>
      </c>
      <c r="H519" s="432">
        <v>17.57</v>
      </c>
      <c r="I519" s="432">
        <v>46.56</v>
      </c>
      <c r="J519" s="432">
        <v>703.99</v>
      </c>
    </row>
    <row r="520" spans="1:10" ht="36">
      <c r="A520" s="430" t="s">
        <v>725</v>
      </c>
      <c r="B520" s="431" t="s">
        <v>326</v>
      </c>
      <c r="C520" s="431" t="s">
        <v>29</v>
      </c>
      <c r="D520" s="430" t="s">
        <v>327</v>
      </c>
      <c r="E520" s="431" t="s">
        <v>328</v>
      </c>
      <c r="F520" s="432">
        <v>646.32000000000005</v>
      </c>
      <c r="G520" s="432">
        <v>15.14</v>
      </c>
      <c r="H520" s="432">
        <v>17.57</v>
      </c>
      <c r="I520" s="432">
        <v>17.8</v>
      </c>
      <c r="J520" s="432">
        <v>11504.5</v>
      </c>
    </row>
    <row r="521" spans="1:10" ht="36">
      <c r="A521" s="430" t="s">
        <v>726</v>
      </c>
      <c r="B521" s="431" t="s">
        <v>485</v>
      </c>
      <c r="C521" s="431" t="s">
        <v>29</v>
      </c>
      <c r="D521" s="430" t="s">
        <v>486</v>
      </c>
      <c r="E521" s="431" t="s">
        <v>40</v>
      </c>
      <c r="F521" s="432">
        <v>291.5</v>
      </c>
      <c r="G521" s="432">
        <v>3.97</v>
      </c>
      <c r="H521" s="432">
        <v>17.57</v>
      </c>
      <c r="I521" s="432">
        <v>4.67</v>
      </c>
      <c r="J521" s="432">
        <v>1361.31</v>
      </c>
    </row>
    <row r="522" spans="1:10" ht="20.100000000000001" customHeight="1">
      <c r="A522" s="428" t="s">
        <v>727</v>
      </c>
      <c r="B522" s="494" t="s">
        <v>138</v>
      </c>
      <c r="C522" s="494"/>
      <c r="D522" s="494"/>
      <c r="E522" s="494"/>
      <c r="F522" s="494"/>
      <c r="G522" s="494"/>
      <c r="H522" s="494"/>
      <c r="I522" s="494"/>
      <c r="J522" s="429">
        <v>2261.4299999999998</v>
      </c>
    </row>
    <row r="523" spans="1:10">
      <c r="A523" s="430" t="s">
        <v>728</v>
      </c>
      <c r="B523" s="431" t="s">
        <v>145</v>
      </c>
      <c r="C523" s="431" t="s">
        <v>141</v>
      </c>
      <c r="D523" s="430" t="s">
        <v>146</v>
      </c>
      <c r="E523" s="431" t="s">
        <v>143</v>
      </c>
      <c r="F523" s="432">
        <v>2.25</v>
      </c>
      <c r="G523" s="432">
        <v>347.25</v>
      </c>
      <c r="H523" s="432">
        <v>17.57</v>
      </c>
      <c r="I523" s="432">
        <v>408.26</v>
      </c>
      <c r="J523" s="432">
        <v>918.59</v>
      </c>
    </row>
    <row r="524" spans="1:10" ht="24">
      <c r="A524" s="430" t="s">
        <v>729</v>
      </c>
      <c r="B524" s="431" t="s">
        <v>148</v>
      </c>
      <c r="C524" s="431" t="s">
        <v>141</v>
      </c>
      <c r="D524" s="430" t="s">
        <v>149</v>
      </c>
      <c r="E524" s="431" t="s">
        <v>150</v>
      </c>
      <c r="F524" s="432">
        <v>5</v>
      </c>
      <c r="G524" s="432">
        <v>121.48</v>
      </c>
      <c r="H524" s="432">
        <v>17.57</v>
      </c>
      <c r="I524" s="432">
        <v>142.82</v>
      </c>
      <c r="J524" s="432">
        <v>714.1</v>
      </c>
    </row>
    <row r="525" spans="1:10" ht="24">
      <c r="A525" s="430" t="s">
        <v>730</v>
      </c>
      <c r="B525" s="431" t="s">
        <v>152</v>
      </c>
      <c r="C525" s="431" t="s">
        <v>18</v>
      </c>
      <c r="D525" s="430" t="s">
        <v>153</v>
      </c>
      <c r="E525" s="431" t="s">
        <v>154</v>
      </c>
      <c r="F525" s="432">
        <v>3</v>
      </c>
      <c r="G525" s="432">
        <v>156.33000000000001</v>
      </c>
      <c r="H525" s="432">
        <v>17.57</v>
      </c>
      <c r="I525" s="432">
        <v>183.8</v>
      </c>
      <c r="J525" s="432">
        <v>551.4</v>
      </c>
    </row>
    <row r="526" spans="1:10" ht="24">
      <c r="A526" s="430" t="s">
        <v>731</v>
      </c>
      <c r="B526" s="431" t="s">
        <v>156</v>
      </c>
      <c r="C526" s="431" t="s">
        <v>18</v>
      </c>
      <c r="D526" s="430" t="s">
        <v>157</v>
      </c>
      <c r="E526" s="431" t="s">
        <v>20</v>
      </c>
      <c r="F526" s="432">
        <v>3.24</v>
      </c>
      <c r="G526" s="432">
        <v>20.3</v>
      </c>
      <c r="H526" s="432">
        <v>17.57</v>
      </c>
      <c r="I526" s="432">
        <v>23.87</v>
      </c>
      <c r="J526" s="432">
        <v>77.34</v>
      </c>
    </row>
    <row r="527" spans="1:10" ht="20.100000000000001" customHeight="1">
      <c r="A527" s="428" t="s">
        <v>732</v>
      </c>
      <c r="B527" s="494" t="s">
        <v>733</v>
      </c>
      <c r="C527" s="494"/>
      <c r="D527" s="494"/>
      <c r="E527" s="494"/>
      <c r="F527" s="494"/>
      <c r="G527" s="494"/>
      <c r="H527" s="494"/>
      <c r="I527" s="494"/>
      <c r="J527" s="429">
        <v>217350.68</v>
      </c>
    </row>
    <row r="528" spans="1:10" ht="20.100000000000001" customHeight="1">
      <c r="A528" s="428" t="s">
        <v>734</v>
      </c>
      <c r="B528" s="494" t="s">
        <v>56</v>
      </c>
      <c r="C528" s="494"/>
      <c r="D528" s="494"/>
      <c r="E528" s="494"/>
      <c r="F528" s="494"/>
      <c r="G528" s="494"/>
      <c r="H528" s="494"/>
      <c r="I528" s="494"/>
      <c r="J528" s="429">
        <v>24468.62</v>
      </c>
    </row>
    <row r="529" spans="1:10" ht="24">
      <c r="A529" s="430" t="s">
        <v>735</v>
      </c>
      <c r="B529" s="431" t="s">
        <v>122</v>
      </c>
      <c r="C529" s="431" t="s">
        <v>29</v>
      </c>
      <c r="D529" s="430" t="s">
        <v>123</v>
      </c>
      <c r="E529" s="431" t="s">
        <v>60</v>
      </c>
      <c r="F529" s="432">
        <v>71.53</v>
      </c>
      <c r="G529" s="432">
        <v>78.319999999999993</v>
      </c>
      <c r="H529" s="432">
        <v>17.57</v>
      </c>
      <c r="I529" s="432">
        <v>92.08</v>
      </c>
      <c r="J529" s="432">
        <v>6586.48</v>
      </c>
    </row>
    <row r="530" spans="1:10" ht="24">
      <c r="A530" s="430" t="s">
        <v>736</v>
      </c>
      <c r="B530" s="431" t="s">
        <v>737</v>
      </c>
      <c r="C530" s="431" t="s">
        <v>29</v>
      </c>
      <c r="D530" s="430" t="s">
        <v>738</v>
      </c>
      <c r="E530" s="431" t="s">
        <v>54</v>
      </c>
      <c r="F530" s="432">
        <v>9.44</v>
      </c>
      <c r="G530" s="432">
        <v>977.6</v>
      </c>
      <c r="H530" s="432">
        <v>17.57</v>
      </c>
      <c r="I530" s="432">
        <v>1149.3599999999999</v>
      </c>
      <c r="J530" s="432">
        <v>10849.96</v>
      </c>
    </row>
    <row r="531" spans="1:10" ht="24">
      <c r="A531" s="430" t="s">
        <v>739</v>
      </c>
      <c r="B531" s="431" t="s">
        <v>740</v>
      </c>
      <c r="C531" s="431" t="s">
        <v>18</v>
      </c>
      <c r="D531" s="430" t="s">
        <v>741</v>
      </c>
      <c r="E531" s="431" t="s">
        <v>60</v>
      </c>
      <c r="F531" s="432">
        <v>89.41</v>
      </c>
      <c r="G531" s="432">
        <v>32.15</v>
      </c>
      <c r="H531" s="432">
        <v>17.57</v>
      </c>
      <c r="I531" s="432">
        <v>37.799999999999997</v>
      </c>
      <c r="J531" s="432">
        <v>3379.7</v>
      </c>
    </row>
    <row r="532" spans="1:10" ht="36">
      <c r="A532" s="430" t="s">
        <v>742</v>
      </c>
      <c r="B532" s="431" t="s">
        <v>52</v>
      </c>
      <c r="C532" s="431" t="s">
        <v>29</v>
      </c>
      <c r="D532" s="430" t="s">
        <v>53</v>
      </c>
      <c r="E532" s="431" t="s">
        <v>54</v>
      </c>
      <c r="F532" s="432">
        <v>1367.97</v>
      </c>
      <c r="G532" s="432">
        <v>2.27</v>
      </c>
      <c r="H532" s="432">
        <v>17.57</v>
      </c>
      <c r="I532" s="432">
        <v>2.67</v>
      </c>
      <c r="J532" s="432">
        <v>3652.48</v>
      </c>
    </row>
    <row r="533" spans="1:10" ht="20.100000000000001" customHeight="1">
      <c r="A533" s="428" t="s">
        <v>743</v>
      </c>
      <c r="B533" s="494" t="s">
        <v>744</v>
      </c>
      <c r="C533" s="494"/>
      <c r="D533" s="494"/>
      <c r="E533" s="494"/>
      <c r="F533" s="494"/>
      <c r="G533" s="494"/>
      <c r="H533" s="494"/>
      <c r="I533" s="494"/>
      <c r="J533" s="429">
        <v>141713.15</v>
      </c>
    </row>
    <row r="534" spans="1:10" ht="24">
      <c r="A534" s="430" t="s">
        <v>745</v>
      </c>
      <c r="B534" s="431" t="s">
        <v>737</v>
      </c>
      <c r="C534" s="431" t="s">
        <v>29</v>
      </c>
      <c r="D534" s="430" t="s">
        <v>738</v>
      </c>
      <c r="E534" s="431" t="s">
        <v>54</v>
      </c>
      <c r="F534" s="432">
        <v>5.08</v>
      </c>
      <c r="G534" s="432">
        <v>977.6</v>
      </c>
      <c r="H534" s="432">
        <v>17.57</v>
      </c>
      <c r="I534" s="432">
        <v>1149.3599999999999</v>
      </c>
      <c r="J534" s="432">
        <v>5838.75</v>
      </c>
    </row>
    <row r="535" spans="1:10" ht="24">
      <c r="A535" s="430" t="s">
        <v>746</v>
      </c>
      <c r="B535" s="431" t="s">
        <v>747</v>
      </c>
      <c r="C535" s="431" t="s">
        <v>18</v>
      </c>
      <c r="D535" s="430" t="s">
        <v>748</v>
      </c>
      <c r="E535" s="431" t="s">
        <v>54</v>
      </c>
      <c r="F535" s="432">
        <v>22.34</v>
      </c>
      <c r="G535" s="432">
        <v>977.61</v>
      </c>
      <c r="H535" s="432">
        <v>17.57</v>
      </c>
      <c r="I535" s="432">
        <v>1149.3800000000001</v>
      </c>
      <c r="J535" s="432">
        <v>25677.15</v>
      </c>
    </row>
    <row r="536" spans="1:10" ht="24">
      <c r="A536" s="430" t="s">
        <v>749</v>
      </c>
      <c r="B536" s="431" t="s">
        <v>750</v>
      </c>
      <c r="C536" s="431" t="s">
        <v>18</v>
      </c>
      <c r="D536" s="430" t="s">
        <v>751</v>
      </c>
      <c r="E536" s="431" t="s">
        <v>60</v>
      </c>
      <c r="F536" s="432">
        <v>151.18</v>
      </c>
      <c r="G536" s="432">
        <v>507.45</v>
      </c>
      <c r="H536" s="432">
        <v>17.57</v>
      </c>
      <c r="I536" s="432">
        <v>596.61</v>
      </c>
      <c r="J536" s="432">
        <v>90195.5</v>
      </c>
    </row>
    <row r="537" spans="1:10" ht="24">
      <c r="A537" s="430" t="s">
        <v>752</v>
      </c>
      <c r="B537" s="431" t="s">
        <v>79</v>
      </c>
      <c r="C537" s="431" t="s">
        <v>18</v>
      </c>
      <c r="D537" s="430" t="s">
        <v>80</v>
      </c>
      <c r="E537" s="431" t="s">
        <v>81</v>
      </c>
      <c r="F537" s="432">
        <v>319.98</v>
      </c>
      <c r="G537" s="432">
        <v>1.37</v>
      </c>
      <c r="H537" s="432">
        <v>17.57</v>
      </c>
      <c r="I537" s="432">
        <v>1.61</v>
      </c>
      <c r="J537" s="432">
        <v>515.16999999999996</v>
      </c>
    </row>
    <row r="538" spans="1:10" ht="24">
      <c r="A538" s="430" t="s">
        <v>753</v>
      </c>
      <c r="B538" s="431" t="s">
        <v>754</v>
      </c>
      <c r="C538" s="431" t="s">
        <v>18</v>
      </c>
      <c r="D538" s="430" t="s">
        <v>755</v>
      </c>
      <c r="E538" s="431" t="s">
        <v>60</v>
      </c>
      <c r="F538" s="432">
        <v>17.18</v>
      </c>
      <c r="G538" s="432">
        <v>141.59</v>
      </c>
      <c r="H538" s="432">
        <v>17.57</v>
      </c>
      <c r="I538" s="432">
        <v>166.47</v>
      </c>
      <c r="J538" s="432">
        <v>2859.95</v>
      </c>
    </row>
    <row r="539" spans="1:10" ht="24">
      <c r="A539" s="430" t="s">
        <v>756</v>
      </c>
      <c r="B539" s="431" t="s">
        <v>757</v>
      </c>
      <c r="C539" s="431" t="s">
        <v>18</v>
      </c>
      <c r="D539" s="430" t="s">
        <v>758</v>
      </c>
      <c r="E539" s="431" t="s">
        <v>60</v>
      </c>
      <c r="F539" s="432">
        <v>17.18</v>
      </c>
      <c r="G539" s="432">
        <v>180.54</v>
      </c>
      <c r="H539" s="432">
        <v>17.57</v>
      </c>
      <c r="I539" s="432">
        <v>212.26</v>
      </c>
      <c r="J539" s="432">
        <v>3646.63</v>
      </c>
    </row>
    <row r="540" spans="1:10" ht="24">
      <c r="A540" s="430" t="s">
        <v>759</v>
      </c>
      <c r="B540" s="431" t="s">
        <v>760</v>
      </c>
      <c r="C540" s="431" t="s">
        <v>18</v>
      </c>
      <c r="D540" s="430" t="s">
        <v>761</v>
      </c>
      <c r="E540" s="431" t="s">
        <v>20</v>
      </c>
      <c r="F540" s="432">
        <v>4.7300000000000004</v>
      </c>
      <c r="G540" s="432">
        <v>33.11</v>
      </c>
      <c r="H540" s="432">
        <v>17.57</v>
      </c>
      <c r="I540" s="432">
        <v>38.93</v>
      </c>
      <c r="J540" s="432">
        <v>184.14</v>
      </c>
    </row>
    <row r="541" spans="1:10" ht="24">
      <c r="A541" s="430" t="s">
        <v>762</v>
      </c>
      <c r="B541" s="431" t="s">
        <v>763</v>
      </c>
      <c r="C541" s="431" t="s">
        <v>18</v>
      </c>
      <c r="D541" s="430" t="s">
        <v>764</v>
      </c>
      <c r="E541" s="431" t="s">
        <v>40</v>
      </c>
      <c r="F541" s="432">
        <v>47.25</v>
      </c>
      <c r="G541" s="432">
        <v>27.71</v>
      </c>
      <c r="H541" s="432">
        <v>17.57</v>
      </c>
      <c r="I541" s="432">
        <v>32.58</v>
      </c>
      <c r="J541" s="432">
        <v>1539.41</v>
      </c>
    </row>
    <row r="542" spans="1:10" ht="24">
      <c r="A542" s="430" t="s">
        <v>765</v>
      </c>
      <c r="B542" s="431" t="s">
        <v>766</v>
      </c>
      <c r="C542" s="431" t="s">
        <v>18</v>
      </c>
      <c r="D542" s="430" t="s">
        <v>767</v>
      </c>
      <c r="E542" s="431" t="s">
        <v>150</v>
      </c>
      <c r="F542" s="432">
        <v>85.9</v>
      </c>
      <c r="G542" s="432">
        <v>14.19</v>
      </c>
      <c r="H542" s="432">
        <v>17.57</v>
      </c>
      <c r="I542" s="432">
        <v>16.68</v>
      </c>
      <c r="J542" s="432">
        <v>1432.81</v>
      </c>
    </row>
    <row r="543" spans="1:10" ht="24">
      <c r="A543" s="430" t="s">
        <v>768</v>
      </c>
      <c r="B543" s="431" t="s">
        <v>769</v>
      </c>
      <c r="C543" s="431" t="s">
        <v>29</v>
      </c>
      <c r="D543" s="430" t="s">
        <v>770</v>
      </c>
      <c r="E543" s="431" t="s">
        <v>60</v>
      </c>
      <c r="F543" s="432">
        <v>5.15</v>
      </c>
      <c r="G543" s="432">
        <v>600.74</v>
      </c>
      <c r="H543" s="432">
        <v>17.57</v>
      </c>
      <c r="I543" s="432">
        <v>706.29</v>
      </c>
      <c r="J543" s="432">
        <v>3637.39</v>
      </c>
    </row>
    <row r="544" spans="1:10" ht="24">
      <c r="A544" s="430" t="s">
        <v>771</v>
      </c>
      <c r="B544" s="431" t="s">
        <v>772</v>
      </c>
      <c r="C544" s="431" t="s">
        <v>18</v>
      </c>
      <c r="D544" s="430" t="s">
        <v>773</v>
      </c>
      <c r="E544" s="431" t="s">
        <v>54</v>
      </c>
      <c r="F544" s="432">
        <v>3153.61</v>
      </c>
      <c r="G544" s="432">
        <v>1.38</v>
      </c>
      <c r="H544" s="432">
        <v>17.57</v>
      </c>
      <c r="I544" s="432">
        <v>1.62</v>
      </c>
      <c r="J544" s="432">
        <v>5108.8500000000004</v>
      </c>
    </row>
    <row r="545" spans="1:10" ht="24">
      <c r="A545" s="430" t="s">
        <v>774</v>
      </c>
      <c r="B545" s="431" t="s">
        <v>775</v>
      </c>
      <c r="C545" s="431" t="s">
        <v>18</v>
      </c>
      <c r="D545" s="430" t="s">
        <v>776</v>
      </c>
      <c r="E545" s="431" t="s">
        <v>40</v>
      </c>
      <c r="F545" s="432">
        <v>101.93</v>
      </c>
      <c r="G545" s="432">
        <v>8.99</v>
      </c>
      <c r="H545" s="432">
        <v>17.57</v>
      </c>
      <c r="I545" s="432">
        <v>10.57</v>
      </c>
      <c r="J545" s="432">
        <v>1077.4000000000001</v>
      </c>
    </row>
    <row r="546" spans="1:10" ht="20.100000000000001" customHeight="1">
      <c r="A546" s="428" t="s">
        <v>777</v>
      </c>
      <c r="B546" s="494" t="s">
        <v>778</v>
      </c>
      <c r="C546" s="494"/>
      <c r="D546" s="494"/>
      <c r="E546" s="494"/>
      <c r="F546" s="494"/>
      <c r="G546" s="494"/>
      <c r="H546" s="494"/>
      <c r="I546" s="494"/>
      <c r="J546" s="429">
        <v>51168.91</v>
      </c>
    </row>
    <row r="547" spans="1:10" ht="60">
      <c r="A547" s="430" t="s">
        <v>779</v>
      </c>
      <c r="B547" s="431" t="s">
        <v>780</v>
      </c>
      <c r="C547" s="431" t="s">
        <v>29</v>
      </c>
      <c r="D547" s="430" t="s">
        <v>781</v>
      </c>
      <c r="E547" s="431" t="s">
        <v>40</v>
      </c>
      <c r="F547" s="432">
        <v>85.9</v>
      </c>
      <c r="G547" s="432">
        <v>506.66</v>
      </c>
      <c r="H547" s="432">
        <v>17.57</v>
      </c>
      <c r="I547" s="432">
        <v>595.67999999999995</v>
      </c>
      <c r="J547" s="432">
        <v>51168.91</v>
      </c>
    </row>
    <row r="548" spans="1:10" ht="20.100000000000001" customHeight="1">
      <c r="A548" s="428" t="s">
        <v>782</v>
      </c>
      <c r="B548" s="494" t="s">
        <v>170</v>
      </c>
      <c r="C548" s="494"/>
      <c r="D548" s="494"/>
      <c r="E548" s="494"/>
      <c r="F548" s="494"/>
      <c r="G548" s="494"/>
      <c r="H548" s="494"/>
      <c r="I548" s="494"/>
      <c r="J548" s="429">
        <v>258737.16</v>
      </c>
    </row>
    <row r="549" spans="1:10" ht="48">
      <c r="A549" s="430" t="s">
        <v>783</v>
      </c>
      <c r="B549" s="431" t="s">
        <v>172</v>
      </c>
      <c r="C549" s="431" t="s">
        <v>29</v>
      </c>
      <c r="D549" s="430" t="s">
        <v>173</v>
      </c>
      <c r="E549" s="431" t="s">
        <v>31</v>
      </c>
      <c r="F549" s="432">
        <v>4</v>
      </c>
      <c r="G549" s="432">
        <v>830</v>
      </c>
      <c r="H549" s="432">
        <v>10.07</v>
      </c>
      <c r="I549" s="432">
        <v>913.58</v>
      </c>
      <c r="J549" s="432">
        <v>3654.32</v>
      </c>
    </row>
    <row r="550" spans="1:10" ht="36">
      <c r="A550" s="430" t="s">
        <v>784</v>
      </c>
      <c r="B550" s="431" t="s">
        <v>175</v>
      </c>
      <c r="C550" s="431" t="s">
        <v>29</v>
      </c>
      <c r="D550" s="430" t="s">
        <v>176</v>
      </c>
      <c r="E550" s="431" t="s">
        <v>31</v>
      </c>
      <c r="F550" s="432">
        <v>4</v>
      </c>
      <c r="G550" s="432">
        <v>648.42999999999995</v>
      </c>
      <c r="H550" s="432">
        <v>10.07</v>
      </c>
      <c r="I550" s="432">
        <v>713.73</v>
      </c>
      <c r="J550" s="432">
        <v>2854.92</v>
      </c>
    </row>
    <row r="551" spans="1:10" ht="24">
      <c r="A551" s="430" t="s">
        <v>785</v>
      </c>
      <c r="B551" s="431" t="s">
        <v>786</v>
      </c>
      <c r="C551" s="431" t="s">
        <v>29</v>
      </c>
      <c r="D551" s="430" t="s">
        <v>787</v>
      </c>
      <c r="E551" s="431" t="s">
        <v>60</v>
      </c>
      <c r="F551" s="432">
        <v>87.66</v>
      </c>
      <c r="G551" s="432">
        <v>73.099999999999994</v>
      </c>
      <c r="H551" s="432">
        <v>10.07</v>
      </c>
      <c r="I551" s="432">
        <v>80.459999999999994</v>
      </c>
      <c r="J551" s="432">
        <v>7053.12</v>
      </c>
    </row>
    <row r="552" spans="1:10" ht="48">
      <c r="A552" s="430" t="s">
        <v>788</v>
      </c>
      <c r="B552" s="431" t="s">
        <v>178</v>
      </c>
      <c r="C552" s="431" t="s">
        <v>29</v>
      </c>
      <c r="D552" s="430" t="s">
        <v>179</v>
      </c>
      <c r="E552" s="431" t="s">
        <v>20</v>
      </c>
      <c r="F552" s="432">
        <v>1805.92</v>
      </c>
      <c r="G552" s="432">
        <v>49</v>
      </c>
      <c r="H552" s="432">
        <v>10.07</v>
      </c>
      <c r="I552" s="432">
        <v>53.93</v>
      </c>
      <c r="J552" s="432">
        <v>97393.27</v>
      </c>
    </row>
    <row r="553" spans="1:10" ht="48">
      <c r="A553" s="430" t="s">
        <v>789</v>
      </c>
      <c r="B553" s="431" t="s">
        <v>181</v>
      </c>
      <c r="C553" s="431" t="s">
        <v>29</v>
      </c>
      <c r="D553" s="430" t="s">
        <v>182</v>
      </c>
      <c r="E553" s="431" t="s">
        <v>20</v>
      </c>
      <c r="F553" s="432">
        <v>849.13</v>
      </c>
      <c r="G553" s="432">
        <v>53.92</v>
      </c>
      <c r="H553" s="432">
        <v>10.07</v>
      </c>
      <c r="I553" s="432">
        <v>59.35</v>
      </c>
      <c r="J553" s="432">
        <v>50395.87</v>
      </c>
    </row>
    <row r="554" spans="1:10" ht="24">
      <c r="A554" s="430" t="s">
        <v>790</v>
      </c>
      <c r="B554" s="431" t="s">
        <v>502</v>
      </c>
      <c r="C554" s="431" t="s">
        <v>141</v>
      </c>
      <c r="D554" s="430" t="s">
        <v>503</v>
      </c>
      <c r="E554" s="431" t="s">
        <v>504</v>
      </c>
      <c r="F554" s="432">
        <v>291.5</v>
      </c>
      <c r="G554" s="432">
        <v>227.86</v>
      </c>
      <c r="H554" s="432">
        <v>10.07</v>
      </c>
      <c r="I554" s="432">
        <v>250.81</v>
      </c>
      <c r="J554" s="432">
        <v>73111.12</v>
      </c>
    </row>
    <row r="555" spans="1:10" ht="24">
      <c r="A555" s="430" t="s">
        <v>791</v>
      </c>
      <c r="B555" s="431" t="s">
        <v>188</v>
      </c>
      <c r="C555" s="431" t="s">
        <v>18</v>
      </c>
      <c r="D555" s="430" t="s">
        <v>189</v>
      </c>
      <c r="E555" s="431" t="s">
        <v>44</v>
      </c>
      <c r="F555" s="432">
        <v>393.11</v>
      </c>
      <c r="G555" s="432">
        <v>56.1</v>
      </c>
      <c r="H555" s="432">
        <v>10.07</v>
      </c>
      <c r="I555" s="432">
        <v>61.75</v>
      </c>
      <c r="J555" s="432">
        <v>24274.54</v>
      </c>
    </row>
    <row r="556" spans="1:10" ht="20.100000000000001" customHeight="1">
      <c r="A556" s="428" t="s">
        <v>792</v>
      </c>
      <c r="B556" s="494" t="s">
        <v>793</v>
      </c>
      <c r="C556" s="494"/>
      <c r="D556" s="494"/>
      <c r="E556" s="494"/>
      <c r="F556" s="494"/>
      <c r="G556" s="494"/>
      <c r="H556" s="494"/>
      <c r="I556" s="494"/>
      <c r="J556" s="429">
        <v>602074.57999999996</v>
      </c>
    </row>
    <row r="557" spans="1:10" ht="20.100000000000001" customHeight="1">
      <c r="A557" s="428" t="s">
        <v>794</v>
      </c>
      <c r="B557" s="494" t="s">
        <v>795</v>
      </c>
      <c r="C557" s="494"/>
      <c r="D557" s="494"/>
      <c r="E557" s="494"/>
      <c r="F557" s="494"/>
      <c r="G557" s="494"/>
      <c r="H557" s="494"/>
      <c r="I557" s="494"/>
      <c r="J557" s="429">
        <v>602074.57999999996</v>
      </c>
    </row>
    <row r="558" spans="1:10" ht="20.100000000000001" customHeight="1">
      <c r="A558" s="428" t="s">
        <v>796</v>
      </c>
      <c r="B558" s="494" t="s">
        <v>15</v>
      </c>
      <c r="C558" s="494"/>
      <c r="D558" s="494"/>
      <c r="E558" s="494"/>
      <c r="F558" s="494"/>
      <c r="G558" s="494"/>
      <c r="H558" s="494"/>
      <c r="I558" s="494"/>
      <c r="J558" s="429">
        <v>5205.03</v>
      </c>
    </row>
    <row r="559" spans="1:10" ht="24">
      <c r="A559" s="430" t="s">
        <v>797</v>
      </c>
      <c r="B559" s="431" t="s">
        <v>17</v>
      </c>
      <c r="C559" s="431" t="s">
        <v>18</v>
      </c>
      <c r="D559" s="430" t="s">
        <v>19</v>
      </c>
      <c r="E559" s="431" t="s">
        <v>20</v>
      </c>
      <c r="F559" s="432">
        <v>2.88</v>
      </c>
      <c r="G559" s="432">
        <v>564.99</v>
      </c>
      <c r="H559" s="432">
        <v>17.57</v>
      </c>
      <c r="I559" s="432">
        <v>664.26</v>
      </c>
      <c r="J559" s="432">
        <v>1913.07</v>
      </c>
    </row>
    <row r="560" spans="1:10" ht="24">
      <c r="A560" s="430" t="s">
        <v>798</v>
      </c>
      <c r="B560" s="431" t="s">
        <v>22</v>
      </c>
      <c r="C560" s="431" t="s">
        <v>18</v>
      </c>
      <c r="D560" s="430" t="s">
        <v>23</v>
      </c>
      <c r="E560" s="431" t="s">
        <v>24</v>
      </c>
      <c r="F560" s="432">
        <v>4</v>
      </c>
      <c r="G560" s="432">
        <v>700</v>
      </c>
      <c r="H560" s="432">
        <v>17.57</v>
      </c>
      <c r="I560" s="432">
        <v>822.99</v>
      </c>
      <c r="J560" s="432">
        <v>3291.96</v>
      </c>
    </row>
    <row r="561" spans="1:10" ht="20.100000000000001" customHeight="1">
      <c r="A561" s="428" t="s">
        <v>799</v>
      </c>
      <c r="B561" s="494" t="s">
        <v>26</v>
      </c>
      <c r="C561" s="494"/>
      <c r="D561" s="494"/>
      <c r="E561" s="494"/>
      <c r="F561" s="494"/>
      <c r="G561" s="494"/>
      <c r="H561" s="494"/>
      <c r="I561" s="494"/>
      <c r="J561" s="429">
        <v>25575.67</v>
      </c>
    </row>
    <row r="562" spans="1:10" ht="24">
      <c r="A562" s="430" t="s">
        <v>800</v>
      </c>
      <c r="B562" s="431" t="s">
        <v>28</v>
      </c>
      <c r="C562" s="431" t="s">
        <v>29</v>
      </c>
      <c r="D562" s="430" t="s">
        <v>30</v>
      </c>
      <c r="E562" s="431" t="s">
        <v>31</v>
      </c>
      <c r="F562" s="432">
        <v>0.5</v>
      </c>
      <c r="G562" s="432">
        <v>16819.14</v>
      </c>
      <c r="H562" s="432">
        <v>17.57</v>
      </c>
      <c r="I562" s="432">
        <v>19774.259999999998</v>
      </c>
      <c r="J562" s="432">
        <v>9887.1299999999992</v>
      </c>
    </row>
    <row r="563" spans="1:10" ht="24">
      <c r="A563" s="430" t="s">
        <v>801</v>
      </c>
      <c r="B563" s="431" t="s">
        <v>33</v>
      </c>
      <c r="C563" s="431" t="s">
        <v>29</v>
      </c>
      <c r="D563" s="430" t="s">
        <v>34</v>
      </c>
      <c r="E563" s="431" t="s">
        <v>31</v>
      </c>
      <c r="F563" s="432">
        <v>2</v>
      </c>
      <c r="G563" s="432">
        <v>6672</v>
      </c>
      <c r="H563" s="432">
        <v>17.57</v>
      </c>
      <c r="I563" s="432">
        <v>7844.27</v>
      </c>
      <c r="J563" s="432">
        <v>15688.54</v>
      </c>
    </row>
    <row r="564" spans="1:10" ht="20.100000000000001" customHeight="1">
      <c r="A564" s="428" t="s">
        <v>802</v>
      </c>
      <c r="B564" s="494" t="s">
        <v>36</v>
      </c>
      <c r="C564" s="494"/>
      <c r="D564" s="494"/>
      <c r="E564" s="494"/>
      <c r="F564" s="494"/>
      <c r="G564" s="494"/>
      <c r="H564" s="494"/>
      <c r="I564" s="494"/>
      <c r="J564" s="429">
        <v>101329.93</v>
      </c>
    </row>
    <row r="565" spans="1:10" ht="24">
      <c r="A565" s="430" t="s">
        <v>803</v>
      </c>
      <c r="B565" s="431" t="s">
        <v>804</v>
      </c>
      <c r="C565" s="431" t="s">
        <v>18</v>
      </c>
      <c r="D565" s="430" t="s">
        <v>805</v>
      </c>
      <c r="E565" s="431" t="s">
        <v>20</v>
      </c>
      <c r="F565" s="432">
        <v>5609.46</v>
      </c>
      <c r="G565" s="432">
        <v>14.38</v>
      </c>
      <c r="H565" s="432">
        <v>17.57</v>
      </c>
      <c r="I565" s="432">
        <v>16.91</v>
      </c>
      <c r="J565" s="432">
        <v>94855.97</v>
      </c>
    </row>
    <row r="566" spans="1:10" ht="24">
      <c r="A566" s="430" t="s">
        <v>806</v>
      </c>
      <c r="B566" s="431" t="s">
        <v>46</v>
      </c>
      <c r="C566" s="431" t="s">
        <v>18</v>
      </c>
      <c r="D566" s="430" t="s">
        <v>47</v>
      </c>
      <c r="E566" s="431" t="s">
        <v>40</v>
      </c>
      <c r="F566" s="432">
        <v>178.73</v>
      </c>
      <c r="G566" s="432">
        <v>11.13</v>
      </c>
      <c r="H566" s="432">
        <v>17.57</v>
      </c>
      <c r="I566" s="432">
        <v>13.09</v>
      </c>
      <c r="J566" s="432">
        <v>2339.58</v>
      </c>
    </row>
    <row r="567" spans="1:10" ht="48">
      <c r="A567" s="430" t="s">
        <v>807</v>
      </c>
      <c r="B567" s="431" t="s">
        <v>49</v>
      </c>
      <c r="C567" s="431" t="s">
        <v>18</v>
      </c>
      <c r="D567" s="430" t="s">
        <v>50</v>
      </c>
      <c r="E567" s="431" t="s">
        <v>44</v>
      </c>
      <c r="F567" s="432">
        <v>711.23</v>
      </c>
      <c r="G567" s="432">
        <v>2.9</v>
      </c>
      <c r="H567" s="432">
        <v>17.57</v>
      </c>
      <c r="I567" s="432">
        <v>3.41</v>
      </c>
      <c r="J567" s="432">
        <v>2425.29</v>
      </c>
    </row>
    <row r="568" spans="1:10" ht="36">
      <c r="A568" s="430" t="s">
        <v>808</v>
      </c>
      <c r="B568" s="431" t="s">
        <v>52</v>
      </c>
      <c r="C568" s="431" t="s">
        <v>29</v>
      </c>
      <c r="D568" s="430" t="s">
        <v>53</v>
      </c>
      <c r="E568" s="431" t="s">
        <v>54</v>
      </c>
      <c r="F568" s="432">
        <v>640.11</v>
      </c>
      <c r="G568" s="432">
        <v>2.27</v>
      </c>
      <c r="H568" s="432">
        <v>17.57</v>
      </c>
      <c r="I568" s="432">
        <v>2.67</v>
      </c>
      <c r="J568" s="432">
        <v>1709.09</v>
      </c>
    </row>
    <row r="569" spans="1:10" ht="20.100000000000001" customHeight="1">
      <c r="A569" s="428" t="s">
        <v>809</v>
      </c>
      <c r="B569" s="494" t="s">
        <v>795</v>
      </c>
      <c r="C569" s="494"/>
      <c r="D569" s="494"/>
      <c r="E569" s="494"/>
      <c r="F569" s="494"/>
      <c r="G569" s="494"/>
      <c r="H569" s="494"/>
      <c r="I569" s="494"/>
      <c r="J569" s="429">
        <v>135362.68</v>
      </c>
    </row>
    <row r="570" spans="1:10" ht="24">
      <c r="A570" s="430" t="s">
        <v>810</v>
      </c>
      <c r="B570" s="431" t="s">
        <v>98</v>
      </c>
      <c r="C570" s="431" t="s">
        <v>18</v>
      </c>
      <c r="D570" s="430" t="s">
        <v>99</v>
      </c>
      <c r="E570" s="431" t="s">
        <v>20</v>
      </c>
      <c r="F570" s="432">
        <v>5032.26</v>
      </c>
      <c r="G570" s="432">
        <v>0.65</v>
      </c>
      <c r="H570" s="432">
        <v>17.57</v>
      </c>
      <c r="I570" s="432">
        <v>0.76</v>
      </c>
      <c r="J570" s="432">
        <v>3824.52</v>
      </c>
    </row>
    <row r="571" spans="1:10" ht="48">
      <c r="A571" s="430" t="s">
        <v>811</v>
      </c>
      <c r="B571" s="431" t="s">
        <v>83</v>
      </c>
      <c r="C571" s="431" t="s">
        <v>18</v>
      </c>
      <c r="D571" s="430" t="s">
        <v>84</v>
      </c>
      <c r="E571" s="431" t="s">
        <v>20</v>
      </c>
      <c r="F571" s="432">
        <v>5032.26</v>
      </c>
      <c r="G571" s="432">
        <v>20.41</v>
      </c>
      <c r="H571" s="432">
        <v>17.57</v>
      </c>
      <c r="I571" s="432">
        <v>24</v>
      </c>
      <c r="J571" s="432">
        <v>120774.24</v>
      </c>
    </row>
    <row r="572" spans="1:10" ht="24">
      <c r="A572" s="430" t="s">
        <v>812</v>
      </c>
      <c r="B572" s="431" t="s">
        <v>98</v>
      </c>
      <c r="C572" s="431" t="s">
        <v>18</v>
      </c>
      <c r="D572" s="430" t="s">
        <v>813</v>
      </c>
      <c r="E572" s="431" t="s">
        <v>20</v>
      </c>
      <c r="F572" s="432">
        <v>554.42999999999995</v>
      </c>
      <c r="G572" s="432">
        <v>0.65</v>
      </c>
      <c r="H572" s="432">
        <v>17.57</v>
      </c>
      <c r="I572" s="432">
        <v>0.76</v>
      </c>
      <c r="J572" s="432">
        <v>421.37</v>
      </c>
    </row>
    <row r="573" spans="1:10" ht="48">
      <c r="A573" s="430" t="s">
        <v>814</v>
      </c>
      <c r="B573" s="431" t="s">
        <v>101</v>
      </c>
      <c r="C573" s="431" t="s">
        <v>18</v>
      </c>
      <c r="D573" s="430" t="s">
        <v>102</v>
      </c>
      <c r="E573" s="431" t="s">
        <v>60</v>
      </c>
      <c r="F573" s="432">
        <v>28.72</v>
      </c>
      <c r="G573" s="432">
        <v>112.75</v>
      </c>
      <c r="H573" s="432">
        <v>17.57</v>
      </c>
      <c r="I573" s="432">
        <v>132.56</v>
      </c>
      <c r="J573" s="432">
        <v>3807.12</v>
      </c>
    </row>
    <row r="574" spans="1:10" ht="60">
      <c r="A574" s="430" t="s">
        <v>815</v>
      </c>
      <c r="B574" s="431" t="s">
        <v>104</v>
      </c>
      <c r="C574" s="431" t="s">
        <v>29</v>
      </c>
      <c r="D574" s="430" t="s">
        <v>105</v>
      </c>
      <c r="E574" s="431" t="s">
        <v>40</v>
      </c>
      <c r="F574" s="432">
        <v>98.44</v>
      </c>
      <c r="G574" s="432">
        <v>56.47</v>
      </c>
      <c r="H574" s="432">
        <v>17.57</v>
      </c>
      <c r="I574" s="432">
        <v>66.39</v>
      </c>
      <c r="J574" s="432">
        <v>6535.43</v>
      </c>
    </row>
    <row r="575" spans="1:10" ht="20.100000000000001" customHeight="1">
      <c r="A575" s="428" t="s">
        <v>816</v>
      </c>
      <c r="B575" s="494" t="s">
        <v>165</v>
      </c>
      <c r="C575" s="494"/>
      <c r="D575" s="494"/>
      <c r="E575" s="494"/>
      <c r="F575" s="494"/>
      <c r="G575" s="494"/>
      <c r="H575" s="494"/>
      <c r="I575" s="494"/>
      <c r="J575" s="429">
        <v>31194.6</v>
      </c>
    </row>
    <row r="576" spans="1:10" ht="36">
      <c r="A576" s="430" t="s">
        <v>817</v>
      </c>
      <c r="B576" s="431" t="s">
        <v>167</v>
      </c>
      <c r="C576" s="431" t="s">
        <v>18</v>
      </c>
      <c r="D576" s="430" t="s">
        <v>168</v>
      </c>
      <c r="E576" s="431" t="s">
        <v>136</v>
      </c>
      <c r="F576" s="432">
        <v>144.19999999999999</v>
      </c>
      <c r="G576" s="432">
        <v>112.34</v>
      </c>
      <c r="H576" s="432">
        <v>17.57</v>
      </c>
      <c r="I576" s="432">
        <v>132.08000000000001</v>
      </c>
      <c r="J576" s="432">
        <v>19045.939999999999</v>
      </c>
    </row>
    <row r="577" spans="1:10" ht="36">
      <c r="A577" s="430" t="s">
        <v>818</v>
      </c>
      <c r="B577" s="431" t="s">
        <v>819</v>
      </c>
      <c r="C577" s="431" t="s">
        <v>18</v>
      </c>
      <c r="D577" s="430" t="s">
        <v>820</v>
      </c>
      <c r="E577" s="431" t="s">
        <v>154</v>
      </c>
      <c r="F577" s="432">
        <v>17</v>
      </c>
      <c r="G577" s="432">
        <v>161.25</v>
      </c>
      <c r="H577" s="432">
        <v>17.57</v>
      </c>
      <c r="I577" s="432">
        <v>189.58</v>
      </c>
      <c r="J577" s="432">
        <v>3222.86</v>
      </c>
    </row>
    <row r="578" spans="1:10" ht="36">
      <c r="A578" s="430" t="s">
        <v>821</v>
      </c>
      <c r="B578" s="431" t="s">
        <v>822</v>
      </c>
      <c r="C578" s="431" t="s">
        <v>18</v>
      </c>
      <c r="D578" s="430" t="s">
        <v>823</v>
      </c>
      <c r="E578" s="431" t="s">
        <v>154</v>
      </c>
      <c r="F578" s="432">
        <v>26</v>
      </c>
      <c r="G578" s="432">
        <v>292</v>
      </c>
      <c r="H578" s="432">
        <v>17.57</v>
      </c>
      <c r="I578" s="432">
        <v>343.3</v>
      </c>
      <c r="J578" s="432">
        <v>8925.7999999999993</v>
      </c>
    </row>
    <row r="579" spans="1:10" ht="20.100000000000001" customHeight="1">
      <c r="A579" s="428" t="s">
        <v>824</v>
      </c>
      <c r="B579" s="494" t="s">
        <v>170</v>
      </c>
      <c r="C579" s="494"/>
      <c r="D579" s="494"/>
      <c r="E579" s="494"/>
      <c r="F579" s="494"/>
      <c r="G579" s="494"/>
      <c r="H579" s="494"/>
      <c r="I579" s="494"/>
      <c r="J579" s="429">
        <v>303406.67</v>
      </c>
    </row>
    <row r="580" spans="1:10" ht="48">
      <c r="A580" s="430" t="s">
        <v>825</v>
      </c>
      <c r="B580" s="431" t="s">
        <v>172</v>
      </c>
      <c r="C580" s="431" t="s">
        <v>29</v>
      </c>
      <c r="D580" s="430" t="s">
        <v>173</v>
      </c>
      <c r="E580" s="431" t="s">
        <v>31</v>
      </c>
      <c r="F580" s="432">
        <v>4</v>
      </c>
      <c r="G580" s="432">
        <v>830</v>
      </c>
      <c r="H580" s="432">
        <v>10.07</v>
      </c>
      <c r="I580" s="432">
        <v>913.58</v>
      </c>
      <c r="J580" s="432">
        <v>3654.32</v>
      </c>
    </row>
    <row r="581" spans="1:10" ht="36">
      <c r="A581" s="430" t="s">
        <v>826</v>
      </c>
      <c r="B581" s="431" t="s">
        <v>175</v>
      </c>
      <c r="C581" s="431" t="s">
        <v>29</v>
      </c>
      <c r="D581" s="430" t="s">
        <v>176</v>
      </c>
      <c r="E581" s="431" t="s">
        <v>31</v>
      </c>
      <c r="F581" s="432">
        <v>4</v>
      </c>
      <c r="G581" s="432">
        <v>648.42999999999995</v>
      </c>
      <c r="H581" s="432">
        <v>10.07</v>
      </c>
      <c r="I581" s="432">
        <v>713.73</v>
      </c>
      <c r="J581" s="432">
        <v>2854.92</v>
      </c>
    </row>
    <row r="582" spans="1:10" ht="48">
      <c r="A582" s="430" t="s">
        <v>827</v>
      </c>
      <c r="B582" s="431" t="s">
        <v>178</v>
      </c>
      <c r="C582" s="431" t="s">
        <v>29</v>
      </c>
      <c r="D582" s="430" t="s">
        <v>179</v>
      </c>
      <c r="E582" s="431" t="s">
        <v>20</v>
      </c>
      <c r="F582" s="432">
        <v>4037.25</v>
      </c>
      <c r="G582" s="432">
        <v>49</v>
      </c>
      <c r="H582" s="432">
        <v>10.07</v>
      </c>
      <c r="I582" s="432">
        <v>53.93</v>
      </c>
      <c r="J582" s="432">
        <v>217728.89</v>
      </c>
    </row>
    <row r="583" spans="1:10" ht="48">
      <c r="A583" s="430" t="s">
        <v>828</v>
      </c>
      <c r="B583" s="431" t="s">
        <v>181</v>
      </c>
      <c r="C583" s="431" t="s">
        <v>29</v>
      </c>
      <c r="D583" s="430" t="s">
        <v>182</v>
      </c>
      <c r="E583" s="431" t="s">
        <v>20</v>
      </c>
      <c r="F583" s="432">
        <v>1060.93</v>
      </c>
      <c r="G583" s="432">
        <v>53.92</v>
      </c>
      <c r="H583" s="432">
        <v>10.07</v>
      </c>
      <c r="I583" s="432">
        <v>59.35</v>
      </c>
      <c r="J583" s="432">
        <v>62966.2</v>
      </c>
    </row>
    <row r="584" spans="1:10" ht="36">
      <c r="A584" s="430" t="s">
        <v>829</v>
      </c>
      <c r="B584" s="431" t="s">
        <v>197</v>
      </c>
      <c r="C584" s="431" t="s">
        <v>29</v>
      </c>
      <c r="D584" s="430" t="s">
        <v>198</v>
      </c>
      <c r="E584" s="431" t="s">
        <v>60</v>
      </c>
      <c r="F584" s="432">
        <v>34.840000000000003</v>
      </c>
      <c r="G584" s="432">
        <v>422.5</v>
      </c>
      <c r="H584" s="432">
        <v>10.07</v>
      </c>
      <c r="I584" s="432">
        <v>465.05</v>
      </c>
      <c r="J584" s="432">
        <v>16202.34</v>
      </c>
    </row>
    <row r="585" spans="1:10" ht="15" customHeight="1">
      <c r="A585" s="433"/>
      <c r="B585" s="433"/>
      <c r="C585" s="433"/>
      <c r="D585" s="433"/>
      <c r="E585" s="433"/>
      <c r="F585" s="433"/>
      <c r="G585" s="433"/>
      <c r="H585" s="493" t="s">
        <v>830</v>
      </c>
      <c r="I585" s="493"/>
      <c r="J585" s="429">
        <v>782360.41</v>
      </c>
    </row>
    <row r="586" spans="1:10" ht="15" customHeight="1">
      <c r="A586" s="433"/>
      <c r="B586" s="433"/>
      <c r="C586" s="433"/>
      <c r="D586" s="433"/>
      <c r="E586" s="433"/>
      <c r="F586" s="433"/>
      <c r="G586" s="433"/>
      <c r="H586" s="493" t="s">
        <v>831</v>
      </c>
      <c r="I586" s="493"/>
      <c r="J586" s="429">
        <v>5505612.5300000003</v>
      </c>
    </row>
    <row r="587" spans="1:10" ht="15" customHeight="1">
      <c r="A587" s="433"/>
      <c r="B587" s="433"/>
      <c r="C587" s="433"/>
      <c r="D587" s="433"/>
      <c r="E587" s="433"/>
      <c r="F587" s="433"/>
      <c r="G587" s="433"/>
      <c r="H587" s="493" t="s">
        <v>832</v>
      </c>
      <c r="I587" s="493"/>
      <c r="J587" s="429">
        <v>6287972.9400000004</v>
      </c>
    </row>
  </sheetData>
  <mergeCells count="102">
    <mergeCell ref="B11:I11"/>
    <mergeCell ref="B17:I17"/>
    <mergeCell ref="B21:I21"/>
    <mergeCell ref="B40:I40"/>
    <mergeCell ref="B46:I46"/>
    <mergeCell ref="A1:J1"/>
    <mergeCell ref="B3:I3"/>
    <mergeCell ref="B4:I4"/>
    <mergeCell ref="B5:I5"/>
    <mergeCell ref="B8:I8"/>
    <mergeCell ref="B73:I73"/>
    <mergeCell ref="B79:I79"/>
    <mergeCell ref="B83:I83"/>
    <mergeCell ref="B104:I104"/>
    <mergeCell ref="B110:I110"/>
    <mergeCell ref="B54:I54"/>
    <mergeCell ref="B56:I56"/>
    <mergeCell ref="B66:I66"/>
    <mergeCell ref="B67:I67"/>
    <mergeCell ref="B70:I70"/>
    <mergeCell ref="B136:I136"/>
    <mergeCell ref="B144:I144"/>
    <mergeCell ref="B149:I149"/>
    <mergeCell ref="B166:I166"/>
    <mergeCell ref="B182:I182"/>
    <mergeCell ref="B117:I117"/>
    <mergeCell ref="B119:I119"/>
    <mergeCell ref="B129:I129"/>
    <mergeCell ref="B130:I130"/>
    <mergeCell ref="B133:I133"/>
    <mergeCell ref="B210:I210"/>
    <mergeCell ref="B215:I215"/>
    <mergeCell ref="B220:I220"/>
    <mergeCell ref="B228:I228"/>
    <mergeCell ref="B244:I244"/>
    <mergeCell ref="B190:I190"/>
    <mergeCell ref="B192:I192"/>
    <mergeCell ref="B203:I203"/>
    <mergeCell ref="B204:I204"/>
    <mergeCell ref="B207:I207"/>
    <mergeCell ref="B270:I270"/>
    <mergeCell ref="B275:I275"/>
    <mergeCell ref="B293:I293"/>
    <mergeCell ref="B308:I308"/>
    <mergeCell ref="B314:I314"/>
    <mergeCell ref="B249:I249"/>
    <mergeCell ref="B258:I258"/>
    <mergeCell ref="B259:I259"/>
    <mergeCell ref="B262:I262"/>
    <mergeCell ref="B265:I265"/>
    <mergeCell ref="B339:I339"/>
    <mergeCell ref="B344:I344"/>
    <mergeCell ref="B352:I352"/>
    <mergeCell ref="B358:I358"/>
    <mergeCell ref="B363:I363"/>
    <mergeCell ref="B316:I316"/>
    <mergeCell ref="B327:I327"/>
    <mergeCell ref="B328:I328"/>
    <mergeCell ref="B331:I331"/>
    <mergeCell ref="B334:I334"/>
    <mergeCell ref="B388:I388"/>
    <mergeCell ref="B395:I395"/>
    <mergeCell ref="B409:I409"/>
    <mergeCell ref="B414:I414"/>
    <mergeCell ref="B421:I421"/>
    <mergeCell ref="B371:I371"/>
    <mergeCell ref="B372:I372"/>
    <mergeCell ref="B375:I375"/>
    <mergeCell ref="B378:I378"/>
    <mergeCell ref="B383:I383"/>
    <mergeCell ref="B446:I446"/>
    <mergeCell ref="B467:I467"/>
    <mergeCell ref="B472:I472"/>
    <mergeCell ref="B480:I480"/>
    <mergeCell ref="B481:I481"/>
    <mergeCell ref="B422:I422"/>
    <mergeCell ref="B425:I425"/>
    <mergeCell ref="B428:I428"/>
    <mergeCell ref="B433:I433"/>
    <mergeCell ref="B438:I438"/>
    <mergeCell ref="B522:I522"/>
    <mergeCell ref="B527:I527"/>
    <mergeCell ref="B528:I528"/>
    <mergeCell ref="B533:I533"/>
    <mergeCell ref="B546:I546"/>
    <mergeCell ref="B484:I484"/>
    <mergeCell ref="B487:I487"/>
    <mergeCell ref="B493:I493"/>
    <mergeCell ref="B498:I498"/>
    <mergeCell ref="B505:I505"/>
    <mergeCell ref="H586:I586"/>
    <mergeCell ref="H587:I587"/>
    <mergeCell ref="B564:I564"/>
    <mergeCell ref="B569:I569"/>
    <mergeCell ref="B575:I575"/>
    <mergeCell ref="B579:I579"/>
    <mergeCell ref="H585:I585"/>
    <mergeCell ref="B548:I548"/>
    <mergeCell ref="B556:I556"/>
    <mergeCell ref="B557:I557"/>
    <mergeCell ref="B558:I558"/>
    <mergeCell ref="B561:I561"/>
  </mergeCells>
  <printOptions horizontalCentered="1"/>
  <pageMargins left="0" right="0" top="0.39370078740157483" bottom="0.78740157480314965" header="0" footer="0"/>
  <pageSetup paperSize="9" scale="60" orientation="portrait" r:id="rId1"/>
  <headerFooter>
    <oddFooter>&amp;C&amp;P/&amp;N&amp;R&amp;G</oddFooter>
  </headerFooter>
  <drawing r:id="rId2"/>
  <legacyDrawingHF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D34D3-07DB-4DC1-83F2-360570866EED}">
  <sheetPr>
    <pageSetUpPr fitToPage="1"/>
  </sheetPr>
  <dimension ref="A1:AD2337"/>
  <sheetViews>
    <sheetView view="pageBreakPreview" zoomScaleSheetLayoutView="100" workbookViewId="0">
      <selection activeCell="D601" sqref="D601"/>
    </sheetView>
  </sheetViews>
  <sheetFormatPr defaultColWidth="9.140625" defaultRowHeight="12.75"/>
  <cols>
    <col min="1" max="1" width="9" style="378" customWidth="1"/>
    <col min="2" max="2" width="13.85546875" style="378" customWidth="1"/>
    <col min="3" max="3" width="58.28515625" style="378" customWidth="1"/>
    <col min="4" max="4" width="7.85546875" style="338" bestFit="1" customWidth="1"/>
    <col min="5" max="5" width="15.7109375" style="378" customWidth="1"/>
    <col min="6" max="6" width="16" style="379" customWidth="1"/>
    <col min="7" max="7" width="14.85546875" style="379" customWidth="1"/>
    <col min="8" max="8" width="16.28515625" style="379" customWidth="1"/>
    <col min="9" max="9" width="17.28515625" style="379" customWidth="1"/>
    <col min="10" max="10" width="17.140625" style="379" customWidth="1"/>
    <col min="11" max="11" width="14.85546875" style="7" customWidth="1"/>
    <col min="12" max="12" width="35.85546875" style="7" customWidth="1"/>
    <col min="13" max="16384" width="9.140625" style="7"/>
  </cols>
  <sheetData>
    <row r="1" spans="1:17" s="4" customFormat="1" ht="15.75" customHeight="1">
      <c r="A1" s="542" t="s">
        <v>1590</v>
      </c>
      <c r="B1" s="543"/>
      <c r="C1" s="543"/>
      <c r="D1" s="543"/>
      <c r="E1" s="543"/>
      <c r="F1" s="543"/>
      <c r="G1" s="543"/>
      <c r="H1" s="543"/>
      <c r="I1" s="543"/>
      <c r="J1" s="543"/>
      <c r="L1" s="5"/>
    </row>
    <row r="2" spans="1:17" s="4" customFormat="1" ht="15.75" customHeight="1">
      <c r="A2" s="544" t="s">
        <v>1591</v>
      </c>
      <c r="B2" s="545"/>
      <c r="C2" s="545"/>
      <c r="D2" s="545"/>
      <c r="E2" s="545"/>
      <c r="F2" s="545"/>
      <c r="G2" s="545"/>
      <c r="H2" s="545"/>
      <c r="I2" s="545"/>
      <c r="J2" s="545"/>
      <c r="L2" s="5"/>
    </row>
    <row r="3" spans="1:17" s="4" customFormat="1" ht="22.5" customHeight="1">
      <c r="A3" s="544" t="s">
        <v>1592</v>
      </c>
      <c r="B3" s="545"/>
      <c r="C3" s="545"/>
      <c r="D3" s="545"/>
      <c r="E3" s="545"/>
      <c r="F3" s="545"/>
      <c r="G3" s="545"/>
      <c r="H3" s="545"/>
      <c r="I3" s="545"/>
      <c r="J3" s="545"/>
      <c r="L3" s="5"/>
    </row>
    <row r="4" spans="1:17" s="4" customFormat="1" ht="22.5" customHeight="1">
      <c r="A4" s="546"/>
      <c r="B4" s="547"/>
      <c r="C4" s="547"/>
      <c r="D4" s="547"/>
      <c r="E4" s="547"/>
      <c r="F4" s="547"/>
      <c r="G4" s="547"/>
      <c r="H4" s="547"/>
      <c r="I4" s="547"/>
      <c r="J4" s="547"/>
      <c r="L4" s="5"/>
      <c r="Q4" s="5"/>
    </row>
    <row r="5" spans="1:17">
      <c r="A5" s="548" t="s">
        <v>1593</v>
      </c>
      <c r="B5" s="549"/>
      <c r="C5" s="549"/>
      <c r="D5" s="549"/>
      <c r="E5" s="549"/>
      <c r="F5" s="549"/>
      <c r="G5" s="549"/>
      <c r="H5" s="549"/>
      <c r="I5" s="549"/>
      <c r="J5" s="550"/>
      <c r="K5" s="6"/>
      <c r="L5" s="6"/>
      <c r="M5" s="6"/>
      <c r="N5" s="6"/>
      <c r="O5" s="6"/>
      <c r="P5" s="6"/>
    </row>
    <row r="6" spans="1:17" ht="30" customHeight="1">
      <c r="A6" s="551" t="str">
        <f>'[3]Planilha Orçamentária'!A6:K6</f>
        <v>Objeto:  PAVIMENTAÇÃO, DRENAGEM E ADEQUAÇÃO DE VIAS EM DIVERSOS BAIRROS</v>
      </c>
      <c r="B6" s="551"/>
      <c r="C6" s="551"/>
      <c r="D6" s="551"/>
      <c r="E6" s="551"/>
      <c r="F6" s="551"/>
      <c r="G6" s="551"/>
      <c r="H6" s="551"/>
      <c r="I6" s="551"/>
      <c r="J6" s="551"/>
      <c r="K6" s="8"/>
      <c r="L6" s="9"/>
      <c r="M6" s="6"/>
      <c r="N6" s="6"/>
      <c r="O6" s="6"/>
      <c r="P6" s="6"/>
    </row>
    <row r="7" spans="1:17">
      <c r="A7" s="537" t="s">
        <v>1594</v>
      </c>
      <c r="B7" s="537"/>
      <c r="C7" s="537"/>
      <c r="D7" s="537"/>
      <c r="E7" s="537"/>
      <c r="F7" s="537"/>
      <c r="G7" s="537"/>
      <c r="H7" s="537"/>
      <c r="I7" s="537"/>
      <c r="J7" s="537"/>
      <c r="K7" s="10"/>
      <c r="L7" s="11"/>
      <c r="M7" s="6"/>
      <c r="N7" s="6"/>
      <c r="O7" s="6"/>
      <c r="P7" s="6"/>
    </row>
    <row r="8" spans="1:17" ht="29.25" customHeight="1">
      <c r="A8" s="538" t="s">
        <v>1595</v>
      </c>
      <c r="B8" s="539"/>
      <c r="C8" s="539"/>
      <c r="D8" s="539"/>
      <c r="E8" s="539"/>
      <c r="F8" s="539"/>
      <c r="G8" s="539"/>
      <c r="H8" s="539"/>
      <c r="I8" s="540"/>
      <c r="J8" s="12" t="str" cm="1">
        <f t="array" ref="J8:O8">'[3]Planilha Orçamentária'!A8:F8</f>
        <v>Data: SETEMBRO/2022</v>
      </c>
      <c r="K8" s="10">
        <v>0</v>
      </c>
      <c r="L8" s="11">
        <v>0</v>
      </c>
      <c r="M8" s="6">
        <v>0</v>
      </c>
      <c r="N8" s="6">
        <v>0</v>
      </c>
      <c r="O8" s="6">
        <v>0</v>
      </c>
      <c r="P8" s="6"/>
    </row>
    <row r="9" spans="1:17" s="17" customFormat="1">
      <c r="A9" s="13" t="s">
        <v>1596</v>
      </c>
      <c r="B9" s="13" t="s">
        <v>1597</v>
      </c>
      <c r="C9" s="13" t="s">
        <v>1598</v>
      </c>
      <c r="D9" s="13" t="s">
        <v>1599</v>
      </c>
      <c r="E9" s="13" t="s">
        <v>1600</v>
      </c>
      <c r="F9" s="14" t="s">
        <v>1601</v>
      </c>
      <c r="G9" s="13" t="s">
        <v>1602</v>
      </c>
      <c r="H9" s="13" t="s">
        <v>1603</v>
      </c>
      <c r="I9" s="13" t="s">
        <v>1604</v>
      </c>
      <c r="J9" s="15" t="s">
        <v>1605</v>
      </c>
      <c r="K9" s="11"/>
      <c r="L9" s="11"/>
      <c r="M9" s="16"/>
      <c r="N9" s="16"/>
      <c r="O9" s="16"/>
      <c r="P9" s="16"/>
    </row>
    <row r="10" spans="1:17">
      <c r="A10" s="18" t="str">
        <f>'[3]Planilha Orçamentária'!A13</f>
        <v>1.1</v>
      </c>
      <c r="B10" s="541" t="str">
        <f>VLOOKUP(A10,'[3]Planilha Orçamentária'!A:K,3,0)</f>
        <v>RUA MANOEL BENÍCIO - PIEDADE</v>
      </c>
      <c r="C10" s="541"/>
      <c r="D10" s="541"/>
      <c r="E10" s="541"/>
      <c r="F10" s="541"/>
      <c r="G10" s="541"/>
      <c r="H10" s="541"/>
      <c r="I10" s="541"/>
      <c r="J10" s="541"/>
    </row>
    <row r="11" spans="1:17">
      <c r="A11" s="19" t="str">
        <f>'[3]Planilha Orçamentária'!A14</f>
        <v>1.1.1</v>
      </c>
      <c r="B11" s="20"/>
      <c r="C11" s="21" t="str">
        <f>VLOOKUP(A11,'[3]Planilha Orçamentária'!A:K,3,0)</f>
        <v>INSTALAÇÕES PROVISÓRIAS</v>
      </c>
      <c r="D11" s="22"/>
      <c r="E11" s="23"/>
      <c r="F11" s="24"/>
      <c r="G11" s="24"/>
      <c r="H11" s="24"/>
      <c r="I11" s="25"/>
      <c r="J11" s="26"/>
    </row>
    <row r="12" spans="1:17">
      <c r="A12" s="513"/>
      <c r="B12" s="513"/>
      <c r="C12" s="513"/>
      <c r="D12" s="513"/>
      <c r="E12" s="513"/>
      <c r="F12" s="513"/>
      <c r="G12" s="513"/>
      <c r="H12" s="513"/>
      <c r="I12" s="513"/>
      <c r="J12" s="513"/>
    </row>
    <row r="13" spans="1:17" ht="25.5">
      <c r="A13" s="28" t="str">
        <f>'[3]Planilha Orçamentária'!A15</f>
        <v>1.1.1.1</v>
      </c>
      <c r="B13" s="29" t="str">
        <f>VLOOKUP(A13,'[3]Planilha Orçamentária'!A:K,2,0)</f>
        <v>CP-74209/001-15055090</v>
      </c>
      <c r="C13" s="30" t="str">
        <f>VLOOKUP(A13,'[3]Planilha Orçamentária'!A:K,3,0)</f>
        <v>PLACA DE OBRA EM CHAPA DE ACO GALVANIZADO</v>
      </c>
      <c r="D13" s="31" t="str">
        <f>VLOOKUP(A13,'[3]Planilha Orçamentária'!A:K,4,0)</f>
        <v xml:space="preserve">M2    </v>
      </c>
      <c r="E13" s="30"/>
      <c r="F13" s="32"/>
      <c r="G13" s="32"/>
      <c r="H13" s="32"/>
      <c r="I13" s="32"/>
      <c r="J13" s="33">
        <f>ROUND(SUM(J15:J15),2)</f>
        <v>8</v>
      </c>
    </row>
    <row r="14" spans="1:17" ht="25.5">
      <c r="A14" s="28"/>
      <c r="B14" s="29"/>
      <c r="C14" s="30"/>
      <c r="D14" s="31"/>
      <c r="E14" s="30"/>
      <c r="F14" s="34" t="s">
        <v>1606</v>
      </c>
      <c r="G14" s="34" t="s">
        <v>1607</v>
      </c>
      <c r="H14" s="34"/>
      <c r="I14" s="34" t="s">
        <v>1608</v>
      </c>
      <c r="J14" s="33"/>
    </row>
    <row r="15" spans="1:17">
      <c r="A15" s="27"/>
      <c r="B15" s="27"/>
      <c r="C15" s="27"/>
      <c r="D15" s="27"/>
      <c r="E15" s="27"/>
      <c r="F15" s="35">
        <v>2</v>
      </c>
      <c r="G15" s="35">
        <v>4</v>
      </c>
      <c r="H15" s="27"/>
      <c r="I15" s="35">
        <v>1</v>
      </c>
      <c r="J15" s="36">
        <f>ROUND(PRODUCT(E15:I15),2)</f>
        <v>8</v>
      </c>
    </row>
    <row r="16" spans="1:17">
      <c r="A16" s="501"/>
      <c r="B16" s="502"/>
      <c r="C16" s="502"/>
      <c r="D16" s="502"/>
      <c r="E16" s="502"/>
      <c r="F16" s="502"/>
      <c r="G16" s="502"/>
      <c r="H16" s="502"/>
      <c r="I16" s="502"/>
      <c r="J16" s="503"/>
    </row>
    <row r="17" spans="1:10" ht="25.5">
      <c r="A17" s="28" t="str">
        <f>'[3]Planilha Orçamentária'!A16</f>
        <v>1.1.1.2</v>
      </c>
      <c r="B17" s="29" t="str">
        <f>VLOOKUP(A17,'[3]Planilha Orçamentária'!A:K,2,0)</f>
        <v>COMP-07440249</v>
      </c>
      <c r="C17" s="30" t="str">
        <f>VLOOKUP(A17,'[3]Planilha Orçamentária'!A:K,3,0)</f>
        <v>BANHEIRO QUÍMICO, COM LOCAÇÃO, TRANSPORTE E LIMPEZA</v>
      </c>
      <c r="D17" s="31" t="str">
        <f>VLOOKUP(A17,'[3]Planilha Orçamentária'!A:K,4,0)</f>
        <v>MÊS</v>
      </c>
      <c r="E17" s="30"/>
      <c r="F17" s="32"/>
      <c r="G17" s="32"/>
      <c r="H17" s="32"/>
      <c r="I17" s="32"/>
      <c r="J17" s="33">
        <f>ROUND(SUM(J19:J19),2)</f>
        <v>3</v>
      </c>
    </row>
    <row r="18" spans="1:10" ht="25.5">
      <c r="A18" s="28"/>
      <c r="B18" s="29"/>
      <c r="C18" s="30"/>
      <c r="D18" s="31"/>
      <c r="E18" s="30"/>
      <c r="F18" s="34"/>
      <c r="G18" s="34"/>
      <c r="H18" s="34"/>
      <c r="I18" s="34" t="s">
        <v>1609</v>
      </c>
      <c r="J18" s="33"/>
    </row>
    <row r="19" spans="1:10">
      <c r="A19" s="27"/>
      <c r="B19" s="27"/>
      <c r="C19" s="27"/>
      <c r="D19" s="27"/>
      <c r="E19" s="27"/>
      <c r="F19" s="35"/>
      <c r="G19" s="35"/>
      <c r="H19" s="27"/>
      <c r="I19" s="35">
        <v>3</v>
      </c>
      <c r="J19" s="36">
        <f>ROUND(PRODUCT(E19:I19),2)</f>
        <v>3</v>
      </c>
    </row>
    <row r="20" spans="1:10">
      <c r="A20" s="501"/>
      <c r="B20" s="502"/>
      <c r="C20" s="502"/>
      <c r="D20" s="502"/>
      <c r="E20" s="502"/>
      <c r="F20" s="502"/>
      <c r="G20" s="502"/>
      <c r="H20" s="502"/>
      <c r="I20" s="502"/>
      <c r="J20" s="503"/>
    </row>
    <row r="21" spans="1:10">
      <c r="A21" s="19" t="str">
        <f>'[3]Planilha Orçamentária'!A17</f>
        <v>1.1.2</v>
      </c>
      <c r="B21" s="20"/>
      <c r="C21" s="21" t="str">
        <f>VLOOKUP(A21,'[3]Planilha Orçamentária'!A:K,3,0)</f>
        <v>ADMINISTRAÇÃO LOCAL</v>
      </c>
      <c r="D21" s="21"/>
      <c r="E21" s="39"/>
      <c r="F21" s="40"/>
      <c r="G21" s="40"/>
      <c r="H21" s="40"/>
      <c r="I21" s="40"/>
      <c r="J21" s="41"/>
    </row>
    <row r="22" spans="1:10" ht="25.5">
      <c r="A22" s="28" t="str">
        <f>'[3]Planilha Orçamentária'!A18</f>
        <v>1.1.2.1</v>
      </c>
      <c r="B22" s="42">
        <f>VLOOKUP(A22,'[3]Planilha Orçamentária'!A:K,2,0)</f>
        <v>93565</v>
      </c>
      <c r="C22" s="30" t="str">
        <f>VLOOKUP(A22,'[3]Planilha Orçamentária'!A:K,3,0)</f>
        <v>ENGENHEIRO CIVIL DE OBRA JUNIOR COM ENCARGOS COMPLEMENTARES</v>
      </c>
      <c r="D22" s="31" t="str">
        <f>VLOOKUP(A22,'[3]Planilha Orçamentária'!A:K,4,0)</f>
        <v>MES</v>
      </c>
      <c r="E22" s="43"/>
      <c r="F22" s="44"/>
      <c r="G22" s="44"/>
      <c r="H22" s="44"/>
      <c r="I22" s="44"/>
      <c r="J22" s="45">
        <f>ROUND(SUM(J25),2)</f>
        <v>0.75</v>
      </c>
    </row>
    <row r="23" spans="1:10">
      <c r="A23" s="28"/>
      <c r="B23" s="29"/>
      <c r="C23" s="46" t="s">
        <v>1610</v>
      </c>
      <c r="D23" s="31"/>
      <c r="E23" s="43"/>
      <c r="F23" s="44"/>
      <c r="G23" s="44"/>
      <c r="H23" s="44"/>
      <c r="I23" s="44"/>
      <c r="J23" s="47"/>
    </row>
    <row r="24" spans="1:10">
      <c r="A24" s="28"/>
      <c r="B24" s="48"/>
      <c r="C24" s="49" t="s">
        <v>1611</v>
      </c>
      <c r="D24" s="50"/>
      <c r="E24" s="51"/>
      <c r="F24" s="52"/>
      <c r="G24" s="52"/>
      <c r="H24" s="52"/>
      <c r="I24" s="52"/>
      <c r="J24" s="45"/>
    </row>
    <row r="25" spans="1:10">
      <c r="A25" s="53"/>
      <c r="B25" s="54"/>
      <c r="C25" s="46" t="s">
        <v>1612</v>
      </c>
      <c r="D25" s="55"/>
      <c r="E25" s="56">
        <f>44/176</f>
        <v>0.25</v>
      </c>
      <c r="F25" s="57"/>
      <c r="G25" s="57"/>
      <c r="H25" s="57"/>
      <c r="I25" s="57">
        <f>I19</f>
        <v>3</v>
      </c>
      <c r="J25" s="58">
        <f>ROUND(PRODUCT(E25:I25),2)</f>
        <v>0.75</v>
      </c>
    </row>
    <row r="26" spans="1:10">
      <c r="A26" s="496"/>
      <c r="B26" s="496"/>
      <c r="C26" s="496"/>
      <c r="D26" s="496"/>
      <c r="E26" s="496"/>
      <c r="F26" s="496"/>
      <c r="G26" s="496"/>
      <c r="H26" s="496"/>
      <c r="I26" s="496"/>
      <c r="J26" s="496"/>
    </row>
    <row r="27" spans="1:10" ht="25.5">
      <c r="A27" s="28" t="str">
        <f>'[3]Planilha Orçamentária'!A19</f>
        <v>1.1.2.2</v>
      </c>
      <c r="B27" s="42">
        <f>VLOOKUP(A27,'[3]Planilha Orçamentária'!A:K,2,0)</f>
        <v>93572</v>
      </c>
      <c r="C27" s="30" t="str">
        <f>VLOOKUP(A27,'[3]Planilha Orçamentária'!A:K,3,0)</f>
        <v>ENCARREGADO GERAL DE OBRAS COM ENCARGOS COMPLEMENTARES</v>
      </c>
      <c r="D27" s="31" t="str">
        <f>VLOOKUP(A27,'[3]Planilha Orçamentária'!A:K,4,0)</f>
        <v>MES</v>
      </c>
      <c r="E27" s="43"/>
      <c r="F27" s="44"/>
      <c r="G27" s="44"/>
      <c r="H27" s="44"/>
      <c r="I27" s="44"/>
      <c r="J27" s="45">
        <f>ROUND(SUM(J30),2)</f>
        <v>1.5</v>
      </c>
    </row>
    <row r="28" spans="1:10">
      <c r="A28" s="28"/>
      <c r="B28" s="29"/>
      <c r="C28" s="46" t="s">
        <v>1613</v>
      </c>
      <c r="D28" s="31"/>
      <c r="E28" s="43"/>
      <c r="F28" s="44"/>
      <c r="G28" s="44"/>
      <c r="H28" s="44"/>
      <c r="I28" s="44"/>
      <c r="J28" s="47"/>
    </row>
    <row r="29" spans="1:10">
      <c r="A29" s="28"/>
      <c r="B29" s="48"/>
      <c r="C29" s="49" t="s">
        <v>1614</v>
      </c>
      <c r="D29" s="50"/>
      <c r="E29" s="51"/>
      <c r="F29" s="52"/>
      <c r="G29" s="52"/>
      <c r="H29" s="52"/>
      <c r="I29" s="52"/>
      <c r="J29" s="45"/>
    </row>
    <row r="30" spans="1:10">
      <c r="A30" s="53"/>
      <c r="B30" s="54"/>
      <c r="C30" s="46" t="s">
        <v>1612</v>
      </c>
      <c r="D30" s="55"/>
      <c r="E30" s="56">
        <f>88/176</f>
        <v>0.5</v>
      </c>
      <c r="F30" s="57"/>
      <c r="G30" s="57"/>
      <c r="H30" s="57"/>
      <c r="I30" s="57">
        <f>I19</f>
        <v>3</v>
      </c>
      <c r="J30" s="58">
        <f>ROUND(PRODUCT(E30:I30),2)</f>
        <v>1.5</v>
      </c>
    </row>
    <row r="31" spans="1:10">
      <c r="A31" s="496"/>
      <c r="B31" s="496"/>
      <c r="C31" s="496"/>
      <c r="D31" s="496"/>
      <c r="E31" s="496"/>
      <c r="F31" s="496"/>
      <c r="G31" s="496"/>
      <c r="H31" s="496"/>
      <c r="I31" s="496"/>
      <c r="J31" s="496"/>
    </row>
    <row r="32" spans="1:10">
      <c r="A32" s="19" t="str">
        <f>'[3]Planilha Orçamentária'!A20</f>
        <v>1.1.3</v>
      </c>
      <c r="B32" s="20"/>
      <c r="C32" s="21" t="str">
        <f>VLOOKUP(A32,'[3]Planilha Orçamentária'!A:K,3,0)</f>
        <v>SERVIÇOS PRELIMINARES</v>
      </c>
      <c r="D32" s="22"/>
      <c r="E32" s="23"/>
      <c r="F32" s="24"/>
      <c r="G32" s="24"/>
      <c r="H32" s="24"/>
      <c r="I32" s="25"/>
      <c r="J32" s="26"/>
    </row>
    <row r="33" spans="1:11">
      <c r="A33" s="60" t="str">
        <f>'[3]Planilha Orçamentária'!A21</f>
        <v>1.1.3.1</v>
      </c>
      <c r="B33" s="61">
        <f>VLOOKUP(A33,'[3]Planilha Orçamentária'!A:K,2,0)</f>
        <v>99064</v>
      </c>
      <c r="C33" s="62" t="str">
        <f>VLOOKUP(A33,'[3]Planilha Orçamentária'!A:K,3,0)</f>
        <v>LOCAÇÃO DE PAVIMENTAÇÃO. AF_10/2018</v>
      </c>
      <c r="D33" s="63" t="str">
        <f>VLOOKUP(A33,'[3]Planilha Orçamentária'!A:K,4,0)</f>
        <v>M</v>
      </c>
      <c r="E33" s="62"/>
      <c r="F33" s="64"/>
      <c r="G33" s="64"/>
      <c r="H33" s="64"/>
      <c r="I33" s="64"/>
      <c r="J33" s="65">
        <f>ROUND(SUM(J35:J37),2)</f>
        <v>388.6</v>
      </c>
    </row>
    <row r="34" spans="1:11">
      <c r="A34" s="66"/>
      <c r="B34" s="67"/>
      <c r="C34" s="68"/>
      <c r="D34" s="69"/>
      <c r="E34" s="68"/>
      <c r="F34" s="70" t="s">
        <v>1606</v>
      </c>
      <c r="G34" s="71"/>
      <c r="H34" s="71"/>
      <c r="I34" s="71"/>
      <c r="J34" s="72"/>
    </row>
    <row r="35" spans="1:11">
      <c r="A35" s="27"/>
      <c r="B35" s="27"/>
      <c r="C35" s="73" t="s">
        <v>1615</v>
      </c>
      <c r="D35" s="74"/>
      <c r="E35" s="35"/>
      <c r="F35" s="75">
        <f>[3]PARÂMETROS!B9</f>
        <v>126.79</v>
      </c>
      <c r="G35" s="35"/>
      <c r="H35" s="35"/>
      <c r="I35" s="35"/>
      <c r="J35" s="36">
        <f>ROUND(PRODUCT(E35:I35),2)</f>
        <v>126.79</v>
      </c>
      <c r="K35" s="76"/>
    </row>
    <row r="36" spans="1:11">
      <c r="A36" s="27"/>
      <c r="B36" s="27"/>
      <c r="C36" s="73" t="s">
        <v>1616</v>
      </c>
      <c r="D36" s="74"/>
      <c r="E36" s="35"/>
      <c r="F36" s="75">
        <f>[3]PARÂMETROS!B10</f>
        <v>104.94</v>
      </c>
      <c r="G36" s="35"/>
      <c r="H36" s="35"/>
      <c r="I36" s="35"/>
      <c r="J36" s="36">
        <f t="shared" ref="J36:J37" si="0">ROUND(PRODUCT(E36:I36),2)</f>
        <v>104.94</v>
      </c>
      <c r="K36" s="76"/>
    </row>
    <row r="37" spans="1:11">
      <c r="A37" s="27"/>
      <c r="B37" s="27"/>
      <c r="C37" s="73" t="s">
        <v>1617</v>
      </c>
      <c r="D37" s="74"/>
      <c r="E37" s="35"/>
      <c r="F37" s="75">
        <f>[3]PARÂMETROS!B11</f>
        <v>156.87</v>
      </c>
      <c r="G37" s="35"/>
      <c r="H37" s="35"/>
      <c r="I37" s="35"/>
      <c r="J37" s="36">
        <f t="shared" si="0"/>
        <v>156.87</v>
      </c>
      <c r="K37" s="76"/>
    </row>
    <row r="38" spans="1:11">
      <c r="A38" s="496"/>
      <c r="B38" s="496"/>
      <c r="C38" s="496"/>
      <c r="D38" s="496"/>
      <c r="E38" s="496"/>
      <c r="F38" s="496"/>
      <c r="G38" s="496"/>
      <c r="H38" s="496"/>
      <c r="I38" s="496"/>
      <c r="J38" s="496"/>
    </row>
    <row r="39" spans="1:11" ht="25.5">
      <c r="A39" s="60" t="str">
        <f>'[3]Planilha Orçamentária'!A22</f>
        <v>1.1.3.2</v>
      </c>
      <c r="B39" s="77" t="str">
        <f>VLOOKUP(A39,'[3]Planilha Orçamentária'!A:K,2,0)</f>
        <v>COMP-17562084</v>
      </c>
      <c r="C39" s="62" t="str">
        <f>VLOOKUP(A39,'[3]Planilha Orçamentária'!A:K,3,0)</f>
        <v>DEMOLIÇÃO MANUAL DE CONCRETO SIMPLES</v>
      </c>
      <c r="D39" s="63" t="str">
        <f>VLOOKUP(A39,'[3]Planilha Orçamentária'!A:K,4,0)</f>
        <v>M3</v>
      </c>
      <c r="E39" s="62"/>
      <c r="F39" s="64"/>
      <c r="G39" s="64"/>
      <c r="H39" s="64"/>
      <c r="I39" s="64"/>
      <c r="J39" s="78">
        <f>ROUND(SUM(J41),2)</f>
        <v>57.82</v>
      </c>
    </row>
    <row r="40" spans="1:11">
      <c r="A40" s="60"/>
      <c r="B40" s="77"/>
      <c r="C40" s="79" t="s">
        <v>1618</v>
      </c>
      <c r="D40" s="63"/>
      <c r="E40" s="62"/>
      <c r="F40" s="64"/>
      <c r="G40" s="64"/>
      <c r="H40" s="80" t="s">
        <v>1619</v>
      </c>
      <c r="I40" s="34" t="s">
        <v>1620</v>
      </c>
      <c r="J40" s="78"/>
    </row>
    <row r="41" spans="1:11" ht="25.5">
      <c r="A41" s="60"/>
      <c r="B41" s="77"/>
      <c r="C41" s="81" t="s">
        <v>1621</v>
      </c>
      <c r="D41" s="27"/>
      <c r="E41" s="27"/>
      <c r="F41" s="82"/>
      <c r="G41" s="82"/>
      <c r="H41" s="82">
        <v>7.0000000000000007E-2</v>
      </c>
      <c r="I41" s="82">
        <v>825.95</v>
      </c>
      <c r="J41" s="36">
        <f>ROUND(PRODUCT(E41:I41),2)</f>
        <v>57.82</v>
      </c>
    </row>
    <row r="42" spans="1:11">
      <c r="A42" s="518"/>
      <c r="B42" s="519"/>
      <c r="C42" s="519"/>
      <c r="D42" s="519"/>
      <c r="E42" s="519"/>
      <c r="F42" s="519"/>
      <c r="G42" s="519"/>
      <c r="H42" s="519"/>
      <c r="I42" s="519"/>
      <c r="J42" s="523"/>
    </row>
    <row r="43" spans="1:11" ht="25.5">
      <c r="A43" s="60" t="str">
        <f>'[3]Planilha Orçamentária'!A23</f>
        <v>1.1.3.3</v>
      </c>
      <c r="B43" s="77" t="str">
        <f>VLOOKUP(A43,'[3]Planilha Orçamentária'!A:K,2,0)</f>
        <v>COMP-01471766</v>
      </c>
      <c r="C43" s="62" t="str">
        <f>VLOOKUP(A43,'[3]Planilha Orçamentária'!A:K,3,0)</f>
        <v>DEMOLIÇÃO DE MEIO-FIO</v>
      </c>
      <c r="D43" s="63" t="str">
        <f>VLOOKUP(A43,'[3]Planilha Orçamentária'!A:K,4,0)</f>
        <v>M</v>
      </c>
      <c r="E43" s="62"/>
      <c r="F43" s="64"/>
      <c r="G43" s="64"/>
      <c r="H43" s="64"/>
      <c r="I43" s="64"/>
      <c r="J43" s="78">
        <f>ROUND(SUM(J45),2)</f>
        <v>52.82</v>
      </c>
    </row>
    <row r="44" spans="1:11">
      <c r="A44" s="60"/>
      <c r="B44" s="77"/>
      <c r="C44" s="79" t="s">
        <v>1618</v>
      </c>
      <c r="D44" s="63"/>
      <c r="E44" s="62"/>
      <c r="F44" s="80" t="s">
        <v>1606</v>
      </c>
      <c r="G44" s="64"/>
      <c r="H44" s="80"/>
      <c r="I44" s="34"/>
      <c r="J44" s="78"/>
    </row>
    <row r="45" spans="1:11" ht="25.5">
      <c r="A45" s="60"/>
      <c r="B45" s="77"/>
      <c r="C45" s="81" t="s">
        <v>1621</v>
      </c>
      <c r="D45" s="27"/>
      <c r="E45" s="27"/>
      <c r="F45" s="82">
        <v>52.82</v>
      </c>
      <c r="G45" s="82"/>
      <c r="H45" s="82"/>
      <c r="I45" s="82"/>
      <c r="J45" s="36">
        <f>ROUND(PRODUCT(E45:I45),2)</f>
        <v>52.82</v>
      </c>
    </row>
    <row r="46" spans="1:11">
      <c r="A46" s="518"/>
      <c r="B46" s="519"/>
      <c r="C46" s="519"/>
      <c r="D46" s="519"/>
      <c r="E46" s="519"/>
      <c r="F46" s="519"/>
      <c r="G46" s="519"/>
      <c r="H46" s="519"/>
      <c r="I46" s="519"/>
      <c r="J46" s="523"/>
    </row>
    <row r="47" spans="1:11" ht="51">
      <c r="A47" s="60" t="str">
        <f>'[3]Planilha Orçamentária'!A24</f>
        <v>1.1.3.4</v>
      </c>
      <c r="B47" s="77" t="str">
        <f>VLOOKUP(A47,'[3]Planilha Orçamentária'!A:K,2,0)</f>
        <v>COMP-35145154</v>
      </c>
      <c r="C47" s="62" t="str">
        <f>VLOOKUP(A47,'[3]Planilha Orçamentária'!A:K,3,0)</f>
        <v>CARGA E DESCARGA MECANICA DE SOLO UTILIZANDO CAMINHAO BASCULANTE 14,0M3/36T E PA CARREGADEIRA SOBRE PNEUS 128 HP, CAPACIDADE DA CAÇAMBA 1,7 A 2,8 M3, PESO OPERACIONAL 11632 KH</v>
      </c>
      <c r="D47" s="63" t="str">
        <f>VLOOKUP(A47,'[3]Planilha Orçamentária'!A:K,4,0)</f>
        <v>M3</v>
      </c>
      <c r="E47" s="62"/>
      <c r="F47" s="64"/>
      <c r="G47" s="64"/>
      <c r="H47" s="64"/>
      <c r="I47" s="64"/>
      <c r="J47" s="78">
        <f>ROUND(SUM(J49:J51),2)</f>
        <v>75.25</v>
      </c>
    </row>
    <row r="48" spans="1:11">
      <c r="A48" s="60"/>
      <c r="B48" s="77"/>
      <c r="C48" s="86"/>
      <c r="D48" s="69"/>
      <c r="E48" s="81" t="s">
        <v>1622</v>
      </c>
      <c r="F48" s="71"/>
      <c r="G48" s="71"/>
      <c r="H48" s="71"/>
      <c r="I48" s="80" t="s">
        <v>1623</v>
      </c>
      <c r="J48" s="78"/>
    </row>
    <row r="49" spans="1:12">
      <c r="A49" s="60"/>
      <c r="B49" s="77"/>
      <c r="C49" s="86" t="s">
        <v>1624</v>
      </c>
      <c r="D49" s="69"/>
      <c r="E49" s="81">
        <v>1.25</v>
      </c>
      <c r="F49" s="71"/>
      <c r="G49" s="71"/>
      <c r="H49" s="71"/>
      <c r="I49" s="87">
        <f>J39</f>
        <v>57.82</v>
      </c>
      <c r="J49" s="36">
        <f>ROUND(PRODUCT(E49:I49),2)</f>
        <v>72.28</v>
      </c>
    </row>
    <row r="50" spans="1:12">
      <c r="A50" s="60"/>
      <c r="B50" s="77"/>
      <c r="C50" s="68"/>
      <c r="D50" s="69"/>
      <c r="E50" s="81" t="s">
        <v>1622</v>
      </c>
      <c r="F50" s="88" t="s">
        <v>1606</v>
      </c>
      <c r="G50" s="88" t="s">
        <v>1607</v>
      </c>
      <c r="H50" s="88" t="s">
        <v>1619</v>
      </c>
      <c r="I50" s="80"/>
      <c r="J50" s="36"/>
    </row>
    <row r="51" spans="1:12">
      <c r="A51" s="60"/>
      <c r="B51" s="77"/>
      <c r="C51" s="86" t="s">
        <v>1625</v>
      </c>
      <c r="D51" s="69"/>
      <c r="E51" s="81">
        <v>1.25</v>
      </c>
      <c r="F51" s="89">
        <f>J43</f>
        <v>52.82</v>
      </c>
      <c r="G51" s="88">
        <v>0.15</v>
      </c>
      <c r="H51" s="88">
        <v>0.3</v>
      </c>
      <c r="I51" s="87"/>
      <c r="J51" s="36">
        <f>ROUND(PRODUCT(E51:I51),2)</f>
        <v>2.97</v>
      </c>
    </row>
    <row r="52" spans="1:12">
      <c r="A52" s="518"/>
      <c r="B52" s="519"/>
      <c r="C52" s="519"/>
      <c r="D52" s="519"/>
      <c r="E52" s="519"/>
      <c r="F52" s="519"/>
      <c r="G52" s="519"/>
      <c r="H52" s="519"/>
      <c r="I52" s="519"/>
      <c r="J52" s="523"/>
    </row>
    <row r="53" spans="1:12" ht="38.25">
      <c r="A53" s="60" t="str">
        <f>'[3]Planilha Orçamentária'!A25</f>
        <v>1.1.3.5</v>
      </c>
      <c r="B53" s="77">
        <f>VLOOKUP(A53,'[3]Planilha Orçamentária'!A:K,2,0)</f>
        <v>95876</v>
      </c>
      <c r="C53" s="62" t="str">
        <f>VLOOKUP(A53,'[3]Planilha Orçamentária'!A:K,3,0)</f>
        <v>TRANSPORTE COM CAMINHÃO BASCULANTE DE 14 M³, EM VIA URBANA PAVIMENTADA, DMT ATÉ 30 KM (UNIDADE: M3XKM). AF_07/2020</v>
      </c>
      <c r="D53" s="63" t="str">
        <f>VLOOKUP(A53,'[3]Planilha Orçamentária'!A:K,4,0)</f>
        <v>M3XKM</v>
      </c>
      <c r="E53" s="62"/>
      <c r="F53" s="64"/>
      <c r="G53" s="64"/>
      <c r="H53" s="64"/>
      <c r="I53" s="64"/>
      <c r="J53" s="78">
        <f>ROUND(SUM(J55),2)</f>
        <v>173.08</v>
      </c>
    </row>
    <row r="54" spans="1:12">
      <c r="A54" s="60"/>
      <c r="B54" s="77"/>
      <c r="C54" s="90" t="s">
        <v>1626</v>
      </c>
      <c r="D54" s="31"/>
      <c r="E54" s="91" t="s">
        <v>1627</v>
      </c>
      <c r="F54" s="27"/>
      <c r="G54" s="27"/>
      <c r="H54" s="27"/>
      <c r="I54" s="27" t="s">
        <v>1623</v>
      </c>
      <c r="J54" s="78"/>
    </row>
    <row r="55" spans="1:12">
      <c r="A55" s="60"/>
      <c r="B55" s="77"/>
      <c r="C55" s="73" t="s">
        <v>1628</v>
      </c>
      <c r="D55" s="74"/>
      <c r="E55" s="35">
        <v>2.2999999999999998</v>
      </c>
      <c r="F55" s="81"/>
      <c r="G55" s="81"/>
      <c r="H55" s="81"/>
      <c r="I55" s="92">
        <f>J47</f>
        <v>75.25</v>
      </c>
      <c r="J55" s="36">
        <f>ROUND(PRODUCT(E55:I55),2)</f>
        <v>173.08</v>
      </c>
    </row>
    <row r="56" spans="1:12">
      <c r="A56" s="518"/>
      <c r="B56" s="519"/>
      <c r="C56" s="519"/>
      <c r="D56" s="519"/>
      <c r="E56" s="519"/>
      <c r="F56" s="519"/>
      <c r="G56" s="519"/>
      <c r="H56" s="519"/>
      <c r="I56" s="519"/>
      <c r="J56" s="523"/>
    </row>
    <row r="57" spans="1:12" s="93" customFormat="1">
      <c r="A57" s="19" t="str">
        <f>'[3]Planilha Orçamentária'!A26</f>
        <v>1.1.4</v>
      </c>
      <c r="B57" s="20"/>
      <c r="C57" s="21" t="str">
        <f>VLOOKUP(A57,'[3]Planilha Orçamentária'!A:K,3,0)</f>
        <v>TERRAPLANAGEM</v>
      </c>
      <c r="D57" s="22"/>
      <c r="E57" s="23"/>
      <c r="F57" s="24"/>
      <c r="G57" s="24"/>
      <c r="H57" s="24"/>
      <c r="I57" s="25"/>
      <c r="J57" s="26"/>
    </row>
    <row r="58" spans="1:12" s="93" customFormat="1" ht="38.25">
      <c r="A58" s="28" t="str">
        <f>'[3]Planilha Orçamentária'!A27</f>
        <v>1.1.4.1</v>
      </c>
      <c r="B58" s="42" t="str">
        <f>VLOOKUP(A58,'[3]Planilha Orçamentária'!A:K,2,0)</f>
        <v>CP-74205/001-17324935</v>
      </c>
      <c r="C58" s="30" t="str">
        <f>VLOOKUP(A58,'[3]Planilha Orçamentária'!A:K,3,0)</f>
        <v>ESCAVAÇÃO MECÂNICA DE MATERIAL 1A. CATEGORIA, PROVENIENTE DE CORTE DE SUBLEITO (C/TRATOR ESTEIRAS  160HP)</v>
      </c>
      <c r="D58" s="31" t="str">
        <f>VLOOKUP(A58,'[3]Planilha Orçamentária'!A:K,4,0)</f>
        <v>M3</v>
      </c>
      <c r="E58" s="30"/>
      <c r="F58" s="32"/>
      <c r="G58" s="32"/>
      <c r="H58" s="32"/>
      <c r="I58" s="32"/>
      <c r="J58" s="45">
        <f>ROUND(SUM(J60:J60),2)</f>
        <v>2476.6</v>
      </c>
    </row>
    <row r="59" spans="1:12">
      <c r="A59" s="28"/>
      <c r="B59" s="42"/>
      <c r="C59" s="86" t="s">
        <v>1629</v>
      </c>
      <c r="D59" s="31"/>
      <c r="E59" s="30"/>
      <c r="F59" s="32"/>
      <c r="G59" s="32"/>
      <c r="H59" s="32"/>
      <c r="I59" s="34" t="s">
        <v>1623</v>
      </c>
      <c r="J59" s="45"/>
      <c r="L59" s="93"/>
    </row>
    <row r="60" spans="1:12">
      <c r="A60" s="94"/>
      <c r="B60" s="95"/>
      <c r="C60" s="73" t="s">
        <v>1630</v>
      </c>
      <c r="D60" s="96"/>
      <c r="E60" s="82"/>
      <c r="F60" s="82"/>
      <c r="G60" s="82"/>
      <c r="H60" s="82"/>
      <c r="I60" s="82">
        <f>[3]PARÂMETROS!G13</f>
        <v>2476.6</v>
      </c>
      <c r="J60" s="97">
        <f>ROUND(PRODUCT(E60:I60),2)</f>
        <v>2476.6</v>
      </c>
      <c r="K60" s="98"/>
    </row>
    <row r="61" spans="1:12">
      <c r="A61" s="513"/>
      <c r="B61" s="513"/>
      <c r="C61" s="513"/>
      <c r="D61" s="513"/>
      <c r="E61" s="513"/>
      <c r="F61" s="513"/>
      <c r="G61" s="513"/>
      <c r="H61" s="513"/>
      <c r="I61" s="513"/>
      <c r="J61" s="513"/>
    </row>
    <row r="62" spans="1:12" ht="51">
      <c r="A62" s="99" t="str">
        <f>'[3]Planilha Orçamentária'!A28</f>
        <v>1.1.4.2</v>
      </c>
      <c r="B62" s="48" t="str">
        <f>VLOOKUP(A62,'[3]Planilha Orçamentária'!A:K,2,0)</f>
        <v>COMP-35145154</v>
      </c>
      <c r="C62" s="100" t="str">
        <f>VLOOKUP(A62,'[3]Planilha Orçamentária'!A:K,3,0)</f>
        <v>CARGA E DESCARGA MECANICA DE SOLO UTILIZANDO CAMINHAO BASCULANTE 14,0M3/36T E PA CARREGADEIRA SOBRE PNEUS 128 HP, CAPACIDADE DA CAÇAMBA 1,7 A 2,8 M3, PESO OPERACIONAL 11632 KH</v>
      </c>
      <c r="D62" s="101" t="str">
        <f>VLOOKUP(A62,'[3]Planilha Orçamentária'!A:K,4,0)</f>
        <v>M3</v>
      </c>
      <c r="E62" s="100"/>
      <c r="F62" s="102"/>
      <c r="G62" s="102"/>
      <c r="H62" s="102"/>
      <c r="I62" s="102"/>
      <c r="J62" s="103">
        <f>ROUND(SUM(J65:J65),2)</f>
        <v>3095.75</v>
      </c>
    </row>
    <row r="63" spans="1:12">
      <c r="A63" s="99"/>
      <c r="B63" s="48"/>
      <c r="C63" s="86" t="s">
        <v>1629</v>
      </c>
      <c r="D63" s="101"/>
      <c r="E63" s="100"/>
      <c r="F63" s="102"/>
      <c r="G63" s="102"/>
      <c r="H63" s="102"/>
      <c r="I63" s="102"/>
      <c r="J63" s="103"/>
    </row>
    <row r="64" spans="1:12" s="93" customFormat="1">
      <c r="A64" s="99"/>
      <c r="B64" s="48"/>
      <c r="C64" s="73" t="s">
        <v>1631</v>
      </c>
      <c r="D64" s="104"/>
      <c r="E64" s="105" t="s">
        <v>1622</v>
      </c>
      <c r="F64" s="106"/>
      <c r="G64" s="106"/>
      <c r="H64" s="106"/>
      <c r="I64" s="106" t="s">
        <v>1623</v>
      </c>
      <c r="J64" s="103"/>
    </row>
    <row r="65" spans="1:12">
      <c r="A65" s="27"/>
      <c r="B65" s="27"/>
      <c r="C65" s="73" t="s">
        <v>1632</v>
      </c>
      <c r="D65" s="74"/>
      <c r="E65" s="35">
        <v>1.25</v>
      </c>
      <c r="F65" s="35"/>
      <c r="G65" s="35"/>
      <c r="H65" s="35"/>
      <c r="I65" s="35">
        <f>[3]PARÂMETROS!G14</f>
        <v>2476.6</v>
      </c>
      <c r="J65" s="58">
        <f>ROUND(PRODUCT(E65:I65),2)</f>
        <v>3095.75</v>
      </c>
    </row>
    <row r="66" spans="1:12">
      <c r="A66" s="513"/>
      <c r="B66" s="513"/>
      <c r="C66" s="513"/>
      <c r="D66" s="513"/>
      <c r="E66" s="513"/>
      <c r="F66" s="513"/>
      <c r="G66" s="513"/>
      <c r="H66" s="513"/>
      <c r="I66" s="513"/>
      <c r="J66" s="513"/>
    </row>
    <row r="67" spans="1:12" ht="38.25">
      <c r="A67" s="99" t="str">
        <f>'[3]Planilha Orçamentária'!A29</f>
        <v>1.1.4.3</v>
      </c>
      <c r="B67" s="48">
        <f>VLOOKUP(A67,'[3]Planilha Orçamentária'!A:K,2,0)</f>
        <v>95876</v>
      </c>
      <c r="C67" s="30" t="str">
        <f>VLOOKUP(A67,'[3]Planilha Orçamentária'!A:K,3,0)</f>
        <v>TRANSPORTE COM CAMINHÃO BASCULANTE DE 14 M³, EM VIA URBANA PAVIMENTADA, DMT ATÉ 30 KM (UNIDADE: M3XKM). AF_07/2020</v>
      </c>
      <c r="D67" s="31" t="str">
        <f>VLOOKUP(A67,'[3]Planilha Orçamentária'!A:K,4,0)</f>
        <v>M3XKM</v>
      </c>
      <c r="E67" s="30"/>
      <c r="F67" s="32"/>
      <c r="G67" s="32"/>
      <c r="H67" s="32"/>
      <c r="I67" s="32"/>
      <c r="J67" s="33">
        <f>ROUND(SUM(J70:J70),2)</f>
        <v>7120.23</v>
      </c>
    </row>
    <row r="68" spans="1:12">
      <c r="A68" s="99"/>
      <c r="B68" s="48"/>
      <c r="C68" s="86" t="s">
        <v>1629</v>
      </c>
      <c r="D68" s="31"/>
      <c r="E68" s="30"/>
      <c r="F68" s="32"/>
      <c r="G68" s="32"/>
      <c r="H68" s="32"/>
      <c r="I68" s="32"/>
      <c r="J68" s="33"/>
    </row>
    <row r="69" spans="1:12">
      <c r="A69" s="99"/>
      <c r="B69" s="48"/>
      <c r="C69" s="90" t="s">
        <v>1626</v>
      </c>
      <c r="D69" s="31"/>
      <c r="E69" s="91" t="s">
        <v>1627</v>
      </c>
      <c r="F69" s="32"/>
      <c r="G69" s="32"/>
      <c r="H69" s="91"/>
      <c r="I69" s="107" t="s">
        <v>1623</v>
      </c>
      <c r="J69" s="33"/>
    </row>
    <row r="70" spans="1:12">
      <c r="A70" s="27"/>
      <c r="B70" s="27"/>
      <c r="C70" s="73" t="s">
        <v>1628</v>
      </c>
      <c r="D70" s="74"/>
      <c r="E70" s="35">
        <v>2.2999999999999998</v>
      </c>
      <c r="F70" s="35"/>
      <c r="G70" s="35"/>
      <c r="H70" s="35"/>
      <c r="I70" s="35">
        <f>J62</f>
        <v>3095.75</v>
      </c>
      <c r="J70" s="36">
        <f>ROUND(PRODUCT(E70:I70),2)</f>
        <v>7120.23</v>
      </c>
    </row>
    <row r="71" spans="1:12" s="93" customFormat="1">
      <c r="A71" s="501"/>
      <c r="B71" s="502"/>
      <c r="C71" s="502"/>
      <c r="D71" s="502"/>
      <c r="E71" s="502"/>
      <c r="F71" s="502"/>
      <c r="G71" s="502"/>
      <c r="H71" s="502"/>
      <c r="I71" s="502"/>
      <c r="J71" s="503"/>
    </row>
    <row r="72" spans="1:12" s="93" customFormat="1">
      <c r="A72" s="19" t="str">
        <f>'[3]Planilha Orçamentária'!A30</f>
        <v>1.1.5</v>
      </c>
      <c r="B72" s="20"/>
      <c r="C72" s="21" t="str">
        <f>VLOOKUP(A72,'[3]Planilha Orçamentária'!A:K,3,0)</f>
        <v>PAVIMENTAÇÃO</v>
      </c>
      <c r="D72" s="22"/>
      <c r="E72" s="23"/>
      <c r="F72" s="24"/>
      <c r="G72" s="24"/>
      <c r="H72" s="24"/>
      <c r="I72" s="25"/>
      <c r="J72" s="41"/>
    </row>
    <row r="73" spans="1:12" s="93" customFormat="1" ht="25.5">
      <c r="A73" s="66" t="str">
        <f>'[3]Planilha Orçamentária'!A31</f>
        <v>1.1.5.1</v>
      </c>
      <c r="B73" s="67">
        <f>VLOOKUP(A73,'[3]Planilha Orçamentária'!A:K,2,0)</f>
        <v>100576</v>
      </c>
      <c r="C73" s="68" t="str">
        <f>VLOOKUP(A73,'[3]Planilha Orçamentária'!A:K,3,0)</f>
        <v>REGULARIZAÇÃO E COMPACTAÇÃO DE SUBLEITO DE SOLO  PREDOMINANTEMENTE ARGILOSO. AF_11/2019</v>
      </c>
      <c r="D73" s="69" t="str">
        <f>VLOOKUP(A73,'[3]Planilha Orçamentária'!A:K,4,0)</f>
        <v>M2</v>
      </c>
      <c r="E73" s="68"/>
      <c r="F73" s="71"/>
      <c r="G73" s="71"/>
      <c r="H73" s="71"/>
      <c r="I73" s="71"/>
      <c r="J73" s="78">
        <f>ROUND(SUM(J76:J79),2)</f>
        <v>2732.83</v>
      </c>
    </row>
    <row r="74" spans="1:12" s="93" customFormat="1">
      <c r="A74" s="60"/>
      <c r="B74" s="77"/>
      <c r="C74" s="79" t="s">
        <v>1633</v>
      </c>
      <c r="D74" s="63"/>
      <c r="E74" s="62"/>
      <c r="F74" s="80"/>
      <c r="G74" s="80"/>
      <c r="H74" s="64"/>
      <c r="I74" s="87"/>
      <c r="J74" s="78"/>
      <c r="K74" s="108"/>
      <c r="L74" s="7"/>
    </row>
    <row r="75" spans="1:12" s="93" customFormat="1">
      <c r="A75" s="60"/>
      <c r="B75" s="77"/>
      <c r="C75" s="109" t="s">
        <v>1634</v>
      </c>
      <c r="D75" s="63"/>
      <c r="E75" s="62"/>
      <c r="F75" s="80"/>
      <c r="G75" s="80"/>
      <c r="H75" s="64"/>
      <c r="I75" s="87" t="s">
        <v>1620</v>
      </c>
      <c r="J75" s="110"/>
      <c r="K75" s="108"/>
      <c r="L75" s="7"/>
    </row>
    <row r="76" spans="1:12" s="93" customFormat="1">
      <c r="A76" s="60"/>
      <c r="B76" s="77"/>
      <c r="C76" s="109" t="s">
        <v>1635</v>
      </c>
      <c r="D76" s="63"/>
      <c r="E76" s="62"/>
      <c r="F76" s="80"/>
      <c r="G76" s="80"/>
      <c r="H76" s="64"/>
      <c r="I76" s="111">
        <v>176.22</v>
      </c>
      <c r="J76" s="97">
        <f t="shared" ref="J76:J79" si="1">ROUND(PRODUCT(E76:I76),2)</f>
        <v>176.22</v>
      </c>
      <c r="K76" s="108"/>
      <c r="L76" s="7"/>
    </row>
    <row r="77" spans="1:12" ht="15">
      <c r="A77" s="112"/>
      <c r="B77" s="113"/>
      <c r="C77" s="114" t="s">
        <v>1636</v>
      </c>
      <c r="D77" s="115"/>
      <c r="E77" s="116"/>
      <c r="F77" s="117"/>
      <c r="G77" s="116"/>
      <c r="H77" s="116"/>
      <c r="I77" s="118">
        <v>50.89</v>
      </c>
      <c r="J77" s="119">
        <f t="shared" si="1"/>
        <v>50.89</v>
      </c>
    </row>
    <row r="78" spans="1:12" ht="25.5">
      <c r="A78" s="28"/>
      <c r="B78" s="29"/>
      <c r="C78" s="79" t="s">
        <v>1637</v>
      </c>
      <c r="D78" s="74"/>
      <c r="E78" s="35"/>
      <c r="F78" s="80" t="s">
        <v>1606</v>
      </c>
      <c r="G78" s="80" t="s">
        <v>1607</v>
      </c>
      <c r="H78" s="35"/>
      <c r="I78" s="111"/>
      <c r="J78" s="120"/>
      <c r="K78" s="109"/>
    </row>
    <row r="79" spans="1:12" ht="25.5">
      <c r="A79" s="28"/>
      <c r="B79" s="29"/>
      <c r="C79" s="109" t="s">
        <v>1638</v>
      </c>
      <c r="D79" s="74"/>
      <c r="E79" s="35"/>
      <c r="F79" s="121">
        <f>((5*20)+(20-5.32)+(12.12))+((20-5.23)+(4*20)+(10.17))+((20-16.62)+(6*20)+(2.84))</f>
        <v>357.96000000000004</v>
      </c>
      <c r="G79" s="91">
        <f>6+1</f>
        <v>7</v>
      </c>
      <c r="H79" s="35"/>
      <c r="I79" s="111"/>
      <c r="J79" s="119">
        <f t="shared" si="1"/>
        <v>2505.7199999999998</v>
      </c>
    </row>
    <row r="80" spans="1:12" s="93" customFormat="1">
      <c r="A80" s="520"/>
      <c r="B80" s="521"/>
      <c r="C80" s="521"/>
      <c r="D80" s="521"/>
      <c r="E80" s="521"/>
      <c r="F80" s="521"/>
      <c r="G80" s="521"/>
      <c r="H80" s="521"/>
      <c r="I80" s="521"/>
      <c r="J80" s="522"/>
    </row>
    <row r="81" spans="1:10" ht="25.5">
      <c r="A81" s="60" t="str">
        <f>'[3]Planilha Orçamentária'!A32</f>
        <v>1.1.5.2</v>
      </c>
      <c r="B81" s="61" t="str">
        <f>VLOOKUP(A81,'[3]Planilha Orçamentária'!A:K,2,0)</f>
        <v>COMP-47176600</v>
      </c>
      <c r="C81" s="68" t="str">
        <f>VLOOKUP(A81,'[3]Planilha Orçamentária'!A:K,3,0)</f>
        <v xml:space="preserve">EXEC. DE ATERRO COM AREIA COM ADENSAMENTO HIDRAULICO </v>
      </c>
      <c r="D81" s="69" t="str">
        <f>VLOOKUP(A81,'[3]Planilha Orçamentária'!A:K,4,0)</f>
        <v xml:space="preserve">M3    </v>
      </c>
      <c r="E81" s="122"/>
      <c r="F81" s="123"/>
      <c r="G81" s="123"/>
      <c r="H81" s="123"/>
      <c r="I81" s="123"/>
      <c r="J81" s="78">
        <f>ROUND(SUM(J83:J84),2)</f>
        <v>1002.29</v>
      </c>
    </row>
    <row r="82" spans="1:10">
      <c r="A82" s="60"/>
      <c r="B82" s="61"/>
      <c r="C82" s="79" t="s">
        <v>1633</v>
      </c>
      <c r="D82" s="63"/>
      <c r="E82" s="124"/>
      <c r="F82" s="125"/>
      <c r="G82" s="125"/>
      <c r="H82" s="88"/>
      <c r="I82" s="87"/>
      <c r="J82" s="78"/>
    </row>
    <row r="83" spans="1:10" ht="25.5">
      <c r="A83" s="60"/>
      <c r="B83" s="61"/>
      <c r="C83" s="79" t="s">
        <v>1637</v>
      </c>
      <c r="D83" s="63"/>
      <c r="E83" s="124"/>
      <c r="F83" s="80" t="s">
        <v>1606</v>
      </c>
      <c r="G83" s="80" t="s">
        <v>1607</v>
      </c>
      <c r="H83" s="80" t="s">
        <v>1619</v>
      </c>
      <c r="I83" s="111"/>
      <c r="J83" s="97"/>
    </row>
    <row r="84" spans="1:10" ht="28.5">
      <c r="A84" s="60"/>
      <c r="B84" s="61"/>
      <c r="C84" s="126" t="s">
        <v>1639</v>
      </c>
      <c r="D84" s="63"/>
      <c r="E84" s="124"/>
      <c r="F84" s="80">
        <f>F79</f>
        <v>357.96000000000004</v>
      </c>
      <c r="G84" s="91">
        <f>6+0.5+0.5</f>
        <v>7</v>
      </c>
      <c r="H84" s="88">
        <v>0.4</v>
      </c>
      <c r="I84" s="111"/>
      <c r="J84" s="97">
        <f t="shared" ref="J84" si="2">ROUND(PRODUCT(E84:I84),2)</f>
        <v>1002.29</v>
      </c>
    </row>
    <row r="85" spans="1:10">
      <c r="A85" s="496"/>
      <c r="B85" s="496"/>
      <c r="C85" s="496"/>
      <c r="D85" s="496"/>
      <c r="E85" s="496"/>
      <c r="F85" s="496"/>
      <c r="G85" s="496"/>
      <c r="H85" s="496"/>
      <c r="I85" s="496"/>
      <c r="J85" s="496"/>
    </row>
    <row r="86" spans="1:10" ht="38.25">
      <c r="A86" s="60" t="str">
        <f>'[3]Planilha Orçamentária'!A33</f>
        <v>1.1.5.3</v>
      </c>
      <c r="B86" s="61" t="str">
        <f>VLOOKUP(A86,'[3]Planilha Orçamentária'!A:K,2,0)</f>
        <v>COMP-28881239</v>
      </c>
      <c r="C86" s="62" t="str">
        <f>VLOOKUP(A86,'[3]Planilha Orçamentária'!A:K,3,0)</f>
        <v>Base ou sub-base de macadame hidráulico com brita comercial - EXCLUSIVE MATERIAL, CARGA E TRANSPORTE - NÃO DESONERADO</v>
      </c>
      <c r="D86" s="63" t="str">
        <f>VLOOKUP(A86,'[3]Planilha Orçamentária'!A:K,4,0)</f>
        <v>M3</v>
      </c>
      <c r="E86" s="124"/>
      <c r="F86" s="125"/>
      <c r="G86" s="125"/>
      <c r="H86" s="125"/>
      <c r="I86" s="125"/>
      <c r="J86" s="78">
        <f>ROUND(SUM(J89:J92),2)</f>
        <v>421.28</v>
      </c>
    </row>
    <row r="87" spans="1:10">
      <c r="A87" s="60"/>
      <c r="B87" s="61"/>
      <c r="C87" s="79" t="s">
        <v>1633</v>
      </c>
      <c r="D87" s="63"/>
      <c r="E87" s="124"/>
      <c r="F87" s="125"/>
      <c r="G87" s="125"/>
      <c r="H87" s="88"/>
      <c r="I87" s="87"/>
      <c r="J87" s="65"/>
    </row>
    <row r="88" spans="1:10">
      <c r="A88" s="60"/>
      <c r="B88" s="61"/>
      <c r="C88" s="109" t="s">
        <v>1634</v>
      </c>
      <c r="D88" s="63"/>
      <c r="E88" s="124"/>
      <c r="F88" s="123"/>
      <c r="G88" s="123"/>
      <c r="H88" s="88" t="s">
        <v>1619</v>
      </c>
      <c r="I88" s="87" t="s">
        <v>1620</v>
      </c>
      <c r="J88" s="65"/>
    </row>
    <row r="89" spans="1:10">
      <c r="A89" s="60"/>
      <c r="B89" s="61"/>
      <c r="C89" s="109" t="s">
        <v>1635</v>
      </c>
      <c r="D89" s="63"/>
      <c r="E89" s="124"/>
      <c r="F89" s="88"/>
      <c r="G89" s="88"/>
      <c r="H89" s="88">
        <v>0.2</v>
      </c>
      <c r="I89" s="111">
        <f>J76</f>
        <v>176.22</v>
      </c>
      <c r="J89" s="97">
        <f t="shared" ref="J89:J92" si="3">ROUND(PRODUCT(E89:I89),2)</f>
        <v>35.24</v>
      </c>
    </row>
    <row r="90" spans="1:10">
      <c r="A90" s="60"/>
      <c r="B90" s="61"/>
      <c r="C90" s="109" t="s">
        <v>1636</v>
      </c>
      <c r="D90" s="63"/>
      <c r="E90" s="124"/>
      <c r="F90" s="88"/>
      <c r="G90" s="88"/>
      <c r="H90" s="88">
        <v>0.2</v>
      </c>
      <c r="I90" s="111">
        <f>J77</f>
        <v>50.89</v>
      </c>
      <c r="J90" s="97">
        <f t="shared" si="3"/>
        <v>10.18</v>
      </c>
    </row>
    <row r="91" spans="1:10" ht="25.5">
      <c r="A91" s="60"/>
      <c r="B91" s="61"/>
      <c r="C91" s="79" t="s">
        <v>1637</v>
      </c>
      <c r="D91" s="63"/>
      <c r="E91" s="124"/>
      <c r="F91" s="80" t="s">
        <v>1606</v>
      </c>
      <c r="G91" s="80" t="s">
        <v>1607</v>
      </c>
      <c r="H91" s="80" t="s">
        <v>1619</v>
      </c>
      <c r="I91" s="111"/>
      <c r="J91" s="97"/>
    </row>
    <row r="92" spans="1:10" ht="28.5">
      <c r="A92" s="60"/>
      <c r="B92" s="61"/>
      <c r="C92" s="126" t="s">
        <v>1640</v>
      </c>
      <c r="D92" s="63"/>
      <c r="E92" s="124"/>
      <c r="F92" s="80">
        <f>F79</f>
        <v>357.96000000000004</v>
      </c>
      <c r="G92" s="91">
        <f>6+0.5+0.5</f>
        <v>7</v>
      </c>
      <c r="H92" s="80">
        <v>0.15</v>
      </c>
      <c r="I92" s="111"/>
      <c r="J92" s="97">
        <f t="shared" si="3"/>
        <v>375.86</v>
      </c>
    </row>
    <row r="93" spans="1:10">
      <c r="A93" s="526"/>
      <c r="B93" s="527"/>
      <c r="C93" s="527"/>
      <c r="D93" s="527"/>
      <c r="E93" s="527"/>
      <c r="F93" s="527"/>
      <c r="G93" s="527"/>
      <c r="H93" s="527"/>
      <c r="I93" s="527"/>
      <c r="J93" s="528"/>
    </row>
    <row r="94" spans="1:10" ht="38.25">
      <c r="A94" s="60" t="str">
        <f>'[3]Planilha Orçamentária'!A34</f>
        <v>1.1.5.4</v>
      </c>
      <c r="B94" s="61" t="str">
        <f>VLOOKUP(A94,'[3]Planilha Orçamentária'!A:K,2,0)</f>
        <v>CP-96396-26507981</v>
      </c>
      <c r="C94" s="62" t="str">
        <f>VLOOKUP(A94,'[3]Planilha Orçamentária'!A:K,3,0)</f>
        <v>EXECUÇÃO E COMPACTAÇÃO DE BASE E OU SUB BASE PARA PAVIMENTAÇÃO DE BRITA GRADUADA SIMPLES - EXCLUSIVE MATERIAL, CARGA E TRANSPORTE</v>
      </c>
      <c r="D94" s="63" t="str">
        <f>VLOOKUP(A94,'[3]Planilha Orçamentária'!A:K,4,0)</f>
        <v>M3</v>
      </c>
      <c r="E94" s="124"/>
      <c r="F94" s="125"/>
      <c r="G94" s="125"/>
      <c r="H94" s="125"/>
      <c r="I94" s="125"/>
      <c r="J94" s="65">
        <f>ROUND(SUM(J97:J100),2)</f>
        <v>474.97</v>
      </c>
    </row>
    <row r="95" spans="1:10">
      <c r="A95" s="60"/>
      <c r="B95" s="61"/>
      <c r="C95" s="79" t="s">
        <v>1633</v>
      </c>
      <c r="D95" s="63"/>
      <c r="E95" s="127"/>
      <c r="F95" s="127"/>
      <c r="G95" s="127"/>
      <c r="H95" s="88"/>
      <c r="I95" s="87"/>
      <c r="J95" s="65"/>
    </row>
    <row r="96" spans="1:10">
      <c r="A96" s="60"/>
      <c r="B96" s="61"/>
      <c r="C96" s="109" t="s">
        <v>1634</v>
      </c>
      <c r="D96" s="63"/>
      <c r="E96" s="127"/>
      <c r="F96" s="127"/>
      <c r="G96" s="127"/>
      <c r="H96" s="88" t="s">
        <v>1619</v>
      </c>
      <c r="I96" s="87" t="s">
        <v>1620</v>
      </c>
      <c r="J96" s="65"/>
    </row>
    <row r="97" spans="1:10">
      <c r="A97" s="60"/>
      <c r="B97" s="61"/>
      <c r="C97" s="109" t="s">
        <v>1635</v>
      </c>
      <c r="D97" s="63"/>
      <c r="E97" s="127"/>
      <c r="F97" s="127"/>
      <c r="G97" s="127"/>
      <c r="H97" s="88">
        <v>0.2</v>
      </c>
      <c r="I97" s="111">
        <f>I76</f>
        <v>176.22</v>
      </c>
      <c r="J97" s="97">
        <f t="shared" ref="J97:J98" si="4">ROUND(PRODUCT(E97:I97),2)</f>
        <v>35.24</v>
      </c>
    </row>
    <row r="98" spans="1:10">
      <c r="A98" s="60"/>
      <c r="B98" s="61"/>
      <c r="C98" s="109" t="s">
        <v>1636</v>
      </c>
      <c r="D98" s="63"/>
      <c r="E98" s="127"/>
      <c r="F98" s="127"/>
      <c r="G98" s="127"/>
      <c r="H98" s="88">
        <v>0.2</v>
      </c>
      <c r="I98" s="111">
        <f>I77</f>
        <v>50.89</v>
      </c>
      <c r="J98" s="97">
        <f t="shared" si="4"/>
        <v>10.18</v>
      </c>
    </row>
    <row r="99" spans="1:10" ht="25.5">
      <c r="A99" s="60"/>
      <c r="B99" s="61"/>
      <c r="C99" s="79" t="s">
        <v>1637</v>
      </c>
      <c r="D99" s="63"/>
      <c r="E99" s="127"/>
      <c r="F99" s="80" t="s">
        <v>1606</v>
      </c>
      <c r="G99" s="80" t="s">
        <v>1607</v>
      </c>
      <c r="H99" s="80" t="s">
        <v>1619</v>
      </c>
      <c r="I99" s="127"/>
      <c r="J99" s="65"/>
    </row>
    <row r="100" spans="1:10" ht="28.5">
      <c r="A100" s="94"/>
      <c r="B100" s="128"/>
      <c r="C100" s="126" t="s">
        <v>1640</v>
      </c>
      <c r="D100" s="96"/>
      <c r="E100" s="34"/>
      <c r="F100" s="80">
        <f>F92</f>
        <v>357.96000000000004</v>
      </c>
      <c r="G100" s="91">
        <v>6</v>
      </c>
      <c r="H100" s="80">
        <v>0.2</v>
      </c>
      <c r="I100" s="82"/>
      <c r="J100" s="97">
        <f>ROUND(PRODUCT(E100:I100),2)</f>
        <v>429.55</v>
      </c>
    </row>
    <row r="101" spans="1:10">
      <c r="A101" s="497"/>
      <c r="B101" s="497"/>
      <c r="C101" s="497"/>
      <c r="D101" s="497"/>
      <c r="E101" s="497"/>
      <c r="F101" s="497"/>
      <c r="G101" s="497"/>
      <c r="H101" s="497"/>
      <c r="I101" s="497"/>
      <c r="J101" s="497"/>
    </row>
    <row r="102" spans="1:10" ht="51">
      <c r="A102" s="60" t="str">
        <f>'[3]Planilha Orçamentária'!A35</f>
        <v>1.1.5.5</v>
      </c>
      <c r="B102" s="61" t="str">
        <f>VLOOKUP(A102,'[3]Planilha Orçamentária'!A:K,2,0)</f>
        <v>COMP-35145154</v>
      </c>
      <c r="C102" s="62" t="str">
        <f>VLOOKUP(A102,'[3]Planilha Orçamentária'!A:K,3,0)</f>
        <v>CARGA E DESCARGA MECANICA DE SOLO UTILIZANDO CAMINHAO BASCULANTE 14,0M3/36T E PA CARREGADEIRA SOBRE PNEUS 128 HP, CAPACIDADE DA CAÇAMBA 1,7 A 2,8 M3, PESO OPERACIONAL 11632 KH</v>
      </c>
      <c r="D102" s="63" t="str">
        <f>VLOOKUP(A102,'[3]Planilha Orçamentária'!A:K,4,0)</f>
        <v>M3</v>
      </c>
      <c r="E102" s="124"/>
      <c r="F102" s="125"/>
      <c r="G102" s="125"/>
      <c r="H102" s="125"/>
      <c r="I102" s="125"/>
      <c r="J102" s="65">
        <f>ROUND(SUM(J103:J104),2)</f>
        <v>1120.31</v>
      </c>
    </row>
    <row r="103" spans="1:10" ht="38.25">
      <c r="A103" s="129"/>
      <c r="B103" s="130"/>
      <c r="C103" s="62"/>
      <c r="D103" s="63"/>
      <c r="E103" s="127" t="s">
        <v>1622</v>
      </c>
      <c r="F103" s="127"/>
      <c r="G103" s="127"/>
      <c r="H103" s="127"/>
      <c r="I103" s="127" t="s">
        <v>1641</v>
      </c>
      <c r="J103" s="94"/>
    </row>
    <row r="104" spans="1:10" ht="14.25">
      <c r="A104" s="129"/>
      <c r="B104" s="130"/>
      <c r="C104" s="131" t="s">
        <v>1642</v>
      </c>
      <c r="D104" s="96"/>
      <c r="E104" s="34">
        <v>1.25</v>
      </c>
      <c r="F104" s="34"/>
      <c r="G104" s="132"/>
      <c r="H104" s="82"/>
      <c r="I104" s="82">
        <f>J94+J86</f>
        <v>896.25</v>
      </c>
      <c r="J104" s="97">
        <f>ROUND(PRODUCT(E104:I104),2)</f>
        <v>1120.31</v>
      </c>
    </row>
    <row r="105" spans="1:10">
      <c r="A105" s="129"/>
      <c r="B105" s="130"/>
      <c r="C105" s="129"/>
      <c r="D105" s="129"/>
      <c r="E105" s="94"/>
      <c r="F105" s="94"/>
      <c r="G105" s="94"/>
      <c r="H105" s="94"/>
      <c r="I105" s="94"/>
      <c r="J105" s="94"/>
    </row>
    <row r="106" spans="1:10" ht="25.5">
      <c r="A106" s="60" t="str">
        <f>'[3]Planilha Orçamentária'!A36</f>
        <v>1.1.5.6</v>
      </c>
      <c r="B106" s="61" t="str">
        <f>VLOOKUP(A106,'[3]Planilha Orçamentária'!A:K,2,0)</f>
        <v>COMP-83526730</v>
      </c>
      <c r="C106" s="62" t="str">
        <f>VLOOKUP(A106,'[3]Planilha Orçamentária'!A:K,3,0)</f>
        <v>TRANSPORTE COMERCIAL DE BRITA</v>
      </c>
      <c r="D106" s="63" t="str">
        <f>VLOOKUP(A106,'[3]Planilha Orçamentária'!A:K,4,0)</f>
        <v>M3XKM</v>
      </c>
      <c r="E106" s="124"/>
      <c r="F106" s="125"/>
      <c r="G106" s="125"/>
      <c r="H106" s="125"/>
      <c r="I106" s="125"/>
      <c r="J106" s="65">
        <f>ROUND(SUM(J107:J108),2)</f>
        <v>9634.67</v>
      </c>
    </row>
    <row r="107" spans="1:10" ht="25.5">
      <c r="A107" s="129"/>
      <c r="B107" s="130"/>
      <c r="C107" s="79" t="s">
        <v>1643</v>
      </c>
      <c r="D107" s="101"/>
      <c r="E107" s="34" t="s">
        <v>1627</v>
      </c>
      <c r="F107" s="102"/>
      <c r="G107" s="102"/>
      <c r="H107" s="34"/>
      <c r="I107" s="87" t="s">
        <v>1644</v>
      </c>
      <c r="J107" s="94"/>
    </row>
    <row r="108" spans="1:10" ht="14.25">
      <c r="A108" s="129"/>
      <c r="B108" s="130"/>
      <c r="C108" s="131" t="s">
        <v>1645</v>
      </c>
      <c r="D108" s="96"/>
      <c r="E108" s="82">
        <v>8.6</v>
      </c>
      <c r="F108" s="34"/>
      <c r="G108" s="82"/>
      <c r="H108" s="82"/>
      <c r="I108" s="82">
        <f>J102</f>
        <v>1120.31</v>
      </c>
      <c r="J108" s="97">
        <f>ROUND(PRODUCT(E108:I108),2)</f>
        <v>9634.67</v>
      </c>
    </row>
    <row r="109" spans="1:10">
      <c r="A109" s="129"/>
      <c r="B109" s="130"/>
      <c r="C109" s="129"/>
      <c r="D109" s="129"/>
      <c r="E109" s="94"/>
      <c r="F109" s="94"/>
      <c r="G109" s="94"/>
      <c r="H109" s="94"/>
      <c r="I109" s="94"/>
      <c r="J109" s="94"/>
    </row>
    <row r="110" spans="1:10" ht="51">
      <c r="A110" s="99" t="str">
        <f>'[3]Planilha Orçamentária'!A37</f>
        <v>1.1.5.7</v>
      </c>
      <c r="B110" s="48" t="str">
        <f>VLOOKUP(A110,'[3]Planilha Orçamentária'!A:K,2,0)</f>
        <v>CP-92399-27762594</v>
      </c>
      <c r="C110" s="100" t="str">
        <f>VLOOKUP(A110,'[3]Planilha Orçamentária'!A:K,3,0)</f>
        <v>EXECUÇÃO DE VIA EM PISO INTERTRAVADO, COM BLOCO RETANGULAR COR NATURAL/COLORIDO DE 20 X 10 CM, ESPESSURA 8 CM - (SEM O MATERIAL BLOQUETE/PISO INTERTRAVADO)</v>
      </c>
      <c r="D110" s="101" t="str">
        <f>VLOOKUP(A110,'[3]Planilha Orçamentária'!A:K,4,0)</f>
        <v>M2</v>
      </c>
      <c r="E110" s="34"/>
      <c r="F110" s="34"/>
      <c r="G110" s="64"/>
      <c r="H110" s="34"/>
      <c r="I110" s="87"/>
      <c r="J110" s="33">
        <f>ROUND(SUM(J111:J113),2)</f>
        <v>227.11</v>
      </c>
    </row>
    <row r="111" spans="1:10">
      <c r="A111" s="94"/>
      <c r="B111" s="133"/>
      <c r="C111" s="79" t="s">
        <v>1633</v>
      </c>
      <c r="D111" s="96"/>
      <c r="E111" s="82"/>
      <c r="F111" s="34"/>
      <c r="G111" s="82"/>
      <c r="H111" s="82"/>
      <c r="I111" s="82" t="s">
        <v>1620</v>
      </c>
      <c r="J111" s="120"/>
    </row>
    <row r="112" spans="1:10" ht="28.5">
      <c r="A112" s="94"/>
      <c r="B112" s="133"/>
      <c r="C112" s="126" t="s">
        <v>1646</v>
      </c>
      <c r="D112" s="96"/>
      <c r="E112" s="82"/>
      <c r="F112" s="34"/>
      <c r="G112" s="82"/>
      <c r="H112" s="82"/>
      <c r="I112" s="82">
        <f>[3]PARÂMETROS!F33</f>
        <v>176.22</v>
      </c>
      <c r="J112" s="120">
        <f>ROUND(PRODUCT(E112:I112),2)</f>
        <v>176.22</v>
      </c>
    </row>
    <row r="113" spans="1:10" ht="28.5">
      <c r="A113" s="94"/>
      <c r="B113" s="133"/>
      <c r="C113" s="126" t="s">
        <v>1647</v>
      </c>
      <c r="D113" s="96"/>
      <c r="E113" s="82"/>
      <c r="F113" s="34"/>
      <c r="G113" s="82"/>
      <c r="H113" s="82"/>
      <c r="I113" s="82">
        <f>[3]PARÂMETROS!F34</f>
        <v>50.89</v>
      </c>
      <c r="J113" s="120">
        <f>ROUND(PRODUCT(E113:I113),2)</f>
        <v>50.89</v>
      </c>
    </row>
    <row r="114" spans="1:10" ht="14.25" customHeight="1">
      <c r="A114" s="497"/>
      <c r="B114" s="497"/>
      <c r="C114" s="497"/>
      <c r="D114" s="497"/>
      <c r="E114" s="497"/>
      <c r="F114" s="497"/>
      <c r="G114" s="497"/>
      <c r="H114" s="497"/>
      <c r="I114" s="497"/>
      <c r="J114" s="497"/>
    </row>
    <row r="115" spans="1:10" ht="25.5">
      <c r="A115" s="99" t="str">
        <f>'[3]Planilha Orçamentária'!A38</f>
        <v>1.1.5.8</v>
      </c>
      <c r="B115" s="48" t="str">
        <f>VLOOKUP(A115,'[3]Planilha Orçamentária'!A:K,2,0)</f>
        <v>COMP-62038505</v>
      </c>
      <c r="C115" s="100" t="str">
        <f>VLOOKUP(A115,'[3]Planilha Orçamentária'!A:K,3,0)</f>
        <v>EXECUÇÃO DE IMPRIMAÇÃO COM ASFALTO DILUÍDO CM-30 - SERVIÇO UTILIZADO NOS LOTES</v>
      </c>
      <c r="D115" s="101" t="str">
        <f>VLOOKUP(A115,'[3]Planilha Orçamentária'!A:K,4,0)</f>
        <v>M2</v>
      </c>
      <c r="E115" s="100"/>
      <c r="F115" s="102"/>
      <c r="G115" s="102"/>
      <c r="H115" s="102"/>
      <c r="I115" s="102"/>
      <c r="J115" s="33">
        <f>ROUND(SUM(J116:J118),2)</f>
        <v>1935.14</v>
      </c>
    </row>
    <row r="116" spans="1:10" ht="14.25" customHeight="1">
      <c r="A116" s="94"/>
      <c r="B116" s="128"/>
      <c r="C116" s="79" t="s">
        <v>1633</v>
      </c>
      <c r="D116" s="96"/>
      <c r="E116" s="82"/>
      <c r="F116" s="34"/>
      <c r="G116" s="82"/>
      <c r="H116" s="82"/>
      <c r="I116" s="82"/>
      <c r="J116" s="120"/>
    </row>
    <row r="117" spans="1:10" ht="28.5">
      <c r="A117" s="94"/>
      <c r="B117" s="128"/>
      <c r="C117" s="131" t="s">
        <v>1648</v>
      </c>
      <c r="D117" s="31"/>
      <c r="E117" s="30"/>
      <c r="F117" s="134"/>
      <c r="G117" s="32"/>
      <c r="H117" s="32"/>
      <c r="I117" s="135" t="s">
        <v>1620</v>
      </c>
      <c r="J117" s="120"/>
    </row>
    <row r="118" spans="1:10" ht="14.25" customHeight="1">
      <c r="A118" s="94"/>
      <c r="B118" s="128"/>
      <c r="C118" s="131" t="s">
        <v>1649</v>
      </c>
      <c r="D118" s="31"/>
      <c r="E118" s="30"/>
      <c r="F118" s="134"/>
      <c r="G118" s="32"/>
      <c r="H118" s="32"/>
      <c r="I118" s="136">
        <f>[3]PARÂMETROS!F23</f>
        <v>1935.14</v>
      </c>
      <c r="J118" s="120">
        <f t="shared" ref="J118" si="5">ROUND(PRODUCT(E118:I118),2)</f>
        <v>1935.14</v>
      </c>
    </row>
    <row r="119" spans="1:10" ht="14.25" customHeight="1">
      <c r="A119" s="498"/>
      <c r="B119" s="499"/>
      <c r="C119" s="499"/>
      <c r="D119" s="499"/>
      <c r="E119" s="499"/>
      <c r="F119" s="499"/>
      <c r="G119" s="499"/>
      <c r="H119" s="499"/>
      <c r="I119" s="499"/>
      <c r="J119" s="500"/>
    </row>
    <row r="120" spans="1:10" ht="38.25">
      <c r="A120" s="99" t="str">
        <f>'[3]Planilha Orçamentária'!A39</f>
        <v>1.1.5.9</v>
      </c>
      <c r="B120" s="48" t="str">
        <f>VLOOKUP(A120,'[3]Planilha Orçamentária'!A:K,2,0)</f>
        <v>CP-95995-51339760</v>
      </c>
      <c r="C120" s="100" t="str">
        <f>VLOOKUP(A120,'[3]Planilha Orçamentária'!A:K,3,0)</f>
        <v>EXECUÇÃO DE PAVIMENTO COM APLICAÇÃO DE CONCRETO ASFÁLTICO, CAMADA DE ROLAMENTO - EXCLUSIVE CARGA E TRANSPORTE E CONCRETO BETUMINOSO</v>
      </c>
      <c r="D120" s="101" t="str">
        <f>VLOOKUP(A120,'[3]Planilha Orçamentária'!A:K,4,0)</f>
        <v>M3</v>
      </c>
      <c r="E120" s="100"/>
      <c r="F120" s="102"/>
      <c r="G120" s="102"/>
      <c r="H120" s="102"/>
      <c r="I120" s="102"/>
      <c r="J120" s="33">
        <f>ROUND(SUM(J121:J122),2)</f>
        <v>96.76</v>
      </c>
    </row>
    <row r="121" spans="1:10" ht="14.25" customHeight="1">
      <c r="A121" s="94"/>
      <c r="B121" s="128"/>
      <c r="C121" s="79" t="s">
        <v>1633</v>
      </c>
      <c r="D121" s="96"/>
      <c r="E121" s="82"/>
      <c r="F121" s="34"/>
      <c r="G121" s="82"/>
      <c r="H121" s="135" t="s">
        <v>1619</v>
      </c>
      <c r="I121" s="135" t="s">
        <v>1620</v>
      </c>
      <c r="J121" s="120"/>
    </row>
    <row r="122" spans="1:10" ht="14.25">
      <c r="A122" s="94"/>
      <c r="B122" s="128"/>
      <c r="C122" s="131" t="s">
        <v>1650</v>
      </c>
      <c r="D122" s="94"/>
      <c r="E122" s="94"/>
      <c r="F122" s="134"/>
      <c r="G122" s="94"/>
      <c r="H122" s="136">
        <v>0.05</v>
      </c>
      <c r="I122" s="136">
        <f>J115</f>
        <v>1935.14</v>
      </c>
      <c r="J122" s="120">
        <f t="shared" ref="J122" si="6">ROUND(PRODUCT(E122:I122),2)</f>
        <v>96.76</v>
      </c>
    </row>
    <row r="123" spans="1:10" ht="14.25" customHeight="1">
      <c r="A123" s="498"/>
      <c r="B123" s="499"/>
      <c r="C123" s="499"/>
      <c r="D123" s="499"/>
      <c r="E123" s="499"/>
      <c r="F123" s="499"/>
      <c r="G123" s="499"/>
      <c r="H123" s="499"/>
      <c r="I123" s="499"/>
      <c r="J123" s="500"/>
    </row>
    <row r="124" spans="1:10" ht="38.25">
      <c r="A124" s="99" t="str">
        <f>'[3]Planilha Orçamentária'!A40</f>
        <v>1.1.5.10</v>
      </c>
      <c r="B124" s="48" t="str">
        <f>VLOOKUP(A124,'[3]Planilha Orçamentária'!A:K,2,0)</f>
        <v>COMP-10034101</v>
      </c>
      <c r="C124" s="100" t="str">
        <f>VLOOKUP(A124,'[3]Planilha Orçamentária'!A:K,3,0)</f>
        <v>CARGA, MANOBRAS E DESCARGA DE MISTURA BETUMINOSA A QUENTE, COM CAMINHAO BASCULANTE 6 M3, DESCARGA EM VIBRO-ACABADORA</v>
      </c>
      <c r="D124" s="101" t="str">
        <f>VLOOKUP(A124,'[3]Planilha Orçamentária'!A:K,4,0)</f>
        <v>M3</v>
      </c>
      <c r="E124" s="100"/>
      <c r="F124" s="102"/>
      <c r="G124" s="102"/>
      <c r="H124" s="102"/>
      <c r="I124" s="102"/>
      <c r="J124" s="33">
        <f>ROUND(SUM(J125:J126),2)</f>
        <v>96.76</v>
      </c>
    </row>
    <row r="125" spans="1:10" ht="14.25" customHeight="1">
      <c r="A125" s="94"/>
      <c r="B125" s="128"/>
      <c r="C125" s="126"/>
      <c r="D125" s="31"/>
      <c r="E125" s="30"/>
      <c r="F125" s="34"/>
      <c r="G125" s="32"/>
      <c r="H125" s="32"/>
      <c r="I125" s="135" t="s">
        <v>1623</v>
      </c>
      <c r="J125" s="120"/>
    </row>
    <row r="126" spans="1:10" ht="14.25" customHeight="1">
      <c r="A126" s="94"/>
      <c r="B126" s="128"/>
      <c r="C126" s="139" t="s">
        <v>1651</v>
      </c>
      <c r="D126" s="129"/>
      <c r="E126" s="129"/>
      <c r="F126" s="140"/>
      <c r="G126" s="129"/>
      <c r="H126" s="129"/>
      <c r="I126" s="141">
        <f>J120</f>
        <v>96.76</v>
      </c>
      <c r="J126" s="120">
        <f t="shared" ref="J126" si="7">ROUND(PRODUCT(E126:I126),2)</f>
        <v>96.76</v>
      </c>
    </row>
    <row r="127" spans="1:10" ht="14.25" customHeight="1">
      <c r="A127" s="498"/>
      <c r="B127" s="499"/>
      <c r="C127" s="499"/>
      <c r="D127" s="499"/>
      <c r="E127" s="499"/>
      <c r="F127" s="499"/>
      <c r="G127" s="499"/>
      <c r="H127" s="499"/>
      <c r="I127" s="499"/>
      <c r="J127" s="500"/>
    </row>
    <row r="128" spans="1:10" ht="25.5">
      <c r="A128" s="99" t="str">
        <f>'[3]Planilha Orçamentária'!A41</f>
        <v>1.1.5.11</v>
      </c>
      <c r="B128" s="48" t="str">
        <f>VLOOKUP(A128,'[3]Planilha Orçamentária'!A:K,2,0)</f>
        <v>CP-95303-56931542</v>
      </c>
      <c r="C128" s="100" t="str">
        <f>VLOOKUP(A128,'[3]Planilha Orçamentária'!A:K,3,0)</f>
        <v>TRANSPORTE COM CAMINHÃO BASCULANTE 10 M3 DE MASSA ASFALTICA PARA PAVIMENTAÇÃO URBANA</v>
      </c>
      <c r="D128" s="101" t="str">
        <f>VLOOKUP(A128,'[3]Planilha Orçamentária'!A:K,4,0)</f>
        <v>M3XKM</v>
      </c>
      <c r="E128" s="100"/>
      <c r="F128" s="102"/>
      <c r="G128" s="102"/>
      <c r="H128" s="102"/>
      <c r="I128" s="102"/>
      <c r="J128" s="33">
        <f>ROUND(SUM(J129:J130),2)</f>
        <v>1722.33</v>
      </c>
    </row>
    <row r="129" spans="1:10" ht="14.25" customHeight="1">
      <c r="A129" s="94"/>
      <c r="B129" s="128"/>
      <c r="C129" s="79" t="s">
        <v>1652</v>
      </c>
      <c r="D129" s="31"/>
      <c r="E129" s="86" t="s">
        <v>1627</v>
      </c>
      <c r="F129" s="34"/>
      <c r="G129" s="34"/>
      <c r="H129" s="34"/>
      <c r="I129" s="34" t="s">
        <v>1623</v>
      </c>
      <c r="J129" s="120"/>
    </row>
    <row r="130" spans="1:10" ht="14.25" customHeight="1">
      <c r="A130" s="94"/>
      <c r="B130" s="128"/>
      <c r="C130" s="126" t="s">
        <v>1653</v>
      </c>
      <c r="D130" s="94"/>
      <c r="E130" s="141">
        <v>17.8</v>
      </c>
      <c r="F130" s="134"/>
      <c r="G130" s="94"/>
      <c r="H130" s="94"/>
      <c r="I130" s="136">
        <f>J124</f>
        <v>96.76</v>
      </c>
      <c r="J130" s="120">
        <f t="shared" ref="J130" si="8">ROUND(PRODUCT(E130:I130),2)</f>
        <v>1722.33</v>
      </c>
    </row>
    <row r="131" spans="1:10" ht="14.25" customHeight="1">
      <c r="A131" s="498"/>
      <c r="B131" s="499"/>
      <c r="C131" s="499"/>
      <c r="D131" s="499"/>
      <c r="E131" s="499"/>
      <c r="F131" s="499"/>
      <c r="G131" s="499"/>
      <c r="H131" s="499"/>
      <c r="I131" s="499"/>
      <c r="J131" s="500"/>
    </row>
    <row r="132" spans="1:10" ht="25.5">
      <c r="A132" s="99" t="str">
        <f>'[3]Planilha Orçamentária'!A42</f>
        <v>1.1.5.12</v>
      </c>
      <c r="B132" s="48" t="str">
        <f>VLOOKUP(A132,'[3]Planilha Orçamentária'!A:K,2,0)</f>
        <v>CP-97084-89637704</v>
      </c>
      <c r="C132" s="100" t="str">
        <f>VLOOKUP(A132,'[3]Planilha Orçamentária'!A:K,3,0)</f>
        <v>REGULARIZACAO E COMPACTAÇÃO MANUAL DE TERRENO COM PLACA VIBRATÓRIA</v>
      </c>
      <c r="D132" s="101" t="str">
        <f>VLOOKUP(A132,'[3]Planilha Orçamentária'!A:K,4,0)</f>
        <v>M2</v>
      </c>
      <c r="E132" s="100"/>
      <c r="F132" s="102"/>
      <c r="G132" s="102"/>
      <c r="H132" s="102"/>
      <c r="I132" s="102"/>
      <c r="J132" s="33">
        <f>ROUND(SUM(J133:J134),2)</f>
        <v>1897.96</v>
      </c>
    </row>
    <row r="133" spans="1:10" ht="14.25" customHeight="1">
      <c r="A133" s="94"/>
      <c r="B133" s="128"/>
      <c r="C133" s="79" t="s">
        <v>1633</v>
      </c>
      <c r="D133" s="96"/>
      <c r="E133" s="82"/>
      <c r="F133" s="34"/>
      <c r="G133" s="82"/>
      <c r="H133" s="82"/>
      <c r="I133" s="135" t="s">
        <v>1620</v>
      </c>
      <c r="J133" s="120"/>
    </row>
    <row r="134" spans="1:10" ht="14.25" customHeight="1">
      <c r="A134" s="94"/>
      <c r="B134" s="128"/>
      <c r="C134" s="142" t="s">
        <v>1654</v>
      </c>
      <c r="D134" s="94"/>
      <c r="E134" s="94"/>
      <c r="F134" s="134"/>
      <c r="G134" s="135"/>
      <c r="H134" s="135"/>
      <c r="I134" s="143">
        <f>[3]PARÂMETROS!F32</f>
        <v>1897.96</v>
      </c>
      <c r="J134" s="120">
        <f t="shared" ref="J134" si="9">ROUND(PRODUCT(E134:I134),2)</f>
        <v>1897.96</v>
      </c>
    </row>
    <row r="135" spans="1:10" ht="14.25" customHeight="1">
      <c r="A135" s="498"/>
      <c r="B135" s="499"/>
      <c r="C135" s="499"/>
      <c r="D135" s="499"/>
      <c r="E135" s="499"/>
      <c r="F135" s="499"/>
      <c r="G135" s="499"/>
      <c r="H135" s="499"/>
      <c r="I135" s="499"/>
      <c r="J135" s="500"/>
    </row>
    <row r="136" spans="1:10" ht="51">
      <c r="A136" s="99" t="str">
        <f>'[3]Planilha Orçamentária'!A43</f>
        <v>1.1.5.13</v>
      </c>
      <c r="B136" s="48" t="str">
        <f>VLOOKUP(A136,'[3]Planilha Orçamentária'!A:K,2,0)</f>
        <v>CP-94991-12549457</v>
      </c>
      <c r="C136" s="100" t="str">
        <f>VLOOKUP(A136,'[3]Planilha Orçamentária'!A:K,3,0)</f>
        <v>EXECUÇÃO DE PASSEIO (CALÇADA) OU PISO DE CONCRETO COM CONCRETO MOLDADO IN LOCO, USINADO, ACABAMENTO CONVENCIONAL, NÃO ARMADO - EXCLUINDO O CONCRETO USINADO 20MPA</v>
      </c>
      <c r="D136" s="101" t="str">
        <f>VLOOKUP(A136,'[3]Planilha Orçamentária'!A:K,4,0)</f>
        <v>M3</v>
      </c>
      <c r="E136" s="100"/>
      <c r="F136" s="102"/>
      <c r="G136" s="102"/>
      <c r="H136" s="102"/>
      <c r="I136" s="102"/>
      <c r="J136" s="33">
        <f>ROUND(SUM(J137:J139),2)</f>
        <v>127.65</v>
      </c>
    </row>
    <row r="137" spans="1:10" ht="14.25" customHeight="1">
      <c r="A137" s="94"/>
      <c r="B137" s="128"/>
      <c r="C137" s="79" t="s">
        <v>1633</v>
      </c>
      <c r="D137" s="96"/>
      <c r="E137" s="82"/>
      <c r="F137" s="34"/>
      <c r="G137" s="82"/>
      <c r="H137" s="34" t="s">
        <v>1619</v>
      </c>
      <c r="I137" s="34" t="s">
        <v>1620</v>
      </c>
      <c r="J137" s="120"/>
    </row>
    <row r="138" spans="1:10" ht="14.25" customHeight="1">
      <c r="A138" s="94"/>
      <c r="B138" s="128"/>
      <c r="C138" s="142" t="s">
        <v>1654</v>
      </c>
      <c r="D138" s="94"/>
      <c r="E138" s="94"/>
      <c r="F138" s="134"/>
      <c r="G138" s="135"/>
      <c r="H138" s="135">
        <v>7.0000000000000007E-2</v>
      </c>
      <c r="I138" s="143">
        <f>J132</f>
        <v>1897.96</v>
      </c>
      <c r="J138" s="120">
        <f t="shared" ref="J138:J139" si="10">ROUND(PRODUCT(E138:I138),2)</f>
        <v>132.86000000000001</v>
      </c>
    </row>
    <row r="139" spans="1:10" ht="14.25" customHeight="1">
      <c r="A139" s="94"/>
      <c r="B139" s="128"/>
      <c r="C139" s="73" t="s">
        <v>1655</v>
      </c>
      <c r="D139" s="94"/>
      <c r="E139" s="94">
        <v>-1</v>
      </c>
      <c r="F139" s="134"/>
      <c r="G139" s="135"/>
      <c r="H139" s="135">
        <v>7.0000000000000007E-2</v>
      </c>
      <c r="I139" s="143">
        <f>J217</f>
        <v>74.47</v>
      </c>
      <c r="J139" s="120">
        <f t="shared" si="10"/>
        <v>-5.21</v>
      </c>
    </row>
    <row r="140" spans="1:10" ht="14.25" customHeight="1">
      <c r="A140" s="498"/>
      <c r="B140" s="499"/>
      <c r="C140" s="499"/>
      <c r="D140" s="499"/>
      <c r="E140" s="499"/>
      <c r="F140" s="499"/>
      <c r="G140" s="499"/>
      <c r="H140" s="499"/>
      <c r="I140" s="499"/>
      <c r="J140" s="500"/>
    </row>
    <row r="141" spans="1:10" ht="63.75">
      <c r="A141" s="99" t="str">
        <f>'[3]Planilha Orçamentária'!A44</f>
        <v>1.1.5.14</v>
      </c>
      <c r="B141" s="48">
        <f>VLOOKUP(A141,'[3]Planilha Orçamentária'!A:K,2,0)</f>
        <v>94273</v>
      </c>
      <c r="C141" s="100" t="str">
        <f>VLOOKUP(A141,'[3]Planilha Orçamentária'!A:K,3,0)</f>
        <v>ASSENTAMENTO DE GUIA (MEIO-FIO) EM TRECHO RETO, CONFECCIONADA EM CONCRETO PRÉ-FABRICADO, DIMENSÕES 100X15X13X30 CM (COMPRIMENTO X BASE INFERIOR X BASE SUPERIOR X ALTURA), PARA VIAS URBANAS (USO VIÁRIO). AF_06/2016</v>
      </c>
      <c r="D141" s="101" t="str">
        <f>VLOOKUP(A141,'[3]Planilha Orçamentária'!A:K,4,0)</f>
        <v>M</v>
      </c>
      <c r="E141" s="100"/>
      <c r="F141" s="102"/>
      <c r="G141" s="102"/>
      <c r="H141" s="102"/>
      <c r="I141" s="102"/>
      <c r="J141" s="33">
        <f>ROUND(SUM(J142:J144),2)</f>
        <v>749.93</v>
      </c>
    </row>
    <row r="142" spans="1:10" ht="14.25" customHeight="1">
      <c r="A142" s="94"/>
      <c r="B142" s="128"/>
      <c r="C142" s="79" t="s">
        <v>1633</v>
      </c>
      <c r="D142" s="96"/>
      <c r="E142" s="82"/>
      <c r="F142" s="34" t="s">
        <v>1606</v>
      </c>
      <c r="G142" s="82"/>
      <c r="H142" s="82"/>
      <c r="I142" s="82"/>
      <c r="J142" s="120"/>
    </row>
    <row r="143" spans="1:10">
      <c r="A143" s="94"/>
      <c r="B143" s="128"/>
      <c r="C143" s="144" t="s">
        <v>1656</v>
      </c>
      <c r="D143" s="96"/>
      <c r="E143" s="82"/>
      <c r="F143" s="34">
        <f>[3]PARÂMETROS!B26</f>
        <v>722.22</v>
      </c>
      <c r="G143" s="82"/>
      <c r="H143" s="82"/>
      <c r="I143" s="82"/>
      <c r="J143" s="120">
        <f t="shared" ref="J143:J144" si="11">ROUND(PRODUCT(E143:I143),2)</f>
        <v>722.22</v>
      </c>
    </row>
    <row r="144" spans="1:10">
      <c r="A144" s="94"/>
      <c r="B144" s="128"/>
      <c r="C144" s="145" t="s">
        <v>1657</v>
      </c>
      <c r="D144" s="96"/>
      <c r="E144" s="82"/>
      <c r="F144" s="34">
        <f>[3]PARÂMETROS!B27</f>
        <v>27.71</v>
      </c>
      <c r="G144" s="82"/>
      <c r="H144" s="82"/>
      <c r="I144" s="82"/>
      <c r="J144" s="120">
        <f t="shared" si="11"/>
        <v>27.71</v>
      </c>
    </row>
    <row r="145" spans="1:10" ht="14.25" customHeight="1">
      <c r="A145" s="498"/>
      <c r="B145" s="499"/>
      <c r="C145" s="499"/>
      <c r="D145" s="499"/>
      <c r="E145" s="499"/>
      <c r="F145" s="499"/>
      <c r="G145" s="499"/>
      <c r="H145" s="499"/>
      <c r="I145" s="499"/>
      <c r="J145" s="500"/>
    </row>
    <row r="146" spans="1:10" ht="76.5">
      <c r="A146" s="99" t="str">
        <f>'[3]Planilha Orçamentária'!A45</f>
        <v>1.1.5.15</v>
      </c>
      <c r="B146" s="48">
        <f>VLOOKUP(A146,'[3]Planilha Orçamentária'!A:K,2,0)</f>
        <v>94275</v>
      </c>
      <c r="C146" s="100" t="str">
        <f>VLOOKUP(A146,'[3]Planilha Orçamentária'!A:K,3,0)</f>
        <v>ASSENTAMENTO DE GUIA (MEIO-FIO) EM TRECHO RETO, CONFECCIONADA EM CONCRETO PRÉ-FABRICADO, DIMENSÕES 100X15X13X20 CM (COMPRIMENTO X BASE INFERIOR X BASE SUPERIOR X ALTURA), PARA URBANIZAÇÃO INTERNA DE EMPREENDIMENTOS. AF_06/2016_P</v>
      </c>
      <c r="D146" s="101" t="str">
        <f>VLOOKUP(A146,'[3]Planilha Orçamentária'!A:K,4,0)</f>
        <v>M</v>
      </c>
      <c r="E146" s="100"/>
      <c r="F146" s="102"/>
      <c r="G146" s="102"/>
      <c r="H146" s="102"/>
      <c r="I146" s="102"/>
      <c r="J146" s="33">
        <f>ROUND(SUM(J147:J148),2)</f>
        <v>147</v>
      </c>
    </row>
    <row r="147" spans="1:10" ht="14.25" customHeight="1">
      <c r="A147" s="94"/>
      <c r="B147" s="128"/>
      <c r="C147" s="79" t="s">
        <v>1633</v>
      </c>
      <c r="D147" s="96"/>
      <c r="E147" s="82"/>
      <c r="F147" s="34" t="s">
        <v>1606</v>
      </c>
      <c r="G147" s="82"/>
      <c r="H147" s="82"/>
      <c r="I147" s="82"/>
      <c r="J147" s="120"/>
    </row>
    <row r="148" spans="1:10" ht="14.25" customHeight="1">
      <c r="A148" s="94"/>
      <c r="B148" s="128"/>
      <c r="C148" s="145" t="s">
        <v>1658</v>
      </c>
      <c r="D148" s="96"/>
      <c r="E148" s="82"/>
      <c r="F148" s="34">
        <f>[3]PARÂMETROS!B31</f>
        <v>147</v>
      </c>
      <c r="G148" s="82"/>
      <c r="H148" s="82"/>
      <c r="I148" s="82"/>
      <c r="J148" s="120">
        <f t="shared" ref="J148" si="12">ROUND(PRODUCT(E148:I148),2)</f>
        <v>147</v>
      </c>
    </row>
    <row r="149" spans="1:10" ht="14.25" customHeight="1">
      <c r="A149" s="498"/>
      <c r="B149" s="499"/>
      <c r="C149" s="499"/>
      <c r="D149" s="499"/>
      <c r="E149" s="499"/>
      <c r="F149" s="499"/>
      <c r="G149" s="499"/>
      <c r="H149" s="499"/>
      <c r="I149" s="499"/>
      <c r="J149" s="500"/>
    </row>
    <row r="150" spans="1:10" ht="38.25">
      <c r="A150" s="99" t="str">
        <f>'[3]Planilha Orçamentária'!A46</f>
        <v>1.1.5.16</v>
      </c>
      <c r="B150" s="48">
        <f>VLOOKUP(A150,'[3]Planilha Orçamentária'!A:K,2,0)</f>
        <v>94287</v>
      </c>
      <c r="C150" s="100" t="str">
        <f>VLOOKUP(A150,'[3]Planilha Orçamentária'!A:K,3,0)</f>
        <v>EXECUÇÃO DE SARJETA DE CONCRETO USINADO, MOLDADA  IN LOCO  EM TRECHO RETO, 30 CM BASE X 10 CM ALTURA. AF_06/2016</v>
      </c>
      <c r="D150" s="101" t="str">
        <f>VLOOKUP(A150,'[3]Planilha Orçamentária'!A:K,4,0)</f>
        <v>M</v>
      </c>
      <c r="E150" s="100"/>
      <c r="F150" s="102"/>
      <c r="G150" s="102"/>
      <c r="H150" s="102"/>
      <c r="I150" s="102"/>
      <c r="J150" s="33">
        <f>ROUND(SUM(J151:J152),2)</f>
        <v>715.92</v>
      </c>
    </row>
    <row r="151" spans="1:10" ht="14.25" customHeight="1">
      <c r="A151" s="94"/>
      <c r="B151" s="128"/>
      <c r="C151" s="79" t="s">
        <v>1633</v>
      </c>
      <c r="D151" s="96"/>
      <c r="E151" s="82"/>
      <c r="F151" s="34" t="s">
        <v>1606</v>
      </c>
      <c r="G151" s="82"/>
      <c r="H151" s="82"/>
      <c r="I151" s="82"/>
      <c r="J151" s="120"/>
    </row>
    <row r="152" spans="1:10" ht="25.5">
      <c r="A152" s="94"/>
      <c r="B152" s="128"/>
      <c r="C152" s="79" t="s">
        <v>1659</v>
      </c>
      <c r="D152" s="96"/>
      <c r="E152" s="82"/>
      <c r="F152" s="121">
        <f>((5*20)+(20-5.32)+(12.12))+((20-5.23)+(4*20)+(10.17))+((20-16.62)+(6*20)+(2.84))</f>
        <v>357.96000000000004</v>
      </c>
      <c r="G152" s="82">
        <v>2</v>
      </c>
      <c r="H152" s="82"/>
      <c r="I152" s="82"/>
      <c r="J152" s="120">
        <f t="shared" ref="J152" si="13">ROUND(PRODUCT(E152:I152),2)</f>
        <v>715.92</v>
      </c>
    </row>
    <row r="153" spans="1:10" ht="14.25" customHeight="1">
      <c r="A153" s="498"/>
      <c r="B153" s="499"/>
      <c r="C153" s="499"/>
      <c r="D153" s="499"/>
      <c r="E153" s="499"/>
      <c r="F153" s="499"/>
      <c r="G153" s="499"/>
      <c r="H153" s="499"/>
      <c r="I153" s="499"/>
      <c r="J153" s="500"/>
    </row>
    <row r="154" spans="1:10" ht="25.5">
      <c r="A154" s="99" t="str">
        <f>'[3]Planilha Orçamentária'!A47</f>
        <v>1.1.5.17</v>
      </c>
      <c r="B154" s="48">
        <f>VLOOKUP(A154,'[3]Planilha Orçamentária'!A:K,2,0)</f>
        <v>98511</v>
      </c>
      <c r="C154" s="100" t="str">
        <f>VLOOKUP(A154,'[3]Planilha Orçamentária'!A:K,3,0)</f>
        <v>PLANTIO DE ÁRVORE ORNAMENTAL COM ALTURA DE MUDA MAIOR QUE 2,00 M E MENOR OU IGUAL A 4,00 M. AF_05/2018</v>
      </c>
      <c r="D154" s="101" t="str">
        <f>VLOOKUP(A154,'[3]Planilha Orçamentária'!A:K,4,0)</f>
        <v>UN</v>
      </c>
      <c r="E154" s="100"/>
      <c r="F154" s="102"/>
      <c r="G154" s="102"/>
      <c r="H154" s="102"/>
      <c r="I154" s="102"/>
      <c r="J154" s="33">
        <f>ROUND(SUM(J155:J156),2)</f>
        <v>21</v>
      </c>
    </row>
    <row r="155" spans="1:10" ht="14.25" customHeight="1">
      <c r="A155" s="94"/>
      <c r="B155" s="128"/>
      <c r="C155" s="79" t="s">
        <v>1633</v>
      </c>
      <c r="D155" s="96"/>
      <c r="E155" s="82"/>
      <c r="F155" s="34"/>
      <c r="G155" s="82"/>
      <c r="H155" s="82"/>
      <c r="I155" s="82" t="s">
        <v>1660</v>
      </c>
      <c r="J155" s="120"/>
    </row>
    <row r="156" spans="1:10" ht="14.25" customHeight="1">
      <c r="A156" s="94"/>
      <c r="B156" s="128"/>
      <c r="C156" s="126" t="s">
        <v>1661</v>
      </c>
      <c r="D156" s="96"/>
      <c r="E156" s="82"/>
      <c r="F156" s="34"/>
      <c r="G156" s="82"/>
      <c r="H156" s="82"/>
      <c r="I156" s="82">
        <v>21</v>
      </c>
      <c r="J156" s="120">
        <f t="shared" ref="J156" si="14">ROUND(PRODUCT(E156:I156),2)</f>
        <v>21</v>
      </c>
    </row>
    <row r="157" spans="1:10" ht="14.25" customHeight="1">
      <c r="A157" s="498"/>
      <c r="B157" s="499"/>
      <c r="C157" s="499"/>
      <c r="D157" s="499"/>
      <c r="E157" s="499"/>
      <c r="F157" s="499"/>
      <c r="G157" s="499"/>
      <c r="H157" s="499"/>
      <c r="I157" s="499"/>
      <c r="J157" s="500"/>
    </row>
    <row r="158" spans="1:10" ht="25.5" customHeight="1">
      <c r="A158" s="99" t="str">
        <f>'[3]Planilha Orçamentária'!A48</f>
        <v>1.1.5.18</v>
      </c>
      <c r="B158" s="48">
        <f>VLOOKUP(A158,'[3]Planilha Orçamentária'!A:K,2,0)</f>
        <v>98504</v>
      </c>
      <c r="C158" s="100" t="str">
        <f>VLOOKUP(A158,'[3]Planilha Orçamentária'!A:K,3,0)</f>
        <v>PLANTIO DE GRAMA BATATAIS EM PLACAS. AF_05/2018</v>
      </c>
      <c r="D158" s="101" t="str">
        <f>VLOOKUP(A158,'[3]Planilha Orçamentária'!A:K,4,0)</f>
        <v>M2</v>
      </c>
      <c r="E158" s="100"/>
      <c r="F158" s="102"/>
      <c r="G158" s="102"/>
      <c r="H158" s="102"/>
      <c r="I158" s="102"/>
      <c r="J158" s="33">
        <f>ROUND(SUM(J159:J160),2)</f>
        <v>105</v>
      </c>
    </row>
    <row r="159" spans="1:10" ht="14.25" customHeight="1">
      <c r="A159" s="94"/>
      <c r="B159" s="128"/>
      <c r="C159" s="79" t="s">
        <v>1633</v>
      </c>
      <c r="D159" s="96"/>
      <c r="E159" s="82"/>
      <c r="F159" s="34"/>
      <c r="G159" s="82"/>
      <c r="H159" s="82"/>
      <c r="I159" s="82" t="s">
        <v>1620</v>
      </c>
      <c r="J159" s="120"/>
    </row>
    <row r="160" spans="1:10" ht="14.25" customHeight="1">
      <c r="A160" s="94"/>
      <c r="B160" s="128"/>
      <c r="C160" s="126" t="s">
        <v>1661</v>
      </c>
      <c r="D160" s="96"/>
      <c r="E160" s="82"/>
      <c r="F160" s="34"/>
      <c r="G160" s="82"/>
      <c r="H160" s="82"/>
      <c r="I160" s="82">
        <v>105</v>
      </c>
      <c r="J160" s="120">
        <f t="shared" ref="J160" si="15">ROUND(PRODUCT(E160:I160),2)</f>
        <v>105</v>
      </c>
    </row>
    <row r="161" spans="1:10" ht="14.25" customHeight="1">
      <c r="A161" s="498"/>
      <c r="B161" s="499"/>
      <c r="C161" s="499"/>
      <c r="D161" s="499"/>
      <c r="E161" s="499"/>
      <c r="F161" s="499"/>
      <c r="G161" s="499"/>
      <c r="H161" s="499"/>
      <c r="I161" s="499"/>
      <c r="J161" s="500"/>
    </row>
    <row r="162" spans="1:10" ht="14.25" customHeight="1">
      <c r="A162" s="19" t="str">
        <f>'[3]Planilha Orçamentária'!A49</f>
        <v>1.1.6</v>
      </c>
      <c r="B162" s="20"/>
      <c r="C162" s="21" t="str">
        <f>VLOOKUP(A162,'[3]Planilha Orçamentária'!A:K,3,0)</f>
        <v>DRENAGEM</v>
      </c>
      <c r="D162" s="21"/>
      <c r="E162" s="39"/>
      <c r="F162" s="40"/>
      <c r="G162" s="40"/>
      <c r="H162" s="40"/>
      <c r="I162" s="40"/>
      <c r="J162" s="41"/>
    </row>
    <row r="163" spans="1:10" ht="25.5">
      <c r="A163" s="112" t="str">
        <f>'[3]Planilha Orçamentária'!A50</f>
        <v>1.1.6.1</v>
      </c>
      <c r="B163" s="146">
        <f>VLOOKUP(A163,'[3]Planilha Orçamentária'!A:K,2,0)</f>
        <v>93358</v>
      </c>
      <c r="C163" s="147" t="str">
        <f>VLOOKUP(A163,'[3]Planilha Orçamentária'!A:K,3,0)</f>
        <v>ESCAVAÇÃO MANUAL DE VALA COM PROFUNDIDADE MENOR OU IGUAL A 1,30 M. AF_02/2021</v>
      </c>
      <c r="D163" s="148" t="str">
        <f>VLOOKUP(A163,'[3]Planilha Orçamentária'!A:K,4,0)</f>
        <v>M3</v>
      </c>
      <c r="E163" s="149"/>
      <c r="F163" s="150"/>
      <c r="G163" s="150"/>
      <c r="H163" s="150"/>
      <c r="I163" s="150"/>
      <c r="J163" s="151">
        <f>ROUND(SUM(J164:J166),2)</f>
        <v>0.99</v>
      </c>
    </row>
    <row r="164" spans="1:10" ht="14.25" customHeight="1">
      <c r="A164" s="152"/>
      <c r="B164" s="153"/>
      <c r="C164" s="154" t="s">
        <v>1662</v>
      </c>
      <c r="D164" s="31"/>
      <c r="E164" s="155"/>
      <c r="F164" s="156" t="s">
        <v>1606</v>
      </c>
      <c r="G164" s="156" t="s">
        <v>1607</v>
      </c>
      <c r="H164" s="156" t="s">
        <v>1663</v>
      </c>
      <c r="I164" s="155"/>
      <c r="J164" s="157"/>
    </row>
    <row r="165" spans="1:10" ht="14.25" customHeight="1">
      <c r="A165" s="152"/>
      <c r="B165" s="153"/>
      <c r="C165" s="131" t="s">
        <v>1664</v>
      </c>
      <c r="D165" s="158"/>
      <c r="E165" s="159"/>
      <c r="F165" s="156">
        <v>30.81</v>
      </c>
      <c r="G165" s="156">
        <v>0.4</v>
      </c>
      <c r="H165" s="156">
        <f>0.16-0.08</f>
        <v>0.08</v>
      </c>
      <c r="I165" s="160"/>
      <c r="J165" s="58">
        <f>ROUND(PRODUCT(E165:I165),2)</f>
        <v>0.99</v>
      </c>
    </row>
    <row r="166" spans="1:10" ht="14.25" customHeight="1">
      <c r="A166" s="509"/>
      <c r="B166" s="510"/>
      <c r="C166" s="510"/>
      <c r="D166" s="510"/>
      <c r="E166" s="510"/>
      <c r="F166" s="510"/>
      <c r="G166" s="510"/>
      <c r="H166" s="510"/>
      <c r="I166" s="510"/>
      <c r="J166" s="510"/>
    </row>
    <row r="167" spans="1:10" ht="38.25">
      <c r="A167" s="112" t="str">
        <f>'[3]Planilha Orçamentária'!A51</f>
        <v>1.1.6.2</v>
      </c>
      <c r="B167" s="146">
        <f>VLOOKUP(A167,'[3]Planilha Orçamentária'!A:K,2,0)</f>
        <v>94974</v>
      </c>
      <c r="C167" s="147" t="str">
        <f>VLOOKUP(A167,'[3]Planilha Orçamentária'!A:K,3,0)</f>
        <v>CONCRETO MAGRO PARA LASTRO, TRAÇO 1:4,5:4,5 (EM MASSA SECA DE CIMENTO/ AREIA MÉDIA/ BRITA 1) - PREPARO MANUAL. AF_05/2021</v>
      </c>
      <c r="D167" s="148" t="str">
        <f>VLOOKUP(A167,'[3]Planilha Orçamentária'!A:K,4,0)</f>
        <v>M3</v>
      </c>
      <c r="E167" s="149"/>
      <c r="F167" s="150"/>
      <c r="G167" s="150"/>
      <c r="H167" s="150"/>
      <c r="I167" s="150"/>
      <c r="J167" s="151">
        <f>ROUND(SUM(J168:J170),2)</f>
        <v>0.62</v>
      </c>
    </row>
    <row r="168" spans="1:10" ht="14.25" customHeight="1">
      <c r="A168" s="152"/>
      <c r="B168" s="153"/>
      <c r="C168" s="154" t="s">
        <v>1662</v>
      </c>
      <c r="D168" s="31"/>
      <c r="E168" s="155"/>
      <c r="F168" s="156" t="s">
        <v>1606</v>
      </c>
      <c r="G168" s="156" t="s">
        <v>1607</v>
      </c>
      <c r="H168" s="156" t="s">
        <v>1663</v>
      </c>
      <c r="I168" s="155"/>
      <c r="J168" s="157"/>
    </row>
    <row r="169" spans="1:10" ht="14.25" customHeight="1">
      <c r="A169" s="152"/>
      <c r="B169" s="153"/>
      <c r="C169" s="163" t="s">
        <v>1665</v>
      </c>
      <c r="D169" s="164"/>
      <c r="E169" s="164"/>
      <c r="F169" s="156">
        <f>F165</f>
        <v>30.81</v>
      </c>
      <c r="G169" s="156">
        <v>0.4</v>
      </c>
      <c r="H169" s="156">
        <v>0.05</v>
      </c>
      <c r="I169" s="160"/>
      <c r="J169" s="58">
        <f>ROUND(PRODUCT(E169:I169),2)</f>
        <v>0.62</v>
      </c>
    </row>
    <row r="170" spans="1:10" ht="14.25" customHeight="1">
      <c r="A170" s="509"/>
      <c r="B170" s="510"/>
      <c r="C170" s="510"/>
      <c r="D170" s="510"/>
      <c r="E170" s="510"/>
      <c r="F170" s="510"/>
      <c r="G170" s="510"/>
      <c r="H170" s="510"/>
      <c r="I170" s="510"/>
      <c r="J170" s="510"/>
    </row>
    <row r="171" spans="1:10" ht="38.25">
      <c r="A171" s="112" t="str">
        <f>'[3]Planilha Orçamentária'!A52</f>
        <v>1.1.6.3</v>
      </c>
      <c r="B171" s="146">
        <f>VLOOKUP(A171,'[3]Planilha Orçamentária'!A:K,2,0)</f>
        <v>94971</v>
      </c>
      <c r="C171" s="147" t="str">
        <f>VLOOKUP(A171,'[3]Planilha Orçamentária'!A:K,3,0)</f>
        <v>CONCRETO FCK = 25MPA, TRAÇO 1:2,3:2,7 (EM MASSA SECA DE CIMENTO/ AREIA MÉDIA/ BRITA 1) - PREPARO MECÂNICO COM BETONEIRA 600 L. AF_05/2021</v>
      </c>
      <c r="D171" s="148" t="str">
        <f>VLOOKUP(A171,'[3]Planilha Orçamentária'!A:K,4,0)</f>
        <v>M3</v>
      </c>
      <c r="E171" s="149"/>
      <c r="F171" s="150"/>
      <c r="G171" s="150"/>
      <c r="H171" s="150"/>
      <c r="I171" s="150"/>
      <c r="J171" s="151">
        <f>ROUND(SUM(J172:J174),2)</f>
        <v>0.99</v>
      </c>
    </row>
    <row r="172" spans="1:10" ht="14.25" customHeight="1">
      <c r="A172" s="152"/>
      <c r="B172" s="153"/>
      <c r="C172" s="154" t="s">
        <v>1662</v>
      </c>
      <c r="D172" s="31"/>
      <c r="E172" s="155"/>
      <c r="F172" s="156" t="s">
        <v>1606</v>
      </c>
      <c r="G172" s="156" t="s">
        <v>1607</v>
      </c>
      <c r="H172" s="156" t="s">
        <v>1663</v>
      </c>
      <c r="I172" s="155"/>
      <c r="J172" s="157"/>
    </row>
    <row r="173" spans="1:10" ht="14.25" customHeight="1">
      <c r="A173" s="152"/>
      <c r="B173" s="153"/>
      <c r="C173" s="126" t="s">
        <v>1666</v>
      </c>
      <c r="D173" s="164"/>
      <c r="E173" s="164"/>
      <c r="F173" s="156">
        <f>F165</f>
        <v>30.81</v>
      </c>
      <c r="G173" s="156">
        <v>0.4</v>
      </c>
      <c r="H173" s="156">
        <f>0.16-0.08</f>
        <v>0.08</v>
      </c>
      <c r="I173" s="160"/>
      <c r="J173" s="58">
        <f>ROUND(PRODUCT(E173:I173),2)</f>
        <v>0.99</v>
      </c>
    </row>
    <row r="174" spans="1:10" ht="14.25" customHeight="1">
      <c r="A174" s="509"/>
      <c r="B174" s="510"/>
      <c r="C174" s="510"/>
      <c r="D174" s="510"/>
      <c r="E174" s="510"/>
      <c r="F174" s="510"/>
      <c r="G174" s="510"/>
      <c r="H174" s="510"/>
      <c r="I174" s="510"/>
      <c r="J174" s="510"/>
    </row>
    <row r="175" spans="1:10" ht="25.5">
      <c r="A175" s="112" t="str">
        <f>'[3]Planilha Orçamentária'!A53</f>
        <v>1.1.6.4</v>
      </c>
      <c r="B175" s="146" t="str">
        <f>VLOOKUP(A175,'[3]Planilha Orçamentária'!A:K,2,0)</f>
        <v>CP-74157/004-48264518</v>
      </c>
      <c r="C175" s="147" t="str">
        <f>VLOOKUP(A175,'[3]Planilha Orçamentária'!A:K,3,0)</f>
        <v>LANCAMENTO/APLICACAO MANUAL DE CONCRETO EM FUNDACOES (concreto magro)</v>
      </c>
      <c r="D175" s="148" t="str">
        <f>VLOOKUP(A175,'[3]Planilha Orçamentária'!A:K,4,0)</f>
        <v>M3</v>
      </c>
      <c r="E175" s="149"/>
      <c r="F175" s="150"/>
      <c r="G175" s="150"/>
      <c r="H175" s="150"/>
      <c r="I175" s="150"/>
      <c r="J175" s="151">
        <f>ROUND(SUM(J176:J178),2)</f>
        <v>1.61</v>
      </c>
    </row>
    <row r="176" spans="1:10" ht="14.25" customHeight="1">
      <c r="A176" s="152"/>
      <c r="B176" s="153"/>
      <c r="C176" s="154" t="s">
        <v>1662</v>
      </c>
      <c r="D176" s="31"/>
      <c r="E176" s="155"/>
      <c r="F176" s="156"/>
      <c r="G176" s="156"/>
      <c r="H176" s="156"/>
      <c r="I176" s="155"/>
      <c r="J176" s="157"/>
    </row>
    <row r="177" spans="1:10" ht="14.25" customHeight="1">
      <c r="A177" s="152"/>
      <c r="B177" s="153"/>
      <c r="C177" s="165" t="s">
        <v>1667</v>
      </c>
      <c r="D177" s="164"/>
      <c r="E177" s="164"/>
      <c r="F177" s="156"/>
      <c r="G177" s="156"/>
      <c r="H177" s="156"/>
      <c r="I177" s="160">
        <f>J171+J167</f>
        <v>1.6099999999999999</v>
      </c>
      <c r="J177" s="58">
        <f>ROUND(PRODUCT(E177:I177),2)</f>
        <v>1.61</v>
      </c>
    </row>
    <row r="178" spans="1:10" ht="14.25" customHeight="1">
      <c r="A178" s="509"/>
      <c r="B178" s="510"/>
      <c r="C178" s="510"/>
      <c r="D178" s="510"/>
      <c r="E178" s="510"/>
      <c r="F178" s="510"/>
      <c r="G178" s="510"/>
      <c r="H178" s="510"/>
      <c r="I178" s="510"/>
      <c r="J178" s="510"/>
    </row>
    <row r="179" spans="1:10" ht="38.25">
      <c r="A179" s="112" t="str">
        <f>'[3]Planilha Orçamentária'!A54</f>
        <v>1.1.6.5</v>
      </c>
      <c r="B179" s="146" t="str">
        <f>VLOOKUP(A179,'[3]Planilha Orçamentária'!A:K,2,0)</f>
        <v>CP-S03639-45770834</v>
      </c>
      <c r="C179" s="147" t="str">
        <f>VLOOKUP(A179,'[3]Planilha Orçamentária'!A:K,3,0)</f>
        <v>Fornecimento e instalação de tela aço soldada nervurada CA-60, Q-283, malha 10x10cm, ferro 6.02mm (4,48 kg/m2), painel 2,45x6,0m, Telcon ou similar</v>
      </c>
      <c r="D179" s="148" t="str">
        <f>VLOOKUP(A179,'[3]Planilha Orçamentária'!A:K,4,0)</f>
        <v>M2</v>
      </c>
      <c r="E179" s="149"/>
      <c r="F179" s="150"/>
      <c r="G179" s="150"/>
      <c r="H179" s="150"/>
      <c r="I179" s="150"/>
      <c r="J179" s="151">
        <f>ROUND(SUM(J180:J182),2)</f>
        <v>12.32</v>
      </c>
    </row>
    <row r="180" spans="1:10" ht="14.25" customHeight="1">
      <c r="A180" s="152"/>
      <c r="B180" s="153"/>
      <c r="C180" s="154" t="s">
        <v>1662</v>
      </c>
      <c r="D180" s="31"/>
      <c r="E180" s="155"/>
      <c r="F180" s="156" t="s">
        <v>1606</v>
      </c>
      <c r="G180" s="156" t="s">
        <v>1607</v>
      </c>
      <c r="H180" s="156"/>
      <c r="I180" s="155"/>
      <c r="J180" s="157"/>
    </row>
    <row r="181" spans="1:10" ht="14.25" customHeight="1">
      <c r="A181" s="152"/>
      <c r="B181" s="153"/>
      <c r="C181" s="126" t="s">
        <v>1668</v>
      </c>
      <c r="D181" s="96"/>
      <c r="E181" s="82"/>
      <c r="F181" s="156">
        <f>F165</f>
        <v>30.81</v>
      </c>
      <c r="G181" s="156">
        <v>0.4</v>
      </c>
      <c r="H181" s="156"/>
      <c r="I181" s="160"/>
      <c r="J181" s="58">
        <f>ROUND(PRODUCT(E181:I181),2)</f>
        <v>12.32</v>
      </c>
    </row>
    <row r="182" spans="1:10" ht="14.25" customHeight="1">
      <c r="A182" s="509"/>
      <c r="B182" s="510"/>
      <c r="C182" s="510"/>
      <c r="D182" s="510"/>
      <c r="E182" s="510"/>
      <c r="F182" s="510"/>
      <c r="G182" s="510"/>
      <c r="H182" s="510"/>
      <c r="I182" s="510"/>
      <c r="J182" s="510"/>
    </row>
    <row r="183" spans="1:10" s="93" customFormat="1">
      <c r="A183" s="19" t="str">
        <f>'[3]Planilha Orçamentária'!A55</f>
        <v>1.1.7</v>
      </c>
      <c r="B183" s="20"/>
      <c r="C183" s="21" t="str">
        <f>VLOOKUP(A183,'[3]Planilha Orçamentária'!A:K,3,0)</f>
        <v>SINALIZAÇÃO</v>
      </c>
      <c r="D183" s="21"/>
      <c r="E183" s="39"/>
      <c r="F183" s="40"/>
      <c r="G183" s="40"/>
      <c r="H183" s="40"/>
      <c r="I183" s="40"/>
      <c r="J183" s="41"/>
    </row>
    <row r="184" spans="1:10" s="93" customFormat="1" ht="25.5">
      <c r="A184" s="28" t="str">
        <f>'[3]Planilha Orçamentária'!A56</f>
        <v>1.1.7.1</v>
      </c>
      <c r="B184" s="42">
        <f>VLOOKUP(A184,'[3]Planilha Orçamentária'!A:K,2,0)</f>
        <v>5213416</v>
      </c>
      <c r="C184" s="166" t="str">
        <f>VLOOKUP(A184,'[3]Planilha Orçamentária'!A:K,3,0)</f>
        <v>Confecção de placa em aço nº 16 galvanizado, com película tipo I + I</v>
      </c>
      <c r="D184" s="31" t="str">
        <f>VLOOKUP(A184,'[3]Planilha Orçamentária'!A:K,4,0)</f>
        <v xml:space="preserve">M2    </v>
      </c>
      <c r="E184" s="30"/>
      <c r="F184" s="32"/>
      <c r="G184" s="32"/>
      <c r="H184" s="32"/>
      <c r="I184" s="32"/>
      <c r="J184" s="151">
        <f>ROUND(SUM(J185:J186),2)</f>
        <v>3</v>
      </c>
    </row>
    <row r="185" spans="1:10" s="93" customFormat="1" ht="25.5">
      <c r="A185" s="152"/>
      <c r="B185" s="167"/>
      <c r="C185" s="142" t="s">
        <v>1669</v>
      </c>
      <c r="D185" s="168"/>
      <c r="E185" s="169"/>
      <c r="F185" s="170"/>
      <c r="G185" s="170"/>
      <c r="H185" s="82" t="s">
        <v>1620</v>
      </c>
      <c r="I185" s="171" t="s">
        <v>1608</v>
      </c>
      <c r="J185" s="157"/>
    </row>
    <row r="186" spans="1:10" s="93" customFormat="1">
      <c r="A186" s="152"/>
      <c r="B186" s="167"/>
      <c r="C186" s="154" t="s">
        <v>1670</v>
      </c>
      <c r="D186" s="31"/>
      <c r="E186" s="82"/>
      <c r="F186" s="32"/>
      <c r="G186" s="32"/>
      <c r="H186" s="82">
        <f>ROUNDUP(((4.828427*0.35*0.35)),2)</f>
        <v>0.6</v>
      </c>
      <c r="I186" s="82">
        <v>5</v>
      </c>
      <c r="J186" s="120">
        <f t="shared" ref="J186" si="16">ROUND(PRODUCT(E186:I186),2)</f>
        <v>3</v>
      </c>
    </row>
    <row r="187" spans="1:10" s="93" customFormat="1">
      <c r="A187" s="535"/>
      <c r="B187" s="536"/>
      <c r="C187" s="536"/>
      <c r="D187" s="536"/>
      <c r="E187" s="536"/>
      <c r="F187" s="536"/>
      <c r="G187" s="536"/>
      <c r="H187" s="536"/>
      <c r="I187" s="536"/>
      <c r="J187" s="536"/>
    </row>
    <row r="188" spans="1:10" ht="25.5">
      <c r="A188" s="28" t="str">
        <f>'[3]Planilha Orçamentária'!A57</f>
        <v>1.1.7.2</v>
      </c>
      <c r="B188" s="42">
        <f>VLOOKUP(A188,'[3]Planilha Orçamentária'!A:K,2,0)</f>
        <v>5213421</v>
      </c>
      <c r="C188" s="166" t="str">
        <f>VLOOKUP(A188,'[3]Planilha Orçamentária'!A:K,3,0)</f>
        <v>Confecção de placa em aço nº 16 galvanizado, com película tipo I + IV</v>
      </c>
      <c r="D188" s="31" t="str">
        <f>VLOOKUP(A188,'[3]Planilha Orçamentária'!A:K,4,0)</f>
        <v xml:space="preserve">M2    </v>
      </c>
      <c r="E188" s="30"/>
      <c r="F188" s="32"/>
      <c r="G188" s="32"/>
      <c r="H188" s="32"/>
      <c r="I188" s="32"/>
      <c r="J188" s="45">
        <f>ROUND(SUM(J189:J194),2)</f>
        <v>3.94</v>
      </c>
    </row>
    <row r="189" spans="1:10" ht="25.5">
      <c r="A189" s="54"/>
      <c r="B189" s="54"/>
      <c r="C189" s="142" t="s">
        <v>1669</v>
      </c>
      <c r="D189" s="174"/>
      <c r="E189" s="175"/>
      <c r="F189" s="35"/>
      <c r="G189" s="35"/>
      <c r="H189" s="82" t="s">
        <v>1620</v>
      </c>
      <c r="I189" s="171" t="s">
        <v>1608</v>
      </c>
      <c r="J189" s="58"/>
    </row>
    <row r="190" spans="1:10">
      <c r="A190" s="176"/>
      <c r="B190" s="176"/>
      <c r="C190" s="142" t="s">
        <v>1671</v>
      </c>
      <c r="D190" s="174"/>
      <c r="E190" s="35"/>
      <c r="F190" s="35"/>
      <c r="G190" s="35"/>
      <c r="H190" s="35">
        <v>0.2</v>
      </c>
      <c r="I190" s="82">
        <v>7</v>
      </c>
      <c r="J190" s="120">
        <f t="shared" ref="J190:J194" si="17">ROUND(PRODUCT(E190:I190),2)</f>
        <v>1.4</v>
      </c>
    </row>
    <row r="191" spans="1:10">
      <c r="A191" s="176"/>
      <c r="B191" s="176"/>
      <c r="C191" s="177" t="s">
        <v>1672</v>
      </c>
      <c r="D191" s="158"/>
      <c r="E191" s="116"/>
      <c r="F191" s="116"/>
      <c r="G191" s="116"/>
      <c r="H191" s="116">
        <f>0.5*0.5</f>
        <v>0.25</v>
      </c>
      <c r="I191" s="178">
        <v>1</v>
      </c>
      <c r="J191" s="120">
        <f t="shared" si="17"/>
        <v>0.25</v>
      </c>
    </row>
    <row r="192" spans="1:10">
      <c r="A192" s="176"/>
      <c r="B192" s="176"/>
      <c r="C192" s="177" t="s">
        <v>1673</v>
      </c>
      <c r="D192" s="158"/>
      <c r="E192" s="116"/>
      <c r="F192" s="116"/>
      <c r="G192" s="116"/>
      <c r="H192" s="116">
        <f>0.5*0.5</f>
        <v>0.25</v>
      </c>
      <c r="I192" s="178">
        <v>5</v>
      </c>
      <c r="J192" s="120">
        <f t="shared" si="17"/>
        <v>1.25</v>
      </c>
    </row>
    <row r="193" spans="1:10" ht="14.25">
      <c r="A193" s="176"/>
      <c r="B193" s="176"/>
      <c r="C193" s="163" t="s">
        <v>1674</v>
      </c>
      <c r="D193" s="179"/>
      <c r="E193" s="180"/>
      <c r="F193" s="181"/>
      <c r="G193" s="181"/>
      <c r="H193" s="116">
        <f>3.14*0.25^2</f>
        <v>0.19625000000000001</v>
      </c>
      <c r="I193" s="178">
        <v>4</v>
      </c>
      <c r="J193" s="120">
        <f t="shared" si="17"/>
        <v>0.79</v>
      </c>
    </row>
    <row r="194" spans="1:10" ht="14.25">
      <c r="A194" s="54"/>
      <c r="B194" s="54"/>
      <c r="C194" s="73" t="s">
        <v>1675</v>
      </c>
      <c r="D194" s="182"/>
      <c r="E194" s="183"/>
      <c r="F194" s="184"/>
      <c r="G194" s="184"/>
      <c r="H194" s="116">
        <f>0.5*0.5</f>
        <v>0.25</v>
      </c>
      <c r="I194" s="185">
        <v>1</v>
      </c>
      <c r="J194" s="120">
        <f t="shared" si="17"/>
        <v>0.25</v>
      </c>
    </row>
    <row r="195" spans="1:10">
      <c r="A195" s="507"/>
      <c r="B195" s="507"/>
      <c r="C195" s="507"/>
      <c r="D195" s="507"/>
      <c r="E195" s="507"/>
      <c r="F195" s="507"/>
      <c r="G195" s="507"/>
      <c r="H195" s="507"/>
      <c r="I195" s="507"/>
      <c r="J195" s="508"/>
    </row>
    <row r="196" spans="1:10" ht="38.25">
      <c r="A196" s="28" t="str">
        <f>'[3]Planilha Orçamentária'!A58</f>
        <v>1.1.7.3</v>
      </c>
      <c r="B196" s="42">
        <f>VLOOKUP(A196,'[3]Planilha Orçamentária'!A:K,2,0)</f>
        <v>5216111</v>
      </c>
      <c r="C196" s="166" t="str">
        <f>VLOOKUP(A196,'[3]Planilha Orçamentária'!A:K,3,0)</f>
        <v>FORNECIMENTO E IMPLANTAÇÃO DE SUPORTE E TRAVESSA PARA PLACA DE SINALIZAÇÃO EM MADEIRA DE LEI TRATADA 8 X 8 CM</v>
      </c>
      <c r="D196" s="31" t="str">
        <f>VLOOKUP(A196,'[3]Planilha Orçamentária'!A:K,4,0)</f>
        <v>UND</v>
      </c>
      <c r="E196" s="30"/>
      <c r="F196" s="32"/>
      <c r="G196" s="32"/>
      <c r="H196" s="32"/>
      <c r="I196" s="32"/>
      <c r="J196" s="45">
        <f>ROUND(SUM(J198:J198),2)</f>
        <v>14</v>
      </c>
    </row>
    <row r="197" spans="1:10">
      <c r="A197" s="112"/>
      <c r="B197" s="146"/>
      <c r="C197" s="142" t="s">
        <v>1669</v>
      </c>
      <c r="D197" s="31"/>
      <c r="E197" s="30"/>
      <c r="F197" s="32"/>
      <c r="G197" s="32"/>
      <c r="H197" s="32"/>
      <c r="I197" s="34" t="s">
        <v>1125</v>
      </c>
      <c r="J197" s="151"/>
    </row>
    <row r="198" spans="1:10">
      <c r="A198" s="176"/>
      <c r="B198" s="176"/>
      <c r="C198" s="142" t="s">
        <v>1676</v>
      </c>
      <c r="D198" s="174"/>
      <c r="E198" s="175"/>
      <c r="F198" s="35"/>
      <c r="G198" s="35"/>
      <c r="H198" s="82"/>
      <c r="I198" s="82">
        <v>14</v>
      </c>
      <c r="J198" s="188">
        <f>ROUND(PRODUCT(E198:I198),2)</f>
        <v>14</v>
      </c>
    </row>
    <row r="199" spans="1:10">
      <c r="A199" s="506"/>
      <c r="B199" s="507"/>
      <c r="C199" s="507"/>
      <c r="D199" s="507"/>
      <c r="E199" s="507"/>
      <c r="F199" s="507"/>
      <c r="G199" s="507"/>
      <c r="H199" s="507"/>
      <c r="I199" s="507"/>
      <c r="J199" s="508"/>
    </row>
    <row r="200" spans="1:10" ht="25.5">
      <c r="A200" s="112" t="str">
        <f>'[3]Planilha Orçamentária'!A59</f>
        <v>1.1.7.4</v>
      </c>
      <c r="B200" s="146" t="str">
        <f>VLOOKUP(A200,'[3]Planilha Orçamentária'!A:K,2,0)</f>
        <v>COMP-58084869</v>
      </c>
      <c r="C200" s="147" t="str">
        <f>VLOOKUP(A200,'[3]Planilha Orçamentária'!A:K,3,0)</f>
        <v>PLACA ESMALTADA PARA IDENTIFICAÇÃO NR DE RUA, DIMENSÕES 45X25CM</v>
      </c>
      <c r="D200" s="148" t="str">
        <f>VLOOKUP(A200,'[3]Planilha Orçamentária'!A:K,4,0)</f>
        <v>UND</v>
      </c>
      <c r="E200" s="149"/>
      <c r="F200" s="150"/>
      <c r="G200" s="150"/>
      <c r="H200" s="150"/>
      <c r="I200" s="150"/>
      <c r="J200" s="151">
        <f>ROUND(SUM(J201:J202),2)</f>
        <v>6</v>
      </c>
    </row>
    <row r="201" spans="1:10">
      <c r="A201" s="28"/>
      <c r="B201" s="29"/>
      <c r="C201" s="142" t="s">
        <v>1669</v>
      </c>
      <c r="D201" s="31"/>
      <c r="E201" s="30"/>
      <c r="F201" s="32"/>
      <c r="G201" s="32"/>
      <c r="H201" s="32"/>
      <c r="I201" s="34" t="s">
        <v>1125</v>
      </c>
      <c r="J201" s="33"/>
    </row>
    <row r="202" spans="1:10">
      <c r="A202" s="28"/>
      <c r="B202" s="29"/>
      <c r="C202" s="142" t="s">
        <v>1676</v>
      </c>
      <c r="D202" s="31"/>
      <c r="E202" s="30"/>
      <c r="F202" s="32"/>
      <c r="G202" s="32"/>
      <c r="H202" s="32"/>
      <c r="I202" s="82">
        <v>6</v>
      </c>
      <c r="J202" s="188">
        <f>ROUND(PRODUCT(E202:I202),2)</f>
        <v>6</v>
      </c>
    </row>
    <row r="203" spans="1:10">
      <c r="A203" s="511"/>
      <c r="B203" s="512"/>
      <c r="C203" s="512"/>
      <c r="D203" s="512"/>
      <c r="E203" s="512"/>
      <c r="F203" s="512"/>
      <c r="G203" s="512"/>
      <c r="H203" s="512"/>
      <c r="I203" s="512"/>
      <c r="J203" s="512"/>
    </row>
    <row r="204" spans="1:10" ht="38.25">
      <c r="A204" s="60" t="str">
        <f>'[3]Planilha Orçamentária'!A60</f>
        <v>1.1.7.5</v>
      </c>
      <c r="B204" s="61" t="str">
        <f>VLOOKUP(A204,'[3]Planilha Orçamentária'!A:K,2,0)</f>
        <v>CP-72947-21572945</v>
      </c>
      <c r="C204" s="190" t="str">
        <f>VLOOKUP(A204,'[3]Planilha Orçamentária'!A:K,3,0)</f>
        <v>SINALIZACAO HORIZONTAL COM TINTA RETRORREFLETIVA A BASE DE RESINA ACRILICA COM MICROESFERAS DE VIDRO</v>
      </c>
      <c r="D204" s="63" t="str">
        <f>VLOOKUP(A204,'[3]Planilha Orçamentária'!A:K,4,0)</f>
        <v>M2</v>
      </c>
      <c r="E204" s="62"/>
      <c r="F204" s="64"/>
      <c r="G204" s="64"/>
      <c r="H204" s="64"/>
      <c r="I204" s="64"/>
      <c r="J204" s="78">
        <f>ROUND(SUM(J206:J206),2)</f>
        <v>2.88</v>
      </c>
    </row>
    <row r="205" spans="1:10">
      <c r="A205" s="66"/>
      <c r="B205" s="67"/>
      <c r="C205" s="142" t="s">
        <v>1669</v>
      </c>
      <c r="D205" s="63"/>
      <c r="E205" s="62"/>
      <c r="F205" s="80"/>
      <c r="G205" s="64"/>
      <c r="H205" s="64"/>
      <c r="I205" s="34" t="s">
        <v>1620</v>
      </c>
      <c r="J205" s="78"/>
    </row>
    <row r="206" spans="1:10">
      <c r="A206" s="176"/>
      <c r="B206" s="176"/>
      <c r="C206" s="142" t="s">
        <v>1676</v>
      </c>
      <c r="D206" s="191"/>
      <c r="E206" s="192"/>
      <c r="F206" s="82"/>
      <c r="G206" s="82"/>
      <c r="H206" s="82"/>
      <c r="I206" s="82">
        <v>2.88</v>
      </c>
      <c r="J206" s="36">
        <f>ROUND(PRODUCT(E206:I206),2)</f>
        <v>2.88</v>
      </c>
    </row>
    <row r="207" spans="1:10">
      <c r="A207" s="507"/>
      <c r="B207" s="507"/>
      <c r="C207" s="507"/>
      <c r="D207" s="507"/>
      <c r="E207" s="507"/>
      <c r="F207" s="507"/>
      <c r="G207" s="507"/>
      <c r="H207" s="507"/>
      <c r="I207" s="507"/>
      <c r="J207" s="508"/>
    </row>
    <row r="208" spans="1:10" ht="51">
      <c r="A208" s="60" t="str">
        <f>'[3]Planilha Orçamentária'!A61</f>
        <v>1.1.7.6</v>
      </c>
      <c r="B208" s="61">
        <f>VLOOKUP(A208,'[3]Planilha Orçamentária'!A:K,2,0)</f>
        <v>102512</v>
      </c>
      <c r="C208" s="190" t="str">
        <f>VLOOKUP(A208,'[3]Planilha Orçamentária'!A:K,3,0)</f>
        <v>PINTURA DE EIXO VIÁRIO SOBRE ASFALTO COM TINTA RETRORREFLETIVA A BASE DE RESINA ACRÍLICA COM MICROESFERAS DE VIDRO, APLICAÇÃO MECÂNICA COM DEMARCADORA AUTOPROPELIDA. AF_05/2021</v>
      </c>
      <c r="D208" s="63" t="str">
        <f>VLOOKUP(A208,'[3]Planilha Orçamentária'!A:K,4,0)</f>
        <v>M</v>
      </c>
      <c r="E208" s="62"/>
      <c r="F208" s="64"/>
      <c r="G208" s="64"/>
      <c r="H208" s="64"/>
      <c r="I208" s="64"/>
      <c r="J208" s="78">
        <f>ROUND(SUM(J210:J210),2)</f>
        <v>945.96</v>
      </c>
    </row>
    <row r="209" spans="1:10">
      <c r="A209" s="66"/>
      <c r="B209" s="67"/>
      <c r="C209" s="142" t="s">
        <v>1669</v>
      </c>
      <c r="D209" s="63"/>
      <c r="E209" s="62"/>
      <c r="F209" s="80" t="s">
        <v>1606</v>
      </c>
      <c r="G209" s="64"/>
      <c r="H209" s="64"/>
      <c r="I209" s="34"/>
      <c r="J209" s="78"/>
    </row>
    <row r="210" spans="1:10">
      <c r="A210" s="176"/>
      <c r="B210" s="176"/>
      <c r="C210" s="142" t="s">
        <v>1676</v>
      </c>
      <c r="D210" s="191"/>
      <c r="E210" s="192"/>
      <c r="F210" s="82">
        <v>945.96</v>
      </c>
      <c r="G210" s="82"/>
      <c r="H210" s="82"/>
      <c r="I210" s="82"/>
      <c r="J210" s="36">
        <f>ROUND(PRODUCT(E210:I210),2)</f>
        <v>945.96</v>
      </c>
    </row>
    <row r="211" spans="1:10">
      <c r="A211" s="507"/>
      <c r="B211" s="507"/>
      <c r="C211" s="507"/>
      <c r="D211" s="507"/>
      <c r="E211" s="507"/>
      <c r="F211" s="507"/>
      <c r="G211" s="507"/>
      <c r="H211" s="507"/>
      <c r="I211" s="507"/>
      <c r="J211" s="508"/>
    </row>
    <row r="212" spans="1:10" ht="51" customHeight="1">
      <c r="A212" s="60" t="str">
        <f>'[3]Planilha Orçamentária'!A62</f>
        <v>1.1.7.7</v>
      </c>
      <c r="B212" s="61">
        <f>VLOOKUP(A212,'[3]Planilha Orçamentária'!A:K,2,0)</f>
        <v>102509</v>
      </c>
      <c r="C212" s="190" t="str">
        <f>VLOOKUP(A212,'[3]Planilha Orçamentária'!A:K,3,0)</f>
        <v>PINTURA DE FAIXA DE PEDESTRE OU ZEBRADA TINTA RETRORREFLETIVA A BASE DE RESINA ACRÍLICA COM MICROESFERAS DE VIDRO, E = 30 CM, APLICAÇÃO MANUAL. AF_05/2021</v>
      </c>
      <c r="D212" s="63" t="str">
        <f>VLOOKUP(A212,'[3]Planilha Orçamentária'!A:K,4,0)</f>
        <v>M2</v>
      </c>
      <c r="E212" s="62"/>
      <c r="F212" s="64"/>
      <c r="G212" s="64"/>
      <c r="H212" s="64"/>
      <c r="I212" s="64"/>
      <c r="J212" s="78">
        <f>ROUND(SUM(J214:J214),2)</f>
        <v>51.87</v>
      </c>
    </row>
    <row r="213" spans="1:10">
      <c r="A213" s="66"/>
      <c r="B213" s="67"/>
      <c r="C213" s="142" t="s">
        <v>1669</v>
      </c>
      <c r="D213" s="63"/>
      <c r="E213" s="62"/>
      <c r="F213" s="80"/>
      <c r="G213" s="64"/>
      <c r="H213" s="64"/>
      <c r="I213" s="34" t="s">
        <v>1620</v>
      </c>
      <c r="J213" s="78"/>
    </row>
    <row r="214" spans="1:10">
      <c r="A214" s="176"/>
      <c r="B214" s="176"/>
      <c r="C214" s="142" t="s">
        <v>1676</v>
      </c>
      <c r="D214" s="191"/>
      <c r="E214" s="192"/>
      <c r="F214" s="82"/>
      <c r="G214" s="82"/>
      <c r="H214" s="82"/>
      <c r="I214" s="82">
        <v>51.87</v>
      </c>
      <c r="J214" s="36">
        <f>ROUND(PRODUCT(E214:I214),2)</f>
        <v>51.87</v>
      </c>
    </row>
    <row r="215" spans="1:10">
      <c r="A215" s="507"/>
      <c r="B215" s="507"/>
      <c r="C215" s="507"/>
      <c r="D215" s="507"/>
      <c r="E215" s="507"/>
      <c r="F215" s="507"/>
      <c r="G215" s="507"/>
      <c r="H215" s="507"/>
      <c r="I215" s="507"/>
      <c r="J215" s="508"/>
    </row>
    <row r="216" spans="1:10">
      <c r="A216" s="19" t="str">
        <f>'[3]Planilha Orçamentária'!A63</f>
        <v>1.1.8</v>
      </c>
      <c r="B216" s="20"/>
      <c r="C216" s="21" t="str">
        <f>VLOOKUP(A216,'[3]Planilha Orçamentária'!A:K,3,0)</f>
        <v>ACESSIBILIDADE</v>
      </c>
      <c r="D216" s="21"/>
      <c r="E216" s="39"/>
      <c r="F216" s="40"/>
      <c r="G216" s="40"/>
      <c r="H216" s="40"/>
      <c r="I216" s="40"/>
      <c r="J216" s="41"/>
    </row>
    <row r="217" spans="1:10" ht="51">
      <c r="A217" s="28" t="str">
        <f>'[3]Planilha Orçamentária'!A64</f>
        <v>1.1.8.1</v>
      </c>
      <c r="B217" s="42" t="str">
        <f>VLOOKUP(A217,'[3]Planilha Orçamentária'!A:K,2,0)</f>
        <v>CP-S12039-81921471</v>
      </c>
      <c r="C217" s="166" t="str">
        <f>VLOOKUP(A217,'[3]Planilha Orçamentária'!A:K,3,0)</f>
        <v>Piso tátil direcional e/ou alerta, de concreto, na cor natural, p/deficientes visuais, dimensões 40x40cm, aplicado com argamassa industrializada ac-ii, rejuntado, exclusive regularização de base</v>
      </c>
      <c r="D217" s="31" t="str">
        <f>VLOOKUP(A217,'[3]Planilha Orçamentária'!A:K,4,0)</f>
        <v>M2</v>
      </c>
      <c r="E217" s="30"/>
      <c r="F217" s="32"/>
      <c r="G217" s="32"/>
      <c r="H217" s="32"/>
      <c r="I217" s="32"/>
      <c r="J217" s="151">
        <f>ROUND(SUM(J218:J219),2)</f>
        <v>74.47</v>
      </c>
    </row>
    <row r="218" spans="1:10">
      <c r="A218" s="152"/>
      <c r="B218" s="167"/>
      <c r="C218" s="142" t="s">
        <v>1669</v>
      </c>
      <c r="D218" s="168"/>
      <c r="E218" s="169"/>
      <c r="F218" s="170"/>
      <c r="G218" s="170"/>
      <c r="H218" s="82"/>
      <c r="I218" s="34" t="s">
        <v>1620</v>
      </c>
      <c r="J218" s="157"/>
    </row>
    <row r="219" spans="1:10">
      <c r="A219" s="152"/>
      <c r="B219" s="167"/>
      <c r="C219" s="142" t="s">
        <v>1676</v>
      </c>
      <c r="D219" s="31"/>
      <c r="E219" s="82"/>
      <c r="F219" s="32"/>
      <c r="G219" s="32"/>
      <c r="H219" s="82"/>
      <c r="I219" s="82">
        <v>74.47</v>
      </c>
      <c r="J219" s="120">
        <f t="shared" ref="J219" si="18">ROUND(PRODUCT(E219:I219),2)</f>
        <v>74.47</v>
      </c>
    </row>
    <row r="220" spans="1:10">
      <c r="A220" s="525"/>
      <c r="B220" s="525"/>
      <c r="C220" s="525"/>
      <c r="D220" s="525"/>
      <c r="E220" s="525"/>
      <c r="F220" s="525"/>
      <c r="G220" s="525"/>
      <c r="H220" s="525"/>
      <c r="I220" s="525"/>
      <c r="J220" s="525"/>
    </row>
    <row r="221" spans="1:10">
      <c r="A221" s="19" t="str">
        <f>'[3]Planilha Orçamentária'!A65</f>
        <v>1.1.9</v>
      </c>
      <c r="B221" s="20"/>
      <c r="C221" s="21" t="str">
        <f>VLOOKUP(A221,'[3]Planilha Orçamentária'!A:K,3,0)</f>
        <v>MATERIAIS</v>
      </c>
      <c r="D221" s="21"/>
      <c r="E221" s="39"/>
      <c r="F221" s="40"/>
      <c r="G221" s="40"/>
      <c r="H221" s="40"/>
      <c r="I221" s="40"/>
      <c r="J221" s="41"/>
    </row>
    <row r="222" spans="1:10" ht="51">
      <c r="A222" s="60" t="str">
        <f>'[3]Planilha Orçamentária'!A66</f>
        <v>1.1.9.1</v>
      </c>
      <c r="B222" s="61">
        <f>VLOOKUP(A222,'[3]Planilha Orçamentária'!A:K,2,0)</f>
        <v>10775</v>
      </c>
      <c r="C222" s="62" t="str">
        <f>VLOOKUP(A222,'[3]Planilha Orçamentária'!A:K,3,0)</f>
        <v xml:space="preserve">LOCACAO DE CONTAINER 2,30 X 6,00 M, ALT. 2,50 M, COM 1 SANITARIO, PARA ESCRITORIO, COMPLETO, SEM DIVISORIAS INTERNAS (NAO INCLUI MOBILIZACAO/DESMOBILIZACAO)                                                                                                                                                                                                                                                                                                                                              </v>
      </c>
      <c r="D222" s="63" t="str">
        <f>VLOOKUP(A222,'[3]Planilha Orçamentária'!A:K,4,0)</f>
        <v xml:space="preserve">MES   </v>
      </c>
      <c r="E222" s="62"/>
      <c r="F222" s="64"/>
      <c r="G222" s="64"/>
      <c r="H222" s="64"/>
      <c r="I222" s="64"/>
      <c r="J222" s="65">
        <f>ROUND(SUM(J224:J224),2)</f>
        <v>3</v>
      </c>
    </row>
    <row r="223" spans="1:10" ht="25.5">
      <c r="A223" s="66"/>
      <c r="B223" s="67"/>
      <c r="C223" s="68"/>
      <c r="D223" s="69"/>
      <c r="E223" s="68"/>
      <c r="F223" s="70"/>
      <c r="G223" s="71"/>
      <c r="H223" s="71"/>
      <c r="I223" s="34" t="s">
        <v>1609</v>
      </c>
      <c r="J223" s="72"/>
    </row>
    <row r="224" spans="1:10">
      <c r="A224" s="27"/>
      <c r="B224" s="27"/>
      <c r="C224" s="73"/>
      <c r="D224" s="74"/>
      <c r="E224" s="35"/>
      <c r="F224" s="75"/>
      <c r="G224" s="35"/>
      <c r="H224" s="35"/>
      <c r="I224" s="35">
        <f>I19</f>
        <v>3</v>
      </c>
      <c r="J224" s="36">
        <f>ROUND(PRODUCT(E224:I224),2)</f>
        <v>3</v>
      </c>
    </row>
    <row r="225" spans="1:10">
      <c r="A225" s="496"/>
      <c r="B225" s="496"/>
      <c r="C225" s="496"/>
      <c r="D225" s="496"/>
      <c r="E225" s="496"/>
      <c r="F225" s="496"/>
      <c r="G225" s="496"/>
      <c r="H225" s="496"/>
      <c r="I225" s="496"/>
      <c r="J225" s="496"/>
    </row>
    <row r="226" spans="1:10" ht="38.25">
      <c r="A226" s="60" t="str">
        <f>'[3]Planilha Orçamentária'!A67</f>
        <v>1.1.9.2</v>
      </c>
      <c r="B226" s="61">
        <f>VLOOKUP(A226,'[3]Planilha Orçamentária'!A:K,2,0)</f>
        <v>10776</v>
      </c>
      <c r="C226" s="62" t="str">
        <f>VLOOKUP(A226,'[3]Planilha Orçamentária'!A:K,3,0)</f>
        <v xml:space="preserve">LOCACAO DE CONTAINER 2,30 X 6,00 M, ALT. 2,50 M, PARA ESCRITORIO, SEM DIVISORIAS INTERNAS E SEM SANITARIO (NAO INCLUI MOBILIZACAO/DESMOBILIZACAO)                                                                                                                                                                                                                                                                                                                                                         </v>
      </c>
      <c r="D226" s="63" t="str">
        <f>VLOOKUP(A226,'[3]Planilha Orçamentária'!A:K,4,0)</f>
        <v xml:space="preserve">MES   </v>
      </c>
      <c r="E226" s="62"/>
      <c r="F226" s="64"/>
      <c r="G226" s="64"/>
      <c r="H226" s="64"/>
      <c r="I226" s="64"/>
      <c r="J226" s="65">
        <f>ROUND(SUM(J228:J228),2)</f>
        <v>3</v>
      </c>
    </row>
    <row r="227" spans="1:10" ht="25.5">
      <c r="A227" s="66"/>
      <c r="B227" s="67"/>
      <c r="C227" s="68"/>
      <c r="D227" s="69"/>
      <c r="E227" s="68"/>
      <c r="F227" s="70"/>
      <c r="G227" s="71"/>
      <c r="H227" s="71"/>
      <c r="I227" s="34" t="s">
        <v>1609</v>
      </c>
      <c r="J227" s="72"/>
    </row>
    <row r="228" spans="1:10">
      <c r="A228" s="27"/>
      <c r="B228" s="27"/>
      <c r="C228" s="73"/>
      <c r="D228" s="74"/>
      <c r="E228" s="35"/>
      <c r="F228" s="75"/>
      <c r="G228" s="35"/>
      <c r="H228" s="35"/>
      <c r="I228" s="35">
        <f>I224</f>
        <v>3</v>
      </c>
      <c r="J228" s="36">
        <f>ROUND(PRODUCT(E228:I228),2)</f>
        <v>3</v>
      </c>
    </row>
    <row r="229" spans="1:10">
      <c r="A229" s="496"/>
      <c r="B229" s="496"/>
      <c r="C229" s="496"/>
      <c r="D229" s="496"/>
      <c r="E229" s="496"/>
      <c r="F229" s="496"/>
      <c r="G229" s="496"/>
      <c r="H229" s="496"/>
      <c r="I229" s="496"/>
      <c r="J229" s="496"/>
    </row>
    <row r="230" spans="1:10" ht="63.75">
      <c r="A230" s="99" t="str">
        <f>'[3]Planilha Orçamentária'!A68</f>
        <v>1.1.9.3</v>
      </c>
      <c r="B230" s="48">
        <f>VLOOKUP(A230,'[3]Planilha Orçamentária'!A:K,2,0)</f>
        <v>36170</v>
      </c>
      <c r="C230" s="100" t="str">
        <f>VLOOKUP(A230,'[3]Planilha Orçamentária'!A:K,3,0)</f>
        <v xml:space="preserve">BLOQUETE/PISO INTERTRAVADO DE CONCRETO - MODELO ONDA/16 FACES/RETANGULAR/TIJOLINHO/PAVER/HOLANDES/PARALELEPIPEDO, *22 CM X 11* CM, E = 8 CM, RESISTENCIA DE 35 MPA (NBR 9781), COR NATURAL                                                                                                                                                                                                                                                                                                                </v>
      </c>
      <c r="D230" s="101" t="str">
        <f>VLOOKUP(A230,'[3]Planilha Orçamentária'!A:K,4,0)</f>
        <v xml:space="preserve">M2    </v>
      </c>
      <c r="E230" s="100"/>
      <c r="F230" s="102"/>
      <c r="G230" s="102"/>
      <c r="H230" s="102"/>
      <c r="I230" s="102"/>
      <c r="J230" s="193">
        <f>ROUND(SUM(J231:J232),2)</f>
        <v>178.53</v>
      </c>
    </row>
    <row r="231" spans="1:10">
      <c r="A231" s="94"/>
      <c r="B231" s="128"/>
      <c r="C231" s="79" t="s">
        <v>1633</v>
      </c>
      <c r="D231" s="96"/>
      <c r="E231" s="34" t="s">
        <v>837</v>
      </c>
      <c r="F231" s="34"/>
      <c r="G231" s="82"/>
      <c r="H231" s="82"/>
      <c r="I231" s="82" t="s">
        <v>1620</v>
      </c>
      <c r="J231" s="120"/>
    </row>
    <row r="232" spans="1:10">
      <c r="A232" s="94"/>
      <c r="B232" s="128"/>
      <c r="C232" s="194" t="s">
        <v>1677</v>
      </c>
      <c r="D232" s="53"/>
      <c r="E232" s="53">
        <v>1.0130999999999999</v>
      </c>
      <c r="F232" s="34"/>
      <c r="G232" s="82"/>
      <c r="H232" s="82"/>
      <c r="I232" s="82">
        <f>J112</f>
        <v>176.22</v>
      </c>
      <c r="J232" s="120">
        <f>ROUND(PRODUCT(E232:I232),2)</f>
        <v>178.53</v>
      </c>
    </row>
    <row r="233" spans="1:10">
      <c r="A233" s="497"/>
      <c r="B233" s="497"/>
      <c r="C233" s="497"/>
      <c r="D233" s="497"/>
      <c r="E233" s="497"/>
      <c r="F233" s="497"/>
      <c r="G233" s="497"/>
      <c r="H233" s="497"/>
      <c r="I233" s="497"/>
      <c r="J233" s="497"/>
    </row>
    <row r="234" spans="1:10" ht="63.75">
      <c r="A234" s="99" t="str">
        <f>'[3]Planilha Orçamentária'!A69</f>
        <v>1.1.9.4</v>
      </c>
      <c r="B234" s="48">
        <f>VLOOKUP(A234,'[3]Planilha Orçamentária'!A:K,2,0)</f>
        <v>36154</v>
      </c>
      <c r="C234" s="100" t="str">
        <f>VLOOKUP(A234,'[3]Planilha Orçamentária'!A:K,3,0)</f>
        <v xml:space="preserve">BLOQUETE/PISO INTERTRAVADO DE CONCRETO - MODELO ONDA/16 FACES/RETANGULAR/TIJOLINHO/PAVER/HOLANDES/PARALELEPIPEDO, 20 CM X 10 CM, E = 8 CM, RESISTENCIA DE 35 MPA (NBR 9781), COLORIDO                                                                                                                                                                                                                                                                                                                     </v>
      </c>
      <c r="D234" s="101" t="str">
        <f>VLOOKUP(A234,'[3]Planilha Orçamentária'!A:K,4,0)</f>
        <v xml:space="preserve">M2    </v>
      </c>
      <c r="E234" s="100"/>
      <c r="F234" s="102"/>
      <c r="G234" s="102"/>
      <c r="H234" s="102"/>
      <c r="I234" s="102"/>
      <c r="J234" s="33">
        <f>ROUND(SUM(J235:J237),2)</f>
        <v>51.56</v>
      </c>
    </row>
    <row r="235" spans="1:10">
      <c r="A235" s="94"/>
      <c r="B235" s="128"/>
      <c r="C235" s="79" t="s">
        <v>1633</v>
      </c>
      <c r="D235" s="96"/>
      <c r="E235" s="34" t="s">
        <v>837</v>
      </c>
      <c r="F235" s="34"/>
      <c r="G235" s="82"/>
      <c r="H235" s="82"/>
      <c r="I235" s="82" t="s">
        <v>1620</v>
      </c>
      <c r="J235" s="120"/>
    </row>
    <row r="236" spans="1:10">
      <c r="A236" s="94"/>
      <c r="B236" s="128"/>
      <c r="C236" s="194" t="s">
        <v>1677</v>
      </c>
      <c r="D236" s="53"/>
      <c r="E236" s="53">
        <v>1.0130999999999999</v>
      </c>
      <c r="F236" s="34"/>
      <c r="G236" s="82"/>
      <c r="H236" s="82"/>
      <c r="I236" s="82">
        <f>J113</f>
        <v>50.89</v>
      </c>
      <c r="J236" s="120">
        <f t="shared" ref="J236" si="19">ROUND(PRODUCT(E236:I236),2)</f>
        <v>51.56</v>
      </c>
    </row>
    <row r="237" spans="1:10">
      <c r="A237" s="94"/>
      <c r="B237" s="128"/>
      <c r="C237" s="145"/>
      <c r="D237" s="96"/>
      <c r="E237" s="82"/>
      <c r="F237" s="34"/>
      <c r="G237" s="82"/>
      <c r="H237" s="82"/>
      <c r="I237" s="82"/>
      <c r="J237" s="120"/>
    </row>
    <row r="238" spans="1:10">
      <c r="A238" s="498"/>
      <c r="B238" s="499"/>
      <c r="C238" s="499"/>
      <c r="D238" s="499"/>
      <c r="E238" s="499"/>
      <c r="F238" s="499"/>
      <c r="G238" s="499"/>
      <c r="H238" s="499"/>
      <c r="I238" s="499"/>
      <c r="J238" s="500"/>
    </row>
    <row r="239" spans="1:10" ht="38.25">
      <c r="A239" s="28" t="str">
        <f>'[3]Planilha Orçamentária'!A70</f>
        <v>1.1.9.5</v>
      </c>
      <c r="B239" s="29">
        <f>VLOOKUP(A239,'[3]Planilha Orçamentária'!A:K,2,0)</f>
        <v>1518</v>
      </c>
      <c r="C239" s="30" t="str">
        <f>VLOOKUP(A239,'[3]Planilha Orçamentária'!A:K,3,0)</f>
        <v xml:space="preserve">CONCRETO BETUMINOSO USINADO A QUENTE (CBUQ) PARA PAVIMENTACAO ASFALTICA, PADRAO DNIT, FAIXA C, COM CAP 50/70 - AQUISICAO POSTO USINA                                                                                                                                                                                                                                                                                                                                                                      </v>
      </c>
      <c r="D239" s="31" t="str">
        <f>VLOOKUP(A239,'[3]Planilha Orçamentária'!A:K,4,0)</f>
        <v xml:space="preserve">T     </v>
      </c>
      <c r="E239" s="30"/>
      <c r="F239" s="32"/>
      <c r="G239" s="32"/>
      <c r="H239" s="32"/>
      <c r="I239" s="32"/>
      <c r="J239" s="33">
        <f>ROUND(SUM(J240:J241),2)</f>
        <v>247.2</v>
      </c>
    </row>
    <row r="240" spans="1:10">
      <c r="A240" s="94"/>
      <c r="B240" s="94"/>
      <c r="C240" s="79" t="s">
        <v>1633</v>
      </c>
      <c r="D240" s="94"/>
      <c r="E240" s="94" t="s">
        <v>1678</v>
      </c>
      <c r="F240" s="94"/>
      <c r="G240" s="94"/>
      <c r="H240" s="94"/>
      <c r="I240" s="94" t="s">
        <v>1623</v>
      </c>
      <c r="J240" s="94"/>
    </row>
    <row r="241" spans="1:10">
      <c r="A241" s="94"/>
      <c r="B241" s="94"/>
      <c r="C241" s="195" t="s">
        <v>1679</v>
      </c>
      <c r="D241" s="94"/>
      <c r="E241" s="94">
        <v>2.5548000000000002</v>
      </c>
      <c r="F241" s="94"/>
      <c r="G241" s="94"/>
      <c r="H241" s="94"/>
      <c r="I241" s="196">
        <f>J120</f>
        <v>96.76</v>
      </c>
      <c r="J241" s="120">
        <f t="shared" ref="J241" si="20">ROUND(PRODUCT(E241:I241),2)</f>
        <v>247.2</v>
      </c>
    </row>
    <row r="242" spans="1:10">
      <c r="A242" s="130"/>
      <c r="B242" s="197"/>
      <c r="C242" s="197"/>
      <c r="D242" s="197"/>
      <c r="E242" s="197"/>
      <c r="F242" s="197"/>
      <c r="G242" s="197"/>
      <c r="H242" s="197"/>
      <c r="I242" s="197"/>
      <c r="J242" s="138"/>
    </row>
    <row r="243" spans="1:10">
      <c r="A243" s="28" t="str">
        <f>'[3]Planilha Orçamentária'!A71</f>
        <v>1.1.9.6</v>
      </c>
      <c r="B243" s="29" t="str">
        <f>VLOOKUP(A243,'[3]Planilha Orçamentária'!A:K,2,0)</f>
        <v>INS-185032</v>
      </c>
      <c r="C243" s="30" t="str">
        <f>VLOOKUP(A243,'[3]Planilha Orçamentária'!A:K,3,0)</f>
        <v>BRITA GRADUADA SIMPLES (BGS)</v>
      </c>
      <c r="D243" s="31" t="str">
        <f>VLOOKUP(A243,'[3]Planilha Orçamentária'!A:K,4,0)</f>
        <v>M3</v>
      </c>
      <c r="E243" s="30"/>
      <c r="F243" s="32"/>
      <c r="G243" s="32"/>
      <c r="H243" s="32"/>
      <c r="I243" s="32"/>
      <c r="J243" s="33">
        <f>ROUND(SUM(J244:J245),2)</f>
        <v>474.97</v>
      </c>
    </row>
    <row r="244" spans="1:10">
      <c r="A244" s="94"/>
      <c r="B244" s="94"/>
      <c r="C244" s="194"/>
      <c r="D244" s="53"/>
      <c r="E244" s="53" t="s">
        <v>1678</v>
      </c>
      <c r="F244" s="94"/>
      <c r="G244" s="94"/>
      <c r="H244" s="94"/>
      <c r="I244" s="94" t="s">
        <v>1623</v>
      </c>
      <c r="J244" s="94"/>
    </row>
    <row r="245" spans="1:10" ht="19.5" customHeight="1">
      <c r="A245" s="94"/>
      <c r="B245" s="94"/>
      <c r="C245" s="194" t="s">
        <v>1680</v>
      </c>
      <c r="D245" s="53"/>
      <c r="E245" s="198">
        <v>1</v>
      </c>
      <c r="F245" s="94"/>
      <c r="G245" s="94"/>
      <c r="H245" s="94"/>
      <c r="I245" s="196">
        <f>J94</f>
        <v>474.97</v>
      </c>
      <c r="J245" s="120">
        <f t="shared" ref="J245" si="21">ROUND(PRODUCT(E245:I245),2)</f>
        <v>474.97</v>
      </c>
    </row>
    <row r="246" spans="1:10">
      <c r="A246" s="130"/>
      <c r="B246" s="197"/>
      <c r="C246" s="197"/>
      <c r="D246" s="197"/>
      <c r="E246" s="197"/>
      <c r="F246" s="197"/>
      <c r="G246" s="197"/>
      <c r="H246" s="197"/>
      <c r="I246" s="197"/>
      <c r="J246" s="138"/>
    </row>
    <row r="247" spans="1:10">
      <c r="A247" s="28" t="str">
        <f>'[3]Planilha Orçamentária'!A72</f>
        <v>1.1.9.7</v>
      </c>
      <c r="B247" s="29" t="str">
        <f>VLOOKUP(A247,'[3]Planilha Orçamentária'!A:K,2,0)</f>
        <v>M0808</v>
      </c>
      <c r="C247" s="30" t="str">
        <f>VLOOKUP(A247,'[3]Planilha Orçamentária'!A:K,3,0)</f>
        <v>Brita 4</v>
      </c>
      <c r="D247" s="31" t="str">
        <f>VLOOKUP(A247,'[3]Planilha Orçamentária'!A:K,4,0)</f>
        <v>M3</v>
      </c>
      <c r="E247" s="30"/>
      <c r="F247" s="32"/>
      <c r="G247" s="32"/>
      <c r="H247" s="32"/>
      <c r="I247" s="32"/>
      <c r="J247" s="33">
        <f>ROUND(SUM(J248:J249),2)</f>
        <v>530.80999999999995</v>
      </c>
    </row>
    <row r="248" spans="1:10">
      <c r="A248" s="94"/>
      <c r="B248" s="94"/>
      <c r="C248" s="199"/>
      <c r="D248" s="53"/>
      <c r="E248" s="53" t="s">
        <v>1678</v>
      </c>
      <c r="F248" s="94"/>
      <c r="G248" s="94"/>
      <c r="H248" s="94"/>
      <c r="I248" s="94" t="s">
        <v>1623</v>
      </c>
      <c r="J248" s="94"/>
    </row>
    <row r="249" spans="1:10" ht="15">
      <c r="A249" s="94"/>
      <c r="B249" s="94"/>
      <c r="C249" s="109" t="s">
        <v>1681</v>
      </c>
      <c r="D249" s="53"/>
      <c r="E249" s="200">
        <v>1.26</v>
      </c>
      <c r="F249" s="94"/>
      <c r="G249" s="94"/>
      <c r="H249" s="94"/>
      <c r="I249" s="196">
        <f>J86</f>
        <v>421.28</v>
      </c>
      <c r="J249" s="120">
        <f t="shared" ref="J249" si="22">ROUND(PRODUCT(E249:I249),2)</f>
        <v>530.80999999999995</v>
      </c>
    </row>
    <row r="250" spans="1:10">
      <c r="A250" s="130"/>
      <c r="B250" s="197"/>
      <c r="C250" s="197"/>
      <c r="D250" s="197"/>
      <c r="E250" s="197"/>
      <c r="F250" s="197"/>
      <c r="G250" s="197"/>
      <c r="H250" s="197"/>
      <c r="I250" s="197"/>
      <c r="J250" s="138"/>
    </row>
    <row r="251" spans="1:10">
      <c r="A251" s="28" t="str">
        <f>'[3]Planilha Orçamentária'!A73</f>
        <v>1.1.9.8</v>
      </c>
      <c r="B251" s="29" t="str">
        <f>VLOOKUP(A251,'[3]Planilha Orçamentária'!A:K,2,0)</f>
        <v>M1135</v>
      </c>
      <c r="C251" s="30" t="str">
        <f>VLOOKUP(A251,'[3]Planilha Orçamentária'!A:K,3,0)</f>
        <v>Pó de pedra</v>
      </c>
      <c r="D251" s="31" t="str">
        <f>VLOOKUP(A251,'[3]Planilha Orçamentária'!A:K,4,0)</f>
        <v>M3</v>
      </c>
      <c r="E251" s="30"/>
      <c r="F251" s="32"/>
      <c r="G251" s="32"/>
      <c r="H251" s="32"/>
      <c r="I251" s="32"/>
      <c r="J251" s="33">
        <f>ROUND(SUM(J252:J253),2)</f>
        <v>58.98</v>
      </c>
    </row>
    <row r="252" spans="1:10">
      <c r="A252" s="94"/>
      <c r="B252" s="94"/>
      <c r="C252" s="199"/>
      <c r="D252" s="53"/>
      <c r="E252" s="53" t="s">
        <v>1678</v>
      </c>
      <c r="F252" s="94"/>
      <c r="G252" s="94"/>
      <c r="H252" s="94"/>
      <c r="I252" s="94" t="s">
        <v>1623</v>
      </c>
      <c r="J252" s="94"/>
    </row>
    <row r="253" spans="1:10">
      <c r="A253" s="94"/>
      <c r="B253" s="94"/>
      <c r="C253" s="109" t="s">
        <v>1681</v>
      </c>
      <c r="D253" s="53"/>
      <c r="E253" s="53">
        <v>0.14000000000000001</v>
      </c>
      <c r="F253" s="94"/>
      <c r="G253" s="94"/>
      <c r="H253" s="94"/>
      <c r="I253" s="196">
        <f>J86</f>
        <v>421.28</v>
      </c>
      <c r="J253" s="120">
        <f t="shared" ref="J253" si="23">ROUND(PRODUCT(E253:I253),2)</f>
        <v>58.98</v>
      </c>
    </row>
    <row r="254" spans="1:10">
      <c r="A254" s="130"/>
      <c r="B254" s="197"/>
      <c r="C254" s="197"/>
      <c r="D254" s="197"/>
      <c r="E254" s="197"/>
      <c r="F254" s="197"/>
      <c r="G254" s="197"/>
      <c r="H254" s="197"/>
      <c r="I254" s="197"/>
      <c r="J254" s="138"/>
    </row>
    <row r="255" spans="1:10" ht="38.25">
      <c r="A255" s="28" t="str">
        <f>'[3]Planilha Orçamentária'!A74</f>
        <v>1.1.9.9</v>
      </c>
      <c r="B255" s="29">
        <f>VLOOKUP(A255,'[3]Planilha Orçamentária'!A:K,2,0)</f>
        <v>34492</v>
      </c>
      <c r="C255" s="30" t="str">
        <f>VLOOKUP(A255,'[3]Planilha Orçamentária'!A:K,3,0)</f>
        <v xml:space="preserve">CONCRETO USINADO BOMBEAVEL, CLASSE DE RESISTENCIA C20, COM BRITA 0 E 1, SLUMP = 100 +/- 20 MM, EXCLUI SERVICO DE BOMBEAMENTO (NBR 8953)                                                                                                                                                                                                                                                                                                                                                                   </v>
      </c>
      <c r="D255" s="31" t="str">
        <f>VLOOKUP(A255,'[3]Planilha Orçamentária'!A:K,4,0)</f>
        <v xml:space="preserve">M3    </v>
      </c>
      <c r="E255" s="30"/>
      <c r="F255" s="32"/>
      <c r="G255" s="32"/>
      <c r="H255" s="32"/>
      <c r="I255" s="32"/>
      <c r="J255" s="33">
        <f>ROUND(SUM(J256:J257),2)</f>
        <v>154.84</v>
      </c>
    </row>
    <row r="256" spans="1:10">
      <c r="A256" s="94"/>
      <c r="B256" s="94"/>
      <c r="C256" s="79"/>
      <c r="D256" s="94"/>
      <c r="E256" s="53" t="s">
        <v>1678</v>
      </c>
      <c r="F256" s="94"/>
      <c r="G256" s="94"/>
      <c r="H256" s="94"/>
      <c r="I256" s="94" t="s">
        <v>1623</v>
      </c>
      <c r="J256" s="94"/>
    </row>
    <row r="257" spans="1:10">
      <c r="A257" s="94"/>
      <c r="B257" s="94"/>
      <c r="C257" s="194" t="s">
        <v>1682</v>
      </c>
      <c r="D257" s="53"/>
      <c r="E257" s="198">
        <v>1.2130000000000001</v>
      </c>
      <c r="F257" s="94"/>
      <c r="G257" s="94"/>
      <c r="H257" s="94"/>
      <c r="I257" s="196">
        <f>J136</f>
        <v>127.65</v>
      </c>
      <c r="J257" s="120">
        <f t="shared" ref="J257" si="24">ROUND(PRODUCT(E257:I257),2)</f>
        <v>154.84</v>
      </c>
    </row>
    <row r="258" spans="1:10">
      <c r="A258" s="130"/>
      <c r="B258" s="197"/>
      <c r="C258" s="197"/>
      <c r="D258" s="197"/>
      <c r="E258" s="197"/>
      <c r="F258" s="197"/>
      <c r="G258" s="197"/>
      <c r="H258" s="197"/>
      <c r="I258" s="197"/>
      <c r="J258" s="138"/>
    </row>
    <row r="259" spans="1:10">
      <c r="A259" s="130"/>
      <c r="B259" s="197"/>
      <c r="C259" s="197"/>
      <c r="D259" s="197"/>
      <c r="E259" s="197"/>
      <c r="F259" s="197"/>
      <c r="G259" s="197"/>
      <c r="H259" s="197"/>
      <c r="I259" s="197"/>
      <c r="J259" s="137"/>
    </row>
    <row r="260" spans="1:10">
      <c r="A260" s="201" t="str">
        <f>'[3]Planilha Orçamentária'!A75</f>
        <v>1.2</v>
      </c>
      <c r="B260" s="504" t="str">
        <f>VLOOKUP(A260,'[3]Planilha Orçamentária'!A:K,3,0)</f>
        <v>RUA GOIANINHA - JARDIM JORDÃO</v>
      </c>
      <c r="C260" s="505"/>
      <c r="D260" s="505"/>
      <c r="E260" s="505"/>
      <c r="F260" s="505"/>
      <c r="G260" s="505"/>
      <c r="H260" s="505"/>
      <c r="I260" s="505"/>
      <c r="J260" s="505"/>
    </row>
    <row r="261" spans="1:10">
      <c r="A261" s="19" t="str">
        <f>'[3]Planilha Orçamentária'!A76</f>
        <v>1.2.1</v>
      </c>
      <c r="B261" s="20"/>
      <c r="C261" s="21" t="str">
        <f>VLOOKUP(A261,'[3]Planilha Orçamentária'!A:K,3,0)</f>
        <v>INSTALAÇÕES PROVISÓRIAS</v>
      </c>
      <c r="D261" s="22"/>
      <c r="E261" s="23"/>
      <c r="F261" s="24"/>
      <c r="G261" s="24"/>
      <c r="H261" s="24"/>
      <c r="I261" s="25"/>
      <c r="J261" s="26"/>
    </row>
    <row r="262" spans="1:10" ht="25.5">
      <c r="A262" s="59" t="str">
        <f>'[3]Planilha Orçamentária'!A77</f>
        <v>1.2.1.1</v>
      </c>
      <c r="B262" s="42" t="str">
        <f>VLOOKUP(A262,'[3]Planilha Orçamentária'!A:K,2,0)</f>
        <v>CP-74209/001-15055090</v>
      </c>
      <c r="C262" s="30" t="str">
        <f>VLOOKUP(A262,'[3]Planilha Orçamentária'!A:K,3,0)</f>
        <v>PLACA DE OBRA EM CHAPA DE ACO GALVANIZADO</v>
      </c>
      <c r="D262" s="31" t="str">
        <f>VLOOKUP(A262,'[3]Planilha Orçamentária'!A:K,4,0)</f>
        <v xml:space="preserve">M2    </v>
      </c>
      <c r="E262" s="30"/>
      <c r="F262" s="34" t="s">
        <v>1606</v>
      </c>
      <c r="G262" s="34" t="s">
        <v>1607</v>
      </c>
      <c r="H262" s="34"/>
      <c r="I262" s="34" t="s">
        <v>1608</v>
      </c>
      <c r="J262" s="45">
        <f>ROUND(SUM(J264:J264),2)</f>
        <v>8</v>
      </c>
    </row>
    <row r="263" spans="1:10">
      <c r="A263" s="59"/>
      <c r="B263" s="42"/>
      <c r="C263" s="202"/>
      <c r="D263" s="203"/>
      <c r="E263" s="202"/>
      <c r="F263" s="32"/>
      <c r="G263" s="32"/>
      <c r="H263" s="32"/>
      <c r="I263" s="32"/>
      <c r="J263" s="45"/>
    </row>
    <row r="264" spans="1:10">
      <c r="A264" s="59"/>
      <c r="B264" s="27"/>
      <c r="C264" s="204"/>
      <c r="D264" s="205"/>
      <c r="E264" s="206"/>
      <c r="F264" s="35">
        <v>2</v>
      </c>
      <c r="G264" s="35">
        <v>4</v>
      </c>
      <c r="H264" s="207"/>
      <c r="I264" s="35">
        <v>1</v>
      </c>
      <c r="J264" s="58">
        <f>ROUND(PRODUCT(E264:I264),2)</f>
        <v>8</v>
      </c>
    </row>
    <row r="265" spans="1:10">
      <c r="A265" s="515"/>
      <c r="B265" s="516"/>
      <c r="C265" s="516"/>
      <c r="D265" s="516"/>
      <c r="E265" s="516"/>
      <c r="F265" s="516"/>
      <c r="G265" s="516"/>
      <c r="H265" s="516"/>
      <c r="I265" s="516"/>
      <c r="J265" s="517"/>
    </row>
    <row r="266" spans="1:10" ht="25.5">
      <c r="A266" s="59" t="str">
        <f>'[3]Planilha Orçamentária'!A78</f>
        <v>1.2.1.2</v>
      </c>
      <c r="B266" s="29" t="str">
        <f>VLOOKUP(A266,'[3]Planilha Orçamentária'!A:K,2,0)</f>
        <v>COMP-07440249</v>
      </c>
      <c r="C266" s="30" t="str">
        <f>VLOOKUP(A266,'[3]Planilha Orçamentária'!A:K,3,0)</f>
        <v>BANHEIRO QUÍMICO, COM LOCAÇÃO, TRANSPORTE E LIMPEZA</v>
      </c>
      <c r="D266" s="31" t="str">
        <f>VLOOKUP(A266,'[3]Planilha Orçamentária'!A:K,4,0)</f>
        <v>MÊS</v>
      </c>
      <c r="E266" s="30"/>
      <c r="F266" s="32"/>
      <c r="G266" s="32"/>
      <c r="H266" s="32"/>
      <c r="I266" s="32"/>
      <c r="J266" s="33">
        <f>ROUND(SUM(J268:J268),2)</f>
        <v>2</v>
      </c>
    </row>
    <row r="267" spans="1:10" ht="25.5">
      <c r="A267" s="59"/>
      <c r="B267" s="29"/>
      <c r="C267" s="30"/>
      <c r="D267" s="31"/>
      <c r="E267" s="30"/>
      <c r="F267" s="32"/>
      <c r="G267" s="32"/>
      <c r="H267" s="32"/>
      <c r="I267" s="34" t="s">
        <v>1609</v>
      </c>
      <c r="J267" s="33"/>
    </row>
    <row r="268" spans="1:10">
      <c r="A268" s="59"/>
      <c r="B268" s="27"/>
      <c r="C268" s="208"/>
      <c r="D268" s="209"/>
      <c r="E268" s="75"/>
      <c r="F268" s="75"/>
      <c r="G268" s="207"/>
      <c r="H268" s="207"/>
      <c r="I268" s="143">
        <v>2</v>
      </c>
      <c r="J268" s="36">
        <f>ROUND(PRODUCT(E268:I268),2)</f>
        <v>2</v>
      </c>
    </row>
    <row r="269" spans="1:10">
      <c r="A269" s="59"/>
      <c r="B269" s="27"/>
      <c r="C269" s="208"/>
      <c r="D269" s="209"/>
      <c r="E269" s="75"/>
      <c r="F269" s="75"/>
      <c r="G269" s="207"/>
      <c r="H269" s="207"/>
      <c r="I269" s="143"/>
      <c r="J269" s="36"/>
    </row>
    <row r="270" spans="1:10">
      <c r="A270" s="19" t="str">
        <f>'[3]Planilha Orçamentária'!A79</f>
        <v>1.2.2</v>
      </c>
      <c r="B270" s="20"/>
      <c r="C270" s="21" t="str">
        <f>VLOOKUP(A270,'[3]Planilha Orçamentária'!A:K,3,0)</f>
        <v>ADMINISTRAÇÃO LOCAL</v>
      </c>
      <c r="D270" s="21"/>
      <c r="E270" s="39"/>
      <c r="F270" s="40"/>
      <c r="G270" s="40"/>
      <c r="H270" s="40"/>
      <c r="I270" s="40"/>
      <c r="J270" s="41"/>
    </row>
    <row r="271" spans="1:10" ht="25.5">
      <c r="A271" s="28" t="str">
        <f>'[3]Planilha Orçamentária'!A80</f>
        <v>1.2.2.1</v>
      </c>
      <c r="B271" s="42">
        <f>VLOOKUP(A271,'[3]Planilha Orçamentária'!A:K,2,0)</f>
        <v>93565</v>
      </c>
      <c r="C271" s="30" t="str">
        <f>VLOOKUP(A271,'[3]Planilha Orçamentária'!A:K,3,0)</f>
        <v>ENGENHEIRO CIVIL DE OBRA JUNIOR COM ENCARGOS COMPLEMENTARES</v>
      </c>
      <c r="D271" s="31" t="str">
        <f>VLOOKUP(A271,'[3]Planilha Orçamentária'!A:K,4,0)</f>
        <v>MES</v>
      </c>
      <c r="E271" s="43"/>
      <c r="F271" s="44"/>
      <c r="G271" s="44"/>
      <c r="H271" s="44"/>
      <c r="I271" s="44"/>
      <c r="J271" s="45">
        <f>ROUND(SUM(J273),2)</f>
        <v>0.25</v>
      </c>
    </row>
    <row r="272" spans="1:10" ht="14.25">
      <c r="A272" s="28"/>
      <c r="B272" s="42"/>
      <c r="C272" s="210"/>
      <c r="D272" s="31"/>
      <c r="E272" s="43"/>
      <c r="F272" s="57"/>
      <c r="G272" s="57"/>
      <c r="H272" s="57"/>
      <c r="I272" s="57"/>
      <c r="J272" s="45"/>
    </row>
    <row r="273" spans="1:10" ht="14.25">
      <c r="A273" s="53"/>
      <c r="B273" s="54"/>
      <c r="C273" s="210" t="s">
        <v>1683</v>
      </c>
      <c r="D273" s="211"/>
      <c r="E273" s="57">
        <f>22/176</f>
        <v>0.125</v>
      </c>
      <c r="F273" s="57"/>
      <c r="G273" s="57"/>
      <c r="H273" s="57"/>
      <c r="I273" s="57">
        <f>I268</f>
        <v>2</v>
      </c>
      <c r="J273" s="58">
        <f>ROUND(PRODUCT(E273:I273),2)</f>
        <v>0.25</v>
      </c>
    </row>
    <row r="274" spans="1:10" s="93" customFormat="1" ht="14.25">
      <c r="A274" s="53"/>
      <c r="B274" s="54"/>
      <c r="C274" s="210" t="s">
        <v>1684</v>
      </c>
      <c r="D274" s="211"/>
      <c r="E274" s="57"/>
      <c r="F274" s="57"/>
      <c r="G274" s="57"/>
      <c r="H274" s="57"/>
      <c r="I274" s="57"/>
      <c r="J274" s="212"/>
    </row>
    <row r="275" spans="1:10" ht="14.25">
      <c r="A275" s="53"/>
      <c r="B275" s="54"/>
      <c r="C275" s="210" t="s">
        <v>1612</v>
      </c>
      <c r="D275" s="213"/>
      <c r="E275" s="214"/>
      <c r="F275" s="143"/>
      <c r="G275" s="207"/>
      <c r="H275" s="207"/>
      <c r="I275" s="135"/>
      <c r="J275" s="215"/>
    </row>
    <row r="276" spans="1:10">
      <c r="A276" s="496"/>
      <c r="B276" s="496"/>
      <c r="C276" s="496"/>
      <c r="D276" s="496"/>
      <c r="E276" s="496"/>
      <c r="F276" s="496"/>
      <c r="G276" s="496"/>
      <c r="H276" s="496"/>
      <c r="I276" s="496"/>
      <c r="J276" s="496"/>
    </row>
    <row r="277" spans="1:10" ht="25.5">
      <c r="A277" s="28" t="str">
        <f>'[3]Planilha Orçamentária'!A81</f>
        <v>1.2.2.2</v>
      </c>
      <c r="B277" s="42">
        <f>VLOOKUP(A277,'[3]Planilha Orçamentária'!A:K,2,0)</f>
        <v>93572</v>
      </c>
      <c r="C277" s="30" t="str">
        <f>VLOOKUP(A277,'[3]Planilha Orçamentária'!A:K,3,0)</f>
        <v>ENCARREGADO GERAL DE OBRAS COM ENCARGOS COMPLEMENTARES</v>
      </c>
      <c r="D277" s="31" t="str">
        <f>VLOOKUP(A277,'[3]Planilha Orçamentária'!A:K,4,0)</f>
        <v>MES</v>
      </c>
      <c r="E277" s="43"/>
      <c r="F277" s="44"/>
      <c r="G277" s="44"/>
      <c r="H277" s="44"/>
      <c r="I277" s="44"/>
      <c r="J277" s="45">
        <f>ROUND(SUM(J279),2)</f>
        <v>1</v>
      </c>
    </row>
    <row r="278" spans="1:10" ht="14.25">
      <c r="A278" s="28"/>
      <c r="B278" s="42"/>
      <c r="C278" s="210"/>
      <c r="D278" s="31"/>
      <c r="E278" s="43"/>
      <c r="F278" s="57"/>
      <c r="G278" s="57"/>
      <c r="H278" s="57"/>
      <c r="I278" s="57"/>
      <c r="J278" s="45"/>
    </row>
    <row r="279" spans="1:10" ht="14.25">
      <c r="A279" s="53"/>
      <c r="B279" s="54"/>
      <c r="C279" s="210" t="s">
        <v>1685</v>
      </c>
      <c r="D279" s="211"/>
      <c r="E279" s="57">
        <f>88/176</f>
        <v>0.5</v>
      </c>
      <c r="F279" s="57"/>
      <c r="G279" s="57"/>
      <c r="H279" s="57"/>
      <c r="I279" s="57">
        <f>I268</f>
        <v>2</v>
      </c>
      <c r="J279" s="58">
        <f>ROUND(PRODUCT(E279:I279),2)</f>
        <v>1</v>
      </c>
    </row>
    <row r="280" spans="1:10" ht="14.25">
      <c r="A280" s="53"/>
      <c r="B280" s="54"/>
      <c r="C280" s="210" t="s">
        <v>1614</v>
      </c>
      <c r="D280" s="211"/>
      <c r="E280" s="57"/>
      <c r="F280" s="57"/>
      <c r="G280" s="57"/>
      <c r="H280" s="57"/>
      <c r="I280" s="57"/>
      <c r="J280" s="212"/>
    </row>
    <row r="281" spans="1:10" ht="14.25">
      <c r="A281" s="53"/>
      <c r="B281" s="54"/>
      <c r="C281" s="210" t="s">
        <v>1612</v>
      </c>
      <c r="D281" s="213"/>
      <c r="E281" s="214"/>
      <c r="F281" s="143"/>
      <c r="G281" s="207"/>
      <c r="H281" s="207"/>
      <c r="I281" s="135"/>
      <c r="J281" s="215"/>
    </row>
    <row r="282" spans="1:10">
      <c r="A282" s="496"/>
      <c r="B282" s="496"/>
      <c r="C282" s="496"/>
      <c r="D282" s="496"/>
      <c r="E282" s="496"/>
      <c r="F282" s="496"/>
      <c r="G282" s="496"/>
      <c r="H282" s="496"/>
      <c r="I282" s="496"/>
      <c r="J282" s="496"/>
    </row>
    <row r="283" spans="1:10">
      <c r="A283" s="19" t="str">
        <f>'[3]Planilha Orçamentária'!A82</f>
        <v>1.2.3</v>
      </c>
      <c r="B283" s="20"/>
      <c r="C283" s="21" t="str">
        <f>VLOOKUP(A283,'[3]Planilha Orçamentária'!A:K,3,0)</f>
        <v>SERVIÇOS PRELIMINARES</v>
      </c>
      <c r="D283" s="22"/>
      <c r="E283" s="23"/>
      <c r="F283" s="24"/>
      <c r="G283" s="24"/>
      <c r="H283" s="24"/>
      <c r="I283" s="25"/>
      <c r="J283" s="26"/>
    </row>
    <row r="284" spans="1:10" ht="29.25" customHeight="1">
      <c r="A284" s="60" t="str">
        <f>'[3]Planilha Orçamentária'!A83</f>
        <v>1.2.3.1</v>
      </c>
      <c r="B284" s="61">
        <f>VLOOKUP(A284,'[3]Planilha Orçamentária'!A:K,2,0)</f>
        <v>99064</v>
      </c>
      <c r="C284" s="62" t="str">
        <f>VLOOKUP(A284,'[3]Planilha Orçamentária'!A:K,3,0)</f>
        <v>LOCAÇÃO DE PAVIMENTAÇÃO. AF_10/2018</v>
      </c>
      <c r="D284" s="63" t="str">
        <f>VLOOKUP(A284,'[3]Planilha Orçamentária'!A:K,4,0)</f>
        <v>M</v>
      </c>
      <c r="E284" s="62"/>
      <c r="F284" s="57"/>
      <c r="G284" s="71"/>
      <c r="H284" s="71"/>
      <c r="I284" s="71"/>
      <c r="J284" s="78">
        <f>ROUND(SUM(J286:J288),2)</f>
        <v>224.14</v>
      </c>
    </row>
    <row r="285" spans="1:10">
      <c r="A285" s="66"/>
      <c r="B285" s="67"/>
      <c r="C285" s="62"/>
      <c r="D285" s="63"/>
      <c r="E285" s="62"/>
      <c r="F285" s="34" t="s">
        <v>1606</v>
      </c>
      <c r="G285" s="71"/>
      <c r="H285" s="71"/>
      <c r="I285" s="71"/>
      <c r="J285" s="78"/>
    </row>
    <row r="286" spans="1:10">
      <c r="A286" s="94"/>
      <c r="B286" s="94"/>
      <c r="C286" s="109" t="s">
        <v>1686</v>
      </c>
      <c r="D286" s="96"/>
      <c r="E286" s="82"/>
      <c r="F286" s="57">
        <f>[3]PARÂMETROS!B66</f>
        <v>106.91</v>
      </c>
      <c r="G286" s="82"/>
      <c r="H286" s="82"/>
      <c r="I286" s="82"/>
      <c r="J286" s="120">
        <f>ROUND(PRODUCT(E286:I286),2)</f>
        <v>106.91</v>
      </c>
    </row>
    <row r="287" spans="1:10">
      <c r="A287" s="94"/>
      <c r="B287" s="94"/>
      <c r="C287" s="109" t="s">
        <v>1687</v>
      </c>
      <c r="D287" s="96"/>
      <c r="E287" s="82"/>
      <c r="F287" s="57">
        <f>[3]PARÂMETROS!B67</f>
        <v>117.23</v>
      </c>
      <c r="G287" s="82"/>
      <c r="H287" s="82"/>
      <c r="I287" s="82"/>
      <c r="J287" s="120">
        <f>ROUND(PRODUCT(E287:I287),2)</f>
        <v>117.23</v>
      </c>
    </row>
    <row r="288" spans="1:10" s="93" customFormat="1">
      <c r="A288" s="496"/>
      <c r="B288" s="496"/>
      <c r="C288" s="496"/>
      <c r="D288" s="496"/>
      <c r="E288" s="496"/>
      <c r="F288" s="496"/>
      <c r="G288" s="496"/>
      <c r="H288" s="496"/>
      <c r="I288" s="496"/>
      <c r="J288" s="496"/>
    </row>
    <row r="289" spans="1:10" s="93" customFormat="1" ht="25.5">
      <c r="A289" s="60" t="str">
        <f>'[3]Planilha Orçamentária'!A84</f>
        <v>1.2.3.2</v>
      </c>
      <c r="B289" s="77" t="str">
        <f>VLOOKUP(A289,'[3]Planilha Orçamentária'!A:K,2,0)</f>
        <v>COMP-17562084</v>
      </c>
      <c r="C289" s="62" t="str">
        <f>VLOOKUP(A289,'[3]Planilha Orçamentária'!A:K,3,0)</f>
        <v>DEMOLIÇÃO MANUAL DE CONCRETO SIMPLES</v>
      </c>
      <c r="D289" s="63" t="str">
        <f>VLOOKUP(A289,'[3]Planilha Orçamentária'!A:K,4,0)</f>
        <v>M3</v>
      </c>
      <c r="E289" s="62"/>
      <c r="F289" s="64"/>
      <c r="G289" s="64"/>
      <c r="H289" s="64"/>
      <c r="I289" s="64"/>
      <c r="J289" s="78">
        <f>ROUND(SUM(J291),2)</f>
        <v>2.15</v>
      </c>
    </row>
    <row r="290" spans="1:10" s="93" customFormat="1">
      <c r="A290" s="60"/>
      <c r="B290" s="77"/>
      <c r="C290" s="79" t="s">
        <v>1688</v>
      </c>
      <c r="D290" s="63"/>
      <c r="E290" s="62"/>
      <c r="F290" s="64"/>
      <c r="G290" s="64"/>
      <c r="H290" s="80" t="s">
        <v>1619</v>
      </c>
      <c r="I290" s="34" t="s">
        <v>1620</v>
      </c>
      <c r="J290" s="78"/>
    </row>
    <row r="291" spans="1:10" s="93" customFormat="1" ht="25.5">
      <c r="A291" s="60"/>
      <c r="B291" s="77"/>
      <c r="C291" s="81" t="s">
        <v>1621</v>
      </c>
      <c r="D291" s="27"/>
      <c r="E291" s="27"/>
      <c r="F291" s="82"/>
      <c r="G291" s="82"/>
      <c r="H291" s="82">
        <v>7.0000000000000007E-2</v>
      </c>
      <c r="I291" s="82">
        <v>30.71</v>
      </c>
      <c r="J291" s="36">
        <f>ROUND(PRODUCT(E291:I291),2)</f>
        <v>2.15</v>
      </c>
    </row>
    <row r="292" spans="1:10" s="93" customFormat="1">
      <c r="A292" s="518"/>
      <c r="B292" s="519"/>
      <c r="C292" s="519"/>
      <c r="D292" s="519"/>
      <c r="E292" s="519"/>
      <c r="F292" s="519"/>
      <c r="G292" s="519"/>
      <c r="H292" s="519"/>
      <c r="I292" s="519"/>
      <c r="J292" s="523"/>
    </row>
    <row r="293" spans="1:10" s="93" customFormat="1" ht="25.5">
      <c r="A293" s="60" t="str">
        <f>'[3]Planilha Orçamentária'!A85</f>
        <v>1.2.3.3</v>
      </c>
      <c r="B293" s="77" t="str">
        <f>VLOOKUP(A293,'[3]Planilha Orçamentária'!A:K,2,0)</f>
        <v>COMP-01471766</v>
      </c>
      <c r="C293" s="62" t="str">
        <f>VLOOKUP(A293,'[3]Planilha Orçamentária'!A:K,3,0)</f>
        <v>DEMOLIÇÃO DE MEIO-FIO</v>
      </c>
      <c r="D293" s="63" t="str">
        <f>VLOOKUP(A293,'[3]Planilha Orçamentária'!A:K,4,0)</f>
        <v>M</v>
      </c>
      <c r="E293" s="62"/>
      <c r="F293" s="64"/>
      <c r="G293" s="64"/>
      <c r="H293" s="64"/>
      <c r="I293" s="64"/>
      <c r="J293" s="78">
        <f>ROUND(SUM(J295),2)</f>
        <v>38.4</v>
      </c>
    </row>
    <row r="294" spans="1:10" s="93" customFormat="1">
      <c r="A294" s="60"/>
      <c r="B294" s="77"/>
      <c r="C294" s="79" t="s">
        <v>1688</v>
      </c>
      <c r="D294" s="63"/>
      <c r="E294" s="62"/>
      <c r="F294" s="34" t="s">
        <v>1606</v>
      </c>
      <c r="G294" s="64"/>
      <c r="H294" s="80"/>
      <c r="I294" s="34"/>
      <c r="J294" s="78"/>
    </row>
    <row r="295" spans="1:10" s="93" customFormat="1" ht="25.5">
      <c r="A295" s="60"/>
      <c r="B295" s="77"/>
      <c r="C295" s="81" t="s">
        <v>1689</v>
      </c>
      <c r="D295" s="27"/>
      <c r="E295" s="27"/>
      <c r="F295" s="82">
        <v>38.4</v>
      </c>
      <c r="G295" s="82"/>
      <c r="H295" s="82"/>
      <c r="I295" s="82"/>
      <c r="J295" s="36">
        <f>ROUND(PRODUCT(E295:I295),2)</f>
        <v>38.4</v>
      </c>
    </row>
    <row r="296" spans="1:10" s="93" customFormat="1">
      <c r="A296" s="83"/>
      <c r="B296" s="84"/>
      <c r="C296" s="84"/>
      <c r="D296" s="84"/>
      <c r="E296" s="84"/>
      <c r="F296" s="84"/>
      <c r="G296" s="84"/>
      <c r="H296" s="84"/>
      <c r="I296" s="84"/>
      <c r="J296" s="85"/>
    </row>
    <row r="297" spans="1:10" s="93" customFormat="1" ht="51">
      <c r="A297" s="60" t="str">
        <f>'[3]Planilha Orçamentária'!A86</f>
        <v>1.2.3.4</v>
      </c>
      <c r="B297" s="77" t="str">
        <f>VLOOKUP(A297,'[3]Planilha Orçamentária'!A:K,2,0)</f>
        <v>COMP-35145154</v>
      </c>
      <c r="C297" s="62" t="str">
        <f>VLOOKUP(A297,'[3]Planilha Orçamentária'!A:K,3,0)</f>
        <v>CARGA E DESCARGA MECANICA DE SOLO UTILIZANDO CAMINHAO BASCULANTE 14,0M3/36T E PA CARREGADEIRA SOBRE PNEUS 128 HP, CAPACIDADE DA CAÇAMBA 1,7 A 2,8 M3, PESO OPERACIONAL 11632 KH</v>
      </c>
      <c r="D297" s="63" t="str">
        <f>VLOOKUP(A297,'[3]Planilha Orçamentária'!A:K,4,0)</f>
        <v>M3</v>
      </c>
      <c r="E297" s="62"/>
      <c r="F297" s="64"/>
      <c r="G297" s="64"/>
      <c r="H297" s="64"/>
      <c r="I297" s="64"/>
      <c r="J297" s="78">
        <f>ROUND(SUM(J299:J301),2)</f>
        <v>4.8499999999999996</v>
      </c>
    </row>
    <row r="298" spans="1:10" s="93" customFormat="1">
      <c r="A298" s="60"/>
      <c r="B298" s="77"/>
      <c r="C298" s="86"/>
      <c r="D298" s="69"/>
      <c r="E298" s="81" t="s">
        <v>1622</v>
      </c>
      <c r="F298" s="71"/>
      <c r="G298" s="71"/>
      <c r="H298" s="71"/>
      <c r="I298" s="80" t="s">
        <v>1623</v>
      </c>
      <c r="J298" s="78"/>
    </row>
    <row r="299" spans="1:10" s="93" customFormat="1">
      <c r="A299" s="60"/>
      <c r="B299" s="77"/>
      <c r="C299" s="86" t="s">
        <v>1624</v>
      </c>
      <c r="D299" s="69"/>
      <c r="E299" s="81">
        <v>1.25</v>
      </c>
      <c r="F299" s="71"/>
      <c r="G299" s="71"/>
      <c r="H299" s="71"/>
      <c r="I299" s="87">
        <f>J289</f>
        <v>2.15</v>
      </c>
      <c r="J299" s="36">
        <f>ROUND(PRODUCT(E299:I299),2)</f>
        <v>2.69</v>
      </c>
    </row>
    <row r="300" spans="1:10" s="93" customFormat="1">
      <c r="A300" s="60"/>
      <c r="B300" s="77"/>
      <c r="C300" s="68"/>
      <c r="D300" s="69"/>
      <c r="E300" s="81" t="s">
        <v>1622</v>
      </c>
      <c r="F300" s="88" t="s">
        <v>1606</v>
      </c>
      <c r="G300" s="88" t="s">
        <v>1607</v>
      </c>
      <c r="H300" s="88" t="s">
        <v>1619</v>
      </c>
      <c r="I300" s="80"/>
      <c r="J300" s="36"/>
    </row>
    <row r="301" spans="1:10" s="93" customFormat="1">
      <c r="A301" s="60"/>
      <c r="B301" s="77"/>
      <c r="C301" s="86" t="s">
        <v>1625</v>
      </c>
      <c r="D301" s="69"/>
      <c r="E301" s="81">
        <v>1.25</v>
      </c>
      <c r="F301" s="89">
        <f>J293</f>
        <v>38.4</v>
      </c>
      <c r="G301" s="88">
        <v>0.15</v>
      </c>
      <c r="H301" s="88">
        <v>0.3</v>
      </c>
      <c r="I301" s="87"/>
      <c r="J301" s="36">
        <f>ROUND(PRODUCT(E301:I301),2)</f>
        <v>2.16</v>
      </c>
    </row>
    <row r="302" spans="1:10" s="93" customFormat="1">
      <c r="A302" s="518"/>
      <c r="B302" s="519"/>
      <c r="C302" s="519"/>
      <c r="D302" s="519"/>
      <c r="E302" s="519"/>
      <c r="F302" s="519"/>
      <c r="G302" s="519"/>
      <c r="H302" s="519"/>
      <c r="I302" s="519"/>
      <c r="J302" s="523"/>
    </row>
    <row r="303" spans="1:10" s="93" customFormat="1" ht="38.25">
      <c r="A303" s="60" t="str">
        <f>'[3]Planilha Orçamentária'!A87</f>
        <v>1.2.3.5</v>
      </c>
      <c r="B303" s="77">
        <f>VLOOKUP(A303,'[3]Planilha Orçamentária'!A:K,2,0)</f>
        <v>95876</v>
      </c>
      <c r="C303" s="62" t="str">
        <f>VLOOKUP(A303,'[3]Planilha Orçamentária'!A:K,3,0)</f>
        <v>TRANSPORTE COM CAMINHÃO BASCULANTE DE 14 M³, EM VIA URBANA PAVIMENTADA, DMT ATÉ 30 KM (UNIDADE: M3XKM). AF_07/2020</v>
      </c>
      <c r="D303" s="63" t="str">
        <f>VLOOKUP(A303,'[3]Planilha Orçamentária'!A:K,4,0)</f>
        <v>M3XKM</v>
      </c>
      <c r="E303" s="62"/>
      <c r="F303" s="64"/>
      <c r="G303" s="64"/>
      <c r="H303" s="64"/>
      <c r="I303" s="64"/>
      <c r="J303" s="78">
        <f>ROUND(SUM(J305),2)</f>
        <v>28.13</v>
      </c>
    </row>
    <row r="304" spans="1:10" s="93" customFormat="1">
      <c r="A304" s="60"/>
      <c r="B304" s="77"/>
      <c r="C304" s="90" t="s">
        <v>1690</v>
      </c>
      <c r="D304" s="27"/>
      <c r="E304" s="27" t="s">
        <v>1627</v>
      </c>
      <c r="F304" s="27"/>
      <c r="G304" s="27"/>
      <c r="H304" s="27"/>
      <c r="I304" s="27" t="s">
        <v>1623</v>
      </c>
      <c r="J304" s="78"/>
    </row>
    <row r="305" spans="1:11" s="93" customFormat="1">
      <c r="A305" s="60"/>
      <c r="B305" s="77"/>
      <c r="C305" s="73" t="s">
        <v>1691</v>
      </c>
      <c r="D305" s="27"/>
      <c r="E305" s="81">
        <v>5.8</v>
      </c>
      <c r="F305" s="81"/>
      <c r="G305" s="81"/>
      <c r="H305" s="81"/>
      <c r="I305" s="92">
        <f>J297</f>
        <v>4.8499999999999996</v>
      </c>
      <c r="J305" s="36">
        <f>ROUND(PRODUCT(E305:I305),2)</f>
        <v>28.13</v>
      </c>
    </row>
    <row r="306" spans="1:11" s="93" customFormat="1">
      <c r="A306" s="518"/>
      <c r="B306" s="519"/>
      <c r="C306" s="519"/>
      <c r="D306" s="519"/>
      <c r="E306" s="519"/>
      <c r="F306" s="519"/>
      <c r="G306" s="519"/>
      <c r="H306" s="519"/>
      <c r="I306" s="519"/>
      <c r="J306" s="523"/>
    </row>
    <row r="307" spans="1:11">
      <c r="A307" s="19" t="str">
        <f>'[3]Planilha Orçamentária'!A88</f>
        <v>1.2.4</v>
      </c>
      <c r="B307" s="20"/>
      <c r="C307" s="21" t="str">
        <f>VLOOKUP(A307,'[3]Planilha Orçamentária'!A:K,3,0)</f>
        <v>TERRAPLANAGEM</v>
      </c>
      <c r="D307" s="22"/>
      <c r="E307" s="23"/>
      <c r="F307" s="24"/>
      <c r="G307" s="24"/>
      <c r="H307" s="24"/>
      <c r="I307" s="25"/>
      <c r="J307" s="26"/>
    </row>
    <row r="308" spans="1:11" ht="38.25">
      <c r="A308" s="28" t="str">
        <f>'[3]Planilha Orçamentária'!A89</f>
        <v>1.2.4.1</v>
      </c>
      <c r="B308" s="42" t="str">
        <f>VLOOKUP(A308,'[3]Planilha Orçamentária'!A:K,2,0)</f>
        <v>CP-74205/001-17324935</v>
      </c>
      <c r="C308" s="30" t="str">
        <f>VLOOKUP(A308,'[3]Planilha Orçamentária'!A:K,3,0)</f>
        <v>ESCAVAÇÃO MECÂNICA DE MATERIAL 1A. CATEGORIA, PROVENIENTE DE CORTE DE SUBLEITO (C/TRATOR ESTEIRAS  160HP)</v>
      </c>
      <c r="D308" s="31" t="str">
        <f>VLOOKUP(A308,'[3]Planilha Orçamentária'!A:K,4,0)</f>
        <v>M3</v>
      </c>
      <c r="E308" s="30"/>
      <c r="F308" s="32"/>
      <c r="G308" s="32"/>
      <c r="H308" s="32"/>
      <c r="I308" s="32"/>
      <c r="J308" s="45">
        <f>ROUND(SUM(J310:J310),2)</f>
        <v>697.83</v>
      </c>
    </row>
    <row r="309" spans="1:11">
      <c r="A309" s="28"/>
      <c r="B309" s="42"/>
      <c r="C309" s="86" t="s">
        <v>1692</v>
      </c>
      <c r="D309" s="31"/>
      <c r="E309" s="30"/>
      <c r="F309" s="32"/>
      <c r="G309" s="32"/>
      <c r="H309" s="32"/>
      <c r="I309" s="34" t="s">
        <v>1623</v>
      </c>
      <c r="J309" s="45"/>
    </row>
    <row r="310" spans="1:11">
      <c r="A310" s="94"/>
      <c r="B310" s="95"/>
      <c r="C310" s="73" t="s">
        <v>1630</v>
      </c>
      <c r="D310" s="96"/>
      <c r="E310" s="82"/>
      <c r="F310" s="82"/>
      <c r="G310" s="82"/>
      <c r="H310" s="82"/>
      <c r="I310" s="82">
        <f>[3]PARÂMETROS!G69</f>
        <v>697.83</v>
      </c>
      <c r="J310" s="97">
        <f>ROUND(PRODUCT(E310:I310),2)</f>
        <v>697.83</v>
      </c>
    </row>
    <row r="311" spans="1:11">
      <c r="A311" s="513"/>
      <c r="B311" s="513"/>
      <c r="C311" s="513"/>
      <c r="D311" s="513"/>
      <c r="E311" s="513"/>
      <c r="F311" s="513"/>
      <c r="G311" s="513"/>
      <c r="H311" s="513"/>
      <c r="I311" s="513"/>
      <c r="J311" s="513"/>
    </row>
    <row r="312" spans="1:11" ht="51">
      <c r="A312" s="99" t="str">
        <f>'[3]Planilha Orçamentária'!A90</f>
        <v>1.2.4.2</v>
      </c>
      <c r="B312" s="48" t="str">
        <f>VLOOKUP(A312,'[3]Planilha Orçamentária'!A:K,2,0)</f>
        <v>COMP-35145154</v>
      </c>
      <c r="C312" s="100" t="str">
        <f>VLOOKUP(A312,'[3]Planilha Orçamentária'!A:K,3,0)</f>
        <v>CARGA E DESCARGA MECANICA DE SOLO UTILIZANDO CAMINHAO BASCULANTE 14,0M3/36T E PA CARREGADEIRA SOBRE PNEUS 128 HP, CAPACIDADE DA CAÇAMBA 1,7 A 2,8 M3, PESO OPERACIONAL 11632 KH</v>
      </c>
      <c r="D312" s="101" t="str">
        <f>VLOOKUP(A312,'[3]Planilha Orçamentária'!A:K,4,0)</f>
        <v>M3</v>
      </c>
      <c r="E312" s="100"/>
      <c r="F312" s="102"/>
      <c r="G312" s="102"/>
      <c r="H312" s="102"/>
      <c r="I312" s="102"/>
      <c r="J312" s="103">
        <f>ROUND(SUM(J315:J315),2)</f>
        <v>872.29</v>
      </c>
      <c r="K312" s="108"/>
    </row>
    <row r="313" spans="1:11">
      <c r="A313" s="99"/>
      <c r="B313" s="48"/>
      <c r="C313" s="86" t="s">
        <v>1692</v>
      </c>
      <c r="D313" s="101"/>
      <c r="E313" s="100"/>
      <c r="F313" s="102"/>
      <c r="G313" s="102"/>
      <c r="H313" s="102"/>
      <c r="I313" s="102"/>
      <c r="J313" s="103"/>
    </row>
    <row r="314" spans="1:11">
      <c r="A314" s="99"/>
      <c r="B314" s="48"/>
      <c r="C314" s="73" t="s">
        <v>1631</v>
      </c>
      <c r="D314" s="104"/>
      <c r="E314" s="105" t="s">
        <v>1622</v>
      </c>
      <c r="F314" s="102"/>
      <c r="G314" s="102"/>
      <c r="H314" s="102"/>
      <c r="I314" s="34" t="s">
        <v>1623</v>
      </c>
      <c r="J314" s="103"/>
      <c r="K314" s="108"/>
    </row>
    <row r="315" spans="1:11">
      <c r="A315" s="27"/>
      <c r="B315" s="27"/>
      <c r="C315" s="73" t="s">
        <v>1632</v>
      </c>
      <c r="D315" s="74"/>
      <c r="E315" s="35">
        <v>1.25</v>
      </c>
      <c r="F315" s="35"/>
      <c r="G315" s="35"/>
      <c r="H315" s="35"/>
      <c r="I315" s="35">
        <f>[3]PARÂMETROS!G70</f>
        <v>697.83</v>
      </c>
      <c r="J315" s="58">
        <f>ROUND(PRODUCT(E315:I315),2)</f>
        <v>872.29</v>
      </c>
    </row>
    <row r="316" spans="1:11">
      <c r="A316" s="513"/>
      <c r="B316" s="513"/>
      <c r="C316" s="513"/>
      <c r="D316" s="513"/>
      <c r="E316" s="513"/>
      <c r="F316" s="513"/>
      <c r="G316" s="513"/>
      <c r="H316" s="513"/>
      <c r="I316" s="513"/>
      <c r="J316" s="513"/>
    </row>
    <row r="317" spans="1:11" ht="38.25">
      <c r="A317" s="216" t="str">
        <f>'[3]Planilha Orçamentária'!A91</f>
        <v>1.2.4.3</v>
      </c>
      <c r="B317" s="217">
        <f>VLOOKUP(A317,'[3]Planilha Orçamentária'!A:K,2,0)</f>
        <v>95876</v>
      </c>
      <c r="C317" s="218" t="str">
        <f>VLOOKUP(A317,'[3]Planilha Orçamentária'!A:K,3,0)</f>
        <v>TRANSPORTE COM CAMINHÃO BASCULANTE DE 14 M³, EM VIA URBANA PAVIMENTADA, DMT ATÉ 30 KM (UNIDADE: M3XKM). AF_07/2020</v>
      </c>
      <c r="D317" s="219" t="str">
        <f>VLOOKUP(A317,'[3]Planilha Orçamentária'!A:K,4,0)</f>
        <v>M3XKM</v>
      </c>
      <c r="E317" s="218"/>
      <c r="F317" s="220"/>
      <c r="G317" s="220"/>
      <c r="H317" s="221"/>
      <c r="I317" s="221"/>
      <c r="J317" s="222">
        <f>ROUND(SUM(J320:J320),2)</f>
        <v>5059.28</v>
      </c>
    </row>
    <row r="318" spans="1:11">
      <c r="A318" s="216"/>
      <c r="B318" s="217"/>
      <c r="C318" s="86" t="s">
        <v>1692</v>
      </c>
      <c r="D318" s="219"/>
      <c r="E318" s="218"/>
      <c r="F318" s="220"/>
      <c r="G318" s="220"/>
      <c r="H318" s="64"/>
      <c r="I318" s="64"/>
      <c r="J318" s="78"/>
    </row>
    <row r="319" spans="1:11">
      <c r="A319" s="216"/>
      <c r="B319" s="217"/>
      <c r="C319" s="90" t="s">
        <v>1690</v>
      </c>
      <c r="D319" s="219"/>
      <c r="E319" s="223" t="s">
        <v>1627</v>
      </c>
      <c r="F319" s="220"/>
      <c r="G319" s="220"/>
      <c r="H319" s="64"/>
      <c r="I319" s="64"/>
      <c r="J319" s="78"/>
      <c r="K319" s="93"/>
    </row>
    <row r="320" spans="1:11">
      <c r="A320" s="94"/>
      <c r="B320" s="94"/>
      <c r="C320" s="73" t="s">
        <v>1691</v>
      </c>
      <c r="D320" s="96"/>
      <c r="E320" s="82">
        <v>5.8</v>
      </c>
      <c r="F320" s="82"/>
      <c r="G320" s="82"/>
      <c r="H320" s="224"/>
      <c r="I320" s="225">
        <f>J312</f>
        <v>872.29</v>
      </c>
      <c r="J320" s="226">
        <f>ROUND(PRODUCT(E320:I320),2)</f>
        <v>5059.28</v>
      </c>
    </row>
    <row r="321" spans="1:10">
      <c r="A321" s="498"/>
      <c r="B321" s="499"/>
      <c r="C321" s="499"/>
      <c r="D321" s="499"/>
      <c r="E321" s="499"/>
      <c r="F321" s="499"/>
      <c r="G321" s="499"/>
      <c r="H321" s="499"/>
      <c r="I321" s="499"/>
      <c r="J321" s="500"/>
    </row>
    <row r="322" spans="1:10" s="93" customFormat="1">
      <c r="A322" s="19" t="str">
        <f>'[3]Planilha Orçamentária'!A92</f>
        <v>1.2.5</v>
      </c>
      <c r="B322" s="20"/>
      <c r="C322" s="21" t="str">
        <f>VLOOKUP(A322,'[3]Planilha Orçamentária'!A:K,3,0)</f>
        <v>PAVIMENTAÇÃO</v>
      </c>
      <c r="D322" s="22"/>
      <c r="E322" s="23"/>
      <c r="F322" s="24"/>
      <c r="G322" s="24"/>
      <c r="H322" s="24"/>
      <c r="I322" s="25"/>
      <c r="J322" s="41"/>
    </row>
    <row r="323" spans="1:10" s="93" customFormat="1" ht="25.5">
      <c r="A323" s="60" t="str">
        <f>'[3]Planilha Orçamentária'!A93</f>
        <v>1.2.5.1</v>
      </c>
      <c r="B323" s="77">
        <f>VLOOKUP(A323,'[3]Planilha Orçamentária'!A:K,2,0)</f>
        <v>100576</v>
      </c>
      <c r="C323" s="62" t="str">
        <f>VLOOKUP(A323,'[3]Planilha Orçamentária'!A:K,3,0)</f>
        <v>REGULARIZAÇÃO E COMPACTAÇÃO DE SUBLEITO DE SOLO  PREDOMINANTEMENTE ARGILOSO. AF_11/2019</v>
      </c>
      <c r="D323" s="63" t="str">
        <f>VLOOKUP(A323,'[3]Planilha Orçamentária'!A:K,4,0)</f>
        <v>M2</v>
      </c>
      <c r="E323" s="62"/>
      <c r="F323" s="64"/>
      <c r="G323" s="64"/>
      <c r="H323" s="64"/>
      <c r="I323" s="64"/>
      <c r="J323" s="78">
        <f>ROUND(SUM(J325:J330),2)</f>
        <v>1202.25</v>
      </c>
    </row>
    <row r="324" spans="1:10" s="93" customFormat="1">
      <c r="A324" s="60"/>
      <c r="B324" s="77"/>
      <c r="C324" s="79" t="s">
        <v>1693</v>
      </c>
      <c r="D324" s="63"/>
      <c r="E324" s="62"/>
      <c r="F324" s="80"/>
      <c r="G324" s="80"/>
      <c r="H324" s="64"/>
      <c r="I324" s="87"/>
      <c r="J324" s="78"/>
    </row>
    <row r="325" spans="1:10" s="93" customFormat="1">
      <c r="A325" s="66"/>
      <c r="B325" s="227"/>
      <c r="C325" s="109" t="s">
        <v>1686</v>
      </c>
      <c r="D325" s="63"/>
      <c r="E325" s="62"/>
      <c r="F325" s="80"/>
      <c r="G325" s="80"/>
      <c r="H325" s="64"/>
      <c r="I325" s="87" t="s">
        <v>1620</v>
      </c>
      <c r="J325" s="228"/>
    </row>
    <row r="326" spans="1:10">
      <c r="A326" s="60"/>
      <c r="B326" s="77"/>
      <c r="C326" s="109" t="s">
        <v>1635</v>
      </c>
      <c r="D326" s="63"/>
      <c r="E326" s="62"/>
      <c r="F326" s="80"/>
      <c r="G326" s="80"/>
      <c r="H326" s="64"/>
      <c r="I326" s="111">
        <v>487.75</v>
      </c>
      <c r="J326" s="120">
        <f>ROUND(PRODUCT(E326:I326),2)</f>
        <v>487.75</v>
      </c>
    </row>
    <row r="327" spans="1:10" ht="15">
      <c r="A327" s="60"/>
      <c r="B327" s="77"/>
      <c r="C327" s="109" t="s">
        <v>1636</v>
      </c>
      <c r="D327" s="74"/>
      <c r="E327" s="35"/>
      <c r="F327" s="121"/>
      <c r="G327" s="35"/>
      <c r="H327" s="35"/>
      <c r="I327" s="111">
        <v>128.35</v>
      </c>
      <c r="J327" s="120">
        <f>ROUND(PRODUCT(E327:I327),2)</f>
        <v>128.35</v>
      </c>
    </row>
    <row r="328" spans="1:10">
      <c r="A328" s="60"/>
      <c r="B328" s="77"/>
      <c r="C328" s="109" t="s">
        <v>1694</v>
      </c>
      <c r="D328" s="74"/>
      <c r="E328" s="35"/>
      <c r="F328" s="80" t="s">
        <v>1606</v>
      </c>
      <c r="G328" s="80" t="s">
        <v>1607</v>
      </c>
      <c r="H328" s="35"/>
      <c r="I328" s="111"/>
      <c r="J328" s="120"/>
    </row>
    <row r="329" spans="1:10" ht="25.5">
      <c r="A329" s="60"/>
      <c r="B329" s="77"/>
      <c r="C329" s="109" t="s">
        <v>1638</v>
      </c>
      <c r="D329" s="74"/>
      <c r="E329" s="35"/>
      <c r="F329" s="229">
        <f>(20-15.08)+(5*20)+(12.31)</f>
        <v>117.23</v>
      </c>
      <c r="G329" s="80">
        <f>4+1</f>
        <v>5</v>
      </c>
      <c r="H329" s="35"/>
      <c r="I329" s="111"/>
      <c r="J329" s="120">
        <f>ROUND(PRODUCT(E329:I329),2)</f>
        <v>586.15</v>
      </c>
    </row>
    <row r="330" spans="1:10" s="93" customFormat="1">
      <c r="A330" s="532"/>
      <c r="B330" s="533"/>
      <c r="C330" s="533"/>
      <c r="D330" s="533"/>
      <c r="E330" s="533"/>
      <c r="F330" s="533"/>
      <c r="G330" s="533"/>
      <c r="H330" s="533"/>
      <c r="I330" s="533"/>
      <c r="J330" s="534"/>
    </row>
    <row r="331" spans="1:10" ht="25.5">
      <c r="A331" s="216" t="str">
        <f>'[3]Planilha Orçamentária'!A94</f>
        <v>1.2.5.2</v>
      </c>
      <c r="B331" s="217" t="str">
        <f>VLOOKUP(A331,'[3]Planilha Orçamentária'!A:K,2,0)</f>
        <v>COMP-47176600</v>
      </c>
      <c r="C331" s="218" t="str">
        <f>VLOOKUP(A331,'[3]Planilha Orçamentária'!A:K,3,0)</f>
        <v xml:space="preserve">EXEC. DE ATERRO COM AREIA COM ADENSAMENTO HIDRAULICO </v>
      </c>
      <c r="D331" s="219" t="str">
        <f>VLOOKUP(A331,'[3]Planilha Orçamentária'!A:K,4,0)</f>
        <v xml:space="preserve">M3    </v>
      </c>
      <c r="E331" s="218"/>
      <c r="F331" s="220"/>
      <c r="G331" s="220"/>
      <c r="H331" s="220"/>
      <c r="I331" s="220"/>
      <c r="J331" s="78">
        <f>ROUND(SUM(J333:J335),2)</f>
        <v>146.54</v>
      </c>
    </row>
    <row r="332" spans="1:10">
      <c r="A332" s="216"/>
      <c r="B332" s="217"/>
      <c r="C332" s="79" t="s">
        <v>1693</v>
      </c>
      <c r="D332" s="219"/>
      <c r="E332" s="124"/>
      <c r="F332" s="125"/>
      <c r="G332" s="125"/>
      <c r="H332" s="87"/>
      <c r="I332" s="87"/>
      <c r="J332" s="230"/>
    </row>
    <row r="333" spans="1:10">
      <c r="A333" s="216"/>
      <c r="B333" s="217"/>
      <c r="C333" s="109" t="s">
        <v>1694</v>
      </c>
      <c r="D333" s="63"/>
      <c r="E333" s="124"/>
      <c r="F333" s="80" t="s">
        <v>1606</v>
      </c>
      <c r="G333" s="80" t="s">
        <v>1607</v>
      </c>
      <c r="H333" s="80" t="s">
        <v>1619</v>
      </c>
      <c r="I333" s="111"/>
      <c r="J333" s="228"/>
    </row>
    <row r="334" spans="1:10" ht="28.5">
      <c r="A334" s="216"/>
      <c r="B334" s="217"/>
      <c r="C334" s="126" t="s">
        <v>1695</v>
      </c>
      <c r="D334" s="63"/>
      <c r="E334" s="124"/>
      <c r="F334" s="80">
        <f>F329</f>
        <v>117.23</v>
      </c>
      <c r="G334" s="91">
        <f>4+0.5+0.5</f>
        <v>5</v>
      </c>
      <c r="H334" s="88">
        <v>0.25</v>
      </c>
      <c r="I334" s="111"/>
      <c r="J334" s="228">
        <f t="shared" ref="J334" si="25">ROUND(PRODUCT(E334:I334),2)</f>
        <v>146.54</v>
      </c>
    </row>
    <row r="335" spans="1:10" ht="13.5" customHeight="1">
      <c r="A335" s="513"/>
      <c r="B335" s="513"/>
      <c r="C335" s="513"/>
      <c r="D335" s="513"/>
      <c r="E335" s="513"/>
      <c r="F335" s="513"/>
      <c r="G335" s="513"/>
      <c r="H335" s="513"/>
      <c r="I335" s="513"/>
      <c r="J335" s="513"/>
    </row>
    <row r="336" spans="1:10" ht="38.25">
      <c r="A336" s="99" t="str">
        <f>'[3]Planilha Orçamentária'!A95</f>
        <v>1.2.5.3</v>
      </c>
      <c r="B336" s="48" t="str">
        <f>VLOOKUP(A336,'[3]Planilha Orçamentária'!A:K,2,0)</f>
        <v>COMP-28881239</v>
      </c>
      <c r="C336" s="100" t="str">
        <f>VLOOKUP(A336,'[3]Planilha Orçamentária'!A:K,3,0)</f>
        <v>Base ou sub-base de macadame hidráulico com brita comercial - EXCLUSIVE MATERIAL, CARGA E TRANSPORTE - NÃO DESONERADO</v>
      </c>
      <c r="D336" s="101" t="str">
        <f>VLOOKUP(A336,'[3]Planilha Orçamentária'!A:K,4,0)</f>
        <v>M3</v>
      </c>
      <c r="E336" s="100"/>
      <c r="F336" s="102"/>
      <c r="G336" s="102"/>
      <c r="H336" s="102"/>
      <c r="I336" s="102"/>
      <c r="J336" s="103">
        <f>ROUND(SUM(J338:J343),2)</f>
        <v>211.14</v>
      </c>
    </row>
    <row r="337" spans="1:10">
      <c r="A337" s="99"/>
      <c r="B337" s="48"/>
      <c r="C337" s="79" t="s">
        <v>1693</v>
      </c>
      <c r="D337" s="101"/>
      <c r="E337" s="105"/>
      <c r="F337" s="102"/>
      <c r="G337" s="102"/>
      <c r="H337" s="87"/>
      <c r="I337" s="87"/>
      <c r="J337" s="103"/>
    </row>
    <row r="338" spans="1:10">
      <c r="A338" s="99"/>
      <c r="B338" s="48"/>
      <c r="C338" s="109" t="s">
        <v>1686</v>
      </c>
      <c r="D338" s="101"/>
      <c r="E338" s="105"/>
      <c r="F338" s="102"/>
      <c r="G338" s="102"/>
      <c r="H338" s="80" t="s">
        <v>1619</v>
      </c>
      <c r="I338" s="87" t="s">
        <v>1620</v>
      </c>
      <c r="J338" s="188"/>
    </row>
    <row r="339" spans="1:10">
      <c r="A339" s="231"/>
      <c r="B339" s="232"/>
      <c r="C339" s="109" t="s">
        <v>1635</v>
      </c>
      <c r="D339" s="115"/>
      <c r="E339" s="233"/>
      <c r="F339" s="233"/>
      <c r="G339" s="234"/>
      <c r="H339" s="235">
        <v>0.2</v>
      </c>
      <c r="I339" s="118">
        <f>I326</f>
        <v>487.75</v>
      </c>
      <c r="J339" s="36">
        <f>ROUND(PRODUCT(E339:I339),2)</f>
        <v>97.55</v>
      </c>
    </row>
    <row r="340" spans="1:10">
      <c r="A340" s="231"/>
      <c r="B340" s="232"/>
      <c r="C340" s="109" t="s">
        <v>1636</v>
      </c>
      <c r="D340" s="115"/>
      <c r="E340" s="124"/>
      <c r="F340" s="127"/>
      <c r="G340" s="127"/>
      <c r="H340" s="127">
        <v>0.2</v>
      </c>
      <c r="I340" s="118">
        <f>I327</f>
        <v>128.35</v>
      </c>
      <c r="J340" s="36">
        <f>ROUND(PRODUCT(E340:I340),2)</f>
        <v>25.67</v>
      </c>
    </row>
    <row r="341" spans="1:10">
      <c r="A341" s="231"/>
      <c r="B341" s="232"/>
      <c r="C341" s="109" t="s">
        <v>1694</v>
      </c>
      <c r="D341" s="74"/>
      <c r="E341" s="124"/>
      <c r="F341" s="80" t="s">
        <v>1606</v>
      </c>
      <c r="G341" s="80" t="s">
        <v>1607</v>
      </c>
      <c r="H341" s="80" t="s">
        <v>1619</v>
      </c>
      <c r="I341" s="111"/>
      <c r="J341" s="36"/>
    </row>
    <row r="342" spans="1:10" ht="28.5">
      <c r="A342" s="231"/>
      <c r="B342" s="232"/>
      <c r="C342" s="126" t="s">
        <v>1640</v>
      </c>
      <c r="D342" s="63"/>
      <c r="E342" s="124"/>
      <c r="F342" s="80">
        <f>F329</f>
        <v>117.23</v>
      </c>
      <c r="G342" s="91">
        <f>4+0.5+0.5</f>
        <v>5</v>
      </c>
      <c r="H342" s="80">
        <v>0.15</v>
      </c>
      <c r="I342" s="111"/>
      <c r="J342" s="36">
        <f>ROUND(PRODUCT(E342:I342),2)</f>
        <v>87.92</v>
      </c>
    </row>
    <row r="343" spans="1:10">
      <c r="A343" s="27"/>
      <c r="B343" s="236"/>
      <c r="C343" s="237"/>
      <c r="D343" s="74"/>
      <c r="E343" s="127"/>
      <c r="F343" s="127"/>
      <c r="G343" s="127"/>
      <c r="H343" s="127"/>
      <c r="I343" s="111"/>
      <c r="J343" s="120"/>
    </row>
    <row r="344" spans="1:10">
      <c r="A344" s="529"/>
      <c r="B344" s="530"/>
      <c r="C344" s="530"/>
      <c r="D344" s="530"/>
      <c r="E344" s="530"/>
      <c r="F344" s="530"/>
      <c r="G344" s="530"/>
      <c r="H344" s="530"/>
      <c r="I344" s="530"/>
      <c r="J344" s="531"/>
    </row>
    <row r="345" spans="1:10" ht="38.25">
      <c r="A345" s="216" t="str">
        <f>'[3]Planilha Orçamentária'!A96</f>
        <v>1.2.5.4</v>
      </c>
      <c r="B345" s="217" t="str">
        <f>VLOOKUP(A345,'[3]Planilha Orçamentária'!A:K,2,0)</f>
        <v>CP-96396-26507981</v>
      </c>
      <c r="C345" s="241" t="str">
        <f>VLOOKUP(A345,'[3]Planilha Orçamentária'!A:K,3,0)</f>
        <v>EXECUÇÃO E COMPACTAÇÃO DE BASE E OU SUB BASE PARA PAVIMENTAÇÃO DE BRITA GRADUADA SIMPLES - EXCLUSIVE MATERIAL, CARGA E TRANSPORTE</v>
      </c>
      <c r="D345" s="219" t="str">
        <f>VLOOKUP(A345,'[3]Planilha Orçamentária'!A:K,4,0)</f>
        <v>M3</v>
      </c>
      <c r="E345" s="218"/>
      <c r="F345" s="220"/>
      <c r="G345" s="220"/>
      <c r="H345" s="220"/>
      <c r="I345" s="220"/>
      <c r="J345" s="103">
        <f>ROUND(SUM(J347:J352),2)</f>
        <v>186.19</v>
      </c>
    </row>
    <row r="346" spans="1:10">
      <c r="A346" s="60"/>
      <c r="B346" s="77"/>
      <c r="C346" s="79" t="s">
        <v>1693</v>
      </c>
      <c r="D346" s="101"/>
      <c r="E346" s="105"/>
      <c r="F346" s="102"/>
      <c r="G346" s="102"/>
      <c r="H346" s="87"/>
      <c r="I346" s="87"/>
      <c r="J346" s="120"/>
    </row>
    <row r="347" spans="1:10">
      <c r="A347" s="60"/>
      <c r="B347" s="77"/>
      <c r="C347" s="109" t="s">
        <v>1686</v>
      </c>
      <c r="D347" s="101"/>
      <c r="E347" s="105"/>
      <c r="F347" s="102"/>
      <c r="G347" s="102"/>
      <c r="H347" s="80" t="s">
        <v>1619</v>
      </c>
      <c r="I347" s="87" t="s">
        <v>1620</v>
      </c>
      <c r="J347" s="120"/>
    </row>
    <row r="348" spans="1:10">
      <c r="A348" s="60"/>
      <c r="B348" s="77"/>
      <c r="C348" s="109" t="s">
        <v>1635</v>
      </c>
      <c r="D348" s="115"/>
      <c r="E348" s="233"/>
      <c r="F348" s="233"/>
      <c r="G348" s="234"/>
      <c r="H348" s="235">
        <v>0.15</v>
      </c>
      <c r="I348" s="118">
        <f>J326</f>
        <v>487.75</v>
      </c>
      <c r="J348" s="36">
        <f t="shared" ref="J348:J351" si="26">ROUND(PRODUCT(E348:I348),2)</f>
        <v>73.16</v>
      </c>
    </row>
    <row r="349" spans="1:10">
      <c r="A349" s="60"/>
      <c r="B349" s="77"/>
      <c r="C349" s="109" t="s">
        <v>1636</v>
      </c>
      <c r="D349" s="115"/>
      <c r="E349" s="124"/>
      <c r="F349" s="127"/>
      <c r="G349" s="127"/>
      <c r="H349" s="127">
        <v>0.15</v>
      </c>
      <c r="I349" s="111">
        <f>J327</f>
        <v>128.35</v>
      </c>
      <c r="J349" s="36">
        <f t="shared" si="26"/>
        <v>19.25</v>
      </c>
    </row>
    <row r="350" spans="1:10">
      <c r="A350" s="60"/>
      <c r="B350" s="77"/>
      <c r="C350" s="109" t="s">
        <v>1694</v>
      </c>
      <c r="D350" s="74"/>
      <c r="E350" s="124"/>
      <c r="F350" s="80" t="s">
        <v>1606</v>
      </c>
      <c r="G350" s="80" t="s">
        <v>1607</v>
      </c>
      <c r="H350" s="80" t="s">
        <v>1619</v>
      </c>
      <c r="I350" s="242"/>
      <c r="J350" s="120"/>
    </row>
    <row r="351" spans="1:10" ht="28.5">
      <c r="A351" s="60"/>
      <c r="B351" s="77"/>
      <c r="C351" s="126" t="s">
        <v>1696</v>
      </c>
      <c r="D351" s="63"/>
      <c r="E351" s="124"/>
      <c r="F351" s="80">
        <f>F329</f>
        <v>117.23</v>
      </c>
      <c r="G351" s="91">
        <v>4</v>
      </c>
      <c r="H351" s="80">
        <v>0.2</v>
      </c>
      <c r="I351" s="242"/>
      <c r="J351" s="36">
        <f t="shared" si="26"/>
        <v>93.78</v>
      </c>
    </row>
    <row r="352" spans="1:10">
      <c r="A352" s="497"/>
      <c r="B352" s="497"/>
      <c r="C352" s="497"/>
      <c r="D352" s="497"/>
      <c r="E352" s="497"/>
      <c r="F352" s="497"/>
      <c r="G352" s="497"/>
      <c r="H352" s="497"/>
      <c r="I352" s="497"/>
      <c r="J352" s="497"/>
    </row>
    <row r="353" spans="1:10" ht="51">
      <c r="A353" s="60" t="str">
        <f>'[3]Planilha Orçamentária'!A97</f>
        <v>1.2.5.5</v>
      </c>
      <c r="B353" s="61" t="str">
        <f>VLOOKUP(A353,'[3]Planilha Orçamentária'!A:K,2,0)</f>
        <v>COMP-35145154</v>
      </c>
      <c r="C353" s="62" t="str">
        <f>VLOOKUP(A353,'[3]Planilha Orçamentária'!A:K,3,0)</f>
        <v>CARGA E DESCARGA MECANICA DE SOLO UTILIZANDO CAMINHAO BASCULANTE 14,0M3/36T E PA CARREGADEIRA SOBRE PNEUS 128 HP, CAPACIDADE DA CAÇAMBA 1,7 A 2,8 M3, PESO OPERACIONAL 11632 KH</v>
      </c>
      <c r="D353" s="63" t="str">
        <f>VLOOKUP(A353,'[3]Planilha Orçamentária'!A:K,4,0)</f>
        <v>M3</v>
      </c>
      <c r="E353" s="124"/>
      <c r="F353" s="125"/>
      <c r="G353" s="125"/>
      <c r="H353" s="125"/>
      <c r="I353" s="125"/>
      <c r="J353" s="65">
        <f>ROUND(SUM(J354:J355),2)</f>
        <v>496.66</v>
      </c>
    </row>
    <row r="354" spans="1:10" ht="38.25">
      <c r="A354" s="129"/>
      <c r="B354" s="130"/>
      <c r="C354" s="62"/>
      <c r="D354" s="63"/>
      <c r="E354" s="127" t="s">
        <v>1622</v>
      </c>
      <c r="F354" s="127"/>
      <c r="G354" s="127"/>
      <c r="H354" s="127"/>
      <c r="I354" s="127" t="s">
        <v>1697</v>
      </c>
      <c r="J354" s="94"/>
    </row>
    <row r="355" spans="1:10" ht="14.25">
      <c r="A355" s="129"/>
      <c r="B355" s="130"/>
      <c r="C355" s="131" t="s">
        <v>1642</v>
      </c>
      <c r="D355" s="96"/>
      <c r="E355" s="34">
        <v>1.25</v>
      </c>
      <c r="F355" s="34"/>
      <c r="G355" s="132"/>
      <c r="H355" s="82"/>
      <c r="I355" s="82">
        <f>J345+J336</f>
        <v>397.33</v>
      </c>
      <c r="J355" s="97">
        <f>ROUND(PRODUCT(E355:I355),2)</f>
        <v>496.66</v>
      </c>
    </row>
    <row r="356" spans="1:10">
      <c r="A356" s="129"/>
      <c r="B356" s="130"/>
      <c r="C356" s="129"/>
      <c r="D356" s="129"/>
      <c r="E356" s="94"/>
      <c r="F356" s="94"/>
      <c r="G356" s="94"/>
      <c r="H356" s="94"/>
      <c r="I356" s="94"/>
      <c r="J356" s="94"/>
    </row>
    <row r="357" spans="1:10" ht="25.5">
      <c r="A357" s="60" t="str">
        <f>'[3]Planilha Orçamentária'!A98</f>
        <v>1.2.5.6</v>
      </c>
      <c r="B357" s="61" t="str">
        <f>VLOOKUP(A357,'[3]Planilha Orçamentária'!A:K,2,0)</f>
        <v>COMP-83526730</v>
      </c>
      <c r="C357" s="62" t="str">
        <f>VLOOKUP(A357,'[3]Planilha Orçamentária'!A:K,3,0)</f>
        <v>TRANSPORTE COMERCIAL DE BRITA</v>
      </c>
      <c r="D357" s="63" t="str">
        <f>VLOOKUP(A357,'[3]Planilha Orçamentária'!A:K,4,0)</f>
        <v>M3XKM</v>
      </c>
      <c r="E357" s="124"/>
      <c r="F357" s="125"/>
      <c r="G357" s="125"/>
      <c r="H357" s="125"/>
      <c r="I357" s="125"/>
      <c r="J357" s="65">
        <f>ROUND(SUM(J358:J359),2)</f>
        <v>5512.93</v>
      </c>
    </row>
    <row r="358" spans="1:10" ht="25.5">
      <c r="A358" s="129"/>
      <c r="B358" s="130"/>
      <c r="C358" s="79" t="s">
        <v>1698</v>
      </c>
      <c r="D358" s="101"/>
      <c r="E358" s="34" t="s">
        <v>1627</v>
      </c>
      <c r="F358" s="102"/>
      <c r="G358" s="102"/>
      <c r="H358" s="34"/>
      <c r="I358" s="87" t="s">
        <v>1644</v>
      </c>
      <c r="J358" s="94"/>
    </row>
    <row r="359" spans="1:10" ht="14.25">
      <c r="A359" s="129"/>
      <c r="B359" s="130"/>
      <c r="C359" s="131" t="s">
        <v>1699</v>
      </c>
      <c r="D359" s="96"/>
      <c r="E359" s="82">
        <v>11.1</v>
      </c>
      <c r="F359" s="34"/>
      <c r="G359" s="82"/>
      <c r="H359" s="82"/>
      <c r="I359" s="82">
        <f>J353</f>
        <v>496.66</v>
      </c>
      <c r="J359" s="97">
        <f>ROUND(PRODUCT(E359:I359),2)</f>
        <v>5512.93</v>
      </c>
    </row>
    <row r="360" spans="1:10">
      <c r="A360" s="129"/>
      <c r="B360" s="130"/>
      <c r="C360" s="129"/>
      <c r="D360" s="129"/>
      <c r="E360" s="94"/>
      <c r="F360" s="94"/>
      <c r="G360" s="94"/>
      <c r="H360" s="94"/>
      <c r="I360" s="94"/>
      <c r="J360" s="94"/>
    </row>
    <row r="361" spans="1:10" ht="51">
      <c r="A361" s="28" t="str">
        <f>'[3]Planilha Orçamentária'!A99</f>
        <v>1.2.5.7</v>
      </c>
      <c r="B361" s="29" t="str">
        <f>VLOOKUP(A361,'[3]Planilha Orçamentária'!A:K,2,0)</f>
        <v>CP-92399-27762594</v>
      </c>
      <c r="C361" s="30" t="str">
        <f>VLOOKUP(A361,'[3]Planilha Orçamentária'!A:K,3,0)</f>
        <v>EXECUÇÃO DE VIA EM PISO INTERTRAVADO, COM BLOCO RETANGULAR COR NATURAL/COLORIDO DE 20 X 10 CM, ESPESSURA 8 CM - (SEM O MATERIAL BLOQUETE/PISO INTERTRAVADO)</v>
      </c>
      <c r="D361" s="31" t="str">
        <f>VLOOKUP(A361,'[3]Planilha Orçamentária'!A:K,4,0)</f>
        <v>M2</v>
      </c>
      <c r="E361" s="30"/>
      <c r="F361" s="32"/>
      <c r="G361" s="32"/>
      <c r="H361" s="32"/>
      <c r="I361" s="32"/>
      <c r="J361" s="33">
        <f>ROUND(SUM(J363:J364),2)</f>
        <v>616.1</v>
      </c>
    </row>
    <row r="362" spans="1:10">
      <c r="A362" s="28"/>
      <c r="B362" s="29"/>
      <c r="C362" s="79" t="s">
        <v>1693</v>
      </c>
      <c r="D362" s="31"/>
      <c r="E362" s="30"/>
      <c r="F362" s="32"/>
      <c r="G362" s="32"/>
      <c r="H362" s="32"/>
      <c r="I362" s="80" t="s">
        <v>1620</v>
      </c>
      <c r="J362" s="33"/>
    </row>
    <row r="363" spans="1:10" ht="28.5">
      <c r="A363" s="99"/>
      <c r="B363" s="243"/>
      <c r="C363" s="126" t="s">
        <v>1646</v>
      </c>
      <c r="D363" s="129"/>
      <c r="E363" s="129"/>
      <c r="F363" s="140"/>
      <c r="G363" s="129"/>
      <c r="H363" s="129"/>
      <c r="I363" s="141">
        <f>[3]PARÂMETROS!F91</f>
        <v>487.75</v>
      </c>
      <c r="J363" s="244">
        <f>ROUND(PRODUCT(E363:I363),2)</f>
        <v>487.75</v>
      </c>
    </row>
    <row r="364" spans="1:10" ht="28.5">
      <c r="A364" s="99"/>
      <c r="B364" s="243"/>
      <c r="C364" s="126" t="s">
        <v>1647</v>
      </c>
      <c r="D364" s="129"/>
      <c r="E364" s="129"/>
      <c r="F364" s="140"/>
      <c r="G364" s="129"/>
      <c r="H364" s="129"/>
      <c r="I364" s="141">
        <f>[3]PARÂMETROS!F92</f>
        <v>128.35</v>
      </c>
      <c r="J364" s="244">
        <f>ROUND(PRODUCT(E364:I364),2)</f>
        <v>128.35</v>
      </c>
    </row>
    <row r="365" spans="1:10">
      <c r="A365" s="496"/>
      <c r="B365" s="496"/>
      <c r="C365" s="496"/>
      <c r="D365" s="496"/>
      <c r="E365" s="496"/>
      <c r="F365" s="496"/>
      <c r="G365" s="496"/>
      <c r="H365" s="496"/>
      <c r="I365" s="496"/>
      <c r="J365" s="496"/>
    </row>
    <row r="366" spans="1:10" s="93" customFormat="1" ht="25.5">
      <c r="A366" s="245" t="str">
        <f>'[3]Planilha Orçamentária'!A100</f>
        <v>1.2.5.8</v>
      </c>
      <c r="B366" s="246" t="str">
        <f>VLOOKUP(A366,'[3]Planilha Orçamentária'!A:K,2,0)</f>
        <v>COMP-62038505</v>
      </c>
      <c r="C366" s="30" t="str">
        <f>VLOOKUP(A366,'[3]Planilha Orçamentária'!A:K,3,0)</f>
        <v>EXECUÇÃO DE IMPRIMAÇÃO COM ASFALTO DILUÍDO CM-30 - SERVIÇO UTILIZADO NOS LOTES</v>
      </c>
      <c r="D366" s="247" t="str">
        <f>VLOOKUP(A366,'[3]Planilha Orçamentária'!A:K,4,0)</f>
        <v>M2</v>
      </c>
      <c r="E366" s="248"/>
      <c r="F366" s="249"/>
      <c r="G366" s="249"/>
      <c r="H366" s="249"/>
      <c r="I366" s="249"/>
      <c r="J366" s="250">
        <f>ROUND(SUM(J368:J369),2)</f>
        <v>403.64</v>
      </c>
    </row>
    <row r="367" spans="1:10" s="93" customFormat="1">
      <c r="A367" s="28"/>
      <c r="B367" s="29"/>
      <c r="C367" s="79" t="s">
        <v>1693</v>
      </c>
      <c r="D367" s="31"/>
      <c r="E367" s="30"/>
      <c r="F367" s="34"/>
      <c r="G367" s="32"/>
      <c r="H367" s="32"/>
      <c r="I367" s="80"/>
      <c r="J367" s="33"/>
    </row>
    <row r="368" spans="1:10" s="93" customFormat="1" ht="28.5">
      <c r="A368" s="28"/>
      <c r="B368" s="29"/>
      <c r="C368" s="131" t="s">
        <v>1648</v>
      </c>
      <c r="D368" s="31"/>
      <c r="E368" s="30"/>
      <c r="F368" s="134"/>
      <c r="G368" s="32"/>
      <c r="H368" s="32"/>
      <c r="I368" s="135" t="s">
        <v>1620</v>
      </c>
      <c r="J368" s="33"/>
    </row>
    <row r="369" spans="1:10" s="93" customFormat="1" ht="14.25">
      <c r="A369" s="27"/>
      <c r="B369" s="236"/>
      <c r="C369" s="131" t="s">
        <v>1649</v>
      </c>
      <c r="D369" s="31"/>
      <c r="E369" s="30"/>
      <c r="F369" s="134"/>
      <c r="G369" s="32"/>
      <c r="H369" s="32"/>
      <c r="I369" s="136">
        <f>[3]PARÂMETROS!F81</f>
        <v>403.64</v>
      </c>
      <c r="J369" s="36">
        <f t="shared" ref="J369" si="27">ROUND(PRODUCT(E369:I369),2)</f>
        <v>403.64</v>
      </c>
    </row>
    <row r="370" spans="1:10" s="93" customFormat="1">
      <c r="A370" s="501"/>
      <c r="B370" s="502"/>
      <c r="C370" s="502"/>
      <c r="D370" s="502"/>
      <c r="E370" s="502"/>
      <c r="F370" s="502"/>
      <c r="G370" s="502"/>
      <c r="H370" s="502"/>
      <c r="I370" s="502"/>
      <c r="J370" s="503"/>
    </row>
    <row r="371" spans="1:10" s="93" customFormat="1" ht="38.25">
      <c r="A371" s="245" t="str">
        <f>'[3]Planilha Orçamentária'!A101</f>
        <v>1.2.5.9</v>
      </c>
      <c r="B371" s="246" t="str">
        <f>VLOOKUP(A371,'[3]Planilha Orçamentária'!A:K,2,0)</f>
        <v>CP-95995-51339760</v>
      </c>
      <c r="C371" s="30" t="str">
        <f>VLOOKUP(A371,'[3]Planilha Orçamentária'!A:K,3,0)</f>
        <v>EXECUÇÃO DE PAVIMENTO COM APLICAÇÃO DE CONCRETO ASFÁLTICO, CAMADA DE ROLAMENTO - EXCLUSIVE CARGA E TRANSPORTE E CONCRETO BETUMINOSO</v>
      </c>
      <c r="D371" s="247" t="str">
        <f>VLOOKUP(A371,'[3]Planilha Orçamentária'!A:K,4,0)</f>
        <v>M3</v>
      </c>
      <c r="E371" s="248"/>
      <c r="F371" s="249"/>
      <c r="G371" s="249"/>
      <c r="H371" s="249"/>
      <c r="I371" s="249"/>
      <c r="J371" s="250">
        <f>ROUND(SUM(J372:J373),2)</f>
        <v>20.18</v>
      </c>
    </row>
    <row r="372" spans="1:10" s="93" customFormat="1">
      <c r="A372" s="28"/>
      <c r="B372" s="29"/>
      <c r="C372" s="79" t="s">
        <v>1693</v>
      </c>
      <c r="D372" s="31"/>
      <c r="E372" s="30"/>
      <c r="F372" s="34"/>
      <c r="G372" s="32"/>
      <c r="H372" s="34" t="s">
        <v>1619</v>
      </c>
      <c r="I372" s="135" t="s">
        <v>1620</v>
      </c>
      <c r="J372" s="33"/>
    </row>
    <row r="373" spans="1:10" s="93" customFormat="1" ht="14.25">
      <c r="A373" s="28"/>
      <c r="B373" s="29"/>
      <c r="C373" s="131" t="s">
        <v>1650</v>
      </c>
      <c r="D373" s="94"/>
      <c r="E373" s="94"/>
      <c r="F373" s="134"/>
      <c r="G373" s="94"/>
      <c r="H373" s="136">
        <v>0.05</v>
      </c>
      <c r="I373" s="136">
        <f>J366</f>
        <v>403.64</v>
      </c>
      <c r="J373" s="36">
        <f t="shared" ref="J373" si="28">ROUND(PRODUCT(E373:I373),2)</f>
        <v>20.18</v>
      </c>
    </row>
    <row r="374" spans="1:10" s="93" customFormat="1">
      <c r="A374" s="501"/>
      <c r="B374" s="502"/>
      <c r="C374" s="502"/>
      <c r="D374" s="502"/>
      <c r="E374" s="502"/>
      <c r="F374" s="502"/>
      <c r="G374" s="502"/>
      <c r="H374" s="502"/>
      <c r="I374" s="502"/>
      <c r="J374" s="503"/>
    </row>
    <row r="375" spans="1:10" s="93" customFormat="1" ht="38.25">
      <c r="A375" s="245" t="str">
        <f>'[3]Planilha Orçamentária'!A102</f>
        <v>1.2.5.10</v>
      </c>
      <c r="B375" s="246" t="str">
        <f>VLOOKUP(A375,'[3]Planilha Orçamentária'!A:K,2,0)</f>
        <v>COMP-10034101</v>
      </c>
      <c r="C375" s="100" t="str">
        <f>VLOOKUP(A375,'[3]Planilha Orçamentária'!A:K,3,0)</f>
        <v>CARGA, MANOBRAS E DESCARGA DE MISTURA BETUMINOSA A QUENTE, COM CAMINHAO BASCULANTE 6 M3, DESCARGA EM VIBRO-ACABADORA</v>
      </c>
      <c r="D375" s="247" t="str">
        <f>VLOOKUP(A375,'[3]Planilha Orçamentária'!A:K,4,0)</f>
        <v>M3</v>
      </c>
      <c r="E375" s="248"/>
      <c r="F375" s="249"/>
      <c r="G375" s="249"/>
      <c r="H375" s="249"/>
      <c r="I375" s="249"/>
      <c r="J375" s="251">
        <f>ROUND(SUM(J377:J378),2)</f>
        <v>20.18</v>
      </c>
    </row>
    <row r="376" spans="1:10" s="93" customFormat="1" ht="14.25">
      <c r="A376" s="28"/>
      <c r="B376" s="29"/>
      <c r="C376" s="126"/>
      <c r="D376" s="31"/>
      <c r="E376" s="30"/>
      <c r="F376" s="34"/>
      <c r="G376" s="32"/>
      <c r="H376" s="32"/>
      <c r="I376" s="135" t="s">
        <v>1623</v>
      </c>
      <c r="J376" s="33"/>
    </row>
    <row r="377" spans="1:10" s="93" customFormat="1" ht="14.25">
      <c r="A377" s="27"/>
      <c r="B377" s="236"/>
      <c r="C377" s="139" t="s">
        <v>1651</v>
      </c>
      <c r="D377" s="129"/>
      <c r="E377" s="129"/>
      <c r="F377" s="140"/>
      <c r="G377" s="129"/>
      <c r="H377" s="129"/>
      <c r="I377" s="141">
        <f>J371</f>
        <v>20.18</v>
      </c>
      <c r="J377" s="36">
        <f t="shared" ref="J377" si="29">ROUND(PRODUCT(E377:I377),2)</f>
        <v>20.18</v>
      </c>
    </row>
    <row r="378" spans="1:10" s="93" customFormat="1">
      <c r="A378" s="501"/>
      <c r="B378" s="502"/>
      <c r="C378" s="502"/>
      <c r="D378" s="502"/>
      <c r="E378" s="502"/>
      <c r="F378" s="502"/>
      <c r="G378" s="502"/>
      <c r="H378" s="502"/>
      <c r="I378" s="502"/>
      <c r="J378" s="503"/>
    </row>
    <row r="379" spans="1:10" s="93" customFormat="1" ht="25.5">
      <c r="A379" s="245" t="str">
        <f>'[3]Planilha Orçamentária'!A103</f>
        <v>1.2.5.11</v>
      </c>
      <c r="B379" s="246" t="str">
        <f>VLOOKUP(A379,'[3]Planilha Orçamentária'!A:K,2,0)</f>
        <v>CP-95303-56931542</v>
      </c>
      <c r="C379" s="30" t="str">
        <f>VLOOKUP(A379,'[3]Planilha Orçamentária'!A:K,3,0)</f>
        <v>TRANSPORTE COM CAMINHÃO BASCULANTE 10 M3 DE MASSA ASFALTICA PARA PAVIMENTAÇÃO URBANA</v>
      </c>
      <c r="D379" s="247" t="str">
        <f>VLOOKUP(A379,'[3]Planilha Orçamentária'!A:K,4,0)</f>
        <v>M3XKM</v>
      </c>
      <c r="E379" s="248"/>
      <c r="F379" s="249"/>
      <c r="G379" s="249"/>
      <c r="H379" s="249"/>
      <c r="I379" s="249"/>
      <c r="J379" s="250">
        <f>ROUND(SUM(J381:J382),2)</f>
        <v>308.75</v>
      </c>
    </row>
    <row r="380" spans="1:10" s="93" customFormat="1">
      <c r="A380" s="28"/>
      <c r="B380" s="29"/>
      <c r="C380" s="79" t="s">
        <v>1700</v>
      </c>
      <c r="D380" s="31"/>
      <c r="E380" s="86" t="s">
        <v>1627</v>
      </c>
      <c r="F380" s="34"/>
      <c r="G380" s="34"/>
      <c r="H380" s="34"/>
      <c r="I380" s="34" t="s">
        <v>1623</v>
      </c>
      <c r="J380" s="250"/>
    </row>
    <row r="381" spans="1:10" s="93" customFormat="1" ht="14.25">
      <c r="A381" s="27"/>
      <c r="B381" s="236"/>
      <c r="C381" s="126" t="s">
        <v>1701</v>
      </c>
      <c r="D381" s="94"/>
      <c r="E381" s="141">
        <v>15.3</v>
      </c>
      <c r="F381" s="134"/>
      <c r="G381" s="94"/>
      <c r="H381" s="94"/>
      <c r="I381" s="136">
        <f>J375</f>
        <v>20.18</v>
      </c>
      <c r="J381" s="36">
        <f t="shared" ref="J381" si="30">ROUND(PRODUCT(E381:I381),2)</f>
        <v>308.75</v>
      </c>
    </row>
    <row r="382" spans="1:10" s="93" customFormat="1">
      <c r="A382" s="501"/>
      <c r="B382" s="502"/>
      <c r="C382" s="502"/>
      <c r="D382" s="502"/>
      <c r="E382" s="502"/>
      <c r="F382" s="502"/>
      <c r="G382" s="502"/>
      <c r="H382" s="502"/>
      <c r="I382" s="502"/>
      <c r="J382" s="503"/>
    </row>
    <row r="383" spans="1:10" s="93" customFormat="1" ht="25.5">
      <c r="A383" s="245" t="str">
        <f>'[3]Planilha Orçamentária'!A104</f>
        <v>1.2.5.12</v>
      </c>
      <c r="B383" s="246" t="str">
        <f>VLOOKUP(A383,'[3]Planilha Orçamentária'!A:K,2,0)</f>
        <v>CP-97084-89637704</v>
      </c>
      <c r="C383" s="30" t="str">
        <f>VLOOKUP(A383,'[3]Planilha Orçamentária'!A:K,3,0)</f>
        <v>REGULARIZACAO E COMPACTAÇÃO MANUAL DE TERRENO COM PLACA VIBRATÓRIA</v>
      </c>
      <c r="D383" s="247" t="str">
        <f>VLOOKUP(A383,'[3]Planilha Orçamentária'!A:K,4,0)</f>
        <v>M2</v>
      </c>
      <c r="E383" s="248"/>
      <c r="F383" s="249"/>
      <c r="G383" s="249"/>
      <c r="H383" s="249"/>
      <c r="I383" s="249"/>
      <c r="J383" s="250">
        <f>ROUND(SUM(J385:J386),2)</f>
        <v>481.72</v>
      </c>
    </row>
    <row r="384" spans="1:10" s="93" customFormat="1">
      <c r="A384" s="28"/>
      <c r="B384" s="29"/>
      <c r="C384" s="79" t="s">
        <v>1693</v>
      </c>
      <c r="D384" s="31"/>
      <c r="E384" s="30"/>
      <c r="F384" s="34"/>
      <c r="G384" s="32"/>
      <c r="H384" s="32"/>
      <c r="I384" s="80" t="s">
        <v>1620</v>
      </c>
      <c r="J384" s="33"/>
    </row>
    <row r="385" spans="1:10" s="93" customFormat="1">
      <c r="A385" s="27"/>
      <c r="B385" s="236"/>
      <c r="C385" s="142" t="s">
        <v>1654</v>
      </c>
      <c r="D385" s="94"/>
      <c r="E385" s="94"/>
      <c r="F385" s="134"/>
      <c r="G385" s="135"/>
      <c r="H385" s="135"/>
      <c r="I385" s="143">
        <f>[3]PARÂMETROS!F90</f>
        <v>481.72</v>
      </c>
      <c r="J385" s="36">
        <f t="shared" ref="J385" si="31">ROUND(PRODUCT(E385:I385),2)</f>
        <v>481.72</v>
      </c>
    </row>
    <row r="386" spans="1:10" s="93" customFormat="1">
      <c r="A386" s="501"/>
      <c r="B386" s="502"/>
      <c r="C386" s="502"/>
      <c r="D386" s="502"/>
      <c r="E386" s="502"/>
      <c r="F386" s="502"/>
      <c r="G386" s="502"/>
      <c r="H386" s="502"/>
      <c r="I386" s="502"/>
      <c r="J386" s="503"/>
    </row>
    <row r="387" spans="1:10" s="93" customFormat="1" ht="51">
      <c r="A387" s="245" t="str">
        <f>'[3]Planilha Orçamentária'!A105</f>
        <v>1.2.5.13</v>
      </c>
      <c r="B387" s="246" t="str">
        <f>VLOOKUP(A387,'[3]Planilha Orçamentária'!A:K,2,0)</f>
        <v>CP-94991-12549457</v>
      </c>
      <c r="C387" s="30" t="str">
        <f>VLOOKUP(A387,'[3]Planilha Orçamentária'!A:K,3,0)</f>
        <v>EXECUÇÃO DE PASSEIO (CALÇADA) OU PISO DE CONCRETO COM CONCRETO MOLDADO IN LOCO, USINADO, ACABAMENTO CONVENCIONAL, NÃO ARMADO - EXCLUINDO O CONCRETO USINADO 20MPA</v>
      </c>
      <c r="D387" s="247" t="str">
        <f>VLOOKUP(A387,'[3]Planilha Orçamentária'!A:K,4,0)</f>
        <v>M3</v>
      </c>
      <c r="E387" s="248"/>
      <c r="F387" s="249"/>
      <c r="G387" s="249"/>
      <c r="H387" s="249"/>
      <c r="I387" s="249"/>
      <c r="J387" s="250">
        <f>ROUND(SUM(J389:J391),2)</f>
        <v>33.5</v>
      </c>
    </row>
    <row r="388" spans="1:10" s="93" customFormat="1">
      <c r="A388" s="28"/>
      <c r="B388" s="29"/>
      <c r="C388" s="79" t="s">
        <v>1693</v>
      </c>
      <c r="D388" s="31"/>
      <c r="E388" s="30"/>
      <c r="F388" s="34"/>
      <c r="G388" s="32"/>
      <c r="H388" s="80" t="s">
        <v>1619</v>
      </c>
      <c r="I388" s="80" t="s">
        <v>1620</v>
      </c>
      <c r="J388" s="33"/>
    </row>
    <row r="389" spans="1:10" s="93" customFormat="1">
      <c r="A389" s="27"/>
      <c r="B389" s="236"/>
      <c r="C389" s="142" t="s">
        <v>1654</v>
      </c>
      <c r="D389" s="94"/>
      <c r="E389" s="94"/>
      <c r="F389" s="134"/>
      <c r="G389" s="135"/>
      <c r="H389" s="135">
        <v>7.0000000000000007E-2</v>
      </c>
      <c r="I389" s="143">
        <f>J383</f>
        <v>481.72</v>
      </c>
      <c r="J389" s="36">
        <f t="shared" ref="J389:J390" si="32">ROUND(PRODUCT(E389:I389),2)</f>
        <v>33.72</v>
      </c>
    </row>
    <row r="390" spans="1:10" s="93" customFormat="1">
      <c r="A390" s="37"/>
      <c r="B390" s="252"/>
      <c r="C390" s="73" t="s">
        <v>1655</v>
      </c>
      <c r="D390" s="94"/>
      <c r="E390" s="94">
        <v>-1</v>
      </c>
      <c r="F390" s="134"/>
      <c r="G390" s="135"/>
      <c r="H390" s="135">
        <v>7.0000000000000007E-2</v>
      </c>
      <c r="I390" s="143">
        <f>J471</f>
        <v>3.12</v>
      </c>
      <c r="J390" s="36">
        <f t="shared" si="32"/>
        <v>-0.22</v>
      </c>
    </row>
    <row r="391" spans="1:10" s="93" customFormat="1">
      <c r="A391" s="501"/>
      <c r="B391" s="502"/>
      <c r="C391" s="502"/>
      <c r="D391" s="502"/>
      <c r="E391" s="502"/>
      <c r="F391" s="502"/>
      <c r="G391" s="502"/>
      <c r="H391" s="502"/>
      <c r="I391" s="502"/>
      <c r="J391" s="503"/>
    </row>
    <row r="392" spans="1:10" s="93" customFormat="1" ht="63.75">
      <c r="A392" s="245" t="str">
        <f>'[3]Planilha Orçamentária'!A106</f>
        <v>1.2.5.14</v>
      </c>
      <c r="B392" s="246">
        <f>VLOOKUP(A392,'[3]Planilha Orçamentária'!A:K,2,0)</f>
        <v>94273</v>
      </c>
      <c r="C392" s="30" t="str">
        <f>VLOOKUP(A392,'[3]Planilha Orçamentária'!A:K,3,0)</f>
        <v>ASSENTAMENTO DE GUIA (MEIO-FIO) EM TRECHO RETO, CONFECCIONADA EM CONCRETO PRÉ-FABRICADO, DIMENSÕES 100X15X13X30 CM (COMPRIMENTO X BASE INFERIOR X BASE SUPERIOR X ALTURA), PARA VIAS URBANAS (USO VIÁRIO). AF_06/2016</v>
      </c>
      <c r="D392" s="247" t="str">
        <f>VLOOKUP(A392,'[3]Planilha Orçamentária'!A:K,4,0)</f>
        <v>M</v>
      </c>
      <c r="E392" s="248"/>
      <c r="F392" s="249"/>
      <c r="G392" s="249"/>
      <c r="H392" s="249"/>
      <c r="I392" s="249"/>
      <c r="J392" s="250">
        <f>ROUND(SUM(J394:J395),2)</f>
        <v>448.18</v>
      </c>
    </row>
    <row r="393" spans="1:10" s="93" customFormat="1">
      <c r="A393" s="28"/>
      <c r="B393" s="29"/>
      <c r="C393" s="79" t="s">
        <v>1693</v>
      </c>
      <c r="D393" s="31"/>
      <c r="E393" s="30"/>
      <c r="F393" s="34" t="s">
        <v>1606</v>
      </c>
      <c r="G393" s="32"/>
      <c r="H393" s="32"/>
      <c r="I393" s="80"/>
      <c r="J393" s="33"/>
    </row>
    <row r="394" spans="1:10" s="93" customFormat="1" ht="25.5">
      <c r="A394" s="28"/>
      <c r="B394" s="29"/>
      <c r="C394" s="144" t="s">
        <v>1702</v>
      </c>
      <c r="D394" s="31"/>
      <c r="E394" s="30"/>
      <c r="F394" s="34">
        <f>455.23-F399</f>
        <v>441.24</v>
      </c>
      <c r="G394" s="32"/>
      <c r="H394" s="32"/>
      <c r="I394" s="80"/>
      <c r="J394" s="36">
        <f t="shared" ref="J394:J395" si="33">ROUND(PRODUCT(E394:I394),2)</f>
        <v>441.24</v>
      </c>
    </row>
    <row r="395" spans="1:10" s="93" customFormat="1">
      <c r="A395" s="27"/>
      <c r="B395" s="236"/>
      <c r="C395" s="145" t="s">
        <v>1657</v>
      </c>
      <c r="D395" s="94"/>
      <c r="E395" s="94"/>
      <c r="F395" s="136">
        <f>[3]PARÂMETROS!B85</f>
        <v>6.94</v>
      </c>
      <c r="G395" s="135"/>
      <c r="H395" s="135"/>
      <c r="I395" s="136"/>
      <c r="J395" s="36">
        <f t="shared" si="33"/>
        <v>6.94</v>
      </c>
    </row>
    <row r="396" spans="1:10" s="93" customFormat="1">
      <c r="A396" s="501"/>
      <c r="B396" s="502"/>
      <c r="C396" s="502"/>
      <c r="D396" s="502"/>
      <c r="E396" s="502"/>
      <c r="F396" s="502"/>
      <c r="G396" s="502"/>
      <c r="H396" s="502"/>
      <c r="I396" s="502"/>
      <c r="J396" s="503"/>
    </row>
    <row r="397" spans="1:10" s="93" customFormat="1" ht="63.75">
      <c r="A397" s="245" t="str">
        <f>'[3]Planilha Orçamentária'!A107</f>
        <v>1.2.5.15</v>
      </c>
      <c r="B397" s="246">
        <f>VLOOKUP(A397,'[3]Planilha Orçamentária'!A:K,2,0)</f>
        <v>94274</v>
      </c>
      <c r="C397" s="149" t="str">
        <f>VLOOKUP(A397,'[3]Planilha Orçamentária'!A:K,3,0)</f>
        <v>ASSENTAMENTO DE GUIA (MEIO-FIO) EM TRECHO CURVO, CONFECCIONADA EM CONCRETO PRÉ-FABRICADO, DIMENSÕES 100X15X13X30 CM (COMPRIMENTO X BASE INFERIOR X BASE SUPERIOR X ALTURA), PARA VIAS URBANAS (USO VIÁRIO). AF_06/2016</v>
      </c>
      <c r="D397" s="247" t="str">
        <f>VLOOKUP(A397,'[3]Planilha Orçamentária'!A:K,4,0)</f>
        <v>M</v>
      </c>
      <c r="E397" s="248"/>
      <c r="F397" s="249"/>
      <c r="G397" s="249"/>
      <c r="H397" s="249"/>
      <c r="I397" s="249"/>
      <c r="J397" s="250">
        <f>ROUND(SUM(J398:J399),2)</f>
        <v>13.99</v>
      </c>
    </row>
    <row r="398" spans="1:10" s="93" customFormat="1">
      <c r="A398" s="27"/>
      <c r="B398" s="27"/>
      <c r="C398" s="79" t="s">
        <v>1693</v>
      </c>
      <c r="D398" s="27"/>
      <c r="E398" s="27"/>
      <c r="F398" s="34" t="s">
        <v>1606</v>
      </c>
      <c r="G398" s="27"/>
      <c r="H398" s="27"/>
      <c r="I398" s="27"/>
      <c r="J398" s="27"/>
    </row>
    <row r="399" spans="1:10" s="93" customFormat="1">
      <c r="A399" s="231"/>
      <c r="B399" s="231"/>
      <c r="C399" s="144" t="s">
        <v>1703</v>
      </c>
      <c r="D399" s="231"/>
      <c r="E399" s="231"/>
      <c r="F399" s="231">
        <f>[3]PARÂMETROS!B86</f>
        <v>13.99</v>
      </c>
      <c r="G399" s="231"/>
      <c r="H399" s="231"/>
      <c r="I399" s="231"/>
      <c r="J399" s="253">
        <f t="shared" ref="J399" si="34">ROUND(PRODUCT(E399:I399),2)</f>
        <v>13.99</v>
      </c>
    </row>
    <row r="400" spans="1:10" s="93" customFormat="1">
      <c r="A400" s="513"/>
      <c r="B400" s="513"/>
      <c r="C400" s="513"/>
      <c r="D400" s="513"/>
      <c r="E400" s="513"/>
      <c r="F400" s="513"/>
      <c r="G400" s="513"/>
      <c r="H400" s="513"/>
      <c r="I400" s="513"/>
      <c r="J400" s="513"/>
    </row>
    <row r="401" spans="1:10" s="93" customFormat="1" ht="76.5">
      <c r="A401" s="245" t="str">
        <f>'[3]Planilha Orçamentária'!A108</f>
        <v>1.2.5.16</v>
      </c>
      <c r="B401" s="246">
        <f>VLOOKUP(A401,'[3]Planilha Orçamentária'!A:K,2,0)</f>
        <v>94275</v>
      </c>
      <c r="C401" s="100" t="str">
        <f>VLOOKUP(A401,'[3]Planilha Orçamentária'!A:K,3,0)</f>
        <v>ASSENTAMENTO DE GUIA (MEIO-FIO) EM TRECHO RETO, CONFECCIONADA EM CONCRETO PRÉ-FABRICADO, DIMENSÕES 100X15X13X20 CM (COMPRIMENTO X BASE INFERIOR X BASE SUPERIOR X ALTURA), PARA URBANIZAÇÃO INTERNA DE EMPREENDIMENTOS. AF_06/2016_P</v>
      </c>
      <c r="D401" s="247" t="str">
        <f>VLOOKUP(A401,'[3]Planilha Orçamentária'!A:K,4,0)</f>
        <v>M</v>
      </c>
      <c r="E401" s="248"/>
      <c r="F401" s="249"/>
      <c r="G401" s="249"/>
      <c r="H401" s="249"/>
      <c r="I401" s="249"/>
      <c r="J401" s="251">
        <f>ROUND(SUM(J403:J404),2)</f>
        <v>28</v>
      </c>
    </row>
    <row r="402" spans="1:10" s="93" customFormat="1">
      <c r="A402" s="28"/>
      <c r="B402" s="29"/>
      <c r="C402" s="79" t="s">
        <v>1693</v>
      </c>
      <c r="D402" s="31"/>
      <c r="E402" s="30"/>
      <c r="F402" s="34" t="s">
        <v>1606</v>
      </c>
      <c r="G402" s="32"/>
      <c r="H402" s="32"/>
      <c r="I402" s="80"/>
      <c r="J402" s="33"/>
    </row>
    <row r="403" spans="1:10" s="93" customFormat="1" ht="25.5">
      <c r="A403" s="27"/>
      <c r="B403" s="236"/>
      <c r="C403" s="145" t="s">
        <v>1658</v>
      </c>
      <c r="D403" s="94"/>
      <c r="E403" s="94"/>
      <c r="F403" s="136">
        <f>[3]PARÂMETROS!B89</f>
        <v>28</v>
      </c>
      <c r="G403" s="135"/>
      <c r="H403" s="135"/>
      <c r="I403" s="136"/>
      <c r="J403" s="36">
        <f t="shared" ref="J403" si="35">ROUND(PRODUCT(E403:I403),2)</f>
        <v>28</v>
      </c>
    </row>
    <row r="404" spans="1:10" s="93" customFormat="1">
      <c r="A404" s="501"/>
      <c r="B404" s="502"/>
      <c r="C404" s="502"/>
      <c r="D404" s="502"/>
      <c r="E404" s="502"/>
      <c r="F404" s="502"/>
      <c r="G404" s="502"/>
      <c r="H404" s="502"/>
      <c r="I404" s="502"/>
      <c r="J404" s="503"/>
    </row>
    <row r="405" spans="1:10" s="93" customFormat="1" ht="38.25">
      <c r="A405" s="245" t="str">
        <f>'[3]Planilha Orçamentária'!A109</f>
        <v>1.2.5.17</v>
      </c>
      <c r="B405" s="246">
        <f>VLOOKUP(A405,'[3]Planilha Orçamentária'!A:K,2,0)</f>
        <v>94287</v>
      </c>
      <c r="C405" s="30" t="str">
        <f>VLOOKUP(A405,'[3]Planilha Orçamentária'!A:K,3,0)</f>
        <v>EXECUÇÃO DE SARJETA DE CONCRETO USINADO, MOLDADA  IN LOCO  EM TRECHO RETO, 30 CM BASE X 10 CM ALTURA. AF_06/2016</v>
      </c>
      <c r="D405" s="247" t="str">
        <f>VLOOKUP(A405,'[3]Planilha Orçamentária'!A:K,4,0)</f>
        <v>M</v>
      </c>
      <c r="E405" s="248"/>
      <c r="F405" s="249"/>
      <c r="G405" s="249"/>
      <c r="H405" s="249"/>
      <c r="I405" s="249"/>
      <c r="J405" s="250">
        <f>ROUND(SUM(J407:J408),2)</f>
        <v>112.47</v>
      </c>
    </row>
    <row r="406" spans="1:10" s="93" customFormat="1">
      <c r="A406" s="28"/>
      <c r="B406" s="29"/>
      <c r="C406" s="79" t="s">
        <v>1693</v>
      </c>
      <c r="D406" s="31"/>
      <c r="E406" s="30"/>
      <c r="F406" s="34" t="s">
        <v>1606</v>
      </c>
      <c r="G406" s="32"/>
      <c r="H406" s="32"/>
      <c r="I406" s="80"/>
      <c r="J406" s="33"/>
    </row>
    <row r="407" spans="1:10" s="93" customFormat="1" ht="25.5">
      <c r="A407" s="27"/>
      <c r="B407" s="236"/>
      <c r="C407" s="144" t="s">
        <v>1704</v>
      </c>
      <c r="D407" s="94"/>
      <c r="E407" s="94"/>
      <c r="F407" s="229">
        <f>117.23-F411</f>
        <v>112.47</v>
      </c>
      <c r="G407" s="135"/>
      <c r="H407" s="135"/>
      <c r="I407" s="136"/>
      <c r="J407" s="36">
        <f t="shared" ref="J407" si="36">ROUND(PRODUCT(E407:I407),2)</f>
        <v>112.47</v>
      </c>
    </row>
    <row r="408" spans="1:10" s="93" customFormat="1">
      <c r="A408" s="501"/>
      <c r="B408" s="502"/>
      <c r="C408" s="502"/>
      <c r="D408" s="502"/>
      <c r="E408" s="502"/>
      <c r="F408" s="502"/>
      <c r="G408" s="502"/>
      <c r="H408" s="502"/>
      <c r="I408" s="502"/>
      <c r="J408" s="503"/>
    </row>
    <row r="409" spans="1:10" s="93" customFormat="1" ht="38.25">
      <c r="A409" s="28" t="str">
        <f>'[3]Planilha Orçamentária'!A110</f>
        <v>1.2.5.18</v>
      </c>
      <c r="B409" s="29">
        <f>VLOOKUP(A409,'[3]Planilha Orçamentária'!A:K,2,0)</f>
        <v>94288</v>
      </c>
      <c r="C409" s="30" t="str">
        <f>VLOOKUP(A409,'[3]Planilha Orçamentária'!A:K,3,0)</f>
        <v>EXECUÇÃO DE SARJETA DE CONCRETO USINADO, MOLDADA  IN LOCO  EM TRECHO CURVO, 30 CM BASE X 10 CM ALTURA. AF_06/2016</v>
      </c>
      <c r="D409" s="31" t="str">
        <f>VLOOKUP(A409,'[3]Planilha Orçamentária'!A:K,4,0)</f>
        <v>M</v>
      </c>
      <c r="E409" s="30"/>
      <c r="F409" s="32"/>
      <c r="G409" s="32"/>
      <c r="H409" s="32"/>
      <c r="I409" s="32"/>
      <c r="J409" s="33">
        <f>ROUND(SUM(J411:J412),2)</f>
        <v>4.76</v>
      </c>
    </row>
    <row r="410" spans="1:10" s="93" customFormat="1">
      <c r="A410" s="27"/>
      <c r="B410" s="27"/>
      <c r="C410" s="79" t="s">
        <v>1693</v>
      </c>
      <c r="D410" s="27"/>
      <c r="E410" s="27"/>
      <c r="F410" s="34" t="s">
        <v>1606</v>
      </c>
      <c r="G410" s="27"/>
      <c r="H410" s="27"/>
      <c r="I410" s="27"/>
      <c r="J410" s="27"/>
    </row>
    <row r="411" spans="1:10" s="93" customFormat="1" ht="15">
      <c r="A411" s="27"/>
      <c r="B411" s="27"/>
      <c r="C411" s="144" t="s">
        <v>1705</v>
      </c>
      <c r="D411" s="27"/>
      <c r="E411" s="27"/>
      <c r="F411" s="229">
        <f>[3]PARÂMETROS!B88</f>
        <v>4.76</v>
      </c>
      <c r="G411" s="27"/>
      <c r="H411" s="27"/>
      <c r="I411" s="27"/>
      <c r="J411" s="36">
        <f t="shared" ref="J411" si="37">ROUND(PRODUCT(E411:I411),2)</f>
        <v>4.76</v>
      </c>
    </row>
    <row r="412" spans="1:10" s="93" customFormat="1">
      <c r="A412" s="513"/>
      <c r="B412" s="513"/>
      <c r="C412" s="513"/>
      <c r="D412" s="513"/>
      <c r="E412" s="513"/>
      <c r="F412" s="513"/>
      <c r="G412" s="513"/>
      <c r="H412" s="513"/>
      <c r="I412" s="513"/>
      <c r="J412" s="513"/>
    </row>
    <row r="413" spans="1:10" s="93" customFormat="1" ht="25.5">
      <c r="A413" s="245" t="str">
        <f>'[3]Planilha Orçamentária'!A111</f>
        <v>1.2.5.19</v>
      </c>
      <c r="B413" s="246">
        <f>VLOOKUP(A413,'[3]Planilha Orçamentária'!A:K,2,0)</f>
        <v>98511</v>
      </c>
      <c r="C413" s="100" t="str">
        <f>VLOOKUP(A413,'[3]Planilha Orçamentária'!A:K,3,0)</f>
        <v>PLANTIO DE ÁRVORE ORNAMENTAL COM ALTURA DE MUDA MAIOR QUE 2,00 M E MENOR OU IGUAL A 4,00 M. AF_05/2018</v>
      </c>
      <c r="D413" s="247" t="str">
        <f>VLOOKUP(A413,'[3]Planilha Orçamentária'!A:K,4,0)</f>
        <v>UN</v>
      </c>
      <c r="E413" s="248"/>
      <c r="F413" s="249"/>
      <c r="G413" s="249"/>
      <c r="H413" s="249"/>
      <c r="I413" s="249"/>
      <c r="J413" s="251">
        <f>ROUND(SUM(J415:J416),2)</f>
        <v>4</v>
      </c>
    </row>
    <row r="414" spans="1:10" s="93" customFormat="1">
      <c r="A414" s="28"/>
      <c r="B414" s="29"/>
      <c r="C414" s="79" t="s">
        <v>1693</v>
      </c>
      <c r="D414" s="31"/>
      <c r="E414" s="30"/>
      <c r="F414" s="34"/>
      <c r="G414" s="32"/>
      <c r="H414" s="32"/>
      <c r="I414" s="80" t="s">
        <v>1660</v>
      </c>
      <c r="J414" s="33"/>
    </row>
    <row r="415" spans="1:10" s="93" customFormat="1" ht="14.25">
      <c r="A415" s="27"/>
      <c r="B415" s="236"/>
      <c r="C415" s="126" t="s">
        <v>1706</v>
      </c>
      <c r="D415" s="94"/>
      <c r="E415" s="94"/>
      <c r="F415" s="136"/>
      <c r="G415" s="135"/>
      <c r="H415" s="135"/>
      <c r="I415" s="136">
        <v>4</v>
      </c>
      <c r="J415" s="36">
        <f t="shared" ref="J415" si="38">ROUND(PRODUCT(E415:I415),2)</f>
        <v>4</v>
      </c>
    </row>
    <row r="416" spans="1:10" s="93" customFormat="1">
      <c r="A416" s="501"/>
      <c r="B416" s="502"/>
      <c r="C416" s="502"/>
      <c r="D416" s="502"/>
      <c r="E416" s="502"/>
      <c r="F416" s="502"/>
      <c r="G416" s="502"/>
      <c r="H416" s="502"/>
      <c r="I416" s="502"/>
      <c r="J416" s="503"/>
    </row>
    <row r="417" spans="1:10" s="93" customFormat="1">
      <c r="A417" s="245" t="str">
        <f>'[3]Planilha Orçamentária'!A112</f>
        <v>1.2.5.20</v>
      </c>
      <c r="B417" s="246">
        <f>VLOOKUP(A417,'[3]Planilha Orçamentária'!A:K,2,0)</f>
        <v>98504</v>
      </c>
      <c r="C417" s="30" t="str">
        <f>VLOOKUP(A417,'[3]Planilha Orçamentária'!A:K,3,0)</f>
        <v>PLANTIO DE GRAMA BATATAIS EM PLACAS. AF_05/2018</v>
      </c>
      <c r="D417" s="247" t="str">
        <f>VLOOKUP(A417,'[3]Planilha Orçamentária'!A:K,4,0)</f>
        <v>M2</v>
      </c>
      <c r="E417" s="248"/>
      <c r="F417" s="249"/>
      <c r="G417" s="249"/>
      <c r="H417" s="249"/>
      <c r="I417" s="249"/>
      <c r="J417" s="250">
        <f>ROUND(SUM(J419:J420),2)</f>
        <v>20</v>
      </c>
    </row>
    <row r="418" spans="1:10" s="93" customFormat="1">
      <c r="A418" s="28"/>
      <c r="B418" s="29"/>
      <c r="C418" s="79" t="s">
        <v>1693</v>
      </c>
      <c r="D418" s="31"/>
      <c r="E418" s="30"/>
      <c r="F418" s="34"/>
      <c r="G418" s="32"/>
      <c r="H418" s="32"/>
      <c r="I418" s="80" t="s">
        <v>1660</v>
      </c>
      <c r="J418" s="33"/>
    </row>
    <row r="419" spans="1:10" s="93" customFormat="1" ht="14.25">
      <c r="A419" s="27"/>
      <c r="B419" s="236"/>
      <c r="C419" s="126" t="s">
        <v>1706</v>
      </c>
      <c r="D419" s="94"/>
      <c r="E419" s="94"/>
      <c r="F419" s="136"/>
      <c r="G419" s="135"/>
      <c r="H419" s="135"/>
      <c r="I419" s="136">
        <v>20</v>
      </c>
      <c r="J419" s="36">
        <f t="shared" ref="J419" si="39">ROUND(PRODUCT(E419:I419),2)</f>
        <v>20</v>
      </c>
    </row>
    <row r="420" spans="1:10" s="93" customFormat="1">
      <c r="A420" s="501"/>
      <c r="B420" s="502"/>
      <c r="C420" s="502"/>
      <c r="D420" s="502"/>
      <c r="E420" s="502"/>
      <c r="F420" s="502"/>
      <c r="G420" s="502"/>
      <c r="H420" s="502"/>
      <c r="I420" s="502"/>
      <c r="J420" s="503"/>
    </row>
    <row r="421" spans="1:10">
      <c r="A421" s="19" t="str">
        <f>'[3]Planilha Orçamentária'!A113</f>
        <v>1.2.6</v>
      </c>
      <c r="B421" s="20"/>
      <c r="C421" s="21" t="str">
        <f>VLOOKUP(A421,'[3]Planilha Orçamentária'!A:K,3,0)</f>
        <v>DRENAGEM</v>
      </c>
      <c r="D421" s="21"/>
      <c r="E421" s="39"/>
      <c r="F421" s="40"/>
      <c r="G421" s="40"/>
      <c r="H421" s="40"/>
      <c r="I421" s="40"/>
      <c r="J421" s="41"/>
    </row>
    <row r="422" spans="1:10" ht="25.5">
      <c r="A422" s="28" t="str">
        <f>'[3]Planilha Orçamentária'!A114</f>
        <v>1.2.6.1</v>
      </c>
      <c r="B422" s="42">
        <f>VLOOKUP(A422,'[3]Planilha Orçamentária'!A:K,2,0)</f>
        <v>93358</v>
      </c>
      <c r="C422" s="166" t="str">
        <f>VLOOKUP(A422,'[3]Planilha Orçamentária'!A:K,3,0)</f>
        <v>ESCAVAÇÃO MANUAL DE VALA COM PROFUNDIDADE MENOR OU IGUAL A 1,30 M. AF_02/2021</v>
      </c>
      <c r="D422" s="31" t="str">
        <f>VLOOKUP(A422,'[3]Planilha Orçamentária'!A:K,4,0)</f>
        <v>M3</v>
      </c>
      <c r="E422" s="30"/>
      <c r="F422" s="32"/>
      <c r="G422" s="32"/>
      <c r="H422" s="32"/>
      <c r="I422" s="32"/>
      <c r="J422" s="45">
        <f>ROUND(SUM(J423:J425),2)</f>
        <v>3.42</v>
      </c>
    </row>
    <row r="423" spans="1:10">
      <c r="A423" s="27"/>
      <c r="B423" s="27"/>
      <c r="C423" s="79" t="s">
        <v>1707</v>
      </c>
      <c r="D423" s="27"/>
      <c r="E423" s="27"/>
      <c r="F423" s="27" t="s">
        <v>1708</v>
      </c>
      <c r="G423" s="27" t="s">
        <v>1607</v>
      </c>
      <c r="H423" s="27" t="s">
        <v>1663</v>
      </c>
      <c r="I423" s="27"/>
      <c r="J423" s="27"/>
    </row>
    <row r="424" spans="1:10" ht="28.5">
      <c r="A424" s="27"/>
      <c r="B424" s="27"/>
      <c r="C424" s="131" t="s">
        <v>1664</v>
      </c>
      <c r="D424" s="158"/>
      <c r="E424" s="159"/>
      <c r="F424" s="156">
        <v>106.89</v>
      </c>
      <c r="G424" s="156">
        <v>0.4</v>
      </c>
      <c r="H424" s="156">
        <f>0.16-0.08</f>
        <v>0.08</v>
      </c>
      <c r="I424" s="27"/>
      <c r="J424" s="36">
        <f t="shared" ref="J424" si="40">ROUND(PRODUCT(E424:I424),2)</f>
        <v>3.42</v>
      </c>
    </row>
    <row r="425" spans="1:10">
      <c r="A425" s="501"/>
      <c r="B425" s="502"/>
      <c r="C425" s="502"/>
      <c r="D425" s="502"/>
      <c r="E425" s="502"/>
      <c r="F425" s="502"/>
      <c r="G425" s="502"/>
      <c r="H425" s="502"/>
      <c r="I425" s="502"/>
      <c r="J425" s="503"/>
    </row>
    <row r="426" spans="1:10" ht="38.25">
      <c r="A426" s="28" t="str">
        <f>'[3]Planilha Orçamentária'!A115</f>
        <v>1.2.6.2</v>
      </c>
      <c r="B426" s="42">
        <f>VLOOKUP(A426,'[3]Planilha Orçamentária'!A:K,2,0)</f>
        <v>94971</v>
      </c>
      <c r="C426" s="166" t="str">
        <f>VLOOKUP(A426,'[3]Planilha Orçamentária'!A:K,3,0)</f>
        <v>CONCRETO FCK = 25MPA, TRAÇO 1:2,3:2,7 (EM MASSA SECA DE CIMENTO/ AREIA MÉDIA/ BRITA 1) - PREPARO MECÂNICO COM BETONEIRA 600 L. AF_05/2021</v>
      </c>
      <c r="D426" s="31" t="str">
        <f>VLOOKUP(A426,'[3]Planilha Orçamentária'!A:K,4,0)</f>
        <v>M3</v>
      </c>
      <c r="E426" s="30"/>
      <c r="F426" s="32"/>
      <c r="G426" s="32"/>
      <c r="H426" s="32"/>
      <c r="I426" s="32"/>
      <c r="J426" s="45">
        <f>ROUND(SUM(J427:J428),2)</f>
        <v>3.42</v>
      </c>
    </row>
    <row r="427" spans="1:10">
      <c r="A427" s="27"/>
      <c r="B427" s="27"/>
      <c r="C427" s="79" t="s">
        <v>1707</v>
      </c>
      <c r="D427" s="27"/>
      <c r="E427" s="27"/>
      <c r="F427" s="27" t="s">
        <v>1708</v>
      </c>
      <c r="G427" s="27" t="s">
        <v>1607</v>
      </c>
      <c r="H427" s="27" t="s">
        <v>1663</v>
      </c>
      <c r="I427" s="27"/>
      <c r="J427" s="27"/>
    </row>
    <row r="428" spans="1:10" ht="28.5">
      <c r="A428" s="27"/>
      <c r="B428" s="27"/>
      <c r="C428" s="126" t="s">
        <v>1666</v>
      </c>
      <c r="D428" s="164"/>
      <c r="E428" s="164"/>
      <c r="F428" s="156">
        <f>F424</f>
        <v>106.89</v>
      </c>
      <c r="G428" s="156">
        <v>0.4</v>
      </c>
      <c r="H428" s="156">
        <f>0.16-0.08</f>
        <v>0.08</v>
      </c>
      <c r="I428" s="27"/>
      <c r="J428" s="36">
        <f t="shared" ref="J428" si="41">ROUND(PRODUCT(E428:I428),2)</f>
        <v>3.42</v>
      </c>
    </row>
    <row r="429" spans="1:10" ht="14.25" customHeight="1">
      <c r="A429" s="501"/>
      <c r="B429" s="502"/>
      <c r="C429" s="502"/>
      <c r="D429" s="502"/>
      <c r="E429" s="502"/>
      <c r="F429" s="502"/>
      <c r="G429" s="502"/>
      <c r="H429" s="502"/>
      <c r="I429" s="502"/>
      <c r="J429" s="503"/>
    </row>
    <row r="430" spans="1:10" ht="38.25">
      <c r="A430" s="28" t="str">
        <f>'[3]Planilha Orçamentária'!A116</f>
        <v>1.2.6.3</v>
      </c>
      <c r="B430" s="42" t="str">
        <f>VLOOKUP(A430,'[3]Planilha Orçamentária'!A:K,2,0)</f>
        <v>CP-S03639-45770834</v>
      </c>
      <c r="C430" s="166" t="str">
        <f>VLOOKUP(A430,'[3]Planilha Orçamentária'!A:K,3,0)</f>
        <v>Fornecimento e instalação de tela aço soldada nervurada CA-60, Q-283, malha 10x10cm, ferro 6.02mm (4,48 kg/m2), painel 2,45x6,0m, Telcon ou similar</v>
      </c>
      <c r="D430" s="31" t="str">
        <f>VLOOKUP(A430,'[3]Planilha Orçamentária'!A:K,4,0)</f>
        <v>M2</v>
      </c>
      <c r="E430" s="30"/>
      <c r="F430" s="32"/>
      <c r="G430" s="32"/>
      <c r="H430" s="32"/>
      <c r="I430" s="32"/>
      <c r="J430" s="45">
        <f>ROUND(SUM(J431:J433),2)</f>
        <v>42.76</v>
      </c>
    </row>
    <row r="431" spans="1:10">
      <c r="A431" s="27"/>
      <c r="B431" s="27"/>
      <c r="C431" s="79" t="s">
        <v>1707</v>
      </c>
      <c r="D431" s="27"/>
      <c r="E431" s="27"/>
      <c r="F431" s="27" t="s">
        <v>1708</v>
      </c>
      <c r="G431" s="27" t="s">
        <v>1607</v>
      </c>
      <c r="H431" s="27"/>
      <c r="I431" s="27"/>
      <c r="J431" s="27"/>
    </row>
    <row r="432" spans="1:10" ht="14.25">
      <c r="A432" s="27"/>
      <c r="B432" s="27"/>
      <c r="C432" s="126" t="s">
        <v>1668</v>
      </c>
      <c r="D432" s="96"/>
      <c r="E432" s="82"/>
      <c r="F432" s="156">
        <f>F424</f>
        <v>106.89</v>
      </c>
      <c r="G432" s="156">
        <v>0.4</v>
      </c>
      <c r="H432" s="27"/>
      <c r="I432" s="27"/>
      <c r="J432" s="36">
        <f t="shared" ref="J432" si="42">ROUND(PRODUCT(E432:I432),2)</f>
        <v>42.76</v>
      </c>
    </row>
    <row r="433" spans="1:10">
      <c r="A433" s="501"/>
      <c r="B433" s="502"/>
      <c r="C433" s="502"/>
      <c r="D433" s="502"/>
      <c r="E433" s="502"/>
      <c r="F433" s="502"/>
      <c r="G433" s="502"/>
      <c r="H433" s="502"/>
      <c r="I433" s="502"/>
      <c r="J433" s="503"/>
    </row>
    <row r="434" spans="1:10" ht="38.25">
      <c r="A434" s="28" t="str">
        <f>'[3]Planilha Orçamentária'!A117</f>
        <v>1.2.6.4</v>
      </c>
      <c r="B434" s="42">
        <f>VLOOKUP(A434,'[3]Planilha Orçamentária'!A:K,2,0)</f>
        <v>94974</v>
      </c>
      <c r="C434" s="166" t="str">
        <f>VLOOKUP(A434,'[3]Planilha Orçamentária'!A:K,3,0)</f>
        <v>CONCRETO MAGRO PARA LASTRO, TRAÇO 1:4,5:4,5 (EM MASSA SECA DE CIMENTO/ AREIA MÉDIA/ BRITA 1) - PREPARO MANUAL. AF_05/2021</v>
      </c>
      <c r="D434" s="31" t="str">
        <f>VLOOKUP(A434,'[3]Planilha Orçamentária'!A:K,4,0)</f>
        <v>M3</v>
      </c>
      <c r="E434" s="30"/>
      <c r="F434" s="32"/>
      <c r="G434" s="32"/>
      <c r="H434" s="32"/>
      <c r="I434" s="32"/>
      <c r="J434" s="45">
        <f>ROUND(SUM(J435:J437),2)</f>
        <v>2.14</v>
      </c>
    </row>
    <row r="435" spans="1:10">
      <c r="A435" s="27"/>
      <c r="B435" s="27"/>
      <c r="C435" s="79" t="s">
        <v>1707</v>
      </c>
      <c r="D435" s="31"/>
      <c r="E435" s="30"/>
      <c r="F435" s="80" t="s">
        <v>1606</v>
      </c>
      <c r="G435" s="80" t="s">
        <v>1607</v>
      </c>
      <c r="H435" s="80" t="s">
        <v>1619</v>
      </c>
      <c r="I435" s="27"/>
      <c r="J435" s="27"/>
    </row>
    <row r="436" spans="1:10" ht="14.25">
      <c r="A436" s="37"/>
      <c r="B436" s="38"/>
      <c r="C436" s="163" t="s">
        <v>1665</v>
      </c>
      <c r="D436" s="164"/>
      <c r="E436" s="164"/>
      <c r="F436" s="156">
        <f>F424</f>
        <v>106.89</v>
      </c>
      <c r="G436" s="156">
        <v>0.4</v>
      </c>
      <c r="H436" s="156">
        <v>0.05</v>
      </c>
      <c r="I436" s="27"/>
      <c r="J436" s="36">
        <f t="shared" ref="J436" si="43">ROUND(PRODUCT(E436:I436),2)</f>
        <v>2.14</v>
      </c>
    </row>
    <row r="437" spans="1:10">
      <c r="A437" s="501"/>
      <c r="B437" s="502"/>
      <c r="C437" s="502"/>
      <c r="D437" s="502"/>
      <c r="E437" s="502"/>
      <c r="F437" s="502"/>
      <c r="G437" s="502"/>
      <c r="H437" s="502"/>
      <c r="I437" s="502"/>
      <c r="J437" s="503"/>
    </row>
    <row r="438" spans="1:10" ht="25.5">
      <c r="A438" s="28" t="str">
        <f>'[3]Planilha Orçamentária'!A118</f>
        <v>1.2.6.5</v>
      </c>
      <c r="B438" s="42" t="str">
        <f>VLOOKUP(A438,'[3]Planilha Orçamentária'!A:K,2,0)</f>
        <v>CP-74157/004-48264518</v>
      </c>
      <c r="C438" s="166" t="str">
        <f>VLOOKUP(A438,'[3]Planilha Orçamentária'!A:K,3,0)</f>
        <v>LANCAMENTO/APLICACAO MANUAL DE CONCRETO EM FUNDACOES (concreto magro)</v>
      </c>
      <c r="D438" s="31" t="str">
        <f>VLOOKUP(A438,'[3]Planilha Orçamentária'!A:K,4,0)</f>
        <v>M3</v>
      </c>
      <c r="E438" s="30"/>
      <c r="F438" s="32"/>
      <c r="G438" s="32"/>
      <c r="H438" s="32"/>
      <c r="I438" s="32"/>
      <c r="J438" s="45">
        <f>ROUND(SUM(J439:J441),2)</f>
        <v>5.56</v>
      </c>
    </row>
    <row r="439" spans="1:10">
      <c r="A439" s="27"/>
      <c r="B439" s="27"/>
      <c r="C439" s="79" t="s">
        <v>1707</v>
      </c>
      <c r="D439" s="96"/>
      <c r="E439" s="82"/>
      <c r="F439" s="57"/>
      <c r="G439" s="57"/>
      <c r="H439" s="57"/>
      <c r="I439" s="254"/>
      <c r="J439" s="27"/>
    </row>
    <row r="440" spans="1:10" ht="14.25">
      <c r="A440" s="27"/>
      <c r="B440" s="27"/>
      <c r="C440" s="255" t="s">
        <v>1709</v>
      </c>
      <c r="D440" s="96"/>
      <c r="E440" s="82"/>
      <c r="F440" s="57"/>
      <c r="G440" s="57"/>
      <c r="H440" s="57"/>
      <c r="I440" s="57">
        <f>J434+J426</f>
        <v>5.5600000000000005</v>
      </c>
      <c r="J440" s="36">
        <f t="shared" ref="J440" si="44">ROUND(PRODUCT(E440:I440),2)</f>
        <v>5.56</v>
      </c>
    </row>
    <row r="441" spans="1:10">
      <c r="A441" s="501"/>
      <c r="B441" s="502"/>
      <c r="C441" s="502"/>
      <c r="D441" s="502"/>
      <c r="E441" s="502"/>
      <c r="F441" s="502"/>
      <c r="G441" s="502"/>
      <c r="H441" s="502"/>
      <c r="I441" s="502"/>
      <c r="J441" s="503"/>
    </row>
    <row r="442" spans="1:10">
      <c r="A442" s="19" t="str">
        <f>'[3]Planilha Orçamentária'!A119</f>
        <v>1.2.7</v>
      </c>
      <c r="B442" s="20"/>
      <c r="C442" s="21" t="str">
        <f>VLOOKUP(A442,'[3]Planilha Orçamentária'!A:K,3,0)</f>
        <v>SINALIZAÇÃO</v>
      </c>
      <c r="D442" s="21"/>
      <c r="E442" s="39"/>
      <c r="F442" s="40"/>
      <c r="G442" s="40"/>
      <c r="H442" s="40"/>
      <c r="I442" s="40"/>
      <c r="J442" s="41"/>
    </row>
    <row r="443" spans="1:10" ht="25.5">
      <c r="A443" s="28" t="str">
        <f>'[3]Planilha Orçamentária'!A120</f>
        <v>1.2.7.1</v>
      </c>
      <c r="B443" s="42">
        <f>VLOOKUP(A443,'[3]Planilha Orçamentária'!A:K,2,0)</f>
        <v>5213421</v>
      </c>
      <c r="C443" s="166" t="str">
        <f>VLOOKUP(A443,'[3]Planilha Orçamentária'!A:K,3,0)</f>
        <v>Confecção de placa em aço nº 16 galvanizado, com película tipo I + IV</v>
      </c>
      <c r="D443" s="31" t="str">
        <f>VLOOKUP(A443,'[3]Planilha Orçamentária'!A:K,4,0)</f>
        <v xml:space="preserve">M2    </v>
      </c>
      <c r="E443" s="30"/>
      <c r="F443" s="32"/>
      <c r="G443" s="32"/>
      <c r="H443" s="32"/>
      <c r="I443" s="32"/>
      <c r="J443" s="45">
        <f>ROUND(SUM(J444:J448),2)</f>
        <v>3.1</v>
      </c>
    </row>
    <row r="444" spans="1:10" ht="25.5">
      <c r="A444" s="54"/>
      <c r="B444" s="54"/>
      <c r="C444" s="86" t="s">
        <v>1710</v>
      </c>
      <c r="D444" s="174"/>
      <c r="E444" s="175"/>
      <c r="F444" s="35"/>
      <c r="G444" s="35"/>
      <c r="H444" s="82" t="s">
        <v>1620</v>
      </c>
      <c r="I444" s="256" t="s">
        <v>1608</v>
      </c>
      <c r="J444" s="58"/>
    </row>
    <row r="445" spans="1:10">
      <c r="A445" s="176"/>
      <c r="B445" s="176"/>
      <c r="C445" s="142" t="s">
        <v>1671</v>
      </c>
      <c r="D445" s="174"/>
      <c r="E445" s="35"/>
      <c r="F445" s="35"/>
      <c r="G445" s="35"/>
      <c r="H445" s="35">
        <v>0.2</v>
      </c>
      <c r="I445" s="82">
        <v>4</v>
      </c>
      <c r="J445" s="58">
        <f>ROUND(PRODUCT(E445:I445),2)</f>
        <v>0.8</v>
      </c>
    </row>
    <row r="446" spans="1:10">
      <c r="A446" s="54"/>
      <c r="B446" s="54"/>
      <c r="C446" s="73" t="s">
        <v>1672</v>
      </c>
      <c r="D446" s="174"/>
      <c r="E446" s="35"/>
      <c r="F446" s="35"/>
      <c r="G446" s="35"/>
      <c r="H446" s="35">
        <f>0.5*0.5</f>
        <v>0.25</v>
      </c>
      <c r="I446" s="185">
        <v>2</v>
      </c>
      <c r="J446" s="257">
        <f>ROUND(PRODUCT(E446:I446),2)</f>
        <v>0.5</v>
      </c>
    </row>
    <row r="447" spans="1:10">
      <c r="A447" s="54"/>
      <c r="B447" s="54"/>
      <c r="C447" s="73" t="s">
        <v>1673</v>
      </c>
      <c r="D447" s="174"/>
      <c r="E447" s="35"/>
      <c r="F447" s="35"/>
      <c r="G447" s="35"/>
      <c r="H447" s="35">
        <f t="shared" ref="H447" si="45">0.5*0.5</f>
        <v>0.25</v>
      </c>
      <c r="I447" s="185">
        <v>4</v>
      </c>
      <c r="J447" s="257">
        <f>ROUND(PRODUCT(E447:I447),2)</f>
        <v>1</v>
      </c>
    </row>
    <row r="448" spans="1:10" ht="14.25">
      <c r="A448" s="54"/>
      <c r="B448" s="54"/>
      <c r="C448" s="177" t="s">
        <v>1711</v>
      </c>
      <c r="D448" s="182"/>
      <c r="E448" s="183"/>
      <c r="F448" s="184"/>
      <c r="G448" s="184"/>
      <c r="H448" s="35">
        <v>0.2</v>
      </c>
      <c r="I448" s="185">
        <v>4</v>
      </c>
      <c r="J448" s="257">
        <f>ROUND(PRODUCT(E448:I448),2)</f>
        <v>0.8</v>
      </c>
    </row>
    <row r="449" spans="1:10">
      <c r="A449" s="507"/>
      <c r="B449" s="507"/>
      <c r="C449" s="507"/>
      <c r="D449" s="507"/>
      <c r="E449" s="507"/>
      <c r="F449" s="507"/>
      <c r="G449" s="507"/>
      <c r="H449" s="507"/>
      <c r="I449" s="507"/>
      <c r="J449" s="508"/>
    </row>
    <row r="450" spans="1:10" ht="38.25">
      <c r="A450" s="28" t="str">
        <f>'[3]Planilha Orçamentária'!A121</f>
        <v>1.2.7.2</v>
      </c>
      <c r="B450" s="42">
        <f>VLOOKUP(A450,'[3]Planilha Orçamentária'!A:K,2,0)</f>
        <v>5216111</v>
      </c>
      <c r="C450" s="166" t="str">
        <f>VLOOKUP(A450,'[3]Planilha Orçamentária'!A:K,3,0)</f>
        <v>FORNECIMENTO E IMPLANTAÇÃO DE SUPORTE E TRAVESSA PARA PLACA DE SINALIZAÇÃO EM MADEIRA DE LEI TRATADA 8 X 8 CM</v>
      </c>
      <c r="D450" s="31" t="str">
        <f>VLOOKUP(A450,'[3]Planilha Orçamentária'!A:K,4,0)</f>
        <v>UND</v>
      </c>
      <c r="E450" s="30"/>
      <c r="F450" s="32"/>
      <c r="G450" s="32"/>
      <c r="H450" s="32"/>
      <c r="I450" s="32"/>
      <c r="J450" s="45">
        <f>ROUND(SUM(J452:J452),2)</f>
        <v>6</v>
      </c>
    </row>
    <row r="451" spans="1:10">
      <c r="A451" s="112"/>
      <c r="B451" s="146"/>
      <c r="C451" s="86" t="s">
        <v>1710</v>
      </c>
      <c r="D451" s="31"/>
      <c r="E451" s="30"/>
      <c r="F451" s="32"/>
      <c r="G451" s="32"/>
      <c r="H451" s="32"/>
      <c r="I451" s="34" t="s">
        <v>1125</v>
      </c>
      <c r="J451" s="151"/>
    </row>
    <row r="452" spans="1:10">
      <c r="A452" s="176"/>
      <c r="B452" s="176"/>
      <c r="C452" s="142" t="s">
        <v>1676</v>
      </c>
      <c r="D452" s="174"/>
      <c r="E452" s="175"/>
      <c r="F452" s="35"/>
      <c r="G452" s="35"/>
      <c r="H452" s="82"/>
      <c r="I452" s="82">
        <v>6</v>
      </c>
      <c r="J452" s="188">
        <f>ROUND(PRODUCT(E452:I452),2)</f>
        <v>6</v>
      </c>
    </row>
    <row r="453" spans="1:10" ht="14.25" customHeight="1">
      <c r="A453" s="506"/>
      <c r="B453" s="507"/>
      <c r="C453" s="507"/>
      <c r="D453" s="507"/>
      <c r="E453" s="507"/>
      <c r="F453" s="507"/>
      <c r="G453" s="507"/>
      <c r="H453" s="507"/>
      <c r="I453" s="507"/>
      <c r="J453" s="508"/>
    </row>
    <row r="454" spans="1:10" ht="25.5">
      <c r="A454" s="112" t="str">
        <f>'[3]Planilha Orçamentária'!A122</f>
        <v>1.2.7.3</v>
      </c>
      <c r="B454" s="146" t="str">
        <f>VLOOKUP(A454,'[3]Planilha Orçamentária'!A:K,2,0)</f>
        <v>COMP-58084869</v>
      </c>
      <c r="C454" s="147" t="str">
        <f>VLOOKUP(A454,'[3]Planilha Orçamentária'!A:K,3,0)</f>
        <v>PLACA ESMALTADA PARA IDENTIFICAÇÃO NR DE RUA, DIMENSÕES 45X25CM</v>
      </c>
      <c r="D454" s="148" t="str">
        <f>VLOOKUP(A454,'[3]Planilha Orçamentária'!A:K,4,0)</f>
        <v>UND</v>
      </c>
      <c r="E454" s="149"/>
      <c r="F454" s="150"/>
      <c r="G454" s="150"/>
      <c r="H454" s="150"/>
      <c r="I454" s="150"/>
      <c r="J454" s="151">
        <f>ROUND(SUM(J455:J456),2)</f>
        <v>4</v>
      </c>
    </row>
    <row r="455" spans="1:10">
      <c r="A455" s="28"/>
      <c r="B455" s="29"/>
      <c r="C455" s="86" t="s">
        <v>1710</v>
      </c>
      <c r="D455" s="31"/>
      <c r="E455" s="30"/>
      <c r="F455" s="32"/>
      <c r="G455" s="32"/>
      <c r="H455" s="32"/>
      <c r="I455" s="34" t="s">
        <v>1125</v>
      </c>
      <c r="J455" s="33"/>
    </row>
    <row r="456" spans="1:10">
      <c r="A456" s="28"/>
      <c r="B456" s="29"/>
      <c r="C456" s="142" t="s">
        <v>1676</v>
      </c>
      <c r="D456" s="31"/>
      <c r="E456" s="30"/>
      <c r="F456" s="32"/>
      <c r="G456" s="32"/>
      <c r="H456" s="32"/>
      <c r="I456" s="82">
        <v>4</v>
      </c>
      <c r="J456" s="188">
        <f>ROUND(PRODUCT(E456:I456),2)</f>
        <v>4</v>
      </c>
    </row>
    <row r="457" spans="1:10">
      <c r="A457" s="511"/>
      <c r="B457" s="512"/>
      <c r="C457" s="512"/>
      <c r="D457" s="512"/>
      <c r="E457" s="512"/>
      <c r="F457" s="512"/>
      <c r="G457" s="512"/>
      <c r="H457" s="512"/>
      <c r="I457" s="512"/>
      <c r="J457" s="512"/>
    </row>
    <row r="458" spans="1:10" ht="38.25">
      <c r="A458" s="66" t="str">
        <f>'[3]Planilha Orçamentária'!A123</f>
        <v>1.2.7.4</v>
      </c>
      <c r="B458" s="67" t="str">
        <f>VLOOKUP(A458,'[3]Planilha Orçamentária'!A:K,2,0)</f>
        <v>CP-72947-21572945</v>
      </c>
      <c r="C458" s="258" t="str">
        <f>VLOOKUP(A458,'[3]Planilha Orçamentária'!A:K,3,0)</f>
        <v>SINALIZACAO HORIZONTAL COM TINTA RETRORREFLETIVA A BASE DE RESINA ACRILICA COM MICROESFERAS DE VIDRO</v>
      </c>
      <c r="D458" s="69" t="str">
        <f>VLOOKUP(A458,'[3]Planilha Orçamentária'!A:K,4,0)</f>
        <v>M2</v>
      </c>
      <c r="E458" s="68"/>
      <c r="F458" s="71"/>
      <c r="G458" s="71"/>
      <c r="H458" s="71"/>
      <c r="I458" s="71"/>
      <c r="J458" s="72">
        <f>ROUND(SUM(J460:J460),2)</f>
        <v>1.8</v>
      </c>
    </row>
    <row r="459" spans="1:10">
      <c r="A459" s="60"/>
      <c r="B459" s="77"/>
      <c r="C459" s="86" t="s">
        <v>1710</v>
      </c>
      <c r="D459" s="63"/>
      <c r="E459" s="62"/>
      <c r="F459" s="80"/>
      <c r="G459" s="64"/>
      <c r="H459" s="64"/>
      <c r="I459" s="34" t="s">
        <v>1620</v>
      </c>
      <c r="J459" s="78"/>
    </row>
    <row r="460" spans="1:10">
      <c r="A460" s="176"/>
      <c r="B460" s="176"/>
      <c r="C460" s="142" t="s">
        <v>1676</v>
      </c>
      <c r="D460" s="191"/>
      <c r="E460" s="192"/>
      <c r="F460" s="82"/>
      <c r="G460" s="82"/>
      <c r="H460" s="82"/>
      <c r="I460" s="82">
        <v>1.8</v>
      </c>
      <c r="J460" s="36">
        <f>ROUND(PRODUCT(E460:I460),2)</f>
        <v>1.8</v>
      </c>
    </row>
    <row r="461" spans="1:10">
      <c r="A461" s="507"/>
      <c r="B461" s="507"/>
      <c r="C461" s="507"/>
      <c r="D461" s="507"/>
      <c r="E461" s="507"/>
      <c r="F461" s="507"/>
      <c r="G461" s="507"/>
      <c r="H461" s="507"/>
      <c r="I461" s="507"/>
      <c r="J461" s="508"/>
    </row>
    <row r="462" spans="1:10" ht="51">
      <c r="A462" s="66" t="str">
        <f>'[3]Planilha Orçamentária'!A124</f>
        <v>1.2.7.5</v>
      </c>
      <c r="B462" s="67">
        <f>VLOOKUP(A462,'[3]Planilha Orçamentária'!A:K,2,0)</f>
        <v>102512</v>
      </c>
      <c r="C462" s="258" t="str">
        <f>VLOOKUP(A462,'[3]Planilha Orçamentária'!A:K,3,0)</f>
        <v>PINTURA DE EIXO VIÁRIO SOBRE ASFALTO COM TINTA RETRORREFLETIVA A BASE DE RESINA ACRÍLICA COM MICROESFERAS DE VIDRO, APLICAÇÃO MECÂNICA COM DEMARCADORA AUTOPROPELIDA. AF_05/2021</v>
      </c>
      <c r="D462" s="69" t="str">
        <f>VLOOKUP(A462,'[3]Planilha Orçamentária'!A:K,4,0)</f>
        <v>M</v>
      </c>
      <c r="E462" s="68"/>
      <c r="F462" s="71"/>
      <c r="G462" s="71"/>
      <c r="H462" s="71"/>
      <c r="I462" s="71"/>
      <c r="J462" s="72">
        <f>ROUND(SUM(J464:J464),2)</f>
        <v>300.64999999999998</v>
      </c>
    </row>
    <row r="463" spans="1:10">
      <c r="A463" s="60"/>
      <c r="B463" s="77"/>
      <c r="C463" s="86" t="s">
        <v>1710</v>
      </c>
      <c r="D463" s="63"/>
      <c r="E463" s="62"/>
      <c r="F463" s="80" t="s">
        <v>1606</v>
      </c>
      <c r="G463" s="64"/>
      <c r="H463" s="64"/>
      <c r="I463" s="34"/>
      <c r="J463" s="78"/>
    </row>
    <row r="464" spans="1:10">
      <c r="A464" s="176"/>
      <c r="B464" s="176"/>
      <c r="C464" s="142" t="s">
        <v>1676</v>
      </c>
      <c r="D464" s="191"/>
      <c r="E464" s="192"/>
      <c r="F464" s="82">
        <v>300.64999999999998</v>
      </c>
      <c r="G464" s="82"/>
      <c r="H464" s="82"/>
      <c r="I464" s="82"/>
      <c r="J464" s="36">
        <f>ROUND(PRODUCT(E464:I464),2)</f>
        <v>300.64999999999998</v>
      </c>
    </row>
    <row r="465" spans="1:10">
      <c r="A465" s="507"/>
      <c r="B465" s="507"/>
      <c r="C465" s="507"/>
      <c r="D465" s="507"/>
      <c r="E465" s="507"/>
      <c r="F465" s="507"/>
      <c r="G465" s="507"/>
      <c r="H465" s="507"/>
      <c r="I465" s="507"/>
      <c r="J465" s="508"/>
    </row>
    <row r="466" spans="1:10" ht="51">
      <c r="A466" s="66" t="str">
        <f>'[3]Planilha Orçamentária'!A125</f>
        <v>1.2.7.6</v>
      </c>
      <c r="B466" s="67">
        <f>VLOOKUP(A466,'[3]Planilha Orçamentária'!A:K,2,0)</f>
        <v>102509</v>
      </c>
      <c r="C466" s="258" t="str">
        <f>VLOOKUP(A466,'[3]Planilha Orçamentária'!A:K,3,0)</f>
        <v>PINTURA DE FAIXA DE PEDESTRE OU ZEBRADA TINTA RETRORREFLETIVA A BASE DE RESINA ACRÍLICA COM MICROESFERAS DE VIDRO, E = 30 CM, APLICAÇÃO MANUAL. AF_05/2021</v>
      </c>
      <c r="D466" s="69" t="str">
        <f>VLOOKUP(A466,'[3]Planilha Orçamentária'!A:K,4,0)</f>
        <v>M2</v>
      </c>
      <c r="E466" s="68"/>
      <c r="F466" s="71"/>
      <c r="G466" s="71"/>
      <c r="H466" s="71"/>
      <c r="I466" s="71"/>
      <c r="J466" s="72">
        <f>ROUND(SUM(J468:J468),2)</f>
        <v>19.2</v>
      </c>
    </row>
    <row r="467" spans="1:10">
      <c r="A467" s="60"/>
      <c r="B467" s="77"/>
      <c r="C467" s="86" t="s">
        <v>1710</v>
      </c>
      <c r="D467" s="63"/>
      <c r="E467" s="62"/>
      <c r="F467" s="80"/>
      <c r="G467" s="64"/>
      <c r="H467" s="64"/>
      <c r="I467" s="34" t="s">
        <v>1620</v>
      </c>
      <c r="J467" s="78"/>
    </row>
    <row r="468" spans="1:10">
      <c r="A468" s="176"/>
      <c r="B468" s="176"/>
      <c r="C468" s="142" t="s">
        <v>1676</v>
      </c>
      <c r="D468" s="191"/>
      <c r="E468" s="192"/>
      <c r="F468" s="82"/>
      <c r="G468" s="82"/>
      <c r="H468" s="82"/>
      <c r="I468" s="82">
        <v>19.2</v>
      </c>
      <c r="J468" s="36">
        <f>ROUND(PRODUCT(E468:I468),2)</f>
        <v>19.2</v>
      </c>
    </row>
    <row r="469" spans="1:10">
      <c r="A469" s="507"/>
      <c r="B469" s="507"/>
      <c r="C469" s="507"/>
      <c r="D469" s="507"/>
      <c r="E469" s="507"/>
      <c r="F469" s="507"/>
      <c r="G469" s="507"/>
      <c r="H469" s="507"/>
      <c r="I469" s="507"/>
      <c r="J469" s="508"/>
    </row>
    <row r="470" spans="1:10">
      <c r="A470" s="19" t="str">
        <f>'[3]Planilha Orçamentária'!A126</f>
        <v>1.2.8</v>
      </c>
      <c r="B470" s="20"/>
      <c r="C470" s="21" t="str">
        <f>VLOOKUP(A470,'[3]Planilha Orçamentária'!A:K,3,0)</f>
        <v>ACESSIBILIDADE</v>
      </c>
      <c r="D470" s="21"/>
      <c r="E470" s="39"/>
      <c r="F470" s="40"/>
      <c r="G470" s="40"/>
      <c r="H470" s="40"/>
      <c r="I470" s="40"/>
      <c r="J470" s="41"/>
    </row>
    <row r="471" spans="1:10" ht="51">
      <c r="A471" s="28" t="str">
        <f>'[3]Planilha Orçamentária'!A127</f>
        <v>1.2.8.1</v>
      </c>
      <c r="B471" s="42" t="str">
        <f>VLOOKUP(A471,'[3]Planilha Orçamentária'!A:K,2,0)</f>
        <v>CP-S12039-81921471</v>
      </c>
      <c r="C471" s="166" t="str">
        <f>VLOOKUP(A471,'[3]Planilha Orçamentária'!A:K,3,0)</f>
        <v>Piso tátil direcional e/ou alerta, de concreto, na cor natural, p/deficientes visuais, dimensões 40x40cm, aplicado com argamassa industrializada ac-ii, rejuntado, exclusive regularização de base</v>
      </c>
      <c r="D471" s="31" t="str">
        <f>VLOOKUP(A471,'[3]Planilha Orçamentária'!A:K,4,0)</f>
        <v>M2</v>
      </c>
      <c r="E471" s="30"/>
      <c r="F471" s="32"/>
      <c r="G471" s="32"/>
      <c r="H471" s="32"/>
      <c r="I471" s="32"/>
      <c r="J471" s="45">
        <f>ROUND(SUM(J472:J474),2)</f>
        <v>3.12</v>
      </c>
    </row>
    <row r="472" spans="1:10">
      <c r="A472" s="176"/>
      <c r="B472" s="176"/>
      <c r="C472" s="259" t="s">
        <v>1710</v>
      </c>
      <c r="D472" s="158"/>
      <c r="E472" s="159"/>
      <c r="F472" s="116"/>
      <c r="G472" s="116"/>
      <c r="H472" s="160"/>
      <c r="I472" s="34" t="s">
        <v>1620</v>
      </c>
      <c r="J472" s="188"/>
    </row>
    <row r="473" spans="1:10">
      <c r="A473" s="53"/>
      <c r="B473" s="53"/>
      <c r="C473" s="142" t="s">
        <v>1676</v>
      </c>
      <c r="D473" s="53"/>
      <c r="E473" s="53"/>
      <c r="F473" s="53"/>
      <c r="G473" s="53"/>
      <c r="H473" s="53"/>
      <c r="I473" s="82">
        <v>2.16</v>
      </c>
      <c r="J473" s="36">
        <f t="shared" ref="J473:J474" si="46">ROUND(PRODUCT(E473:I473),2)</f>
        <v>2.16</v>
      </c>
    </row>
    <row r="474" spans="1:10">
      <c r="A474" s="53"/>
      <c r="B474" s="53"/>
      <c r="C474" s="53"/>
      <c r="D474" s="53"/>
      <c r="E474" s="53"/>
      <c r="F474" s="53"/>
      <c r="G474" s="53"/>
      <c r="H474" s="53"/>
      <c r="I474" s="82">
        <v>0.96</v>
      </c>
      <c r="J474" s="36">
        <f t="shared" si="46"/>
        <v>0.96</v>
      </c>
    </row>
    <row r="475" spans="1:10">
      <c r="A475" s="507"/>
      <c r="B475" s="507"/>
      <c r="C475" s="507"/>
      <c r="D475" s="507"/>
      <c r="E475" s="507"/>
      <c r="F475" s="507"/>
      <c r="G475" s="507"/>
      <c r="H475" s="507"/>
      <c r="I475" s="507"/>
      <c r="J475" s="507"/>
    </row>
    <row r="476" spans="1:10">
      <c r="A476" s="19" t="str">
        <f>'[3]Planilha Orçamentária'!A128</f>
        <v>1.2.9</v>
      </c>
      <c r="B476" s="20"/>
      <c r="C476" s="21" t="str">
        <f>VLOOKUP(A476,'[3]Planilha Orçamentária'!A:K,3,0)</f>
        <v>MATERIAIS</v>
      </c>
      <c r="D476" s="21"/>
      <c r="E476" s="39"/>
      <c r="F476" s="40"/>
      <c r="G476" s="40"/>
      <c r="H476" s="40"/>
      <c r="I476" s="40"/>
      <c r="J476" s="41"/>
    </row>
    <row r="477" spans="1:10" ht="38.25">
      <c r="A477" s="60" t="str">
        <f>'[3]Planilha Orçamentária'!A129</f>
        <v>1.2.9.1</v>
      </c>
      <c r="B477" s="61">
        <f>VLOOKUP(A477,'[3]Planilha Orçamentária'!A:K,2,0)</f>
        <v>10776</v>
      </c>
      <c r="C477" s="62" t="str">
        <f>VLOOKUP(A477,'[3]Planilha Orçamentária'!A:K,3,0)</f>
        <v xml:space="preserve">LOCACAO DE CONTAINER 2,30 X 6,00 M, ALT. 2,50 M, PARA ESCRITORIO, SEM DIVISORIAS INTERNAS E SEM SANITARIO (NAO INCLUI MOBILIZACAO/DESMOBILIZACAO)                                                                                                                                                                                                                                                                                                                                                         </v>
      </c>
      <c r="D477" s="63" t="str">
        <f>VLOOKUP(A477,'[3]Planilha Orçamentária'!A:K,4,0)</f>
        <v xml:space="preserve">MES   </v>
      </c>
      <c r="E477" s="62"/>
      <c r="F477" s="64"/>
      <c r="G477" s="64"/>
      <c r="H477" s="64"/>
      <c r="I477" s="64"/>
      <c r="J477" s="65">
        <f>ROUND(SUM(J479:J479),2)</f>
        <v>2</v>
      </c>
    </row>
    <row r="478" spans="1:10" ht="25.5">
      <c r="A478" s="66"/>
      <c r="B478" s="67"/>
      <c r="C478" s="68"/>
      <c r="D478" s="69"/>
      <c r="E478" s="68"/>
      <c r="F478" s="70"/>
      <c r="G478" s="71"/>
      <c r="H478" s="71"/>
      <c r="I478" s="34" t="s">
        <v>1609</v>
      </c>
      <c r="J478" s="72"/>
    </row>
    <row r="479" spans="1:10">
      <c r="A479" s="27"/>
      <c r="B479" s="27"/>
      <c r="C479" s="73"/>
      <c r="D479" s="74"/>
      <c r="E479" s="35"/>
      <c r="F479" s="75"/>
      <c r="G479" s="35"/>
      <c r="H479" s="35"/>
      <c r="I479" s="35">
        <f>I268</f>
        <v>2</v>
      </c>
      <c r="J479" s="36">
        <f>ROUND(PRODUCT(E479:I479),2)</f>
        <v>2</v>
      </c>
    </row>
    <row r="480" spans="1:10">
      <c r="A480" s="496"/>
      <c r="B480" s="496"/>
      <c r="C480" s="496"/>
      <c r="D480" s="496"/>
      <c r="E480" s="496"/>
      <c r="F480" s="496"/>
      <c r="G480" s="496"/>
      <c r="H480" s="496"/>
      <c r="I480" s="496"/>
      <c r="J480" s="496"/>
    </row>
    <row r="481" spans="1:10" ht="51">
      <c r="A481" s="60" t="str">
        <f>'[3]Planilha Orçamentária'!A130</f>
        <v>1.2.9.2</v>
      </c>
      <c r="B481" s="61">
        <f>VLOOKUP(A481,'[3]Planilha Orçamentária'!A:K,2,0)</f>
        <v>10775</v>
      </c>
      <c r="C481" s="62" t="str">
        <f>VLOOKUP(A481,'[3]Planilha Orçamentária'!A:K,3,0)</f>
        <v xml:space="preserve">LOCACAO DE CONTAINER 2,30 X 6,00 M, ALT. 2,50 M, COM 1 SANITARIO, PARA ESCRITORIO, COMPLETO, SEM DIVISORIAS INTERNAS (NAO INCLUI MOBILIZACAO/DESMOBILIZACAO)                                                                                                                                                                                                                                                                                                                                              </v>
      </c>
      <c r="D481" s="63" t="str">
        <f>VLOOKUP(A481,'[3]Planilha Orçamentária'!A:K,4,0)</f>
        <v xml:space="preserve">MES   </v>
      </c>
      <c r="E481" s="62"/>
      <c r="F481" s="64"/>
      <c r="G481" s="64"/>
      <c r="H481" s="64"/>
      <c r="I481" s="64"/>
      <c r="J481" s="65">
        <f>ROUND(SUM(J483:J483),2)</f>
        <v>2</v>
      </c>
    </row>
    <row r="482" spans="1:10" ht="25.5">
      <c r="A482" s="66"/>
      <c r="B482" s="67"/>
      <c r="C482" s="68"/>
      <c r="D482" s="69"/>
      <c r="E482" s="68"/>
      <c r="F482" s="70"/>
      <c r="G482" s="71"/>
      <c r="H482" s="71"/>
      <c r="I482" s="34" t="s">
        <v>1609</v>
      </c>
      <c r="J482" s="72"/>
    </row>
    <row r="483" spans="1:10">
      <c r="A483" s="27"/>
      <c r="B483" s="27"/>
      <c r="C483" s="73"/>
      <c r="D483" s="74"/>
      <c r="E483" s="35"/>
      <c r="F483" s="75"/>
      <c r="G483" s="35"/>
      <c r="H483" s="35"/>
      <c r="I483" s="35">
        <f>I479</f>
        <v>2</v>
      </c>
      <c r="J483" s="36">
        <f>ROUND(PRODUCT(E483:I483),2)</f>
        <v>2</v>
      </c>
    </row>
    <row r="484" spans="1:10">
      <c r="A484" s="496"/>
      <c r="B484" s="496"/>
      <c r="C484" s="496"/>
      <c r="D484" s="496"/>
      <c r="E484" s="496"/>
      <c r="F484" s="496"/>
      <c r="G484" s="496"/>
      <c r="H484" s="496"/>
      <c r="I484" s="496"/>
      <c r="J484" s="496"/>
    </row>
    <row r="485" spans="1:10" ht="63.75">
      <c r="A485" s="99" t="str">
        <f>'[3]Planilha Orçamentária'!A131</f>
        <v>1.2.9.3</v>
      </c>
      <c r="B485" s="48">
        <f>VLOOKUP(A485,'[3]Planilha Orçamentária'!A:K,2,0)</f>
        <v>36170</v>
      </c>
      <c r="C485" s="100" t="str">
        <f>VLOOKUP(A485,'[3]Planilha Orçamentária'!A:K,3,0)</f>
        <v xml:space="preserve">BLOQUETE/PISO INTERTRAVADO DE CONCRETO - MODELO ONDA/16 FACES/RETANGULAR/TIJOLINHO/PAVER/HOLANDES/PARALELEPIPEDO, *22 CM X 11* CM, E = 8 CM, RESISTENCIA DE 35 MPA (NBR 9781), COR NATURAL                                                                                                                                                                                                                                                                                                                </v>
      </c>
      <c r="D485" s="101" t="str">
        <f>VLOOKUP(A485,'[3]Planilha Orçamentária'!A:K,4,0)</f>
        <v xml:space="preserve">M2    </v>
      </c>
      <c r="E485" s="100"/>
      <c r="F485" s="102"/>
      <c r="G485" s="102"/>
      <c r="H485" s="102"/>
      <c r="I485" s="102"/>
      <c r="J485" s="193">
        <f>ROUND(SUM(J486:J487),2)</f>
        <v>494.14</v>
      </c>
    </row>
    <row r="486" spans="1:10">
      <c r="A486" s="94"/>
      <c r="B486" s="128"/>
      <c r="C486" s="79" t="s">
        <v>1693</v>
      </c>
      <c r="D486" s="96"/>
      <c r="E486" s="34" t="s">
        <v>1678</v>
      </c>
      <c r="F486" s="34"/>
      <c r="G486" s="82"/>
      <c r="H486" s="82"/>
      <c r="I486" s="82" t="s">
        <v>1620</v>
      </c>
      <c r="J486" s="120"/>
    </row>
    <row r="487" spans="1:10">
      <c r="A487" s="94"/>
      <c r="B487" s="128"/>
      <c r="C487" s="194" t="s">
        <v>1677</v>
      </c>
      <c r="D487" s="53"/>
      <c r="E487" s="94">
        <v>1.0130999999999999</v>
      </c>
      <c r="F487" s="34"/>
      <c r="G487" s="82"/>
      <c r="H487" s="82"/>
      <c r="I487" s="82">
        <f>J363</f>
        <v>487.75</v>
      </c>
      <c r="J487" s="120">
        <f>ROUND(PRODUCT(E487:I487),2)</f>
        <v>494.14</v>
      </c>
    </row>
    <row r="488" spans="1:10">
      <c r="A488" s="497"/>
      <c r="B488" s="497"/>
      <c r="C488" s="497"/>
      <c r="D488" s="497"/>
      <c r="E488" s="497"/>
      <c r="F488" s="497"/>
      <c r="G488" s="497"/>
      <c r="H488" s="497"/>
      <c r="I488" s="497"/>
      <c r="J488" s="497"/>
    </row>
    <row r="489" spans="1:10" ht="63.75">
      <c r="A489" s="99" t="str">
        <f>'[3]Planilha Orçamentária'!A132</f>
        <v>1.2.9.4</v>
      </c>
      <c r="B489" s="48">
        <f>VLOOKUP(A489,'[3]Planilha Orçamentária'!A:K,2,0)</f>
        <v>36154</v>
      </c>
      <c r="C489" s="100" t="str">
        <f>VLOOKUP(A489,'[3]Planilha Orçamentária'!A:K,3,0)</f>
        <v xml:space="preserve">BLOQUETE/PISO INTERTRAVADO DE CONCRETO - MODELO ONDA/16 FACES/RETANGULAR/TIJOLINHO/PAVER/HOLANDES/PARALELEPIPEDO, 20 CM X 10 CM, E = 8 CM, RESISTENCIA DE 35 MPA (NBR 9781), COLORIDO                                                                                                                                                                                                                                                                                                                     </v>
      </c>
      <c r="D489" s="101" t="str">
        <f>VLOOKUP(A489,'[3]Planilha Orçamentária'!A:K,4,0)</f>
        <v xml:space="preserve">M2    </v>
      </c>
      <c r="E489" s="100"/>
      <c r="F489" s="102"/>
      <c r="G489" s="102"/>
      <c r="H489" s="102"/>
      <c r="I489" s="102"/>
      <c r="J489" s="33">
        <f>ROUND(SUM(J490:J492),2)</f>
        <v>130.03</v>
      </c>
    </row>
    <row r="490" spans="1:10">
      <c r="A490" s="94"/>
      <c r="B490" s="128"/>
      <c r="C490" s="79" t="s">
        <v>1693</v>
      </c>
      <c r="D490" s="96"/>
      <c r="E490" s="34" t="s">
        <v>1678</v>
      </c>
      <c r="F490" s="34"/>
      <c r="G490" s="82"/>
      <c r="H490" s="82"/>
      <c r="I490" s="82" t="s">
        <v>1620</v>
      </c>
      <c r="J490" s="120"/>
    </row>
    <row r="491" spans="1:10">
      <c r="A491" s="94"/>
      <c r="B491" s="128"/>
      <c r="C491" s="194" t="s">
        <v>1677</v>
      </c>
      <c r="D491" s="53"/>
      <c r="E491" s="94">
        <v>1.0130999999999999</v>
      </c>
      <c r="F491" s="34"/>
      <c r="G491" s="82"/>
      <c r="H491" s="82"/>
      <c r="I491" s="82">
        <f>J364</f>
        <v>128.35</v>
      </c>
      <c r="J491" s="120">
        <f t="shared" ref="J491" si="47">ROUND(PRODUCT(E491:I491),2)</f>
        <v>130.03</v>
      </c>
    </row>
    <row r="492" spans="1:10">
      <c r="A492" s="94"/>
      <c r="B492" s="128"/>
      <c r="C492" s="145"/>
      <c r="D492" s="96"/>
      <c r="E492" s="82"/>
      <c r="F492" s="34"/>
      <c r="G492" s="82"/>
      <c r="H492" s="82"/>
      <c r="I492" s="82"/>
      <c r="J492" s="120"/>
    </row>
    <row r="493" spans="1:10">
      <c r="A493" s="498"/>
      <c r="B493" s="499"/>
      <c r="C493" s="499"/>
      <c r="D493" s="499"/>
      <c r="E493" s="499"/>
      <c r="F493" s="499"/>
      <c r="G493" s="499"/>
      <c r="H493" s="499"/>
      <c r="I493" s="499"/>
      <c r="J493" s="500"/>
    </row>
    <row r="494" spans="1:10" ht="38.25">
      <c r="A494" s="28" t="str">
        <f>'[3]Planilha Orçamentária'!A133</f>
        <v>1.2.9.5</v>
      </c>
      <c r="B494" s="29">
        <f>VLOOKUP(A494,'[3]Planilha Orçamentária'!A:K,2,0)</f>
        <v>1518</v>
      </c>
      <c r="C494" s="30" t="str">
        <f>VLOOKUP(A494,'[3]Planilha Orçamentária'!A:K,3,0)</f>
        <v xml:space="preserve">CONCRETO BETUMINOSO USINADO A QUENTE (CBUQ) PARA PAVIMENTACAO ASFALTICA, PADRAO DNIT, FAIXA C, COM CAP 50/70 - AQUISICAO POSTO USINA                                                                                                                                                                                                                                                                                                                                                                      </v>
      </c>
      <c r="D494" s="31" t="str">
        <f>VLOOKUP(A494,'[3]Planilha Orçamentária'!A:K,4,0)</f>
        <v xml:space="preserve">T     </v>
      </c>
      <c r="E494" s="30"/>
      <c r="F494" s="32"/>
      <c r="G494" s="32"/>
      <c r="H494" s="32"/>
      <c r="I494" s="32"/>
      <c r="J494" s="33">
        <f>ROUND(SUM(J495:J496),2)</f>
        <v>51.56</v>
      </c>
    </row>
    <row r="495" spans="1:10">
      <c r="A495" s="94"/>
      <c r="B495" s="94"/>
      <c r="C495" s="79" t="s">
        <v>1693</v>
      </c>
      <c r="D495" s="94"/>
      <c r="E495" s="34" t="s">
        <v>1678</v>
      </c>
      <c r="F495" s="94"/>
      <c r="G495" s="94"/>
      <c r="H495" s="94"/>
      <c r="I495" s="94" t="s">
        <v>1623</v>
      </c>
      <c r="J495" s="94"/>
    </row>
    <row r="496" spans="1:10">
      <c r="A496" s="94"/>
      <c r="B496" s="94"/>
      <c r="C496" s="195" t="s">
        <v>1679</v>
      </c>
      <c r="D496" s="94"/>
      <c r="E496" s="94">
        <v>2.5548000000000002</v>
      </c>
      <c r="F496" s="94"/>
      <c r="G496" s="94"/>
      <c r="H496" s="94"/>
      <c r="I496" s="196">
        <f>J371</f>
        <v>20.18</v>
      </c>
      <c r="J496" s="120">
        <f t="shared" ref="J496" si="48">ROUND(PRODUCT(E496:I496),2)</f>
        <v>51.56</v>
      </c>
    </row>
    <row r="497" spans="1:10">
      <c r="A497" s="130"/>
      <c r="B497" s="197"/>
      <c r="C497" s="197"/>
      <c r="D497" s="197"/>
      <c r="E497" s="197"/>
      <c r="F497" s="197"/>
      <c r="G497" s="197"/>
      <c r="H497" s="197"/>
      <c r="I497" s="197"/>
      <c r="J497" s="138"/>
    </row>
    <row r="498" spans="1:10">
      <c r="A498" s="216" t="str">
        <f>'[3]Planilha Orçamentária'!A134</f>
        <v>1.2.9.6</v>
      </c>
      <c r="B498" s="217" t="str">
        <f>VLOOKUP(A498,'[3]Planilha Orçamentária'!A:K,2,0)</f>
        <v>INS-185032</v>
      </c>
      <c r="C498" s="241" t="str">
        <f>VLOOKUP(A498,'[3]Planilha Orçamentária'!A:K,3,0)</f>
        <v>BRITA GRADUADA SIMPLES (BGS)</v>
      </c>
      <c r="D498" s="219" t="str">
        <f>VLOOKUP(A498,'[3]Planilha Orçamentária'!A:K,4,0)</f>
        <v>M3</v>
      </c>
      <c r="E498" s="218"/>
      <c r="F498" s="220"/>
      <c r="G498" s="220"/>
      <c r="H498" s="220"/>
      <c r="I498" s="220"/>
      <c r="J498" s="103">
        <f>ROUND(SUM(J500:J501),2)</f>
        <v>186.19</v>
      </c>
    </row>
    <row r="499" spans="1:10">
      <c r="A499" s="60"/>
      <c r="B499" s="77"/>
      <c r="C499" s="79" t="s">
        <v>1693</v>
      </c>
      <c r="D499" s="101"/>
      <c r="E499" s="34" t="s">
        <v>1678</v>
      </c>
      <c r="F499" s="102"/>
      <c r="G499" s="102"/>
      <c r="H499" s="87"/>
      <c r="I499" s="94" t="s">
        <v>1623</v>
      </c>
      <c r="J499" s="120"/>
    </row>
    <row r="500" spans="1:10">
      <c r="A500" s="60"/>
      <c r="B500" s="77"/>
      <c r="C500" s="194" t="s">
        <v>1680</v>
      </c>
      <c r="D500" s="53"/>
      <c r="E500" s="198">
        <v>1</v>
      </c>
      <c r="F500" s="102"/>
      <c r="G500" s="102"/>
      <c r="H500" s="80"/>
      <c r="I500" s="87">
        <f>J345</f>
        <v>186.19</v>
      </c>
      <c r="J500" s="120">
        <f t="shared" ref="J500" si="49">ROUND(PRODUCT(E500:I500),2)</f>
        <v>186.19</v>
      </c>
    </row>
    <row r="501" spans="1:10">
      <c r="A501" s="497"/>
      <c r="B501" s="497"/>
      <c r="C501" s="497"/>
      <c r="D501" s="497"/>
      <c r="E501" s="497"/>
      <c r="F501" s="497"/>
      <c r="G501" s="497"/>
      <c r="H501" s="497"/>
      <c r="I501" s="497"/>
      <c r="J501" s="497"/>
    </row>
    <row r="502" spans="1:10">
      <c r="A502" s="216" t="str">
        <f>'[3]Planilha Orçamentária'!A135</f>
        <v>1.2.9.7</v>
      </c>
      <c r="B502" s="217" t="str">
        <f>VLOOKUP(A502,'[3]Planilha Orçamentária'!A:K,2,0)</f>
        <v>M0808</v>
      </c>
      <c r="C502" s="241" t="str">
        <f>VLOOKUP(A502,'[3]Planilha Orçamentária'!A:K,3,0)</f>
        <v>Brita 4</v>
      </c>
      <c r="D502" s="219" t="str">
        <f>VLOOKUP(A502,'[3]Planilha Orçamentária'!A:K,4,0)</f>
        <v>M3</v>
      </c>
      <c r="E502" s="218"/>
      <c r="F502" s="220"/>
      <c r="G502" s="220"/>
      <c r="H502" s="220"/>
      <c r="I502" s="220"/>
      <c r="J502" s="103">
        <f>ROUND(SUM(J504:J505),2)</f>
        <v>266.04000000000002</v>
      </c>
    </row>
    <row r="503" spans="1:10">
      <c r="A503" s="60"/>
      <c r="B503" s="77"/>
      <c r="C503" s="199"/>
      <c r="D503" s="53"/>
      <c r="E503" s="53" t="s">
        <v>1678</v>
      </c>
      <c r="F503" s="102"/>
      <c r="G503" s="102"/>
      <c r="H503" s="87"/>
      <c r="I503" s="94" t="s">
        <v>1623</v>
      </c>
      <c r="J503" s="120"/>
    </row>
    <row r="504" spans="1:10" ht="15">
      <c r="A504" s="60"/>
      <c r="B504" s="77"/>
      <c r="C504" s="109" t="s">
        <v>1681</v>
      </c>
      <c r="D504" s="53"/>
      <c r="E504" s="200">
        <v>1.26</v>
      </c>
      <c r="F504" s="102"/>
      <c r="G504" s="102"/>
      <c r="H504" s="80"/>
      <c r="I504" s="87">
        <f>J336</f>
        <v>211.14</v>
      </c>
      <c r="J504" s="120">
        <f t="shared" ref="J504" si="50">ROUND(PRODUCT(E504:I504),2)</f>
        <v>266.04000000000002</v>
      </c>
    </row>
    <row r="505" spans="1:10">
      <c r="A505" s="497"/>
      <c r="B505" s="497"/>
      <c r="C505" s="497"/>
      <c r="D505" s="497"/>
      <c r="E505" s="497"/>
      <c r="F505" s="497"/>
      <c r="G505" s="497"/>
      <c r="H505" s="497"/>
      <c r="I505" s="497"/>
      <c r="J505" s="497"/>
    </row>
    <row r="506" spans="1:10">
      <c r="A506" s="216" t="str">
        <f>'[3]Planilha Orçamentária'!A136</f>
        <v>1.2.9.8</v>
      </c>
      <c r="B506" s="217" t="str">
        <f>VLOOKUP(A506,'[3]Planilha Orçamentária'!A:K,2,0)</f>
        <v>M1135</v>
      </c>
      <c r="C506" s="241" t="str">
        <f>VLOOKUP(A506,'[3]Planilha Orçamentária'!A:K,3,0)</f>
        <v>Pó de pedra</v>
      </c>
      <c r="D506" s="219" t="str">
        <f>VLOOKUP(A506,'[3]Planilha Orçamentária'!A:K,4,0)</f>
        <v>M3</v>
      </c>
      <c r="E506" s="218"/>
      <c r="F506" s="220"/>
      <c r="G506" s="220"/>
      <c r="H506" s="220"/>
      <c r="I506" s="220"/>
      <c r="J506" s="103">
        <f>ROUND(SUM(J508:J509),2)</f>
        <v>29.56</v>
      </c>
    </row>
    <row r="507" spans="1:10">
      <c r="A507" s="60"/>
      <c r="B507" s="77"/>
      <c r="C507" s="199"/>
      <c r="D507" s="53"/>
      <c r="E507" s="53" t="s">
        <v>1678</v>
      </c>
      <c r="F507" s="102"/>
      <c r="G507" s="102"/>
      <c r="H507" s="87"/>
      <c r="I507" s="94" t="s">
        <v>1623</v>
      </c>
      <c r="J507" s="120"/>
    </row>
    <row r="508" spans="1:10">
      <c r="A508" s="60"/>
      <c r="B508" s="77"/>
      <c r="C508" s="109" t="s">
        <v>1681</v>
      </c>
      <c r="D508" s="53"/>
      <c r="E508" s="53">
        <v>0.14000000000000001</v>
      </c>
      <c r="F508" s="102"/>
      <c r="G508" s="102"/>
      <c r="H508" s="80"/>
      <c r="I508" s="87">
        <f>I504</f>
        <v>211.14</v>
      </c>
      <c r="J508" s="120">
        <f t="shared" ref="J508" si="51">ROUND(PRODUCT(E508:I508),2)</f>
        <v>29.56</v>
      </c>
    </row>
    <row r="509" spans="1:10">
      <c r="A509" s="497"/>
      <c r="B509" s="497"/>
      <c r="C509" s="497"/>
      <c r="D509" s="497"/>
      <c r="E509" s="497"/>
      <c r="F509" s="497"/>
      <c r="G509" s="497"/>
      <c r="H509" s="497"/>
      <c r="I509" s="497"/>
      <c r="J509" s="497"/>
    </row>
    <row r="510" spans="1:10" ht="38.25">
      <c r="A510" s="216" t="str">
        <f>'[3]Planilha Orçamentária'!A137</f>
        <v>1.2.9.9</v>
      </c>
      <c r="B510" s="217">
        <f>VLOOKUP(A510,'[3]Planilha Orçamentária'!A:K,2,0)</f>
        <v>34492</v>
      </c>
      <c r="C510" s="241" t="str">
        <f>VLOOKUP(A510,'[3]Planilha Orçamentária'!A:K,3,0)</f>
        <v xml:space="preserve">CONCRETO USINADO BOMBEAVEL, CLASSE DE RESISTENCIA C20, COM BRITA 0 E 1, SLUMP = 100 +/- 20 MM, EXCLUI SERVICO DE BOMBEAMENTO (NBR 8953)                                                                                                                                                                                                                                                                                                                                                                   </v>
      </c>
      <c r="D510" s="219" t="str">
        <f>VLOOKUP(A510,'[3]Planilha Orçamentária'!A:K,4,0)</f>
        <v xml:space="preserve">M3    </v>
      </c>
      <c r="E510" s="218"/>
      <c r="F510" s="220"/>
      <c r="G510" s="220"/>
      <c r="H510" s="220"/>
      <c r="I510" s="220"/>
      <c r="J510" s="103">
        <f>ROUND(SUM(J512:J513),2)</f>
        <v>40.64</v>
      </c>
    </row>
    <row r="511" spans="1:10">
      <c r="A511" s="60"/>
      <c r="B511" s="77"/>
      <c r="C511" s="79"/>
      <c r="D511" s="94"/>
      <c r="E511" s="53" t="s">
        <v>1678</v>
      </c>
      <c r="F511" s="94"/>
      <c r="G511" s="94"/>
      <c r="H511" s="94"/>
      <c r="I511" s="94" t="s">
        <v>1623</v>
      </c>
      <c r="J511" s="120"/>
    </row>
    <row r="512" spans="1:10">
      <c r="A512" s="60"/>
      <c r="B512" s="77"/>
      <c r="C512" s="194" t="s">
        <v>1682</v>
      </c>
      <c r="D512" s="53"/>
      <c r="E512" s="198">
        <v>1.2130000000000001</v>
      </c>
      <c r="F512" s="94"/>
      <c r="G512" s="94"/>
      <c r="H512" s="94"/>
      <c r="I512" s="196">
        <f>J387</f>
        <v>33.5</v>
      </c>
      <c r="J512" s="120">
        <f t="shared" ref="J512" si="52">ROUND(PRODUCT(E512:I512),2)</f>
        <v>40.64</v>
      </c>
    </row>
    <row r="513" spans="1:10">
      <c r="A513" s="497"/>
      <c r="B513" s="497"/>
      <c r="C513" s="497"/>
      <c r="D513" s="497"/>
      <c r="E513" s="497"/>
      <c r="F513" s="497"/>
      <c r="G513" s="497"/>
      <c r="H513" s="497"/>
      <c r="I513" s="497"/>
      <c r="J513" s="497"/>
    </row>
    <row r="514" spans="1:10">
      <c r="A514" s="201" t="str">
        <f>'[3]Planilha Orçamentária'!A138</f>
        <v>1.3</v>
      </c>
      <c r="B514" s="504" t="str">
        <f>VLOOKUP(A514,'[3]Planilha Orçamentária'!A:K,3,0)</f>
        <v>RUA RENASCENÇA - CAJUEIRO SECO</v>
      </c>
      <c r="C514" s="505"/>
      <c r="D514" s="505"/>
      <c r="E514" s="505"/>
      <c r="F514" s="505"/>
      <c r="G514" s="505"/>
      <c r="H514" s="505"/>
      <c r="I514" s="505"/>
      <c r="J514" s="505"/>
    </row>
    <row r="515" spans="1:10">
      <c r="A515" s="19" t="str">
        <f>'[3]Planilha Orçamentária'!A139</f>
        <v>1.3.1</v>
      </c>
      <c r="B515" s="20"/>
      <c r="C515" s="21" t="str">
        <f>VLOOKUP(A515,'[3]Planilha Orçamentária'!A:K,3,0)</f>
        <v>INSTALAÇÕES PROVISÓRIAS</v>
      </c>
      <c r="D515" s="22"/>
      <c r="E515" s="23"/>
      <c r="F515" s="24"/>
      <c r="G515" s="24"/>
      <c r="H515" s="24"/>
      <c r="I515" s="25"/>
      <c r="J515" s="26"/>
    </row>
    <row r="516" spans="1:10" ht="25.5">
      <c r="A516" s="59" t="str">
        <f>'[3]Planilha Orçamentária'!A140</f>
        <v>1.3.1.1</v>
      </c>
      <c r="B516" s="42" t="str">
        <f>VLOOKUP(A516,'[3]Planilha Orçamentária'!A:K,2,0)</f>
        <v>CP-74209/001-15055090</v>
      </c>
      <c r="C516" s="30" t="str">
        <f>VLOOKUP(A516,'[3]Planilha Orçamentária'!A:K,3,0)</f>
        <v>PLACA DE OBRA EM CHAPA DE ACO GALVANIZADO</v>
      </c>
      <c r="D516" s="31" t="str">
        <f>VLOOKUP(A516,'[3]Planilha Orçamentária'!A:K,4,0)</f>
        <v xml:space="preserve">M2    </v>
      </c>
      <c r="E516" s="30"/>
      <c r="F516" s="34" t="s">
        <v>1606</v>
      </c>
      <c r="G516" s="34" t="s">
        <v>1607</v>
      </c>
      <c r="H516" s="34"/>
      <c r="I516" s="34" t="s">
        <v>1608</v>
      </c>
      <c r="J516" s="45">
        <f>ROUND(SUM(J518:J518),2)</f>
        <v>8</v>
      </c>
    </row>
    <row r="517" spans="1:10">
      <c r="A517" s="59"/>
      <c r="B517" s="42"/>
      <c r="C517" s="202"/>
      <c r="D517" s="203"/>
      <c r="E517" s="202"/>
      <c r="F517" s="32"/>
      <c r="G517" s="32"/>
      <c r="H517" s="32"/>
      <c r="I517" s="32"/>
      <c r="J517" s="45"/>
    </row>
    <row r="518" spans="1:10">
      <c r="A518" s="59"/>
      <c r="B518" s="27"/>
      <c r="C518" s="204"/>
      <c r="D518" s="205"/>
      <c r="E518" s="206"/>
      <c r="F518" s="35">
        <v>2</v>
      </c>
      <c r="G518" s="35">
        <v>4</v>
      </c>
      <c r="H518" s="207"/>
      <c r="I518" s="35">
        <v>1</v>
      </c>
      <c r="J518" s="58">
        <f>ROUND(PRODUCT(E518:I518),2)</f>
        <v>8</v>
      </c>
    </row>
    <row r="519" spans="1:10">
      <c r="A519" s="515"/>
      <c r="B519" s="516"/>
      <c r="C519" s="516"/>
      <c r="D519" s="516"/>
      <c r="E519" s="516"/>
      <c r="F519" s="516"/>
      <c r="G519" s="516"/>
      <c r="H519" s="516"/>
      <c r="I519" s="516"/>
      <c r="J519" s="517"/>
    </row>
    <row r="520" spans="1:10" ht="25.5">
      <c r="A520" s="59" t="str">
        <f>'[3]Planilha Orçamentária'!A141</f>
        <v>1.3.1.2</v>
      </c>
      <c r="B520" s="29" t="str">
        <f>VLOOKUP(A520,'[3]Planilha Orçamentária'!A:K,2,0)</f>
        <v>COMP-07440249</v>
      </c>
      <c r="C520" s="30" t="str">
        <f>VLOOKUP(A520,'[3]Planilha Orçamentária'!A:K,3,0)</f>
        <v>BANHEIRO QUÍMICO, COM LOCAÇÃO, TRANSPORTE E LIMPEZA</v>
      </c>
      <c r="D520" s="31" t="str">
        <f>VLOOKUP(A520,'[3]Planilha Orçamentária'!A:K,4,0)</f>
        <v>MÊS</v>
      </c>
      <c r="E520" s="30"/>
      <c r="F520" s="32"/>
      <c r="G520" s="32"/>
      <c r="H520" s="32"/>
      <c r="I520" s="32"/>
      <c r="J520" s="33">
        <f>ROUND(SUM(J523:J523),2)</f>
        <v>6</v>
      </c>
    </row>
    <row r="521" spans="1:10" ht="25.5">
      <c r="A521" s="59"/>
      <c r="B521" s="29"/>
      <c r="C521" s="30"/>
      <c r="D521" s="31"/>
      <c r="E521" s="30"/>
      <c r="F521" s="32"/>
      <c r="G521" s="32"/>
      <c r="H521" s="32"/>
      <c r="I521" s="34" t="s">
        <v>1609</v>
      </c>
      <c r="J521" s="33"/>
    </row>
    <row r="522" spans="1:10">
      <c r="A522" s="59"/>
      <c r="B522" s="29"/>
      <c r="C522" s="30"/>
      <c r="D522" s="31"/>
      <c r="E522" s="30"/>
      <c r="F522" s="32"/>
      <c r="G522" s="32"/>
      <c r="H522" s="32"/>
      <c r="I522" s="34"/>
      <c r="J522" s="33"/>
    </row>
    <row r="523" spans="1:10">
      <c r="A523" s="59"/>
      <c r="B523" s="27"/>
      <c r="C523" s="208"/>
      <c r="D523" s="209"/>
      <c r="E523" s="75"/>
      <c r="F523" s="75"/>
      <c r="G523" s="207"/>
      <c r="H523" s="207"/>
      <c r="I523" s="143">
        <v>6</v>
      </c>
      <c r="J523" s="36">
        <f>ROUND(PRODUCT(E523:I523),2)</f>
        <v>6</v>
      </c>
    </row>
    <row r="524" spans="1:10">
      <c r="A524" s="59"/>
      <c r="B524" s="27"/>
      <c r="C524" s="208"/>
      <c r="D524" s="209"/>
      <c r="E524" s="75"/>
      <c r="F524" s="75"/>
      <c r="G524" s="207"/>
      <c r="H524" s="207"/>
      <c r="I524" s="143"/>
      <c r="J524" s="36"/>
    </row>
    <row r="525" spans="1:10">
      <c r="A525" s="19" t="str">
        <f>'[3]Planilha Orçamentária'!A142</f>
        <v>1.3.2</v>
      </c>
      <c r="B525" s="20"/>
      <c r="C525" s="21" t="str">
        <f>VLOOKUP(A525,'[3]Planilha Orçamentária'!A:K,3,0)</f>
        <v>ADMINISTRAÇÃO LOCAL</v>
      </c>
      <c r="D525" s="21"/>
      <c r="E525" s="39"/>
      <c r="F525" s="40"/>
      <c r="G525" s="40"/>
      <c r="H525" s="40"/>
      <c r="I525" s="40"/>
      <c r="J525" s="41"/>
    </row>
    <row r="526" spans="1:10" ht="25.5">
      <c r="A526" s="28" t="str">
        <f>'[3]Planilha Orçamentária'!A143</f>
        <v>1.3.2.1</v>
      </c>
      <c r="B526" s="42">
        <f>VLOOKUP(A526,'[3]Planilha Orçamentária'!A:K,2,0)</f>
        <v>93565</v>
      </c>
      <c r="C526" s="30" t="str">
        <f>VLOOKUP(A526,'[3]Planilha Orçamentária'!A:K,3,0)</f>
        <v>ENGENHEIRO CIVIL DE OBRA JUNIOR COM ENCARGOS COMPLEMENTARES</v>
      </c>
      <c r="D526" s="31" t="str">
        <f>VLOOKUP(A526,'[3]Planilha Orçamentária'!A:K,4,0)</f>
        <v>MES</v>
      </c>
      <c r="E526" s="43"/>
      <c r="F526" s="44"/>
      <c r="G526" s="44"/>
      <c r="H526" s="44"/>
      <c r="I526" s="44"/>
      <c r="J526" s="45">
        <f>ROUND(SUM(J528),2)</f>
        <v>0.75</v>
      </c>
    </row>
    <row r="527" spans="1:10" ht="14.25">
      <c r="A527" s="28"/>
      <c r="B527" s="42"/>
      <c r="C527" s="210" t="s">
        <v>1712</v>
      </c>
      <c r="D527" s="31"/>
      <c r="E527" s="43"/>
      <c r="F527" s="57"/>
      <c r="G527" s="57"/>
      <c r="H527" s="57"/>
      <c r="I527" s="57"/>
      <c r="J527" s="45"/>
    </row>
    <row r="528" spans="1:10" ht="14.25">
      <c r="A528" s="53"/>
      <c r="B528" s="54"/>
      <c r="C528" s="210" t="s">
        <v>1713</v>
      </c>
      <c r="D528" s="211"/>
      <c r="E528" s="57">
        <f>22/176</f>
        <v>0.125</v>
      </c>
      <c r="F528" s="57"/>
      <c r="G528" s="57"/>
      <c r="H528" s="57"/>
      <c r="I528" s="57">
        <f>I523</f>
        <v>6</v>
      </c>
      <c r="J528" s="58">
        <f>ROUND(PRODUCT(E528:I528),2)</f>
        <v>0.75</v>
      </c>
    </row>
    <row r="529" spans="1:10" ht="14.25">
      <c r="A529" s="53"/>
      <c r="B529" s="54"/>
      <c r="C529" s="210" t="s">
        <v>1684</v>
      </c>
      <c r="D529" s="211"/>
      <c r="E529" s="57"/>
      <c r="F529" s="57"/>
      <c r="G529" s="57"/>
      <c r="H529" s="57"/>
      <c r="I529" s="57"/>
      <c r="J529" s="212"/>
    </row>
    <row r="530" spans="1:10" ht="14.25">
      <c r="A530" s="53"/>
      <c r="B530" s="54"/>
      <c r="C530" s="210" t="s">
        <v>1612</v>
      </c>
      <c r="D530" s="213"/>
      <c r="E530" s="214"/>
      <c r="F530" s="143"/>
      <c r="G530" s="207"/>
      <c r="H530" s="207"/>
      <c r="I530" s="135"/>
      <c r="J530" s="215"/>
    </row>
    <row r="531" spans="1:10">
      <c r="A531" s="496"/>
      <c r="B531" s="496"/>
      <c r="C531" s="496"/>
      <c r="D531" s="496"/>
      <c r="E531" s="496"/>
      <c r="F531" s="496"/>
      <c r="G531" s="496"/>
      <c r="H531" s="496"/>
      <c r="I531" s="496"/>
      <c r="J531" s="496"/>
    </row>
    <row r="532" spans="1:10" ht="25.5">
      <c r="A532" s="28" t="str">
        <f>'[3]Planilha Orçamentária'!A144</f>
        <v>1.3.2.2</v>
      </c>
      <c r="B532" s="42">
        <f>VLOOKUP(A532,'[3]Planilha Orçamentária'!A:K,2,0)</f>
        <v>93572</v>
      </c>
      <c r="C532" s="30" t="str">
        <f>VLOOKUP(A532,'[3]Planilha Orçamentária'!A:K,3,0)</f>
        <v>ENCARREGADO GERAL DE OBRAS COM ENCARGOS COMPLEMENTARES</v>
      </c>
      <c r="D532" s="31" t="str">
        <f>VLOOKUP(A532,'[3]Planilha Orçamentária'!A:K,4,0)</f>
        <v>MES</v>
      </c>
      <c r="E532" s="43"/>
      <c r="F532" s="44"/>
      <c r="G532" s="44"/>
      <c r="H532" s="44"/>
      <c r="I532" s="44"/>
      <c r="J532" s="45">
        <f>ROUND(SUM(J534),2)</f>
        <v>3</v>
      </c>
    </row>
    <row r="533" spans="1:10" ht="14.25">
      <c r="A533" s="28"/>
      <c r="B533" s="42"/>
      <c r="C533" s="210" t="s">
        <v>1712</v>
      </c>
      <c r="D533" s="31"/>
      <c r="E533" s="43"/>
      <c r="F533" s="57"/>
      <c r="G533" s="57"/>
      <c r="H533" s="57"/>
      <c r="I533" s="57"/>
      <c r="J533" s="45"/>
    </row>
    <row r="534" spans="1:10" ht="14.25">
      <c r="A534" s="53"/>
      <c r="B534" s="54"/>
      <c r="C534" s="210" t="s">
        <v>1714</v>
      </c>
      <c r="D534" s="211"/>
      <c r="E534" s="57">
        <f>88/176</f>
        <v>0.5</v>
      </c>
      <c r="F534" s="57"/>
      <c r="G534" s="57"/>
      <c r="H534" s="57"/>
      <c r="I534" s="57">
        <f>I523</f>
        <v>6</v>
      </c>
      <c r="J534" s="58">
        <f>ROUND(PRODUCT(E534:I534),2)</f>
        <v>3</v>
      </c>
    </row>
    <row r="535" spans="1:10" ht="14.25">
      <c r="A535" s="53"/>
      <c r="B535" s="54"/>
      <c r="C535" s="210" t="s">
        <v>1614</v>
      </c>
      <c r="D535" s="211"/>
      <c r="E535" s="57"/>
      <c r="F535" s="57"/>
      <c r="G535" s="57"/>
      <c r="H535" s="57"/>
      <c r="I535" s="57"/>
      <c r="J535" s="212"/>
    </row>
    <row r="536" spans="1:10" ht="14.25">
      <c r="A536" s="53"/>
      <c r="B536" s="54"/>
      <c r="C536" s="210" t="s">
        <v>1612</v>
      </c>
      <c r="D536" s="213"/>
      <c r="E536" s="214"/>
      <c r="F536" s="143"/>
      <c r="G536" s="207"/>
      <c r="H536" s="207"/>
      <c r="I536" s="135"/>
      <c r="J536" s="215"/>
    </row>
    <row r="537" spans="1:10">
      <c r="A537" s="496"/>
      <c r="B537" s="496"/>
      <c r="C537" s="496"/>
      <c r="D537" s="496"/>
      <c r="E537" s="496"/>
      <c r="F537" s="496"/>
      <c r="G537" s="496"/>
      <c r="H537" s="496"/>
      <c r="I537" s="496"/>
      <c r="J537" s="496"/>
    </row>
    <row r="538" spans="1:10">
      <c r="A538" s="19" t="str">
        <f>'[3]Planilha Orçamentária'!A145</f>
        <v>1.3.3</v>
      </c>
      <c r="B538" s="20"/>
      <c r="C538" s="21" t="str">
        <f>VLOOKUP(A538,'[3]Planilha Orçamentária'!A:K,3,0)</f>
        <v>SERVIÇOS PRELIMINARES</v>
      </c>
      <c r="D538" s="22"/>
      <c r="E538" s="23"/>
      <c r="F538" s="24"/>
      <c r="G538" s="24"/>
      <c r="H538" s="24"/>
      <c r="I538" s="25"/>
      <c r="J538" s="26"/>
    </row>
    <row r="539" spans="1:10">
      <c r="A539" s="60" t="str">
        <f>'[3]Planilha Orçamentária'!A146</f>
        <v>1.3.3.1</v>
      </c>
      <c r="B539" s="61">
        <f>VLOOKUP(A539,'[3]Planilha Orçamentária'!A:K,2,0)</f>
        <v>99064</v>
      </c>
      <c r="C539" s="62" t="str">
        <f>VLOOKUP(A539,'[3]Planilha Orçamentária'!A:K,3,0)</f>
        <v>LOCAÇÃO DE PAVIMENTAÇÃO. AF_10/2018</v>
      </c>
      <c r="D539" s="63" t="str">
        <f>VLOOKUP(A539,'[3]Planilha Orçamentária'!A:K,4,0)</f>
        <v>M</v>
      </c>
      <c r="E539" s="62"/>
      <c r="F539" s="57"/>
      <c r="G539" s="71"/>
      <c r="H539" s="71"/>
      <c r="I539" s="71"/>
      <c r="J539" s="78">
        <f>ROUND(SUM(J541:J544),2)</f>
        <v>711.46</v>
      </c>
    </row>
    <row r="540" spans="1:10">
      <c r="A540" s="66"/>
      <c r="B540" s="67"/>
      <c r="C540" s="62"/>
      <c r="D540" s="63"/>
      <c r="E540" s="62"/>
      <c r="F540" s="34" t="s">
        <v>1606</v>
      </c>
      <c r="G540" s="71"/>
      <c r="H540" s="71"/>
      <c r="I540" s="71"/>
      <c r="J540" s="78"/>
    </row>
    <row r="541" spans="1:10">
      <c r="A541" s="260"/>
      <c r="B541" s="261"/>
      <c r="C541" s="109" t="s">
        <v>1715</v>
      </c>
      <c r="D541" s="96"/>
      <c r="E541" s="82"/>
      <c r="F541" s="82">
        <f>[3]PARÂMETROS!B181</f>
        <v>94.33</v>
      </c>
      <c r="G541" s="82"/>
      <c r="H541" s="82"/>
      <c r="I541" s="82"/>
      <c r="J541" s="120">
        <f>ROUND(PRODUCT(E541:I541),2)</f>
        <v>94.33</v>
      </c>
    </row>
    <row r="542" spans="1:10">
      <c r="A542" s="260"/>
      <c r="B542" s="261"/>
      <c r="C542" s="109" t="s">
        <v>1716</v>
      </c>
      <c r="D542" s="96"/>
      <c r="E542" s="82"/>
      <c r="F542" s="82">
        <f>[3]PARÂMETROS!B182</f>
        <v>317.15000000000003</v>
      </c>
      <c r="G542" s="82"/>
      <c r="H542" s="82"/>
      <c r="I542" s="82"/>
      <c r="J542" s="120">
        <f t="shared" ref="J542:J544" si="53">ROUND(PRODUCT(E542:I542),2)</f>
        <v>317.14999999999998</v>
      </c>
    </row>
    <row r="543" spans="1:10">
      <c r="A543" s="260"/>
      <c r="B543" s="261"/>
      <c r="C543" s="109" t="s">
        <v>1717</v>
      </c>
      <c r="D543" s="96"/>
      <c r="E543" s="82"/>
      <c r="F543" s="82">
        <f>[3]PARÂMETROS!B183</f>
        <v>145.07</v>
      </c>
      <c r="G543" s="82"/>
      <c r="H543" s="82"/>
      <c r="I543" s="82"/>
      <c r="J543" s="120">
        <f t="shared" si="53"/>
        <v>145.07</v>
      </c>
    </row>
    <row r="544" spans="1:10">
      <c r="A544" s="260"/>
      <c r="B544" s="261"/>
      <c r="C544" s="109" t="s">
        <v>1718</v>
      </c>
      <c r="D544" s="96"/>
      <c r="E544" s="82"/>
      <c r="F544" s="82">
        <f>[3]PARÂMETROS!B184</f>
        <v>154.91</v>
      </c>
      <c r="G544" s="82"/>
      <c r="H544" s="82"/>
      <c r="I544" s="82"/>
      <c r="J544" s="120">
        <f t="shared" si="53"/>
        <v>154.91</v>
      </c>
    </row>
    <row r="545" spans="1:10">
      <c r="A545" s="496"/>
      <c r="B545" s="496"/>
      <c r="C545" s="496"/>
      <c r="D545" s="496"/>
      <c r="E545" s="496"/>
      <c r="F545" s="496"/>
      <c r="G545" s="496"/>
      <c r="H545" s="496"/>
      <c r="I545" s="496"/>
      <c r="J545" s="496"/>
    </row>
    <row r="546" spans="1:10" ht="38.25">
      <c r="A546" s="60" t="str">
        <f>'[3]Planilha Orçamentária'!A147</f>
        <v>1.3.3.2</v>
      </c>
      <c r="B546" s="77">
        <f>VLOOKUP(A546,'[3]Planilha Orçamentária'!A:K,2,0)</f>
        <v>98529</v>
      </c>
      <c r="C546" s="62" t="str">
        <f>VLOOKUP(A546,'[3]Planilha Orçamentária'!A:K,3,0)</f>
        <v>CORTE RASO E RECORTE DE ÁRVORE COM DIÂMETRO DE TRONCO MAIOR OU IGUAL A 0,20 M E MENOR QUE 0,40 M.AF_05/2018</v>
      </c>
      <c r="D546" s="63" t="str">
        <f>VLOOKUP(A546,'[3]Planilha Orçamentária'!A:K,4,0)</f>
        <v>UN</v>
      </c>
      <c r="E546" s="62"/>
      <c r="F546" s="64"/>
      <c r="G546" s="64"/>
      <c r="H546" s="64"/>
      <c r="I546" s="64"/>
      <c r="J546" s="78">
        <f>ROUND(SUM(J548),2)</f>
        <v>11</v>
      </c>
    </row>
    <row r="547" spans="1:10">
      <c r="A547" s="60"/>
      <c r="B547" s="77"/>
      <c r="C547" s="79" t="s">
        <v>1719</v>
      </c>
      <c r="D547" s="63"/>
      <c r="E547" s="62"/>
      <c r="F547" s="64"/>
      <c r="G547" s="64"/>
      <c r="H547" s="64"/>
      <c r="I547" s="34" t="s">
        <v>1720</v>
      </c>
      <c r="J547" s="78"/>
    </row>
    <row r="548" spans="1:10">
      <c r="A548" s="60"/>
      <c r="B548" s="77"/>
      <c r="C548" s="81" t="s">
        <v>1721</v>
      </c>
      <c r="D548" s="63"/>
      <c r="E548" s="62"/>
      <c r="F548" s="64"/>
      <c r="G548" s="64"/>
      <c r="H548" s="64"/>
      <c r="I548" s="82">
        <v>11</v>
      </c>
      <c r="J548" s="36">
        <f>ROUND(PRODUCT(E548:I548),2)</f>
        <v>11</v>
      </c>
    </row>
    <row r="549" spans="1:10">
      <c r="A549" s="518"/>
      <c r="B549" s="519"/>
      <c r="C549" s="519"/>
      <c r="D549" s="519"/>
      <c r="E549" s="519"/>
      <c r="F549" s="519"/>
      <c r="G549" s="519"/>
      <c r="H549" s="519"/>
      <c r="I549" s="519"/>
      <c r="J549" s="523"/>
    </row>
    <row r="550" spans="1:10" ht="38.25">
      <c r="A550" s="60" t="str">
        <f>'[3]Planilha Orçamentária'!A148</f>
        <v>1.3.3.3</v>
      </c>
      <c r="B550" s="77">
        <f>VLOOKUP(A550,'[3]Planilha Orçamentária'!A:K,2,0)</f>
        <v>97625</v>
      </c>
      <c r="C550" s="62" t="str">
        <f>VLOOKUP(A550,'[3]Planilha Orçamentária'!A:K,3,0)</f>
        <v>DEMOLIÇÃO DE ALVENARIA PARA QUALQUER TIPO DE BLOCO, DE FORMA MECANIZADA, SEM REAPROVEITAMENTO. AF_12/2017</v>
      </c>
      <c r="D550" s="63" t="str">
        <f>VLOOKUP(A550,'[3]Planilha Orçamentária'!A:K,4,0)</f>
        <v>M3</v>
      </c>
      <c r="E550" s="62"/>
      <c r="F550" s="64"/>
      <c r="G550" s="64"/>
      <c r="H550" s="64"/>
      <c r="I550" s="64"/>
      <c r="J550" s="78">
        <f>ROUND(SUM(J552),2)</f>
        <v>222.19</v>
      </c>
    </row>
    <row r="551" spans="1:10">
      <c r="A551" s="60"/>
      <c r="B551" s="77"/>
      <c r="C551" s="79" t="s">
        <v>1719</v>
      </c>
      <c r="D551" s="63"/>
      <c r="E551" s="62"/>
      <c r="F551" s="80" t="s">
        <v>1606</v>
      </c>
      <c r="G551" s="80" t="s">
        <v>1607</v>
      </c>
      <c r="H551" s="80" t="s">
        <v>1663</v>
      </c>
      <c r="I551" s="34"/>
      <c r="J551" s="78"/>
    </row>
    <row r="552" spans="1:10" ht="25.5">
      <c r="A552" s="60"/>
      <c r="B552" s="77"/>
      <c r="C552" s="81" t="s">
        <v>1722</v>
      </c>
      <c r="D552" s="63"/>
      <c r="E552" s="62"/>
      <c r="F552" s="82">
        <v>403.99</v>
      </c>
      <c r="G552" s="82">
        <v>1</v>
      </c>
      <c r="H552" s="82">
        <v>0.55000000000000004</v>
      </c>
      <c r="I552" s="82"/>
      <c r="J552" s="36">
        <f>ROUND(PRODUCT(E552:I552),2)</f>
        <v>222.19</v>
      </c>
    </row>
    <row r="553" spans="1:10">
      <c r="A553" s="518"/>
      <c r="B553" s="519"/>
      <c r="C553" s="519"/>
      <c r="D553" s="519"/>
      <c r="E553" s="519"/>
      <c r="F553" s="519"/>
      <c r="G553" s="519"/>
      <c r="H553" s="519"/>
      <c r="I553" s="519"/>
      <c r="J553" s="523"/>
    </row>
    <row r="554" spans="1:10" ht="25.5">
      <c r="A554" s="60" t="str">
        <f>'[3]Planilha Orçamentária'!A149</f>
        <v>1.3.3.4</v>
      </c>
      <c r="B554" s="77" t="str">
        <f>VLOOKUP(A554,'[3]Planilha Orçamentária'!A:K,2,0)</f>
        <v>COMP-17562084</v>
      </c>
      <c r="C554" s="62" t="str">
        <f>VLOOKUP(A554,'[3]Planilha Orçamentária'!A:K,3,0)</f>
        <v>DEMOLIÇÃO MANUAL DE CONCRETO SIMPLES</v>
      </c>
      <c r="D554" s="63" t="str">
        <f>VLOOKUP(A554,'[3]Planilha Orçamentária'!A:K,4,0)</f>
        <v>M3</v>
      </c>
      <c r="E554" s="62"/>
      <c r="F554" s="64"/>
      <c r="G554" s="64"/>
      <c r="H554" s="64"/>
      <c r="I554" s="64"/>
      <c r="J554" s="78">
        <f>ROUND(SUM(J556),2)</f>
        <v>103.05</v>
      </c>
    </row>
    <row r="555" spans="1:10">
      <c r="A555" s="60"/>
      <c r="B555" s="77"/>
      <c r="C555" s="79" t="s">
        <v>1719</v>
      </c>
      <c r="D555" s="63"/>
      <c r="E555" s="62"/>
      <c r="F555" s="64"/>
      <c r="G555" s="64"/>
      <c r="H555" s="80" t="s">
        <v>1619</v>
      </c>
      <c r="I555" s="34" t="s">
        <v>1620</v>
      </c>
      <c r="J555" s="78"/>
    </row>
    <row r="556" spans="1:10" ht="25.5">
      <c r="A556" s="60"/>
      <c r="B556" s="77"/>
      <c r="C556" s="81" t="s">
        <v>1621</v>
      </c>
      <c r="D556" s="27"/>
      <c r="E556" s="27"/>
      <c r="F556" s="82"/>
      <c r="G556" s="82"/>
      <c r="H556" s="82">
        <v>7.0000000000000007E-2</v>
      </c>
      <c r="I556" s="82">
        <v>1472.1</v>
      </c>
      <c r="J556" s="36">
        <f>ROUND(PRODUCT(E556:I556),2)</f>
        <v>103.05</v>
      </c>
    </row>
    <row r="557" spans="1:10">
      <c r="A557" s="518"/>
      <c r="B557" s="519"/>
      <c r="C557" s="519"/>
      <c r="D557" s="519"/>
      <c r="E557" s="519"/>
      <c r="F557" s="519"/>
      <c r="G557" s="519"/>
      <c r="H557" s="519"/>
      <c r="I557" s="519"/>
      <c r="J557" s="523"/>
    </row>
    <row r="558" spans="1:10" ht="25.5">
      <c r="A558" s="60" t="str">
        <f>'[3]Planilha Orçamentária'!A150</f>
        <v>1.3.3.5</v>
      </c>
      <c r="B558" s="77" t="str">
        <f>VLOOKUP(A558,'[3]Planilha Orçamentária'!A:K,2,0)</f>
        <v>COMP-01471766</v>
      </c>
      <c r="C558" s="62" t="str">
        <f>VLOOKUP(A558,'[3]Planilha Orçamentária'!A:K,3,0)</f>
        <v>DEMOLIÇÃO DE MEIO-FIO</v>
      </c>
      <c r="D558" s="63" t="str">
        <f>VLOOKUP(A558,'[3]Planilha Orçamentária'!A:K,4,0)</f>
        <v>M</v>
      </c>
      <c r="E558" s="62"/>
      <c r="F558" s="64"/>
      <c r="G558" s="64"/>
      <c r="H558" s="64"/>
      <c r="I558" s="64"/>
      <c r="J558" s="78">
        <f>ROUND(SUM(J560),2)</f>
        <v>166.64</v>
      </c>
    </row>
    <row r="559" spans="1:10">
      <c r="A559" s="27"/>
      <c r="B559" s="27"/>
      <c r="C559" s="79" t="s">
        <v>1719</v>
      </c>
      <c r="D559" s="27"/>
      <c r="E559" s="27"/>
      <c r="F559" s="27" t="s">
        <v>1606</v>
      </c>
      <c r="G559" s="27"/>
      <c r="H559" s="27"/>
      <c r="I559" s="27"/>
      <c r="J559" s="27"/>
    </row>
    <row r="560" spans="1:10" ht="25.5">
      <c r="A560" s="27"/>
      <c r="B560" s="27"/>
      <c r="C560" s="81" t="s">
        <v>1723</v>
      </c>
      <c r="D560" s="27"/>
      <c r="E560" s="27"/>
      <c r="F560" s="27">
        <v>166.64</v>
      </c>
      <c r="G560" s="27"/>
      <c r="H560" s="27"/>
      <c r="I560" s="27"/>
      <c r="J560" s="36">
        <f>ROUND(PRODUCT(E560:I560),2)</f>
        <v>166.64</v>
      </c>
    </row>
    <row r="561" spans="1:10">
      <c r="A561" s="501"/>
      <c r="B561" s="502"/>
      <c r="C561" s="502"/>
      <c r="D561" s="502"/>
      <c r="E561" s="502"/>
      <c r="F561" s="502"/>
      <c r="G561" s="502"/>
      <c r="H561" s="502"/>
      <c r="I561" s="502"/>
      <c r="J561" s="503"/>
    </row>
    <row r="562" spans="1:10" ht="51">
      <c r="A562" s="60" t="str">
        <f>'[3]Planilha Orçamentária'!A151</f>
        <v>1.3.3.6</v>
      </c>
      <c r="B562" s="77" t="str">
        <f>VLOOKUP(A562,'[3]Planilha Orçamentária'!A:K,2,0)</f>
        <v>COMP-35145154</v>
      </c>
      <c r="C562" s="62" t="str">
        <f>VLOOKUP(A562,'[3]Planilha Orçamentária'!A:K,3,0)</f>
        <v>CARGA E DESCARGA MECANICA DE SOLO UTILIZANDO CAMINHAO BASCULANTE 14,0M3/36T E PA CARREGADEIRA SOBRE PNEUS 128 HP, CAPACIDADE DA CAÇAMBA 1,7 A 2,8 M3, PESO OPERACIONAL 11632 KH</v>
      </c>
      <c r="D562" s="63" t="str">
        <f>VLOOKUP(A562,'[3]Planilha Orçamentária'!A:K,4,0)</f>
        <v>M3</v>
      </c>
      <c r="E562" s="62"/>
      <c r="F562" s="64"/>
      <c r="G562" s="64"/>
      <c r="H562" s="64"/>
      <c r="I562" s="64"/>
      <c r="J562" s="78">
        <f>ROUND(SUM(J564:J569),2)</f>
        <v>418.84</v>
      </c>
    </row>
    <row r="563" spans="1:10">
      <c r="A563" s="60"/>
      <c r="B563" s="77"/>
      <c r="C563" s="86"/>
      <c r="D563" s="69"/>
      <c r="E563" s="81" t="s">
        <v>1622</v>
      </c>
      <c r="F563" s="71"/>
      <c r="G563" s="71"/>
      <c r="H563" s="71"/>
      <c r="I563" s="80" t="s">
        <v>1623</v>
      </c>
      <c r="J563" s="78"/>
    </row>
    <row r="564" spans="1:10">
      <c r="A564" s="60"/>
      <c r="B564" s="77"/>
      <c r="C564" s="86" t="s">
        <v>1624</v>
      </c>
      <c r="D564" s="69"/>
      <c r="E564" s="81">
        <v>1.25</v>
      </c>
      <c r="F564" s="71"/>
      <c r="G564" s="71"/>
      <c r="H564" s="71"/>
      <c r="I564" s="87">
        <f>J554</f>
        <v>103.05</v>
      </c>
      <c r="J564" s="36">
        <f>ROUND(PRODUCT(E564:I564),2)</f>
        <v>128.81</v>
      </c>
    </row>
    <row r="565" spans="1:10">
      <c r="A565" s="60"/>
      <c r="B565" s="77"/>
      <c r="C565" s="86" t="s">
        <v>1724</v>
      </c>
      <c r="D565" s="69"/>
      <c r="E565" s="81">
        <v>1.25</v>
      </c>
      <c r="F565" s="71"/>
      <c r="G565" s="71"/>
      <c r="H565" s="71"/>
      <c r="I565" s="87">
        <f>J550</f>
        <v>222.19</v>
      </c>
      <c r="J565" s="36">
        <f>ROUND(PRODUCT(E565:I565),2)</f>
        <v>277.74</v>
      </c>
    </row>
    <row r="566" spans="1:10">
      <c r="A566" s="60"/>
      <c r="B566" s="77"/>
      <c r="C566" s="68"/>
      <c r="D566" s="69"/>
      <c r="E566" s="81" t="s">
        <v>1622</v>
      </c>
      <c r="F566" s="88" t="s">
        <v>1606</v>
      </c>
      <c r="G566" s="88" t="s">
        <v>1607</v>
      </c>
      <c r="H566" s="88" t="s">
        <v>1619</v>
      </c>
      <c r="I566" s="87"/>
      <c r="J566" s="36"/>
    </row>
    <row r="567" spans="1:10">
      <c r="A567" s="60"/>
      <c r="B567" s="77"/>
      <c r="C567" s="86" t="s">
        <v>1625</v>
      </c>
      <c r="D567" s="69"/>
      <c r="E567" s="81">
        <v>1.25</v>
      </c>
      <c r="F567" s="89">
        <f>J558</f>
        <v>166.64</v>
      </c>
      <c r="G567" s="88">
        <v>0.15</v>
      </c>
      <c r="H567" s="88">
        <v>0.3</v>
      </c>
      <c r="I567" s="87"/>
      <c r="J567" s="36">
        <f>ROUND(PRODUCT(E567:I567),2)</f>
        <v>9.3699999999999992</v>
      </c>
    </row>
    <row r="568" spans="1:10" ht="25.5">
      <c r="A568" s="60"/>
      <c r="B568" s="77"/>
      <c r="C568" s="262"/>
      <c r="D568" s="263"/>
      <c r="E568" s="81" t="s">
        <v>1622</v>
      </c>
      <c r="F568" s="264"/>
      <c r="G568" s="265" t="s">
        <v>1725</v>
      </c>
      <c r="H568" s="264" t="s">
        <v>1663</v>
      </c>
      <c r="I568" s="266" t="s">
        <v>1660</v>
      </c>
      <c r="J568" s="36"/>
    </row>
    <row r="569" spans="1:10" ht="38.25">
      <c r="A569" s="60"/>
      <c r="B569" s="77"/>
      <c r="C569" s="262" t="s">
        <v>279</v>
      </c>
      <c r="D569" s="267"/>
      <c r="E569" s="268">
        <v>1.25</v>
      </c>
      <c r="F569" s="269"/>
      <c r="G569" s="264">
        <f>3.15*0.15^2</f>
        <v>7.0874999999999994E-2</v>
      </c>
      <c r="H569" s="264">
        <v>3</v>
      </c>
      <c r="I569" s="266">
        <f>J546</f>
        <v>11</v>
      </c>
      <c r="J569" s="36">
        <f>ROUND(PRODUCT(E569:I569),2)</f>
        <v>2.92</v>
      </c>
    </row>
    <row r="570" spans="1:10">
      <c r="A570" s="518"/>
      <c r="B570" s="519"/>
      <c r="C570" s="519"/>
      <c r="D570" s="519"/>
      <c r="E570" s="519"/>
      <c r="F570" s="519"/>
      <c r="G570" s="519"/>
      <c r="H570" s="519"/>
      <c r="I570" s="519"/>
      <c r="J570" s="523"/>
    </row>
    <row r="571" spans="1:10" ht="38.25">
      <c r="A571" s="60" t="str">
        <f>'[3]Planilha Orçamentária'!A152</f>
        <v>1.3.3.7</v>
      </c>
      <c r="B571" s="77">
        <f>VLOOKUP(A571,'[3]Planilha Orçamentária'!A:K,2,0)</f>
        <v>95876</v>
      </c>
      <c r="C571" s="62" t="str">
        <f>VLOOKUP(A571,'[3]Planilha Orçamentária'!A:K,3,0)</f>
        <v>TRANSPORTE COM CAMINHÃO BASCULANTE DE 14 M³, EM VIA URBANA PAVIMENTADA, DMT ATÉ 30 KM (UNIDADE: M3XKM). AF_07/2020</v>
      </c>
      <c r="D571" s="63" t="str">
        <f>VLOOKUP(A571,'[3]Planilha Orçamentária'!A:K,4,0)</f>
        <v>M3XKM</v>
      </c>
      <c r="E571" s="62"/>
      <c r="F571" s="64"/>
      <c r="G571" s="64"/>
      <c r="H571" s="64"/>
      <c r="I571" s="64"/>
      <c r="J571" s="78">
        <f>ROUND(SUM(J573),2)</f>
        <v>879.56</v>
      </c>
    </row>
    <row r="572" spans="1:10">
      <c r="A572" s="60"/>
      <c r="B572" s="77"/>
      <c r="C572" s="90" t="s">
        <v>1726</v>
      </c>
      <c r="D572" s="27"/>
      <c r="E572" s="27" t="s">
        <v>1627</v>
      </c>
      <c r="F572" s="27"/>
      <c r="G572" s="27"/>
      <c r="H572" s="27"/>
      <c r="I572" s="27" t="s">
        <v>1623</v>
      </c>
      <c r="J572" s="78"/>
    </row>
    <row r="573" spans="1:10">
      <c r="A573" s="60"/>
      <c r="B573" s="77"/>
      <c r="C573" s="73" t="s">
        <v>1727</v>
      </c>
      <c r="D573" s="27"/>
      <c r="E573" s="81">
        <v>2.1</v>
      </c>
      <c r="F573" s="81"/>
      <c r="G573" s="81"/>
      <c r="H573" s="81"/>
      <c r="I573" s="92">
        <f>J562</f>
        <v>418.84</v>
      </c>
      <c r="J573" s="36">
        <f>ROUND(PRODUCT(E573:I573),2)</f>
        <v>879.56</v>
      </c>
    </row>
    <row r="574" spans="1:10">
      <c r="A574" s="518"/>
      <c r="B574" s="519"/>
      <c r="C574" s="519"/>
      <c r="D574" s="519"/>
      <c r="E574" s="519"/>
      <c r="F574" s="519"/>
      <c r="G574" s="519"/>
      <c r="H574" s="519"/>
      <c r="I574" s="519"/>
      <c r="J574" s="523"/>
    </row>
    <row r="575" spans="1:10">
      <c r="A575" s="19" t="str">
        <f>'[3]Planilha Orçamentária'!A153</f>
        <v>1.3.4</v>
      </c>
      <c r="B575" s="20"/>
      <c r="C575" s="21" t="str">
        <f>VLOOKUP(A575,'[3]Planilha Orçamentária'!A:K,3,0)</f>
        <v>TERRAPLANAGEM</v>
      </c>
      <c r="D575" s="22"/>
      <c r="E575" s="23"/>
      <c r="F575" s="24"/>
      <c r="G575" s="24"/>
      <c r="H575" s="24"/>
      <c r="I575" s="25"/>
      <c r="J575" s="270"/>
    </row>
    <row r="576" spans="1:10" ht="38.25">
      <c r="A576" s="28" t="str">
        <f>'[3]Planilha Orçamentária'!A154</f>
        <v>1.3.4.1</v>
      </c>
      <c r="B576" s="42" t="str">
        <f>VLOOKUP(A576,'[3]Planilha Orçamentária'!A:K,2,0)</f>
        <v>CP-74205/001-17324935</v>
      </c>
      <c r="C576" s="30" t="str">
        <f>VLOOKUP(A576,'[3]Planilha Orçamentária'!A:K,3,0)</f>
        <v>ESCAVAÇÃO MECÂNICA DE MATERIAL 1A. CATEGORIA, PROVENIENTE DE CORTE DE SUBLEITO (C/TRATOR ESTEIRAS  160HP)</v>
      </c>
      <c r="D576" s="31" t="str">
        <f>VLOOKUP(A576,'[3]Planilha Orçamentária'!A:K,4,0)</f>
        <v>M3</v>
      </c>
      <c r="E576" s="30"/>
      <c r="F576" s="32"/>
      <c r="G576" s="32"/>
      <c r="H576" s="32"/>
      <c r="I576" s="32"/>
      <c r="J576" s="45">
        <f>ROUND(SUM(J578:J578),2)</f>
        <v>2318.38</v>
      </c>
    </row>
    <row r="577" spans="1:10">
      <c r="A577" s="28"/>
      <c r="B577" s="42"/>
      <c r="C577" s="86" t="s">
        <v>1728</v>
      </c>
      <c r="D577" s="31"/>
      <c r="E577" s="30"/>
      <c r="F577" s="32"/>
      <c r="G577" s="32"/>
      <c r="H577" s="32"/>
      <c r="I577" s="34" t="s">
        <v>1623</v>
      </c>
      <c r="J577" s="45"/>
    </row>
    <row r="578" spans="1:10">
      <c r="A578" s="94"/>
      <c r="B578" s="95"/>
      <c r="C578" s="73" t="s">
        <v>1729</v>
      </c>
      <c r="D578" s="96"/>
      <c r="E578" s="82"/>
      <c r="F578" s="82"/>
      <c r="G578" s="82"/>
      <c r="H578" s="82"/>
      <c r="I578" s="82">
        <f>[3]PARÂMETROS!G186</f>
        <v>2318.3799999999997</v>
      </c>
      <c r="J578" s="97">
        <f>ROUND(PRODUCT(E578:I578),2)</f>
        <v>2318.38</v>
      </c>
    </row>
    <row r="579" spans="1:10">
      <c r="A579" s="513"/>
      <c r="B579" s="513"/>
      <c r="C579" s="513"/>
      <c r="D579" s="513"/>
      <c r="E579" s="513"/>
      <c r="F579" s="513"/>
      <c r="G579" s="513"/>
      <c r="H579" s="513"/>
      <c r="I579" s="513"/>
      <c r="J579" s="513"/>
    </row>
    <row r="580" spans="1:10" ht="51">
      <c r="A580" s="99" t="str">
        <f>'[3]Planilha Orçamentária'!A155</f>
        <v>1.3.4.2</v>
      </c>
      <c r="B580" s="48" t="str">
        <f>VLOOKUP(A580,'[3]Planilha Orçamentária'!A:K,2,0)</f>
        <v>COMP-35145154</v>
      </c>
      <c r="C580" s="100" t="str">
        <f>VLOOKUP(A580,'[3]Planilha Orçamentária'!A:K,3,0)</f>
        <v>CARGA E DESCARGA MECANICA DE SOLO UTILIZANDO CAMINHAO BASCULANTE 14,0M3/36T E PA CARREGADEIRA SOBRE PNEUS 128 HP, CAPACIDADE DA CAÇAMBA 1,7 A 2,8 M3, PESO OPERACIONAL 11632 KH</v>
      </c>
      <c r="D580" s="101" t="str">
        <f>VLOOKUP(A580,'[3]Planilha Orçamentária'!A:K,4,0)</f>
        <v>M3</v>
      </c>
      <c r="E580" s="100"/>
      <c r="F580" s="102"/>
      <c r="G580" s="102"/>
      <c r="H580" s="102"/>
      <c r="I580" s="102"/>
      <c r="J580" s="45">
        <f>ROUND(SUM(J582:J582),2)</f>
        <v>2883.15</v>
      </c>
    </row>
    <row r="581" spans="1:10">
      <c r="A581" s="99"/>
      <c r="B581" s="48"/>
      <c r="C581" s="73" t="s">
        <v>1631</v>
      </c>
      <c r="D581" s="101"/>
      <c r="E581" s="105" t="s">
        <v>1622</v>
      </c>
      <c r="F581" s="106"/>
      <c r="G581" s="106"/>
      <c r="H581" s="106"/>
      <c r="I581" s="106" t="s">
        <v>1623</v>
      </c>
      <c r="J581" s="103"/>
    </row>
    <row r="582" spans="1:10">
      <c r="A582" s="99"/>
      <c r="B582" s="48"/>
      <c r="C582" s="73" t="s">
        <v>1632</v>
      </c>
      <c r="D582" s="96"/>
      <c r="E582" s="82">
        <v>1.25</v>
      </c>
      <c r="F582" s="35"/>
      <c r="G582" s="35"/>
      <c r="H582" s="35"/>
      <c r="I582" s="35">
        <f>J576-J588</f>
        <v>2306.52</v>
      </c>
      <c r="J582" s="97">
        <f>ROUND(PRODUCT(E582:I582),2)</f>
        <v>2883.15</v>
      </c>
    </row>
    <row r="583" spans="1:10">
      <c r="A583" s="513"/>
      <c r="B583" s="513"/>
      <c r="C583" s="513"/>
      <c r="D583" s="513"/>
      <c r="E583" s="513"/>
      <c r="F583" s="513"/>
      <c r="G583" s="513"/>
      <c r="H583" s="513"/>
      <c r="I583" s="513"/>
      <c r="J583" s="513"/>
    </row>
    <row r="584" spans="1:10" ht="38.25">
      <c r="A584" s="216" t="str">
        <f>'[3]Planilha Orçamentária'!A156</f>
        <v>1.3.4.3</v>
      </c>
      <c r="B584" s="217">
        <f>VLOOKUP(A584,'[3]Planilha Orçamentária'!A:K,2,0)</f>
        <v>95876</v>
      </c>
      <c r="C584" s="218" t="str">
        <f>VLOOKUP(A584,'[3]Planilha Orçamentária'!A:K,3,0)</f>
        <v>TRANSPORTE COM CAMINHÃO BASCULANTE DE 14 M³, EM VIA URBANA PAVIMENTADA, DMT ATÉ 30 KM (UNIDADE: M3XKM). AF_07/2020</v>
      </c>
      <c r="D584" s="219" t="str">
        <f>VLOOKUP(A584,'[3]Planilha Orçamentária'!A:K,4,0)</f>
        <v>M3XKM</v>
      </c>
      <c r="E584" s="218"/>
      <c r="F584" s="64"/>
      <c r="G584" s="64"/>
      <c r="H584" s="64"/>
      <c r="I584" s="64"/>
      <c r="J584" s="33">
        <f>ROUND(SUM(J586:J586),2)</f>
        <v>6054.62</v>
      </c>
    </row>
    <row r="585" spans="1:10">
      <c r="A585" s="216"/>
      <c r="B585" s="217"/>
      <c r="C585" s="86" t="s">
        <v>1728</v>
      </c>
      <c r="D585" s="219"/>
      <c r="E585" s="91" t="s">
        <v>1627</v>
      </c>
      <c r="F585" s="64"/>
      <c r="G585" s="64"/>
      <c r="H585" s="80"/>
      <c r="I585" s="80" t="s">
        <v>1623</v>
      </c>
      <c r="J585" s="78"/>
    </row>
    <row r="586" spans="1:10">
      <c r="A586" s="216"/>
      <c r="B586" s="217"/>
      <c r="C586" s="73" t="s">
        <v>1727</v>
      </c>
      <c r="D586" s="96"/>
      <c r="E586" s="82">
        <v>2.1</v>
      </c>
      <c r="F586" s="271"/>
      <c r="G586" s="271"/>
      <c r="H586" s="271"/>
      <c r="I586" s="225">
        <f>J580</f>
        <v>2883.15</v>
      </c>
      <c r="J586" s="226">
        <f>ROUND(PRODUCT(E586:I586),2)</f>
        <v>6054.62</v>
      </c>
    </row>
    <row r="587" spans="1:10">
      <c r="A587" s="498"/>
      <c r="B587" s="499"/>
      <c r="C587" s="499"/>
      <c r="D587" s="499"/>
      <c r="E587" s="499"/>
      <c r="F587" s="499"/>
      <c r="G587" s="499"/>
      <c r="H587" s="499"/>
      <c r="I587" s="499"/>
      <c r="J587" s="500"/>
    </row>
    <row r="588" spans="1:10" ht="38.25">
      <c r="A588" s="216" t="str">
        <f>'[3]Planilha Orçamentária'!A157</f>
        <v>1.3.4.4</v>
      </c>
      <c r="B588" s="217">
        <f>VLOOKUP(A588,'[3]Planilha Orçamentária'!A:K,2,0)</f>
        <v>96385</v>
      </c>
      <c r="C588" s="218" t="str">
        <f>VLOOKUP(A588,'[3]Planilha Orçamentária'!A:K,3,0)</f>
        <v>EXECUÇÃO E COMPACTAÇÃO DE ATERRO COM SOLO PREDOMINANTEMENTE ARGILOSO - EXCLUSIVE SOLO, ESCAVAÇÃO, CARGA E TRANSPORTE. AF_11/2019</v>
      </c>
      <c r="D588" s="219" t="str">
        <f>VLOOKUP(A588,'[3]Planilha Orçamentária'!A:K,4,0)</f>
        <v>M3</v>
      </c>
      <c r="E588" s="218"/>
      <c r="F588" s="64"/>
      <c r="G588" s="64"/>
      <c r="H588" s="64"/>
      <c r="I588" s="64"/>
      <c r="J588" s="33">
        <f>ROUND(SUM(J590:J590),2)</f>
        <v>11.86</v>
      </c>
    </row>
    <row r="589" spans="1:10">
      <c r="A589" s="216"/>
      <c r="B589" s="217"/>
      <c r="C589" s="86" t="s">
        <v>1728</v>
      </c>
      <c r="D589" s="219"/>
      <c r="E589" s="91"/>
      <c r="F589" s="64"/>
      <c r="G589" s="64"/>
      <c r="H589" s="80"/>
      <c r="I589" s="80" t="s">
        <v>1623</v>
      </c>
      <c r="J589" s="78"/>
    </row>
    <row r="590" spans="1:10">
      <c r="A590" s="216"/>
      <c r="B590" s="217"/>
      <c r="C590" s="73" t="s">
        <v>1729</v>
      </c>
      <c r="D590" s="96"/>
      <c r="E590" s="82"/>
      <c r="F590" s="271"/>
      <c r="G590" s="271"/>
      <c r="H590" s="271"/>
      <c r="I590" s="225">
        <f>[3]PARÂMETROS!G189</f>
        <v>11.86</v>
      </c>
      <c r="J590" s="226">
        <f>ROUND(PRODUCT(E590:I590),2)</f>
        <v>11.86</v>
      </c>
    </row>
    <row r="591" spans="1:10">
      <c r="A591" s="498"/>
      <c r="B591" s="499"/>
      <c r="C591" s="499"/>
      <c r="D591" s="499"/>
      <c r="E591" s="499"/>
      <c r="F591" s="499"/>
      <c r="G591" s="499"/>
      <c r="H591" s="499"/>
      <c r="I591" s="499"/>
      <c r="J591" s="500"/>
    </row>
    <row r="592" spans="1:10">
      <c r="A592" s="19" t="str">
        <f>'[3]Planilha Orçamentária'!A158</f>
        <v>1.3.5</v>
      </c>
      <c r="B592" s="20"/>
      <c r="C592" s="21" t="str">
        <f>VLOOKUP(A592,'[3]Planilha Orçamentária'!A:K,3,0)</f>
        <v>PAVIMENTAÇÃO</v>
      </c>
      <c r="D592" s="22"/>
      <c r="E592" s="23"/>
      <c r="F592" s="24"/>
      <c r="G592" s="24"/>
      <c r="H592" s="24"/>
      <c r="I592" s="25"/>
      <c r="J592" s="41"/>
    </row>
    <row r="593" spans="1:10" ht="25.5">
      <c r="A593" s="60" t="str">
        <f>'[3]Planilha Orçamentária'!A159</f>
        <v>1.3.5.1</v>
      </c>
      <c r="B593" s="77">
        <f>VLOOKUP(A593,'[3]Planilha Orçamentária'!A:K,2,0)</f>
        <v>100576</v>
      </c>
      <c r="C593" s="62" t="str">
        <f>VLOOKUP(A593,'[3]Planilha Orçamentária'!A:K,3,0)</f>
        <v>REGULARIZAÇÃO E COMPACTAÇÃO DE SUBLEITO DE SOLO  PREDOMINANTEMENTE ARGILOSO. AF_11/2019</v>
      </c>
      <c r="D593" s="63" t="str">
        <f>VLOOKUP(A593,'[3]Planilha Orçamentária'!A:K,4,0)</f>
        <v>M2</v>
      </c>
      <c r="E593" s="62"/>
      <c r="F593" s="64"/>
      <c r="G593" s="64"/>
      <c r="H593" s="64"/>
      <c r="I593" s="64"/>
      <c r="J593" s="78">
        <f>ROUND(SUM(J596:J599),2)</f>
        <v>5178.2700000000004</v>
      </c>
    </row>
    <row r="594" spans="1:10" ht="14.25">
      <c r="A594" s="60"/>
      <c r="B594" s="77"/>
      <c r="C594" s="126" t="s">
        <v>1730</v>
      </c>
      <c r="D594" s="63"/>
      <c r="E594" s="62"/>
      <c r="F594" s="80"/>
      <c r="G594" s="91"/>
      <c r="H594" s="64"/>
      <c r="I594" s="87" t="s">
        <v>1620</v>
      </c>
      <c r="J594" s="78"/>
    </row>
    <row r="595" spans="1:10">
      <c r="A595" s="60"/>
      <c r="B595" s="77"/>
      <c r="C595" s="109" t="s">
        <v>1731</v>
      </c>
      <c r="D595" s="63"/>
      <c r="E595" s="62"/>
      <c r="F595" s="80"/>
      <c r="G595" s="91"/>
      <c r="H595" s="64"/>
      <c r="I595" s="87"/>
      <c r="J595" s="78"/>
    </row>
    <row r="596" spans="1:10" ht="15">
      <c r="A596" s="60"/>
      <c r="B596" s="77"/>
      <c r="C596" s="109" t="s">
        <v>1635</v>
      </c>
      <c r="D596" s="63"/>
      <c r="E596" s="62"/>
      <c r="F596" s="35"/>
      <c r="G596" s="121"/>
      <c r="H596" s="80"/>
      <c r="I596" s="111">
        <v>1328.39</v>
      </c>
      <c r="J596" s="120">
        <f>ROUND(PRODUCT(E596:I596),2)</f>
        <v>1328.39</v>
      </c>
    </row>
    <row r="597" spans="1:10" ht="15">
      <c r="A597" s="60"/>
      <c r="B597" s="77"/>
      <c r="C597" s="109" t="s">
        <v>1636</v>
      </c>
      <c r="D597" s="63"/>
      <c r="E597" s="62"/>
      <c r="F597" s="35"/>
      <c r="G597" s="121"/>
      <c r="H597" s="80"/>
      <c r="I597" s="111">
        <v>152.12</v>
      </c>
      <c r="J597" s="120">
        <f>ROUND(PRODUCT(E597:I597),2)</f>
        <v>152.12</v>
      </c>
    </row>
    <row r="598" spans="1:10" ht="15">
      <c r="A598" s="60"/>
      <c r="B598" s="77"/>
      <c r="C598" s="109" t="s">
        <v>1732</v>
      </c>
      <c r="D598" s="63"/>
      <c r="E598" s="62"/>
      <c r="F598" s="35" t="s">
        <v>1606</v>
      </c>
      <c r="G598" s="121" t="s">
        <v>1607</v>
      </c>
      <c r="H598" s="80"/>
      <c r="I598" s="111"/>
      <c r="J598" s="120"/>
    </row>
    <row r="599" spans="1:10" ht="25.5">
      <c r="A599" s="60"/>
      <c r="B599" s="77"/>
      <c r="C599" s="109" t="s">
        <v>1638</v>
      </c>
      <c r="D599" s="63"/>
      <c r="E599" s="62"/>
      <c r="F599" s="35">
        <f>317.15+145.07</f>
        <v>462.21999999999997</v>
      </c>
      <c r="G599" s="121">
        <f>7+1</f>
        <v>8</v>
      </c>
      <c r="H599" s="80"/>
      <c r="I599" s="111"/>
      <c r="J599" s="120">
        <f>ROUND(PRODUCT(E599:I599),2)</f>
        <v>3697.76</v>
      </c>
    </row>
    <row r="600" spans="1:10">
      <c r="A600" s="532"/>
      <c r="B600" s="533"/>
      <c r="C600" s="533"/>
      <c r="D600" s="533"/>
      <c r="E600" s="533"/>
      <c r="F600" s="533"/>
      <c r="G600" s="533"/>
      <c r="H600" s="533"/>
      <c r="I600" s="533"/>
      <c r="J600" s="534"/>
    </row>
    <row r="601" spans="1:10" ht="38.25">
      <c r="A601" s="216" t="str">
        <f>'[3]Planilha Orçamentária'!A160</f>
        <v>1.3.5.2</v>
      </c>
      <c r="B601" s="217" t="str">
        <f>VLOOKUP(A601,'[3]Planilha Orçamentária'!A:K,2,0)</f>
        <v>COMP-28881239</v>
      </c>
      <c r="C601" s="218" t="str">
        <f>VLOOKUP(A601,'[3]Planilha Orçamentária'!A:K,3,0)</f>
        <v>Base ou sub-base de macadame hidráulico com brita comercial - EXCLUSIVE MATERIAL, CARGA E TRANSPORTE - NÃO DESONERADO</v>
      </c>
      <c r="D601" s="219" t="str">
        <f>VLOOKUP(A601,'[3]Planilha Orçamentária'!A:K,4,0)</f>
        <v>M3</v>
      </c>
      <c r="E601" s="218"/>
      <c r="F601" s="220"/>
      <c r="G601" s="220"/>
      <c r="H601" s="220"/>
      <c r="I601" s="220"/>
      <c r="J601" s="230">
        <f>ROUND(SUM(J603:J604),2)</f>
        <v>554.66</v>
      </c>
    </row>
    <row r="602" spans="1:10" ht="14.25">
      <c r="A602" s="216"/>
      <c r="B602" s="217"/>
      <c r="C602" s="126" t="s">
        <v>1730</v>
      </c>
      <c r="D602" s="63"/>
      <c r="E602" s="62"/>
      <c r="F602" s="80"/>
      <c r="G602" s="91"/>
      <c r="H602" s="91"/>
      <c r="I602" s="87"/>
      <c r="J602" s="230"/>
    </row>
    <row r="603" spans="1:10" ht="15">
      <c r="A603" s="94"/>
      <c r="B603" s="128"/>
      <c r="C603" s="109" t="s">
        <v>1732</v>
      </c>
      <c r="D603" s="63"/>
      <c r="E603" s="62"/>
      <c r="F603" s="35" t="s">
        <v>1606</v>
      </c>
      <c r="G603" s="121" t="s">
        <v>1607</v>
      </c>
      <c r="H603" s="80" t="s">
        <v>1619</v>
      </c>
      <c r="I603" s="111"/>
      <c r="J603" s="120"/>
    </row>
    <row r="604" spans="1:10" ht="28.5">
      <c r="A604" s="94"/>
      <c r="B604" s="128"/>
      <c r="C604" s="126" t="s">
        <v>1640</v>
      </c>
      <c r="D604" s="63"/>
      <c r="E604" s="62"/>
      <c r="F604" s="35">
        <f>F599</f>
        <v>462.21999999999997</v>
      </c>
      <c r="G604" s="121">
        <f>7+0.5+0.5</f>
        <v>8</v>
      </c>
      <c r="H604" s="80">
        <v>0.15</v>
      </c>
      <c r="I604" s="111"/>
      <c r="J604" s="120">
        <f>ROUND(PRODUCT(E604:I604),2)</f>
        <v>554.66</v>
      </c>
    </row>
    <row r="605" spans="1:10">
      <c r="A605" s="529"/>
      <c r="B605" s="530"/>
      <c r="C605" s="530"/>
      <c r="D605" s="530"/>
      <c r="E605" s="530"/>
      <c r="F605" s="530"/>
      <c r="G605" s="530"/>
      <c r="H605" s="530"/>
      <c r="I605" s="530"/>
      <c r="J605" s="531"/>
    </row>
    <row r="606" spans="1:10" ht="38.25">
      <c r="A606" s="216" t="str">
        <f>'[3]Planilha Orçamentária'!A161</f>
        <v>1.3.5.3</v>
      </c>
      <c r="B606" s="217" t="str">
        <f>VLOOKUP(A606,'[3]Planilha Orçamentária'!A:K,2,0)</f>
        <v>CP-96396-26507981</v>
      </c>
      <c r="C606" s="218" t="str">
        <f>VLOOKUP(A606,'[3]Planilha Orçamentária'!A:K,3,0)</f>
        <v>EXECUÇÃO E COMPACTAÇÃO DE BASE E OU SUB BASE PARA PAVIMENTAÇÃO DE BRITA GRADUADA SIMPLES - EXCLUSIVE MATERIAL, CARGA E TRANSPORTE</v>
      </c>
      <c r="D606" s="219" t="str">
        <f>VLOOKUP(A606,'[3]Planilha Orçamentária'!A:K,4,0)</f>
        <v>M3</v>
      </c>
      <c r="E606" s="218"/>
      <c r="F606" s="220"/>
      <c r="G606" s="220"/>
      <c r="H606" s="220"/>
      <c r="I606" s="220"/>
      <c r="J606" s="230">
        <f>ROUND(SUM(J608:J613),2)</f>
        <v>924.35</v>
      </c>
    </row>
    <row r="607" spans="1:10" ht="14.25">
      <c r="A607" s="216"/>
      <c r="B607" s="217"/>
      <c r="C607" s="126" t="s">
        <v>1730</v>
      </c>
      <c r="D607" s="219"/>
      <c r="E607" s="218"/>
      <c r="F607" s="220"/>
      <c r="G607" s="220"/>
      <c r="H607" s="220"/>
      <c r="I607" s="220"/>
      <c r="J607" s="230"/>
    </row>
    <row r="608" spans="1:10">
      <c r="A608" s="216"/>
      <c r="B608" s="217"/>
      <c r="C608" s="114" t="s">
        <v>1731</v>
      </c>
      <c r="D608" s="272"/>
      <c r="E608" s="273"/>
      <c r="F608" s="88"/>
      <c r="G608" s="274"/>
      <c r="H608" s="274" t="s">
        <v>1619</v>
      </c>
      <c r="I608" s="89" t="s">
        <v>1620</v>
      </c>
      <c r="J608" s="119"/>
    </row>
    <row r="609" spans="1:10">
      <c r="A609" s="216"/>
      <c r="B609" s="217"/>
      <c r="C609" s="109" t="s">
        <v>1635</v>
      </c>
      <c r="D609" s="63"/>
      <c r="E609" s="62"/>
      <c r="F609" s="80"/>
      <c r="G609" s="80"/>
      <c r="H609" s="80">
        <v>0.2</v>
      </c>
      <c r="I609" s="111">
        <f>J596</f>
        <v>1328.39</v>
      </c>
      <c r="J609" s="120">
        <f>ROUND(PRODUCT(E609:I609),2)</f>
        <v>265.68</v>
      </c>
    </row>
    <row r="610" spans="1:10">
      <c r="A610" s="260"/>
      <c r="B610" s="275"/>
      <c r="C610" s="109" t="s">
        <v>1636</v>
      </c>
      <c r="D610" s="63"/>
      <c r="E610" s="62"/>
      <c r="F610" s="82"/>
      <c r="G610" s="82"/>
      <c r="H610" s="82">
        <v>0.2</v>
      </c>
      <c r="I610" s="111">
        <f>J597</f>
        <v>152.12</v>
      </c>
      <c r="J610" s="120">
        <f>ROUND(PRODUCT(E610:I610),2)</f>
        <v>30.42</v>
      </c>
    </row>
    <row r="611" spans="1:10">
      <c r="A611" s="260"/>
      <c r="B611" s="275"/>
      <c r="C611" s="109" t="s">
        <v>1733</v>
      </c>
      <c r="D611" s="63"/>
      <c r="E611" s="82">
        <v>-1</v>
      </c>
      <c r="F611" s="82">
        <v>94.3</v>
      </c>
      <c r="G611" s="82">
        <v>1</v>
      </c>
      <c r="H611" s="82">
        <v>0.2</v>
      </c>
      <c r="I611" s="111"/>
      <c r="J611" s="120">
        <f>ROUND(PRODUCT(E611:I611),2)</f>
        <v>-18.86</v>
      </c>
    </row>
    <row r="612" spans="1:10" ht="15">
      <c r="A612" s="94"/>
      <c r="B612" s="128"/>
      <c r="C612" s="109" t="s">
        <v>1732</v>
      </c>
      <c r="D612" s="63"/>
      <c r="E612" s="62"/>
      <c r="F612" s="35" t="s">
        <v>1606</v>
      </c>
      <c r="G612" s="121" t="s">
        <v>1607</v>
      </c>
      <c r="H612" s="80" t="s">
        <v>1619</v>
      </c>
      <c r="I612" s="111"/>
      <c r="J612" s="120"/>
    </row>
    <row r="613" spans="1:10" ht="28.5">
      <c r="A613" s="94"/>
      <c r="B613" s="128"/>
      <c r="C613" s="126" t="s">
        <v>1696</v>
      </c>
      <c r="D613" s="63"/>
      <c r="E613" s="62"/>
      <c r="F613" s="82">
        <f>F599</f>
        <v>462.21999999999997</v>
      </c>
      <c r="G613" s="82">
        <v>7</v>
      </c>
      <c r="H613" s="82">
        <v>0.2</v>
      </c>
      <c r="I613" s="111"/>
      <c r="J613" s="120">
        <f>ROUND(PRODUCT(E613:I613),2)</f>
        <v>647.11</v>
      </c>
    </row>
    <row r="614" spans="1:10">
      <c r="A614" s="529"/>
      <c r="B614" s="530"/>
      <c r="C614" s="530"/>
      <c r="D614" s="530"/>
      <c r="E614" s="530"/>
      <c r="F614" s="530"/>
      <c r="G614" s="530"/>
      <c r="H614" s="530"/>
      <c r="I614" s="530"/>
      <c r="J614" s="531"/>
    </row>
    <row r="615" spans="1:10" ht="51">
      <c r="A615" s="28" t="str">
        <f>'[3]Planilha Orçamentária'!A162</f>
        <v>1.3.5.4</v>
      </c>
      <c r="B615" s="29" t="str">
        <f>VLOOKUP(A615,'[3]Planilha Orçamentária'!A:K,2,0)</f>
        <v>COMP-35145154</v>
      </c>
      <c r="C615" s="30" t="str">
        <f>VLOOKUP(A615,'[3]Planilha Orçamentária'!A:K,3,0)</f>
        <v>CARGA E DESCARGA MECANICA DE SOLO UTILIZANDO CAMINHAO BASCULANTE 14,0M3/36T E PA CARREGADEIRA SOBRE PNEUS 128 HP, CAPACIDADE DA CAÇAMBA 1,7 A 2,8 M3, PESO OPERACIONAL 11632 KH</v>
      </c>
      <c r="D615" s="31" t="str">
        <f>VLOOKUP(A615,'[3]Planilha Orçamentária'!A:K,4,0)</f>
        <v>M3</v>
      </c>
      <c r="E615" s="30"/>
      <c r="F615" s="32"/>
      <c r="G615" s="32"/>
      <c r="H615" s="32"/>
      <c r="I615" s="32"/>
      <c r="J615" s="33">
        <f>ROUND(SUM(J617:J617),2)</f>
        <v>1848.76</v>
      </c>
    </row>
    <row r="616" spans="1:10" ht="25.5">
      <c r="A616" s="28"/>
      <c r="B616" s="29"/>
      <c r="C616" s="62"/>
      <c r="D616" s="63"/>
      <c r="E616" s="127" t="s">
        <v>1622</v>
      </c>
      <c r="F616" s="34"/>
      <c r="G616" s="32"/>
      <c r="H616" s="32"/>
      <c r="I616" s="135" t="s">
        <v>1734</v>
      </c>
      <c r="J616" s="33"/>
    </row>
    <row r="617" spans="1:10" ht="14.25">
      <c r="A617" s="245"/>
      <c r="B617" s="276"/>
      <c r="C617" s="131" t="s">
        <v>1642</v>
      </c>
      <c r="D617" s="96"/>
      <c r="E617" s="34">
        <v>1.25</v>
      </c>
      <c r="F617" s="140"/>
      <c r="G617" s="129"/>
      <c r="H617" s="129"/>
      <c r="I617" s="141">
        <f>J606+J601</f>
        <v>1479.01</v>
      </c>
      <c r="J617" s="36">
        <f t="shared" ref="J617" si="54">ROUND(PRODUCT(E617:I617),2)</f>
        <v>1848.76</v>
      </c>
    </row>
    <row r="618" spans="1:10">
      <c r="A618" s="501"/>
      <c r="B618" s="502"/>
      <c r="C618" s="502"/>
      <c r="D618" s="502"/>
      <c r="E618" s="502"/>
      <c r="F618" s="502"/>
      <c r="G618" s="502"/>
      <c r="H618" s="502"/>
      <c r="I618" s="502"/>
      <c r="J618" s="502"/>
    </row>
    <row r="619" spans="1:10" ht="25.5">
      <c r="A619" s="28" t="str">
        <f>'[3]Planilha Orçamentária'!A163</f>
        <v>1.3.5.5</v>
      </c>
      <c r="B619" s="29" t="str">
        <f>VLOOKUP(A619,'[3]Planilha Orçamentária'!A:K,2,0)</f>
        <v>COMP-83526730</v>
      </c>
      <c r="C619" s="30" t="str">
        <f>VLOOKUP(A619,'[3]Planilha Orçamentária'!A:K,3,0)</f>
        <v>TRANSPORTE COMERCIAL DE BRITA</v>
      </c>
      <c r="D619" s="31" t="str">
        <f>VLOOKUP(A619,'[3]Planilha Orçamentária'!A:K,4,0)</f>
        <v>M3XKM</v>
      </c>
      <c r="E619" s="30"/>
      <c r="F619" s="32"/>
      <c r="G619" s="32"/>
      <c r="H619" s="32"/>
      <c r="I619" s="32"/>
      <c r="J619" s="33">
        <f>ROUND(SUM(J621:J621),2)</f>
        <v>13126.2</v>
      </c>
    </row>
    <row r="620" spans="1:10" ht="25.5">
      <c r="A620" s="28"/>
      <c r="B620" s="29"/>
      <c r="C620" s="79" t="s">
        <v>1735</v>
      </c>
      <c r="D620" s="155"/>
      <c r="E620" s="86" t="s">
        <v>1627</v>
      </c>
      <c r="F620" s="34"/>
      <c r="G620" s="34"/>
      <c r="H620" s="64"/>
      <c r="I620" s="87" t="s">
        <v>1644</v>
      </c>
      <c r="J620" s="33"/>
    </row>
    <row r="621" spans="1:10" ht="14.25">
      <c r="A621" s="245"/>
      <c r="B621" s="276"/>
      <c r="C621" s="131" t="s">
        <v>1736</v>
      </c>
      <c r="D621" s="155"/>
      <c r="E621" s="143">
        <v>7.1</v>
      </c>
      <c r="F621" s="34"/>
      <c r="G621" s="277"/>
      <c r="H621" s="64"/>
      <c r="I621" s="111">
        <f>J615</f>
        <v>1848.76</v>
      </c>
      <c r="J621" s="36">
        <f t="shared" ref="J621" si="55">ROUND(PRODUCT(E621:I621),2)</f>
        <v>13126.2</v>
      </c>
    </row>
    <row r="622" spans="1:10">
      <c r="A622" s="238"/>
      <c r="B622" s="239"/>
      <c r="C622" s="239"/>
      <c r="D622" s="239"/>
      <c r="E622" s="239"/>
      <c r="F622" s="239"/>
      <c r="G622" s="239"/>
      <c r="H622" s="239"/>
      <c r="I622" s="239"/>
      <c r="J622" s="240"/>
    </row>
    <row r="623" spans="1:10" ht="51">
      <c r="A623" s="216" t="str">
        <f>'[3]Planilha Orçamentária'!A164</f>
        <v>1.3.5.6</v>
      </c>
      <c r="B623" s="217" t="str">
        <f>VLOOKUP(A623,'[3]Planilha Orçamentária'!A:K,2,0)</f>
        <v>CP-92399-27762594</v>
      </c>
      <c r="C623" s="218" t="str">
        <f>VLOOKUP(A623,'[3]Planilha Orçamentária'!A:K,3,0)</f>
        <v>EXECUÇÃO DE VIA EM PISO INTERTRAVADO, COM BLOCO RETANGULAR COR NATURAL/COLORIDO DE 20 X 10 CM, ESPESSURA 8 CM - (SEM O MATERIAL BLOQUETE/PISO INTERTRAVADO)</v>
      </c>
      <c r="D623" s="219" t="str">
        <f>VLOOKUP(A623,'[3]Planilha Orçamentária'!A:K,4,0)</f>
        <v>M2</v>
      </c>
      <c r="E623" s="218"/>
      <c r="F623" s="220"/>
      <c r="G623" s="220"/>
      <c r="H623" s="220"/>
      <c r="I623" s="220"/>
      <c r="J623" s="78">
        <f>ROUND(SUM(J625:J626),2)</f>
        <v>1480.51</v>
      </c>
    </row>
    <row r="624" spans="1:10" ht="14.25">
      <c r="A624" s="216"/>
      <c r="B624" s="217"/>
      <c r="C624" s="126" t="s">
        <v>1730</v>
      </c>
      <c r="D624" s="219"/>
      <c r="E624" s="218"/>
      <c r="F624" s="220"/>
      <c r="G624" s="220"/>
      <c r="H624" s="220"/>
      <c r="I624" s="278" t="s">
        <v>1620</v>
      </c>
      <c r="J624" s="78"/>
    </row>
    <row r="625" spans="1:10" ht="28.5">
      <c r="A625" s="94"/>
      <c r="B625" s="94"/>
      <c r="C625" s="126" t="s">
        <v>1646</v>
      </c>
      <c r="D625" s="94"/>
      <c r="E625" s="94"/>
      <c r="F625" s="279"/>
      <c r="G625" s="94"/>
      <c r="H625" s="94"/>
      <c r="I625" s="111">
        <f>[3]PARÂMETROS!F208</f>
        <v>1328.39</v>
      </c>
      <c r="J625" s="120">
        <f>ROUND(PRODUCT(E625:I625),2)</f>
        <v>1328.39</v>
      </c>
    </row>
    <row r="626" spans="1:10" ht="28.5">
      <c r="A626" s="94"/>
      <c r="B626" s="94"/>
      <c r="C626" s="126" t="s">
        <v>1737</v>
      </c>
      <c r="D626" s="94"/>
      <c r="E626" s="94"/>
      <c r="F626" s="279"/>
      <c r="G626" s="94"/>
      <c r="H626" s="94"/>
      <c r="I626" s="111">
        <f>[3]PARÂMETROS!F209</f>
        <v>152.12</v>
      </c>
      <c r="J626" s="120">
        <f>ROUND(PRODUCT(E626:I626),2)</f>
        <v>152.12</v>
      </c>
    </row>
    <row r="627" spans="1:10">
      <c r="A627" s="513"/>
      <c r="B627" s="513"/>
      <c r="C627" s="513"/>
      <c r="D627" s="513"/>
      <c r="E627" s="513"/>
      <c r="F627" s="513"/>
      <c r="G627" s="513"/>
      <c r="H627" s="513"/>
      <c r="I627" s="513"/>
      <c r="J627" s="513"/>
    </row>
    <row r="628" spans="1:10" ht="25.5">
      <c r="A628" s="28" t="str">
        <f>'[3]Planilha Orçamentária'!A165</f>
        <v>1.3.5.7</v>
      </c>
      <c r="B628" s="29" t="str">
        <f>VLOOKUP(A628,'[3]Planilha Orçamentária'!A:K,2,0)</f>
        <v>COMP-62038505</v>
      </c>
      <c r="C628" s="30" t="str">
        <f>VLOOKUP(A628,'[3]Planilha Orçamentária'!A:K,3,0)</f>
        <v>EXECUÇÃO DE IMPRIMAÇÃO COM ASFALTO DILUÍDO CM-30 - SERVIÇO UTILIZADO NOS LOTES</v>
      </c>
      <c r="D628" s="31" t="str">
        <f>VLOOKUP(A628,'[3]Planilha Orçamentária'!A:K,4,0)</f>
        <v>M2</v>
      </c>
      <c r="E628" s="30"/>
      <c r="F628" s="32"/>
      <c r="G628" s="32"/>
      <c r="H628" s="32"/>
      <c r="I628" s="32"/>
      <c r="J628" s="33">
        <f>ROUND(SUM(J630:J631),2)</f>
        <v>3029.02</v>
      </c>
    </row>
    <row r="629" spans="1:10" ht="14.25">
      <c r="A629" s="28"/>
      <c r="B629" s="29"/>
      <c r="C629" s="126" t="s">
        <v>1730</v>
      </c>
      <c r="D629" s="31"/>
      <c r="E629" s="30"/>
      <c r="F629" s="34"/>
      <c r="G629" s="32"/>
      <c r="H629" s="32"/>
      <c r="I629" s="32"/>
      <c r="J629" s="33"/>
    </row>
    <row r="630" spans="1:10" ht="28.5">
      <c r="A630" s="28"/>
      <c r="B630" s="29"/>
      <c r="C630" s="131" t="s">
        <v>1648</v>
      </c>
      <c r="D630" s="31"/>
      <c r="E630" s="30"/>
      <c r="F630" s="134"/>
      <c r="G630" s="32"/>
      <c r="H630" s="32"/>
      <c r="I630" s="135" t="s">
        <v>1620</v>
      </c>
      <c r="J630" s="253"/>
    </row>
    <row r="631" spans="1:10" ht="14.25">
      <c r="A631" s="28"/>
      <c r="B631" s="29"/>
      <c r="C631" s="131" t="s">
        <v>1649</v>
      </c>
      <c r="D631" s="31"/>
      <c r="E631" s="30"/>
      <c r="F631" s="134"/>
      <c r="G631" s="32"/>
      <c r="H631" s="32"/>
      <c r="I631" s="136">
        <f>[3]PARÂMETROS!F198</f>
        <v>3029.02</v>
      </c>
      <c r="J631" s="253">
        <f t="shared" ref="J631" si="56">ROUND(PRODUCT(E631:I631),2)</f>
        <v>3029.02</v>
      </c>
    </row>
    <row r="632" spans="1:10" ht="14.25" customHeight="1">
      <c r="A632" s="513"/>
      <c r="B632" s="513"/>
      <c r="C632" s="513"/>
      <c r="D632" s="513"/>
      <c r="E632" s="513"/>
      <c r="F632" s="513"/>
      <c r="G632" s="513"/>
      <c r="H632" s="513"/>
      <c r="I632" s="513"/>
      <c r="J632" s="513"/>
    </row>
    <row r="633" spans="1:10" ht="38.25">
      <c r="A633" s="28" t="str">
        <f>'[3]Planilha Orçamentária'!A166</f>
        <v>1.3.5.8</v>
      </c>
      <c r="B633" s="29" t="str">
        <f>VLOOKUP(A633,'[3]Planilha Orçamentária'!A:K,2,0)</f>
        <v>CP-95995-51339760</v>
      </c>
      <c r="C633" s="30" t="str">
        <f>VLOOKUP(A633,'[3]Planilha Orçamentária'!A:K,3,0)</f>
        <v>EXECUÇÃO DE PAVIMENTO COM APLICAÇÃO DE CONCRETO ASFÁLTICO, CAMADA DE ROLAMENTO - EXCLUSIVE CARGA E TRANSPORTE E CONCRETO BETUMINOSO</v>
      </c>
      <c r="D633" s="31" t="str">
        <f>VLOOKUP(A633,'[3]Planilha Orçamentária'!A:K,4,0)</f>
        <v>M3</v>
      </c>
      <c r="E633" s="30"/>
      <c r="F633" s="32"/>
      <c r="G633" s="32"/>
      <c r="H633" s="32"/>
      <c r="I633" s="32"/>
      <c r="J633" s="33">
        <f>ROUND(SUM(J635:J635),2)</f>
        <v>151.44999999999999</v>
      </c>
    </row>
    <row r="634" spans="1:10" ht="14.25" customHeight="1">
      <c r="A634" s="28"/>
      <c r="B634" s="29"/>
      <c r="C634" s="126" t="s">
        <v>1730</v>
      </c>
      <c r="D634" s="31"/>
      <c r="E634" s="30"/>
      <c r="F634" s="34"/>
      <c r="G634" s="32"/>
      <c r="H634" s="34" t="s">
        <v>1619</v>
      </c>
      <c r="I634" s="135" t="s">
        <v>1620</v>
      </c>
      <c r="J634" s="33"/>
    </row>
    <row r="635" spans="1:10" ht="14.25" customHeight="1">
      <c r="A635" s="28"/>
      <c r="B635" s="29"/>
      <c r="C635" s="131" t="s">
        <v>1650</v>
      </c>
      <c r="D635" s="94"/>
      <c r="E635" s="94"/>
      <c r="F635" s="134"/>
      <c r="G635" s="94"/>
      <c r="H635" s="136">
        <v>0.05</v>
      </c>
      <c r="I635" s="136">
        <f>J628</f>
        <v>3029.02</v>
      </c>
      <c r="J635" s="253">
        <f t="shared" ref="J635" si="57">ROUND(PRODUCT(E635:I635),2)</f>
        <v>151.44999999999999</v>
      </c>
    </row>
    <row r="636" spans="1:10" ht="14.25" customHeight="1">
      <c r="A636" s="28"/>
      <c r="B636" s="29"/>
      <c r="C636" s="131"/>
      <c r="D636" s="94"/>
      <c r="E636" s="94"/>
      <c r="F636" s="134"/>
      <c r="G636" s="94"/>
      <c r="H636" s="136"/>
      <c r="I636" s="136"/>
      <c r="J636" s="253"/>
    </row>
    <row r="637" spans="1:10" ht="38.25">
      <c r="A637" s="28" t="str">
        <f>'[3]Planilha Orçamentária'!A167</f>
        <v>1.3.5.9</v>
      </c>
      <c r="B637" s="29" t="str">
        <f>VLOOKUP(A637,'[3]Planilha Orçamentária'!A:K,2,0)</f>
        <v>COMP-10034101</v>
      </c>
      <c r="C637" s="30" t="str">
        <f>VLOOKUP(A637,'[3]Planilha Orçamentária'!A:K,3,0)</f>
        <v>CARGA, MANOBRAS E DESCARGA DE MISTURA BETUMINOSA A QUENTE, COM CAMINHAO BASCULANTE 6 M3, DESCARGA EM VIBRO-ACABADORA</v>
      </c>
      <c r="D637" s="31" t="str">
        <f>VLOOKUP(A637,'[3]Planilha Orçamentária'!A:K,4,0)</f>
        <v>M3</v>
      </c>
      <c r="E637" s="30"/>
      <c r="F637" s="32"/>
      <c r="G637" s="32"/>
      <c r="H637" s="32"/>
      <c r="I637" s="32"/>
      <c r="J637" s="33">
        <f>ROUND(SUM(J639:J639),2)</f>
        <v>151.44999999999999</v>
      </c>
    </row>
    <row r="638" spans="1:10" ht="14.25" customHeight="1">
      <c r="A638" s="28"/>
      <c r="B638" s="29"/>
      <c r="C638" s="126"/>
      <c r="D638" s="31"/>
      <c r="E638" s="30"/>
      <c r="F638" s="34"/>
      <c r="G638" s="32"/>
      <c r="H638" s="32"/>
      <c r="I638" s="135" t="s">
        <v>1623</v>
      </c>
      <c r="J638" s="33"/>
    </row>
    <row r="639" spans="1:10" ht="14.25" customHeight="1">
      <c r="A639" s="28"/>
      <c r="B639" s="29"/>
      <c r="C639" s="139" t="s">
        <v>1651</v>
      </c>
      <c r="D639" s="129"/>
      <c r="E639" s="129"/>
      <c r="F639" s="140"/>
      <c r="G639" s="129"/>
      <c r="H639" s="129"/>
      <c r="I639" s="141">
        <f>J633</f>
        <v>151.44999999999999</v>
      </c>
      <c r="J639" s="253">
        <f t="shared" ref="J639" si="58">ROUND(PRODUCT(E639:I639),2)</f>
        <v>151.44999999999999</v>
      </c>
    </row>
    <row r="640" spans="1:10" ht="14.25" customHeight="1">
      <c r="A640" s="513"/>
      <c r="B640" s="513"/>
      <c r="C640" s="513"/>
      <c r="D640" s="513"/>
      <c r="E640" s="513"/>
      <c r="F640" s="513"/>
      <c r="G640" s="513"/>
      <c r="H640" s="513"/>
      <c r="I640" s="513"/>
      <c r="J640" s="513"/>
    </row>
    <row r="641" spans="1:10" ht="25.5">
      <c r="A641" s="28" t="str">
        <f>'[3]Planilha Orçamentária'!A168</f>
        <v>1.3.5.10</v>
      </c>
      <c r="B641" s="29" t="str">
        <f>VLOOKUP(A641,'[3]Planilha Orçamentária'!A:K,2,0)</f>
        <v>CP-95303-56931542</v>
      </c>
      <c r="C641" s="30" t="str">
        <f>VLOOKUP(A641,'[3]Planilha Orçamentária'!A:K,3,0)</f>
        <v>TRANSPORTE COM CAMINHÃO BASCULANTE 10 M3 DE MASSA ASFALTICA PARA PAVIMENTAÇÃO URBANA</v>
      </c>
      <c r="D641" s="31" t="str">
        <f>VLOOKUP(A641,'[3]Planilha Orçamentária'!A:K,4,0)</f>
        <v>M3XKM</v>
      </c>
      <c r="E641" s="30"/>
      <c r="F641" s="32"/>
      <c r="G641" s="32"/>
      <c r="H641" s="32"/>
      <c r="I641" s="32"/>
      <c r="J641" s="33">
        <f>ROUND(SUM(J643:J643),2)</f>
        <v>2468.64</v>
      </c>
    </row>
    <row r="642" spans="1:10" ht="14.25" customHeight="1">
      <c r="A642" s="28"/>
      <c r="B642" s="29"/>
      <c r="C642" s="79" t="s">
        <v>1738</v>
      </c>
      <c r="D642" s="31"/>
      <c r="E642" s="86" t="s">
        <v>1627</v>
      </c>
      <c r="F642" s="34"/>
      <c r="G642" s="34"/>
      <c r="H642" s="34"/>
      <c r="I642" s="34" t="s">
        <v>1623</v>
      </c>
      <c r="J642" s="33"/>
    </row>
    <row r="643" spans="1:10" ht="14.25" customHeight="1">
      <c r="A643" s="28"/>
      <c r="B643" s="29"/>
      <c r="C643" s="126" t="s">
        <v>1739</v>
      </c>
      <c r="D643" s="94"/>
      <c r="E643" s="141">
        <v>16.3</v>
      </c>
      <c r="F643" s="134"/>
      <c r="G643" s="94"/>
      <c r="H643" s="94"/>
      <c r="I643" s="136">
        <f>J637</f>
        <v>151.44999999999999</v>
      </c>
      <c r="J643" s="253">
        <f t="shared" ref="J643" si="59">ROUND(PRODUCT(E643:I643),2)</f>
        <v>2468.64</v>
      </c>
    </row>
    <row r="644" spans="1:10" ht="14.25" customHeight="1">
      <c r="A644" s="513"/>
      <c r="B644" s="513"/>
      <c r="C644" s="513"/>
      <c r="D644" s="513"/>
      <c r="E644" s="513"/>
      <c r="F644" s="513"/>
      <c r="G644" s="513"/>
      <c r="H644" s="513"/>
      <c r="I644" s="513"/>
      <c r="J644" s="513"/>
    </row>
    <row r="645" spans="1:10" ht="25.5">
      <c r="A645" s="28" t="str">
        <f>'[3]Planilha Orçamentária'!A169</f>
        <v>1.3.5.11</v>
      </c>
      <c r="B645" s="29" t="str">
        <f>VLOOKUP(A645,'[3]Planilha Orçamentária'!A:K,2,0)</f>
        <v>CP-97084-89637704</v>
      </c>
      <c r="C645" s="30" t="str">
        <f>VLOOKUP(A645,'[3]Planilha Orçamentária'!A:K,3,0)</f>
        <v>REGULARIZACAO E COMPACTAÇÃO MANUAL DE TERRENO COM PLACA VIBRATÓRIA</v>
      </c>
      <c r="D645" s="31" t="str">
        <f>VLOOKUP(A645,'[3]Planilha Orçamentária'!A:K,4,0)</f>
        <v>M2</v>
      </c>
      <c r="E645" s="30"/>
      <c r="F645" s="32"/>
      <c r="G645" s="32"/>
      <c r="H645" s="32"/>
      <c r="I645" s="32"/>
      <c r="J645" s="33">
        <f>ROUND(SUM(J647:J647),2)</f>
        <v>2014.65</v>
      </c>
    </row>
    <row r="646" spans="1:10" ht="14.25" customHeight="1">
      <c r="A646" s="28"/>
      <c r="B646" s="29"/>
      <c r="C646" s="126" t="s">
        <v>1730</v>
      </c>
      <c r="D646" s="31"/>
      <c r="E646" s="30"/>
      <c r="F646" s="34"/>
      <c r="G646" s="32"/>
      <c r="H646" s="32"/>
      <c r="I646" s="135" t="s">
        <v>1620</v>
      </c>
      <c r="J646" s="33"/>
    </row>
    <row r="647" spans="1:10" ht="14.25" customHeight="1">
      <c r="A647" s="28"/>
      <c r="B647" s="29"/>
      <c r="C647" s="142" t="s">
        <v>1654</v>
      </c>
      <c r="D647" s="94"/>
      <c r="E647" s="94"/>
      <c r="F647" s="134"/>
      <c r="G647" s="135"/>
      <c r="H647" s="135"/>
      <c r="I647" s="143">
        <f>[3]PARÂMETROS!F207</f>
        <v>2014.65</v>
      </c>
      <c r="J647" s="253">
        <f t="shared" ref="J647" si="60">ROUND(PRODUCT(E647:I647),2)</f>
        <v>2014.65</v>
      </c>
    </row>
    <row r="648" spans="1:10" ht="14.25" customHeight="1">
      <c r="A648" s="513"/>
      <c r="B648" s="513"/>
      <c r="C648" s="513"/>
      <c r="D648" s="513"/>
      <c r="E648" s="513"/>
      <c r="F648" s="513"/>
      <c r="G648" s="513"/>
      <c r="H648" s="513"/>
      <c r="I648" s="513"/>
      <c r="J648" s="513"/>
    </row>
    <row r="649" spans="1:10" ht="51">
      <c r="A649" s="28" t="str">
        <f>'[3]Planilha Orçamentária'!A170</f>
        <v>1.3.5.12</v>
      </c>
      <c r="B649" s="29" t="str">
        <f>VLOOKUP(A649,'[3]Planilha Orçamentária'!A:K,2,0)</f>
        <v>CP-94991-12549457</v>
      </c>
      <c r="C649" s="30" t="str">
        <f>VLOOKUP(A649,'[3]Planilha Orçamentária'!A:K,3,0)</f>
        <v>EXECUÇÃO DE PASSEIO (CALÇADA) OU PISO DE CONCRETO COM CONCRETO MOLDADO IN LOCO, USINADO, ACABAMENTO CONVENCIONAL, NÃO ARMADO - EXCLUINDO O CONCRETO USINADO 20MPA</v>
      </c>
      <c r="D649" s="31" t="str">
        <f>VLOOKUP(A649,'[3]Planilha Orçamentária'!A:K,4,0)</f>
        <v>M3</v>
      </c>
      <c r="E649" s="30"/>
      <c r="F649" s="32"/>
      <c r="G649" s="32"/>
      <c r="H649" s="32"/>
      <c r="I649" s="32"/>
      <c r="J649" s="33">
        <f>ROUND(SUM(J651:J652),2)</f>
        <v>139.88999999999999</v>
      </c>
    </row>
    <row r="650" spans="1:10" ht="14.25" customHeight="1">
      <c r="A650" s="28"/>
      <c r="B650" s="29"/>
      <c r="C650" s="126" t="s">
        <v>1730</v>
      </c>
      <c r="D650" s="31"/>
      <c r="E650" s="30"/>
      <c r="F650" s="34"/>
      <c r="G650" s="32"/>
      <c r="H650" s="34" t="s">
        <v>1619</v>
      </c>
      <c r="I650" s="135" t="s">
        <v>1620</v>
      </c>
      <c r="J650" s="33"/>
    </row>
    <row r="651" spans="1:10" ht="14.25" customHeight="1">
      <c r="A651" s="28"/>
      <c r="B651" s="29"/>
      <c r="C651" s="142" t="s">
        <v>1654</v>
      </c>
      <c r="D651" s="94"/>
      <c r="E651" s="94"/>
      <c r="F651" s="134"/>
      <c r="G651" s="135"/>
      <c r="H651" s="135">
        <v>7.0000000000000007E-2</v>
      </c>
      <c r="I651" s="143">
        <f>J645</f>
        <v>2014.65</v>
      </c>
      <c r="J651" s="253">
        <f t="shared" ref="J651:J652" si="61">ROUND(PRODUCT(E651:I651),2)</f>
        <v>141.03</v>
      </c>
    </row>
    <row r="652" spans="1:10" ht="14.25" customHeight="1">
      <c r="A652" s="28"/>
      <c r="B652" s="29"/>
      <c r="C652" s="142" t="s">
        <v>1740</v>
      </c>
      <c r="D652" s="94"/>
      <c r="E652" s="94">
        <v>-1</v>
      </c>
      <c r="F652" s="134"/>
      <c r="G652" s="135"/>
      <c r="H652" s="135">
        <v>7.0000000000000007E-2</v>
      </c>
      <c r="I652" s="143">
        <f>J773</f>
        <v>16.32</v>
      </c>
      <c r="J652" s="253">
        <f t="shared" si="61"/>
        <v>-1.1399999999999999</v>
      </c>
    </row>
    <row r="653" spans="1:10" ht="14.25" customHeight="1">
      <c r="A653" s="513"/>
      <c r="B653" s="513"/>
      <c r="C653" s="513"/>
      <c r="D653" s="513"/>
      <c r="E653" s="513"/>
      <c r="F653" s="513"/>
      <c r="G653" s="513"/>
      <c r="H653" s="513"/>
      <c r="I653" s="513"/>
      <c r="J653" s="513"/>
    </row>
    <row r="654" spans="1:10" ht="63.75">
      <c r="A654" s="28" t="str">
        <f>'[3]Planilha Orçamentária'!A171</f>
        <v>1.3.5.13</v>
      </c>
      <c r="B654" s="29">
        <f>VLOOKUP(A654,'[3]Planilha Orçamentária'!A:K,2,0)</f>
        <v>94273</v>
      </c>
      <c r="C654" s="30" t="str">
        <f>VLOOKUP(A654,'[3]Planilha Orçamentária'!A:K,3,0)</f>
        <v>ASSENTAMENTO DE GUIA (MEIO-FIO) EM TRECHO RETO, CONFECCIONADA EM CONCRETO PRÉ-FABRICADO, DIMENSÕES 100X15X13X30 CM (COMPRIMENTO X BASE INFERIOR X BASE SUPERIOR X ALTURA), PARA VIAS URBANAS (USO VIÁRIO). AF_06/2016</v>
      </c>
      <c r="D654" s="31" t="str">
        <f>VLOOKUP(A654,'[3]Planilha Orçamentária'!A:K,4,0)</f>
        <v>M</v>
      </c>
      <c r="E654" s="30"/>
      <c r="F654" s="32"/>
      <c r="G654" s="32"/>
      <c r="H654" s="32"/>
      <c r="I654" s="32"/>
      <c r="J654" s="33">
        <f>ROUND(SUM(J656:J657),2)</f>
        <v>1475.02</v>
      </c>
    </row>
    <row r="655" spans="1:10" ht="14.25" customHeight="1">
      <c r="A655" s="28"/>
      <c r="B655" s="29"/>
      <c r="C655" s="126" t="s">
        <v>1730</v>
      </c>
      <c r="D655" s="31"/>
      <c r="E655" s="30"/>
      <c r="F655" s="34" t="s">
        <v>1606</v>
      </c>
      <c r="G655" s="32"/>
      <c r="H655" s="32"/>
      <c r="I655" s="32"/>
      <c r="J655" s="33"/>
    </row>
    <row r="656" spans="1:10" ht="25.5">
      <c r="A656" s="28"/>
      <c r="B656" s="29"/>
      <c r="C656" s="144" t="s">
        <v>1702</v>
      </c>
      <c r="D656" s="247"/>
      <c r="E656" s="248"/>
      <c r="F656" s="280">
        <f>1455.74-F661</f>
        <v>1422.26</v>
      </c>
      <c r="G656" s="150"/>
      <c r="H656" s="150"/>
      <c r="I656" s="150"/>
      <c r="J656" s="253">
        <f t="shared" ref="J656:J657" si="62">ROUND(PRODUCT(E656:I656),2)</f>
        <v>1422.26</v>
      </c>
    </row>
    <row r="657" spans="1:10" ht="22.5" customHeight="1">
      <c r="A657" s="28"/>
      <c r="B657" s="29"/>
      <c r="C657" s="145" t="s">
        <v>1657</v>
      </c>
      <c r="D657" s="31"/>
      <c r="E657" s="30"/>
      <c r="F657" s="134">
        <f>[3]PARÂMETROS!B202</f>
        <v>52.76</v>
      </c>
      <c r="G657" s="150"/>
      <c r="H657" s="150"/>
      <c r="I657" s="150"/>
      <c r="J657" s="253">
        <f t="shared" si="62"/>
        <v>52.76</v>
      </c>
    </row>
    <row r="658" spans="1:10" ht="14.25" customHeight="1">
      <c r="A658" s="513"/>
      <c r="B658" s="513"/>
      <c r="C658" s="513"/>
      <c r="D658" s="513"/>
      <c r="E658" s="513"/>
      <c r="F658" s="513"/>
      <c r="G658" s="513"/>
      <c r="H658" s="513"/>
      <c r="I658" s="513"/>
      <c r="J658" s="513"/>
    </row>
    <row r="659" spans="1:10" ht="63.75">
      <c r="A659" s="28" t="str">
        <f>'[3]Planilha Orçamentária'!A172</f>
        <v>1.3.5.14</v>
      </c>
      <c r="B659" s="29">
        <f>VLOOKUP(A659,'[3]Planilha Orçamentária'!A:K,2,0)</f>
        <v>94274</v>
      </c>
      <c r="C659" s="30" t="str">
        <f>VLOOKUP(A659,'[3]Planilha Orçamentária'!A:K,3,0)</f>
        <v>ASSENTAMENTO DE GUIA (MEIO-FIO) EM TRECHO CURVO, CONFECCIONADA EM CONCRETO PRÉ-FABRICADO, DIMENSÕES 100X15X13X30 CM (COMPRIMENTO X BASE INFERIOR X BASE SUPERIOR X ALTURA), PARA VIAS URBANAS (USO VIÁRIO). AF_06/2016</v>
      </c>
      <c r="D659" s="31" t="str">
        <f>VLOOKUP(A659,'[3]Planilha Orçamentária'!A:K,4,0)</f>
        <v>M</v>
      </c>
      <c r="E659" s="30"/>
      <c r="F659" s="32"/>
      <c r="G659" s="32"/>
      <c r="H659" s="32"/>
      <c r="I659" s="32"/>
      <c r="J659" s="33">
        <f>ROUND(SUM(J661:J661),2)</f>
        <v>33.479999999999997</v>
      </c>
    </row>
    <row r="660" spans="1:10" ht="14.25" customHeight="1">
      <c r="A660" s="27"/>
      <c r="B660" s="27"/>
      <c r="C660" s="126" t="s">
        <v>1730</v>
      </c>
      <c r="D660" s="27"/>
      <c r="E660" s="27"/>
      <c r="F660" s="34" t="s">
        <v>1606</v>
      </c>
      <c r="G660" s="27"/>
      <c r="H660" s="27"/>
      <c r="I660" s="27"/>
      <c r="J660" s="27"/>
    </row>
    <row r="661" spans="1:10" ht="25.5">
      <c r="A661" s="27"/>
      <c r="B661" s="27"/>
      <c r="C661" s="144" t="s">
        <v>1741</v>
      </c>
      <c r="D661" s="27"/>
      <c r="E661" s="27"/>
      <c r="F661" s="27">
        <f>[3]PARÂMETROS!B203</f>
        <v>33.479999999999997</v>
      </c>
      <c r="G661" s="27"/>
      <c r="H661" s="27"/>
      <c r="I661" s="27"/>
      <c r="J661" s="253">
        <f t="shared" ref="J661" si="63">ROUND(PRODUCT(E661:I661),2)</f>
        <v>33.479999999999997</v>
      </c>
    </row>
    <row r="662" spans="1:10" ht="14.25" customHeight="1">
      <c r="A662" s="501"/>
      <c r="B662" s="502"/>
      <c r="C662" s="502"/>
      <c r="D662" s="502"/>
      <c r="E662" s="502"/>
      <c r="F662" s="502"/>
      <c r="G662" s="502"/>
      <c r="H662" s="502"/>
      <c r="I662" s="502"/>
      <c r="J662" s="503"/>
    </row>
    <row r="663" spans="1:10" ht="38.25">
      <c r="A663" s="28" t="str">
        <f>'[3]Planilha Orçamentária'!A173</f>
        <v>1.3.5.15</v>
      </c>
      <c r="B663" s="29">
        <f>VLOOKUP(A663,'[3]Planilha Orçamentária'!A:K,2,0)</f>
        <v>94287</v>
      </c>
      <c r="C663" s="30" t="str">
        <f>VLOOKUP(A663,'[3]Planilha Orçamentária'!A:K,3,0)</f>
        <v>EXECUÇÃO DE SARJETA DE CONCRETO USINADO, MOLDADA  IN LOCO  EM TRECHO RETO, 30 CM BASE X 10 CM ALTURA. AF_06/2016</v>
      </c>
      <c r="D663" s="31" t="str">
        <f>VLOOKUP(A663,'[3]Planilha Orçamentária'!A:K,4,0)</f>
        <v>M</v>
      </c>
      <c r="E663" s="30"/>
      <c r="F663" s="32"/>
      <c r="G663" s="32"/>
      <c r="H663" s="32"/>
      <c r="I663" s="32"/>
      <c r="J663" s="33">
        <f>ROUND(SUM(J665:J665),2)</f>
        <v>919.65</v>
      </c>
    </row>
    <row r="664" spans="1:10" ht="14.25" customHeight="1">
      <c r="A664" s="28"/>
      <c r="B664" s="29"/>
      <c r="C664" s="126" t="s">
        <v>1730</v>
      </c>
      <c r="D664" s="31"/>
      <c r="E664" s="30"/>
      <c r="F664" s="34" t="s">
        <v>1606</v>
      </c>
      <c r="G664" s="32"/>
      <c r="H664" s="32"/>
      <c r="I664" s="32"/>
      <c r="J664" s="33"/>
    </row>
    <row r="665" spans="1:10">
      <c r="A665" s="28"/>
      <c r="B665" s="29"/>
      <c r="C665" s="144" t="s">
        <v>1742</v>
      </c>
      <c r="D665" s="247"/>
      <c r="E665" s="248"/>
      <c r="F665" s="134">
        <f>(285.94/0.3)-F669</f>
        <v>919.65333333333331</v>
      </c>
      <c r="G665" s="150"/>
      <c r="H665" s="150"/>
      <c r="I665" s="150"/>
      <c r="J665" s="253">
        <f t="shared" ref="J665" si="64">ROUND(PRODUCT(E665:I665),2)</f>
        <v>919.65</v>
      </c>
    </row>
    <row r="666" spans="1:10" ht="14.25" customHeight="1">
      <c r="A666" s="513"/>
      <c r="B666" s="513"/>
      <c r="C666" s="513"/>
      <c r="D666" s="513"/>
      <c r="E666" s="513"/>
      <c r="F666" s="513"/>
      <c r="G666" s="513"/>
      <c r="H666" s="513"/>
      <c r="I666" s="513"/>
      <c r="J666" s="513"/>
    </row>
    <row r="667" spans="1:10" ht="38.25">
      <c r="A667" s="28" t="str">
        <f>'[3]Planilha Orçamentária'!A174</f>
        <v>1.3.5.16</v>
      </c>
      <c r="B667" s="29">
        <f>VLOOKUP(A667,'[3]Planilha Orçamentária'!A:K,2,0)</f>
        <v>94288</v>
      </c>
      <c r="C667" s="30" t="str">
        <f>VLOOKUP(A667,'[3]Planilha Orçamentária'!A:K,3,0)</f>
        <v>EXECUÇÃO DE SARJETA DE CONCRETO USINADO, MOLDADA  IN LOCO  EM TRECHO CURVO, 30 CM BASE X 10 CM ALTURA. AF_06/2016</v>
      </c>
      <c r="D667" s="31" t="str">
        <f>VLOOKUP(A667,'[3]Planilha Orçamentária'!A:K,4,0)</f>
        <v>M</v>
      </c>
      <c r="E667" s="30"/>
      <c r="F667" s="32"/>
      <c r="G667" s="32"/>
      <c r="H667" s="32"/>
      <c r="I667" s="32"/>
      <c r="J667" s="33">
        <f>ROUND(SUM(J669:J669),2)</f>
        <v>33.479999999999997</v>
      </c>
    </row>
    <row r="668" spans="1:10" ht="14.25" customHeight="1">
      <c r="A668" s="27"/>
      <c r="B668" s="27"/>
      <c r="C668" s="126" t="s">
        <v>1730</v>
      </c>
      <c r="D668" s="27"/>
      <c r="E668" s="27"/>
      <c r="F668" s="34" t="s">
        <v>1606</v>
      </c>
      <c r="G668" s="27"/>
      <c r="H668" s="27"/>
      <c r="I668" s="27"/>
      <c r="J668" s="27"/>
    </row>
    <row r="669" spans="1:10" ht="14.25" customHeight="1">
      <c r="A669" s="27"/>
      <c r="B669" s="27"/>
      <c r="C669" s="144" t="s">
        <v>1743</v>
      </c>
      <c r="D669" s="27"/>
      <c r="E669" s="27"/>
      <c r="F669" s="27">
        <f>[3]PARÂMETROS!B205</f>
        <v>33.479999999999997</v>
      </c>
      <c r="G669" s="27"/>
      <c r="H669" s="27"/>
      <c r="I669" s="27"/>
      <c r="J669" s="253">
        <f t="shared" ref="J669" si="65">ROUND(PRODUCT(E669:I669),2)</f>
        <v>33.479999999999997</v>
      </c>
    </row>
    <row r="670" spans="1:10" ht="14.25" customHeight="1">
      <c r="A670" s="27"/>
      <c r="B670" s="27"/>
      <c r="C670" s="27"/>
      <c r="D670" s="27"/>
      <c r="E670" s="27"/>
      <c r="F670" s="27"/>
      <c r="G670" s="27"/>
      <c r="H670" s="27"/>
      <c r="I670" s="27"/>
      <c r="J670" s="27"/>
    </row>
    <row r="671" spans="1:10" ht="14.25" customHeight="1">
      <c r="A671" s="19" t="str">
        <f>'[3]Planilha Orçamentária'!A175</f>
        <v>1.3.6</v>
      </c>
      <c r="B671" s="20"/>
      <c r="C671" s="21" t="str">
        <f>VLOOKUP(A671,'[3]Planilha Orçamentária'!A:K,3,0)</f>
        <v>DRENAGEM</v>
      </c>
      <c r="D671" s="21"/>
      <c r="E671" s="39"/>
      <c r="F671" s="40"/>
      <c r="G671" s="40"/>
      <c r="H671" s="40"/>
      <c r="I671" s="40"/>
      <c r="J671" s="41"/>
    </row>
    <row r="672" spans="1:10" ht="25.5">
      <c r="A672" s="112" t="str">
        <f>'[3]Planilha Orçamentária'!A176</f>
        <v>1.3.6.1</v>
      </c>
      <c r="B672" s="146">
        <f>VLOOKUP(A672,'[3]Planilha Orçamentária'!A:K,2,0)</f>
        <v>93358</v>
      </c>
      <c r="C672" s="147" t="str">
        <f>VLOOKUP(A672,'[3]Planilha Orçamentária'!A:K,3,0)</f>
        <v>ESCAVAÇÃO MANUAL DE VALA COM PROFUNDIDADE MENOR OU IGUAL A 1,30 M. AF_02/2021</v>
      </c>
      <c r="D672" s="148" t="str">
        <f>VLOOKUP(A672,'[3]Planilha Orçamentária'!A:K,4,0)</f>
        <v>M3</v>
      </c>
      <c r="E672" s="149"/>
      <c r="F672" s="150"/>
      <c r="G672" s="150"/>
      <c r="H672" s="150"/>
      <c r="I672" s="150"/>
      <c r="J672" s="151">
        <f>ROUND(SUM(J673:J675),2)</f>
        <v>4.76</v>
      </c>
    </row>
    <row r="673" spans="1:10" ht="14.25" customHeight="1">
      <c r="A673" s="152"/>
      <c r="B673" s="153"/>
      <c r="C673" s="154" t="s">
        <v>1744</v>
      </c>
      <c r="D673" s="31"/>
      <c r="E673" s="155"/>
      <c r="F673" s="156" t="s">
        <v>1606</v>
      </c>
      <c r="G673" s="156" t="s">
        <v>1607</v>
      </c>
      <c r="H673" s="156" t="s">
        <v>1663</v>
      </c>
      <c r="I673" s="155"/>
      <c r="J673" s="157"/>
    </row>
    <row r="674" spans="1:10" ht="28.5">
      <c r="A674" s="152"/>
      <c r="B674" s="153"/>
      <c r="C674" s="131" t="s">
        <v>1664</v>
      </c>
      <c r="D674" s="158"/>
      <c r="E674" s="159"/>
      <c r="F674" s="156">
        <v>148.84</v>
      </c>
      <c r="G674" s="156">
        <v>0.4</v>
      </c>
      <c r="H674" s="156">
        <f>0.16-0.08</f>
        <v>0.08</v>
      </c>
      <c r="I674" s="160"/>
      <c r="J674" s="58">
        <f>ROUND(PRODUCT(E674:I674),2)</f>
        <v>4.76</v>
      </c>
    </row>
    <row r="675" spans="1:10" ht="14.25" customHeight="1">
      <c r="A675" s="509"/>
      <c r="B675" s="510"/>
      <c r="C675" s="510"/>
      <c r="D675" s="510"/>
      <c r="E675" s="510"/>
      <c r="F675" s="510"/>
      <c r="G675" s="510"/>
      <c r="H675" s="510"/>
      <c r="I675" s="510"/>
      <c r="J675" s="510"/>
    </row>
    <row r="676" spans="1:10" ht="63.75">
      <c r="A676" s="112" t="str">
        <f>'[3]Planilha Orçamentária'!A177</f>
        <v>1.3.6.2</v>
      </c>
      <c r="B676" s="146">
        <f>VLOOKUP(A676,'[3]Planilha Orçamentária'!A:K,2,0)</f>
        <v>90091</v>
      </c>
      <c r="C676" s="147" t="str">
        <f>VLOOKUP(A676,'[3]Planilha Orçamentária'!A:K,3,0)</f>
        <v>ESCAVAÇÃO MECANIZADA DE VALA COM PROF. ATÉ 1,5 M (MÉDIA MONTANTE E JUSANTE/UMA COMPOSIÇÃO POR TRECHO), ESCAVADEIRA (0,8 M3), LARG. DE 1,5 M A 2,5 M, EM SOLO DE 1A CATEGORIA, LOCAIS COM BAIXO NÍVEL DE INTERFERÊNCIA. AF_02/2021</v>
      </c>
      <c r="D676" s="148" t="str">
        <f>VLOOKUP(A676,'[3]Planilha Orçamentária'!A:K,4,0)</f>
        <v>M3</v>
      </c>
      <c r="E676" s="149"/>
      <c r="F676" s="150"/>
      <c r="G676" s="150"/>
      <c r="H676" s="150"/>
      <c r="I676" s="150"/>
      <c r="J676" s="151">
        <f>ROUND(SUM(J677:J680),2)</f>
        <v>33.19</v>
      </c>
    </row>
    <row r="677" spans="1:10" ht="14.25" customHeight="1">
      <c r="A677" s="152"/>
      <c r="B677" s="153"/>
      <c r="C677" s="154" t="s">
        <v>1744</v>
      </c>
      <c r="D677" s="148"/>
      <c r="E677" s="149"/>
      <c r="F677" s="70" t="s">
        <v>1606</v>
      </c>
      <c r="G677" s="70" t="s">
        <v>1607</v>
      </c>
      <c r="H677" s="70" t="s">
        <v>1745</v>
      </c>
      <c r="I677" s="155"/>
      <c r="J677" s="157"/>
    </row>
    <row r="678" spans="1:10" ht="42.75">
      <c r="A678" s="152"/>
      <c r="B678" s="153"/>
      <c r="C678" s="281" t="s">
        <v>1746</v>
      </c>
      <c r="D678" s="63"/>
      <c r="E678" s="62"/>
      <c r="F678" s="134">
        <v>94.3</v>
      </c>
      <c r="G678" s="134">
        <f>1+0.6</f>
        <v>1.6</v>
      </c>
      <c r="H678" s="134">
        <f>0.55-0.33</f>
        <v>0.22000000000000003</v>
      </c>
      <c r="I678" s="282"/>
      <c r="J678" s="58">
        <f>ROUND(PRODUCT(E678:I678),2)</f>
        <v>33.19</v>
      </c>
    </row>
    <row r="679" spans="1:10" ht="14.25" customHeight="1">
      <c r="A679" s="152"/>
      <c r="B679" s="153"/>
      <c r="C679" s="283" t="s">
        <v>1747</v>
      </c>
      <c r="D679" s="191"/>
      <c r="E679" s="156"/>
      <c r="F679" s="284"/>
      <c r="G679" s="284"/>
      <c r="H679" s="156"/>
      <c r="I679" s="282"/>
      <c r="J679" s="285"/>
    </row>
    <row r="680" spans="1:10" ht="14.25" customHeight="1">
      <c r="A680" s="509"/>
      <c r="B680" s="510"/>
      <c r="C680" s="510"/>
      <c r="D680" s="510"/>
      <c r="E680" s="510"/>
      <c r="F680" s="510"/>
      <c r="G680" s="510"/>
      <c r="H680" s="510"/>
      <c r="I680" s="510"/>
      <c r="J680" s="510"/>
    </row>
    <row r="681" spans="1:10" ht="63.75">
      <c r="A681" s="112" t="str">
        <f>'[3]Planilha Orçamentária'!A178</f>
        <v>1.3.6.3</v>
      </c>
      <c r="B681" s="146">
        <f>VLOOKUP(A681,'[3]Planilha Orçamentária'!A:K,2,0)</f>
        <v>93367</v>
      </c>
      <c r="C681" s="147" t="str">
        <f>VLOOKUP(A681,'[3]Planilha Orçamentária'!A:K,3,0)</f>
        <v>REATERRO MECANIZADO DE VALA COM ESCAVADEIRA HIDRÁULICA (CAPACIDADE DA CAÇAMBA: 0,8 M³ / POTÊNCIA: 111 HP), LARGURA DE 1,5 A 2,5 M, PROFUNDIDADE ATÉ 1,5 M, COM SOLO DE 1ª CATEGORIA EM LOCAIS COM BAIXO NÍVEL DE INTERFERÊNCIA. AF_04/2016</v>
      </c>
      <c r="D681" s="148" t="str">
        <f>VLOOKUP(A681,'[3]Planilha Orçamentária'!A:K,4,0)</f>
        <v>M3</v>
      </c>
      <c r="E681" s="149"/>
      <c r="F681" s="150"/>
      <c r="G681" s="150"/>
      <c r="H681" s="150"/>
      <c r="I681" s="150"/>
      <c r="J681" s="151">
        <f>ROUND(SUM(J682:J686),2)</f>
        <v>12.44</v>
      </c>
    </row>
    <row r="682" spans="1:10" ht="14.25" customHeight="1">
      <c r="A682" s="152"/>
      <c r="B682" s="153"/>
      <c r="C682" s="154" t="s">
        <v>1744</v>
      </c>
      <c r="D682" s="31"/>
      <c r="E682" s="155"/>
      <c r="F682" s="156"/>
      <c r="G682" s="156"/>
      <c r="H682" s="156"/>
      <c r="I682" s="155"/>
      <c r="J682" s="157"/>
    </row>
    <row r="683" spans="1:10" ht="14.25" customHeight="1">
      <c r="A683" s="152"/>
      <c r="B683" s="153"/>
      <c r="C683" s="126" t="s">
        <v>1748</v>
      </c>
      <c r="D683" s="31"/>
      <c r="E683" s="155"/>
      <c r="F683" s="286"/>
      <c r="G683" s="286"/>
      <c r="H683" s="286"/>
      <c r="I683" s="287">
        <f>J676</f>
        <v>33.19</v>
      </c>
      <c r="J683" s="58">
        <f>ROUND(PRODUCT(E683:I683),2)</f>
        <v>33.19</v>
      </c>
    </row>
    <row r="684" spans="1:10" ht="14.25" customHeight="1">
      <c r="A684" s="152"/>
      <c r="B684" s="153"/>
      <c r="C684" s="288"/>
      <c r="D684" s="164"/>
      <c r="E684" s="164"/>
      <c r="F684" s="70" t="s">
        <v>1606</v>
      </c>
      <c r="G684" s="70" t="s">
        <v>1607</v>
      </c>
      <c r="H684" s="70" t="s">
        <v>1745</v>
      </c>
      <c r="I684" s="82"/>
      <c r="J684" s="58"/>
    </row>
    <row r="685" spans="1:10" ht="25.5">
      <c r="A685" s="152"/>
      <c r="B685" s="153"/>
      <c r="C685" s="288" t="s">
        <v>1749</v>
      </c>
      <c r="D685" s="231"/>
      <c r="E685" s="231">
        <v>-1</v>
      </c>
      <c r="F685" s="289">
        <f>F678</f>
        <v>94.3</v>
      </c>
      <c r="G685" s="27">
        <v>1</v>
      </c>
      <c r="H685" s="290">
        <f>H678</f>
        <v>0.22000000000000003</v>
      </c>
      <c r="I685" s="94"/>
      <c r="J685" s="36">
        <f>ROUND(PRODUCT(E685:I685),2)</f>
        <v>-20.75</v>
      </c>
    </row>
    <row r="686" spans="1:10" ht="14.25" customHeight="1">
      <c r="A686" s="509"/>
      <c r="B686" s="510"/>
      <c r="C686" s="510"/>
      <c r="D686" s="510"/>
      <c r="E686" s="510"/>
      <c r="F686" s="510"/>
      <c r="G686" s="510"/>
      <c r="H686" s="510"/>
      <c r="I686" s="510"/>
      <c r="J686" s="510"/>
    </row>
    <row r="687" spans="1:10" ht="51">
      <c r="A687" s="112" t="str">
        <f>'[3]Planilha Orçamentária'!A179</f>
        <v>1.3.6.4</v>
      </c>
      <c r="B687" s="146" t="str">
        <f>VLOOKUP(A687,'[3]Planilha Orçamentária'!A:K,2,0)</f>
        <v>COMP-35145154</v>
      </c>
      <c r="C687" s="147" t="str">
        <f>VLOOKUP(A687,'[3]Planilha Orçamentária'!A:K,3,0)</f>
        <v>CARGA E DESCARGA MECANICA DE SOLO UTILIZANDO CAMINHAO BASCULANTE 14,0M3/36T E PA CARREGADEIRA SOBRE PNEUS 128 HP, CAPACIDADE DA CAÇAMBA 1,7 A 2,8 M3, PESO OPERACIONAL 11632 KH</v>
      </c>
      <c r="D687" s="148" t="str">
        <f>VLOOKUP(A687,'[3]Planilha Orçamentária'!A:K,4,0)</f>
        <v>M3</v>
      </c>
      <c r="E687" s="149"/>
      <c r="F687" s="150"/>
      <c r="G687" s="150"/>
      <c r="H687" s="150"/>
      <c r="I687" s="150"/>
      <c r="J687" s="151">
        <f>ROUND(SUM(J688:J690),2)</f>
        <v>25.94</v>
      </c>
    </row>
    <row r="688" spans="1:10" ht="25.5">
      <c r="A688" s="152"/>
      <c r="B688" s="153"/>
      <c r="C688" s="79"/>
      <c r="D688" s="63"/>
      <c r="E688" s="79" t="s">
        <v>1622</v>
      </c>
      <c r="F688" s="80"/>
      <c r="G688" s="80"/>
      <c r="H688" s="80"/>
      <c r="I688" s="80" t="s">
        <v>1750</v>
      </c>
      <c r="J688" s="157"/>
    </row>
    <row r="689" spans="1:10" ht="14.25" customHeight="1">
      <c r="A689" s="152"/>
      <c r="B689" s="153"/>
      <c r="C689" s="291" t="s">
        <v>1751</v>
      </c>
      <c r="D689" s="292"/>
      <c r="E689" s="156">
        <v>1.25</v>
      </c>
      <c r="F689" s="82"/>
      <c r="G689" s="293"/>
      <c r="H689" s="293"/>
      <c r="I689" s="293">
        <f>J676-J681</f>
        <v>20.75</v>
      </c>
      <c r="J689" s="58">
        <f>ROUND(PRODUCT(E689:I689),2)</f>
        <v>25.94</v>
      </c>
    </row>
    <row r="690" spans="1:10" ht="14.25" customHeight="1">
      <c r="A690" s="509"/>
      <c r="B690" s="510"/>
      <c r="C690" s="510"/>
      <c r="D690" s="510"/>
      <c r="E690" s="510"/>
      <c r="F690" s="510"/>
      <c r="G690" s="510"/>
      <c r="H690" s="510"/>
      <c r="I690" s="510"/>
      <c r="J690" s="510"/>
    </row>
    <row r="691" spans="1:10" ht="38.25">
      <c r="A691" s="112" t="str">
        <f>'[3]Planilha Orçamentária'!A180</f>
        <v>1.3.6.5</v>
      </c>
      <c r="B691" s="146">
        <f>VLOOKUP(A691,'[3]Planilha Orçamentária'!A:K,2,0)</f>
        <v>95876</v>
      </c>
      <c r="C691" s="147" t="str">
        <f>VLOOKUP(A691,'[3]Planilha Orçamentária'!A:K,3,0)</f>
        <v>TRANSPORTE COM CAMINHÃO BASCULANTE DE 14 M³, EM VIA URBANA PAVIMENTADA, DMT ATÉ 30 KM (UNIDADE: M3XKM). AF_07/2020</v>
      </c>
      <c r="D691" s="148" t="str">
        <f>VLOOKUP(A691,'[3]Planilha Orçamentária'!A:K,4,0)</f>
        <v>M3XKM</v>
      </c>
      <c r="E691" s="149"/>
      <c r="F691" s="150"/>
      <c r="G691" s="150"/>
      <c r="H691" s="150"/>
      <c r="I691" s="150"/>
      <c r="J691" s="151">
        <f>ROUND(SUM(J692:J694),2)</f>
        <v>54.47</v>
      </c>
    </row>
    <row r="692" spans="1:10" ht="14.25" customHeight="1">
      <c r="A692" s="152"/>
      <c r="B692" s="153"/>
      <c r="C692" s="79" t="s">
        <v>1752</v>
      </c>
      <c r="D692" s="63"/>
      <c r="E692" s="79" t="s">
        <v>1627</v>
      </c>
      <c r="F692" s="164"/>
      <c r="G692" s="164"/>
      <c r="H692" s="164"/>
      <c r="I692" s="164" t="s">
        <v>1623</v>
      </c>
      <c r="J692" s="157"/>
    </row>
    <row r="693" spans="1:10" ht="14.25" customHeight="1">
      <c r="A693" s="152"/>
      <c r="B693" s="153"/>
      <c r="C693" s="291" t="s">
        <v>1753</v>
      </c>
      <c r="D693" s="292"/>
      <c r="E693" s="294">
        <v>2.1</v>
      </c>
      <c r="F693" s="164"/>
      <c r="G693" s="164"/>
      <c r="H693" s="164"/>
      <c r="I693" s="295">
        <f>J687</f>
        <v>25.94</v>
      </c>
      <c r="J693" s="58">
        <f>ROUND(PRODUCT(E693:I693),2)</f>
        <v>54.47</v>
      </c>
    </row>
    <row r="694" spans="1:10" ht="14.25" customHeight="1">
      <c r="A694" s="509"/>
      <c r="B694" s="510"/>
      <c r="C694" s="510"/>
      <c r="D694" s="510"/>
      <c r="E694" s="510"/>
      <c r="F694" s="510"/>
      <c r="G694" s="510"/>
      <c r="H694" s="510"/>
      <c r="I694" s="510"/>
      <c r="J694" s="510"/>
    </row>
    <row r="695" spans="1:10" ht="38.25">
      <c r="A695" s="112" t="str">
        <f>'[3]Planilha Orçamentária'!A181</f>
        <v>1.3.6.6</v>
      </c>
      <c r="B695" s="146">
        <f>VLOOKUP(A695,'[3]Planilha Orçamentária'!A:K,2,0)</f>
        <v>94974</v>
      </c>
      <c r="C695" s="147" t="str">
        <f>VLOOKUP(A695,'[3]Planilha Orçamentária'!A:K,3,0)</f>
        <v>CONCRETO MAGRO PARA LASTRO, TRAÇO 1:4,5:4,5 (EM MASSA SECA DE CIMENTO/ AREIA MÉDIA/ BRITA 1) - PREPARO MANUAL. AF_05/2021</v>
      </c>
      <c r="D695" s="148" t="str">
        <f>VLOOKUP(A695,'[3]Planilha Orçamentária'!A:K,4,0)</f>
        <v>M3</v>
      </c>
      <c r="E695" s="149"/>
      <c r="F695" s="150"/>
      <c r="G695" s="150"/>
      <c r="H695" s="150"/>
      <c r="I695" s="150"/>
      <c r="J695" s="151">
        <f>ROUND(SUM(J696:J699),2)</f>
        <v>14.19</v>
      </c>
    </row>
    <row r="696" spans="1:10" ht="14.25" customHeight="1">
      <c r="A696" s="152"/>
      <c r="B696" s="153"/>
      <c r="C696" s="154" t="s">
        <v>1744</v>
      </c>
      <c r="D696" s="31"/>
      <c r="E696" s="155"/>
      <c r="F696" s="156" t="s">
        <v>1606</v>
      </c>
      <c r="G696" s="156" t="s">
        <v>1607</v>
      </c>
      <c r="H696" s="156" t="s">
        <v>1663</v>
      </c>
      <c r="I696" s="155"/>
      <c r="J696" s="157"/>
    </row>
    <row r="697" spans="1:10" ht="28.5">
      <c r="A697" s="152"/>
      <c r="B697" s="153"/>
      <c r="C697" s="126" t="s">
        <v>1666</v>
      </c>
      <c r="D697" s="164"/>
      <c r="E697" s="164"/>
      <c r="F697" s="156">
        <f>F674</f>
        <v>148.84</v>
      </c>
      <c r="G697" s="156">
        <v>0.4</v>
      </c>
      <c r="H697" s="156">
        <f>0.16-0.08</f>
        <v>0.08</v>
      </c>
      <c r="I697" s="160"/>
      <c r="J697" s="58">
        <f>ROUND(PRODUCT(E697:I697),2)</f>
        <v>4.76</v>
      </c>
    </row>
    <row r="698" spans="1:10" ht="14.25">
      <c r="A698" s="161"/>
      <c r="B698" s="296"/>
      <c r="C698" s="297" t="s">
        <v>1754</v>
      </c>
      <c r="D698" s="27"/>
      <c r="E698" s="27"/>
      <c r="F698" s="298">
        <f>F685</f>
        <v>94.3</v>
      </c>
      <c r="G698" s="184">
        <v>1</v>
      </c>
      <c r="H698" s="27">
        <v>0.1</v>
      </c>
      <c r="I698" s="299"/>
      <c r="J698" s="58">
        <f>ROUND(PRODUCT(E698:I698),2)</f>
        <v>9.43</v>
      </c>
    </row>
    <row r="699" spans="1:10" ht="14.25" customHeight="1">
      <c r="A699" s="509"/>
      <c r="B699" s="510"/>
      <c r="C699" s="510"/>
      <c r="D699" s="510"/>
      <c r="E699" s="510"/>
      <c r="F699" s="510"/>
      <c r="G699" s="510"/>
      <c r="H699" s="510"/>
      <c r="I699" s="510"/>
      <c r="J699" s="510"/>
    </row>
    <row r="700" spans="1:10" ht="38.25">
      <c r="A700" s="112" t="str">
        <f>'[3]Planilha Orçamentária'!A182</f>
        <v>1.3.6.7</v>
      </c>
      <c r="B700" s="146">
        <f>VLOOKUP(A700,'[3]Planilha Orçamentária'!A:K,2,0)</f>
        <v>94971</v>
      </c>
      <c r="C700" s="147" t="str">
        <f>VLOOKUP(A700,'[3]Planilha Orçamentária'!A:K,3,0)</f>
        <v>CONCRETO FCK = 25MPA, TRAÇO 1:2,3:2,7 (EM MASSA SECA DE CIMENTO/ AREIA MÉDIA/ BRITA 1) - PREPARO MECÂNICO COM BETONEIRA 600 L. AF_05/2021</v>
      </c>
      <c r="D700" s="148" t="str">
        <f>VLOOKUP(A700,'[3]Planilha Orçamentária'!A:K,4,0)</f>
        <v>M3</v>
      </c>
      <c r="E700" s="149"/>
      <c r="F700" s="150"/>
      <c r="G700" s="150"/>
      <c r="H700" s="150"/>
      <c r="I700" s="150"/>
      <c r="J700" s="151">
        <f>ROUND(SUM(J701:J707),2)</f>
        <v>16.78</v>
      </c>
    </row>
    <row r="701" spans="1:10" ht="14.25" customHeight="1">
      <c r="A701" s="152"/>
      <c r="B701" s="153"/>
      <c r="C701" s="154" t="s">
        <v>1744</v>
      </c>
      <c r="D701" s="31"/>
      <c r="E701" s="155"/>
      <c r="F701" s="156"/>
      <c r="G701" s="156"/>
      <c r="H701" s="156"/>
      <c r="I701" s="155"/>
      <c r="J701" s="157"/>
    </row>
    <row r="702" spans="1:10" ht="14.25" customHeight="1">
      <c r="A702" s="152"/>
      <c r="B702" s="153"/>
      <c r="C702" s="154"/>
      <c r="D702" s="31"/>
      <c r="E702" s="155"/>
      <c r="F702" s="156" t="s">
        <v>1606</v>
      </c>
      <c r="G702" s="156" t="s">
        <v>1607</v>
      </c>
      <c r="H702" s="156" t="s">
        <v>1663</v>
      </c>
      <c r="I702" s="155"/>
      <c r="J702" s="58"/>
    </row>
    <row r="703" spans="1:10" ht="14.25" customHeight="1">
      <c r="A703" s="152"/>
      <c r="B703" s="153"/>
      <c r="C703" s="126" t="s">
        <v>1666</v>
      </c>
      <c r="D703" s="164"/>
      <c r="E703" s="164"/>
      <c r="F703" s="156">
        <f>F674</f>
        <v>148.84</v>
      </c>
      <c r="G703" s="156">
        <v>0.4</v>
      </c>
      <c r="H703" s="156">
        <f>0.16-0.08</f>
        <v>0.08</v>
      </c>
      <c r="I703" s="155"/>
      <c r="J703" s="58">
        <f t="shared" ref="J703" si="66">ROUND(PRODUCT(E703:I703),2)</f>
        <v>4.76</v>
      </c>
    </row>
    <row r="704" spans="1:10" ht="14.25" customHeight="1">
      <c r="A704" s="152"/>
      <c r="B704" s="153"/>
      <c r="C704" s="131" t="s">
        <v>1755</v>
      </c>
      <c r="D704" s="164"/>
      <c r="E704" s="164"/>
      <c r="F704" s="80"/>
      <c r="G704" s="80"/>
      <c r="H704" s="80"/>
      <c r="I704" s="300"/>
      <c r="J704" s="58"/>
    </row>
    <row r="705" spans="1:10" ht="14.25" customHeight="1">
      <c r="A705" s="152"/>
      <c r="B705" s="153"/>
      <c r="C705" s="255" t="s">
        <v>1756</v>
      </c>
      <c r="D705" s="27"/>
      <c r="E705" s="27"/>
      <c r="F705" s="301">
        <f>F698</f>
        <v>94.3</v>
      </c>
      <c r="G705" s="184">
        <v>1</v>
      </c>
      <c r="H705" s="27">
        <v>0.15</v>
      </c>
      <c r="I705" s="301"/>
      <c r="J705" s="58">
        <f t="shared" ref="J705:J706" si="67">ROUND(PRODUCT(E705:I705),2)</f>
        <v>14.15</v>
      </c>
    </row>
    <row r="706" spans="1:10" ht="14.25" customHeight="1">
      <c r="A706" s="152"/>
      <c r="B706" s="153"/>
      <c r="C706" s="255" t="s">
        <v>1757</v>
      </c>
      <c r="D706" s="27"/>
      <c r="E706" s="27">
        <v>-1</v>
      </c>
      <c r="F706" s="302">
        <v>1.8800000000000001E-2</v>
      </c>
      <c r="G706" s="57">
        <f>F705</f>
        <v>94.3</v>
      </c>
      <c r="H706" s="57">
        <v>0.15</v>
      </c>
      <c r="I706" s="57">
        <v>8</v>
      </c>
      <c r="J706" s="58">
        <f t="shared" si="67"/>
        <v>-2.13</v>
      </c>
    </row>
    <row r="707" spans="1:10" ht="14.25" customHeight="1">
      <c r="A707" s="509"/>
      <c r="B707" s="510"/>
      <c r="C707" s="510"/>
      <c r="D707" s="510"/>
      <c r="E707" s="510"/>
      <c r="F707" s="510"/>
      <c r="G707" s="510"/>
      <c r="H707" s="510"/>
      <c r="I707" s="510"/>
      <c r="J707" s="510"/>
    </row>
    <row r="708" spans="1:10" ht="25.5">
      <c r="A708" s="112" t="str">
        <f>'[3]Planilha Orçamentária'!A183</f>
        <v>1.3.6.8</v>
      </c>
      <c r="B708" s="146" t="str">
        <f>VLOOKUP(A708,'[3]Planilha Orçamentária'!A:K,2,0)</f>
        <v>CP-74157/004-48264518</v>
      </c>
      <c r="C708" s="147" t="str">
        <f>VLOOKUP(A708,'[3]Planilha Orçamentária'!A:K,3,0)</f>
        <v>LANCAMENTO/APLICACAO MANUAL DE CONCRETO EM FUNDACOES (concreto magro)</v>
      </c>
      <c r="D708" s="148" t="str">
        <f>VLOOKUP(A708,'[3]Planilha Orçamentária'!A:K,4,0)</f>
        <v>M3</v>
      </c>
      <c r="E708" s="149"/>
      <c r="F708" s="150"/>
      <c r="G708" s="150"/>
      <c r="H708" s="150"/>
      <c r="I708" s="150"/>
      <c r="J708" s="151">
        <f>ROUND(SUM(J709:J711),2)</f>
        <v>38.99</v>
      </c>
    </row>
    <row r="709" spans="1:10" ht="14.25" customHeight="1">
      <c r="A709" s="152"/>
      <c r="B709" s="153"/>
      <c r="C709" s="154" t="s">
        <v>1744</v>
      </c>
      <c r="D709" s="31"/>
      <c r="E709" s="155"/>
      <c r="F709" s="156"/>
      <c r="G709" s="156"/>
      <c r="H709" s="156"/>
      <c r="I709" s="155"/>
      <c r="J709" s="157"/>
    </row>
    <row r="710" spans="1:10" ht="14.25" customHeight="1">
      <c r="A710" s="152"/>
      <c r="B710" s="153"/>
      <c r="C710" s="126"/>
      <c r="D710" s="96"/>
      <c r="E710" s="82"/>
      <c r="F710" s="156"/>
      <c r="G710" s="156"/>
      <c r="H710" s="156"/>
      <c r="I710" s="160">
        <f>J700+J695+J736</f>
        <v>38.989999999999995</v>
      </c>
      <c r="J710" s="58">
        <f>ROUND(PRODUCT(E710:I710),2)</f>
        <v>38.99</v>
      </c>
    </row>
    <row r="711" spans="1:10" ht="14.25" customHeight="1">
      <c r="A711" s="509"/>
      <c r="B711" s="510"/>
      <c r="C711" s="510"/>
      <c r="D711" s="510"/>
      <c r="E711" s="510"/>
      <c r="F711" s="510"/>
      <c r="G711" s="510"/>
      <c r="H711" s="510"/>
      <c r="I711" s="510"/>
      <c r="J711" s="510"/>
    </row>
    <row r="712" spans="1:10" ht="38.25">
      <c r="A712" s="112" t="str">
        <f>'[3]Planilha Orçamentária'!A184</f>
        <v>1.3.6.9</v>
      </c>
      <c r="B712" s="146" t="str">
        <f>VLOOKUP(A712,'[3]Planilha Orçamentária'!A:K,2,0)</f>
        <v>CP-S03639-45770834</v>
      </c>
      <c r="C712" s="147" t="str">
        <f>VLOOKUP(A712,'[3]Planilha Orçamentária'!A:K,3,0)</f>
        <v>Fornecimento e instalação de tela aço soldada nervurada CA-60, Q-283, malha 10x10cm, ferro 6.02mm (4,48 kg/m2), painel 2,45x6,0m, Telcon ou similar</v>
      </c>
      <c r="D712" s="148" t="str">
        <f>VLOOKUP(A712,'[3]Planilha Orçamentária'!A:K,4,0)</f>
        <v>M2</v>
      </c>
      <c r="E712" s="149"/>
      <c r="F712" s="150"/>
      <c r="G712" s="150"/>
      <c r="H712" s="150"/>
      <c r="I712" s="150"/>
      <c r="J712" s="151">
        <f>ROUND(SUM(J713:J715),2)</f>
        <v>59.54</v>
      </c>
    </row>
    <row r="713" spans="1:10" ht="14.25" customHeight="1">
      <c r="A713" s="152"/>
      <c r="B713" s="153"/>
      <c r="C713" s="154" t="s">
        <v>1744</v>
      </c>
      <c r="D713" s="31"/>
      <c r="E713" s="155"/>
      <c r="F713" s="156" t="s">
        <v>1606</v>
      </c>
      <c r="G713" s="156" t="s">
        <v>1607</v>
      </c>
      <c r="H713" s="156"/>
      <c r="I713" s="155"/>
      <c r="J713" s="157"/>
    </row>
    <row r="714" spans="1:10" ht="14.25" customHeight="1">
      <c r="A714" s="152"/>
      <c r="B714" s="153"/>
      <c r="C714" s="126" t="s">
        <v>1668</v>
      </c>
      <c r="D714" s="96"/>
      <c r="E714" s="82"/>
      <c r="F714" s="156">
        <f>F674</f>
        <v>148.84</v>
      </c>
      <c r="G714" s="156">
        <v>0.4</v>
      </c>
      <c r="H714" s="156"/>
      <c r="I714" s="160"/>
      <c r="J714" s="58">
        <f>ROUND(PRODUCT(E714:I714),2)</f>
        <v>59.54</v>
      </c>
    </row>
    <row r="715" spans="1:10" ht="14.25" customHeight="1">
      <c r="A715" s="509"/>
      <c r="B715" s="510"/>
      <c r="C715" s="510"/>
      <c r="D715" s="510"/>
      <c r="E715" s="510"/>
      <c r="F715" s="510"/>
      <c r="G715" s="510"/>
      <c r="H715" s="510"/>
      <c r="I715" s="510"/>
      <c r="J715" s="510"/>
    </row>
    <row r="716" spans="1:10" ht="38.25">
      <c r="A716" s="112" t="str">
        <f>'[3]Planilha Orçamentária'!A185</f>
        <v>1.3.6.10</v>
      </c>
      <c r="B716" s="146">
        <f>VLOOKUP(A716,'[3]Planilha Orçamentária'!A:K,2,0)</f>
        <v>92771</v>
      </c>
      <c r="C716" s="147" t="str">
        <f>VLOOKUP(A716,'[3]Planilha Orçamentária'!A:K,3,0)</f>
        <v>ARMAÇÃO DE LAJE DE ESTRUTURA CONVENCIONAL DE CONCRETO ARMADO UTILIZANDO AÇO CA-50 DE 10,0 MM - MONTAGEM. AF_06/2022</v>
      </c>
      <c r="D716" s="148" t="str">
        <f>VLOOKUP(A716,'[3]Planilha Orçamentária'!A:K,4,0)</f>
        <v>KG</v>
      </c>
      <c r="E716" s="149"/>
      <c r="F716" s="150"/>
      <c r="G716" s="150"/>
      <c r="H716" s="150"/>
      <c r="I716" s="150"/>
      <c r="J716" s="151">
        <f>ROUND(SUM(J717:J719),2)</f>
        <v>716.68</v>
      </c>
    </row>
    <row r="717" spans="1:10" ht="14.25" customHeight="1">
      <c r="A717" s="152"/>
      <c r="B717" s="153"/>
      <c r="C717" s="154" t="s">
        <v>1744</v>
      </c>
      <c r="D717" s="152"/>
      <c r="E717" s="152"/>
      <c r="F717" s="156" t="s">
        <v>1758</v>
      </c>
      <c r="G717" s="156"/>
      <c r="H717" s="156"/>
      <c r="I717" s="300" t="s">
        <v>1759</v>
      </c>
      <c r="J717" s="157"/>
    </row>
    <row r="718" spans="1:10" ht="28.5">
      <c r="A718" s="152"/>
      <c r="B718" s="153"/>
      <c r="C718" s="131" t="s">
        <v>1760</v>
      </c>
      <c r="D718" s="31"/>
      <c r="E718" s="30"/>
      <c r="F718" s="295">
        <f>F698</f>
        <v>94.3</v>
      </c>
      <c r="G718" s="295"/>
      <c r="H718" s="295"/>
      <c r="I718" s="295">
        <v>7.6</v>
      </c>
      <c r="J718" s="58">
        <f>ROUND(PRODUCT(E718:I718),2)</f>
        <v>716.68</v>
      </c>
    </row>
    <row r="719" spans="1:10" ht="14.25" customHeight="1">
      <c r="A719" s="509"/>
      <c r="B719" s="510"/>
      <c r="C719" s="510"/>
      <c r="D719" s="510"/>
      <c r="E719" s="510"/>
      <c r="F719" s="510"/>
      <c r="G719" s="510"/>
      <c r="H719" s="510"/>
      <c r="I719" s="510"/>
      <c r="J719" s="510"/>
    </row>
    <row r="720" spans="1:10" ht="51">
      <c r="A720" s="112" t="str">
        <f>'[3]Planilha Orçamentária'!A186</f>
        <v>1.3.6.11</v>
      </c>
      <c r="B720" s="146" t="str">
        <f>VLOOKUP(A720,'[3]Planilha Orçamentária'!A:K,2,0)</f>
        <v>CP-92268-29291149</v>
      </c>
      <c r="C720" s="147" t="str">
        <f>VLOOKUP(A720,'[3]Planilha Orçamentária'!A:K,3,0)</f>
        <v>FABRICAÇÃO DE FÔRMA PARA LAJES, EM CHAPA DE MADEIRA COMPENSADA PLASTIFICADA, E = 18 MM - EXCLUINDO O PAINEL DE MADEIRA COMPENSADA PLASTIFICADA DE 2200 x 1100 MM, E = *17* MM</v>
      </c>
      <c r="D720" s="148" t="str">
        <f>VLOOKUP(A720,'[3]Planilha Orçamentária'!A:K,4,0)</f>
        <v>M2</v>
      </c>
      <c r="E720" s="149"/>
      <c r="F720" s="150"/>
      <c r="G720" s="150"/>
      <c r="H720" s="150"/>
      <c r="I720" s="150"/>
      <c r="J720" s="151">
        <f>ROUND(SUM(J721:J723),2)</f>
        <v>56.58</v>
      </c>
    </row>
    <row r="721" spans="1:10" ht="14.25" customHeight="1">
      <c r="A721" s="152"/>
      <c r="B721" s="153"/>
      <c r="C721" s="154" t="s">
        <v>1744</v>
      </c>
      <c r="D721" s="94"/>
      <c r="E721" s="300"/>
      <c r="F721" s="94" t="s">
        <v>1761</v>
      </c>
      <c r="G721" s="94" t="s">
        <v>1619</v>
      </c>
      <c r="H721" s="94" t="s">
        <v>1606</v>
      </c>
      <c r="I721" s="155"/>
      <c r="J721" s="157"/>
    </row>
    <row r="722" spans="1:10" ht="14.25" customHeight="1">
      <c r="A722" s="152"/>
      <c r="B722" s="153"/>
      <c r="C722" s="255" t="s">
        <v>1762</v>
      </c>
      <c r="D722" s="96"/>
      <c r="E722" s="82"/>
      <c r="F722" s="57">
        <f>1*4</f>
        <v>4</v>
      </c>
      <c r="G722" s="57">
        <v>0.15</v>
      </c>
      <c r="H722" s="57">
        <f>F718</f>
        <v>94.3</v>
      </c>
      <c r="I722" s="160"/>
      <c r="J722" s="58">
        <f>ROUND(PRODUCT(E722:I722),2)</f>
        <v>56.58</v>
      </c>
    </row>
    <row r="723" spans="1:10" ht="14.25" customHeight="1">
      <c r="A723" s="509"/>
      <c r="B723" s="510"/>
      <c r="C723" s="510"/>
      <c r="D723" s="510"/>
      <c r="E723" s="510"/>
      <c r="F723" s="510"/>
      <c r="G723" s="510"/>
      <c r="H723" s="510"/>
      <c r="I723" s="510"/>
      <c r="J723" s="510"/>
    </row>
    <row r="724" spans="1:10" ht="51">
      <c r="A724" s="112" t="str">
        <f>'[3]Planilha Orçamentária'!A187</f>
        <v>1.3.6.12</v>
      </c>
      <c r="B724" s="146">
        <f>VLOOKUP(A724,'[3]Planilha Orçamentária'!A:K,2,0)</f>
        <v>103320</v>
      </c>
      <c r="C724" s="147" t="str">
        <f>VLOOKUP(A724,'[3]Planilha Orçamentária'!A:K,3,0)</f>
        <v>ALVENARIA DE VEDAÇÃO DE BLOCOS VAZADOS DE CONCRETO DE 19X19X39 CM (ESPESSURA 19 CM) E ARGAMASSA DE ASSENTAMENTO COM PREPARO EM BETONEIRA. AF_12/2021</v>
      </c>
      <c r="D724" s="148" t="str">
        <f>VLOOKUP(A724,'[3]Planilha Orçamentária'!A:K,4,0)</f>
        <v>M2</v>
      </c>
      <c r="E724" s="149"/>
      <c r="F724" s="150"/>
      <c r="G724" s="150"/>
      <c r="H724" s="150"/>
      <c r="I724" s="150"/>
      <c r="J724" s="151">
        <f>ROUND(SUM(J725:J727),2)</f>
        <v>75.44</v>
      </c>
    </row>
    <row r="725" spans="1:10" ht="14.25" customHeight="1">
      <c r="A725" s="152"/>
      <c r="B725" s="153"/>
      <c r="C725" s="154" t="s">
        <v>1744</v>
      </c>
      <c r="D725" s="94"/>
      <c r="E725" s="300"/>
      <c r="F725" s="94" t="s">
        <v>1606</v>
      </c>
      <c r="G725" s="94"/>
      <c r="H725" s="94" t="s">
        <v>1663</v>
      </c>
      <c r="I725" s="94" t="s">
        <v>1763</v>
      </c>
      <c r="J725" s="157"/>
    </row>
    <row r="726" spans="1:10" ht="14.25" customHeight="1">
      <c r="A726" s="152"/>
      <c r="B726" s="153"/>
      <c r="C726" s="255" t="s">
        <v>1764</v>
      </c>
      <c r="D726" s="96"/>
      <c r="E726" s="82"/>
      <c r="F726" s="57">
        <f>H722</f>
        <v>94.3</v>
      </c>
      <c r="G726" s="57"/>
      <c r="H726" s="57">
        <v>0.4</v>
      </c>
      <c r="I726" s="57">
        <v>2</v>
      </c>
      <c r="J726" s="58">
        <f>ROUND(PRODUCT(E726:I726),2)</f>
        <v>75.44</v>
      </c>
    </row>
    <row r="727" spans="1:10" ht="14.25" customHeight="1">
      <c r="A727" s="509"/>
      <c r="B727" s="510"/>
      <c r="C727" s="510"/>
      <c r="D727" s="510"/>
      <c r="E727" s="510"/>
      <c r="F727" s="510"/>
      <c r="G727" s="510"/>
      <c r="H727" s="510"/>
      <c r="I727" s="510"/>
      <c r="J727" s="510"/>
    </row>
    <row r="728" spans="1:10" ht="51">
      <c r="A728" s="112" t="str">
        <f>'[3]Planilha Orçamentária'!A188</f>
        <v>1.3.6.13</v>
      </c>
      <c r="B728" s="146">
        <f>VLOOKUP(A728,'[3]Planilha Orçamentária'!A:K,2,0)</f>
        <v>87879</v>
      </c>
      <c r="C728" s="147" t="str">
        <f>VLOOKUP(A728,'[3]Planilha Orçamentária'!A:K,3,0)</f>
        <v>CHAPISCO APLICADO EM ALVENARIAS E ESTRUTURAS DE CONCRETO INTERNAS, COM COLHER DE PEDREIRO.  ARGAMASSA TRAÇO 1:3 COM PREPARO EM BETONEIRA 400L. AF_06/2014</v>
      </c>
      <c r="D728" s="148" t="str">
        <f>VLOOKUP(A728,'[3]Planilha Orçamentária'!A:K,4,0)</f>
        <v>M2</v>
      </c>
      <c r="E728" s="149"/>
      <c r="F728" s="150"/>
      <c r="G728" s="150"/>
      <c r="H728" s="150"/>
      <c r="I728" s="150"/>
      <c r="J728" s="151">
        <f>ROUND(SUM(J729:J731),2)</f>
        <v>75.44</v>
      </c>
    </row>
    <row r="729" spans="1:10" ht="14.25" customHeight="1">
      <c r="A729" s="152"/>
      <c r="B729" s="153"/>
      <c r="C729" s="154" t="s">
        <v>1744</v>
      </c>
      <c r="D729" s="31"/>
      <c r="E729" s="155"/>
      <c r="F729" s="156"/>
      <c r="G729" s="156"/>
      <c r="H729" s="156"/>
      <c r="I729" s="155"/>
      <c r="J729" s="157"/>
    </row>
    <row r="730" spans="1:10" ht="14.25" customHeight="1">
      <c r="A730" s="152"/>
      <c r="B730" s="153"/>
      <c r="C730" s="126" t="s">
        <v>1765</v>
      </c>
      <c r="D730" s="96"/>
      <c r="E730" s="82"/>
      <c r="F730" s="156"/>
      <c r="G730" s="156"/>
      <c r="H730" s="156"/>
      <c r="I730" s="160">
        <f>J724</f>
        <v>75.44</v>
      </c>
      <c r="J730" s="58">
        <f>ROUND(PRODUCT(E730:I730),2)</f>
        <v>75.44</v>
      </c>
    </row>
    <row r="731" spans="1:10" ht="14.25" customHeight="1">
      <c r="A731" s="509"/>
      <c r="B731" s="510"/>
      <c r="C731" s="510"/>
      <c r="D731" s="510"/>
      <c r="E731" s="510"/>
      <c r="F731" s="510"/>
      <c r="G731" s="510"/>
      <c r="H731" s="510"/>
      <c r="I731" s="510"/>
      <c r="J731" s="510"/>
    </row>
    <row r="732" spans="1:10" ht="63.75">
      <c r="A732" s="112" t="str">
        <f>'[3]Planilha Orçamentária'!A189</f>
        <v>1.3.6.14</v>
      </c>
      <c r="B732" s="146">
        <f>VLOOKUP(A732,'[3]Planilha Orçamentária'!A:K,2,0)</f>
        <v>87547</v>
      </c>
      <c r="C732" s="147" t="str">
        <f>VLOOKUP(A732,'[3]Planilha Orçamentária'!A:K,3,0)</f>
        <v>MASSA ÚNICA, PARA RECEBIMENTO DE PINTURA, EM ARGAMASSA TRAÇO 1:2:8, PREPARO MECÂNICO COM BETONEIRA 400L, APLICADA MANUALMENTE EM FACES INTERNAS DE PAREDES, ESPESSURA DE 10MM, COM EXECUÇÃO DE TALISCAS. AF_06/2014</v>
      </c>
      <c r="D732" s="148" t="str">
        <f>VLOOKUP(A732,'[3]Planilha Orçamentária'!A:K,4,0)</f>
        <v>M2</v>
      </c>
      <c r="E732" s="149"/>
      <c r="F732" s="150"/>
      <c r="G732" s="150"/>
      <c r="H732" s="150"/>
      <c r="I732" s="150"/>
      <c r="J732" s="151">
        <f>ROUND(SUM(J733:J735),2)</f>
        <v>75.44</v>
      </c>
    </row>
    <row r="733" spans="1:10" ht="14.25" customHeight="1">
      <c r="A733" s="152"/>
      <c r="B733" s="153"/>
      <c r="C733" s="154" t="s">
        <v>1744</v>
      </c>
      <c r="D733" s="31"/>
      <c r="E733" s="155"/>
      <c r="F733" s="156"/>
      <c r="G733" s="156"/>
      <c r="H733" s="156"/>
      <c r="I733" s="155"/>
      <c r="J733" s="157"/>
    </row>
    <row r="734" spans="1:10" ht="14.25" customHeight="1">
      <c r="A734" s="152"/>
      <c r="B734" s="153"/>
      <c r="C734" s="126" t="s">
        <v>1765</v>
      </c>
      <c r="D734" s="96"/>
      <c r="E734" s="82"/>
      <c r="F734" s="156"/>
      <c r="G734" s="156"/>
      <c r="H734" s="156"/>
      <c r="I734" s="160">
        <f>J728</f>
        <v>75.44</v>
      </c>
      <c r="J734" s="58">
        <f>ROUND(PRODUCT(E734:I734),2)</f>
        <v>75.44</v>
      </c>
    </row>
    <row r="735" spans="1:10" ht="14.25" customHeight="1">
      <c r="A735" s="509"/>
      <c r="B735" s="510"/>
      <c r="C735" s="510"/>
      <c r="D735" s="510"/>
      <c r="E735" s="510"/>
      <c r="F735" s="510"/>
      <c r="G735" s="510"/>
      <c r="H735" s="510"/>
      <c r="I735" s="510"/>
      <c r="J735" s="510"/>
    </row>
    <row r="736" spans="1:10" ht="38.25">
      <c r="A736" s="112" t="str">
        <f>'[3]Planilha Orçamentária'!A190</f>
        <v>1.3.6.15</v>
      </c>
      <c r="B736" s="146">
        <f>VLOOKUP(A736,'[3]Planilha Orçamentária'!A:K,2,0)</f>
        <v>94975</v>
      </c>
      <c r="C736" s="147" t="str">
        <f>VLOOKUP(A736,'[3]Planilha Orçamentária'!A:K,3,0)</f>
        <v>CONCRETO FCK = 15MPA, TRAÇO 1:3,4:3,5 (EM MASSA SECA DE CIMENTO/ AREIA MÉDIA/ BRITA 1) - PREPARO MANUAL. AF_05/2021</v>
      </c>
      <c r="D736" s="148" t="str">
        <f>VLOOKUP(A736,'[3]Planilha Orçamentária'!A:K,4,0)</f>
        <v>M3</v>
      </c>
      <c r="E736" s="149"/>
      <c r="F736" s="150"/>
      <c r="G736" s="150"/>
      <c r="H736" s="150"/>
      <c r="I736" s="150"/>
      <c r="J736" s="151">
        <f>ROUND(SUM(J737:J740),2)</f>
        <v>8.02</v>
      </c>
    </row>
    <row r="737" spans="1:10" ht="14.25" customHeight="1">
      <c r="A737" s="152"/>
      <c r="B737" s="153"/>
      <c r="C737" s="154" t="s">
        <v>1744</v>
      </c>
      <c r="D737" s="164"/>
      <c r="E737" s="164"/>
      <c r="F737" s="164" t="s">
        <v>1606</v>
      </c>
      <c r="G737" s="164"/>
      <c r="H737" s="57"/>
      <c r="I737" s="155"/>
      <c r="J737" s="157"/>
    </row>
    <row r="738" spans="1:10" ht="28.5">
      <c r="A738" s="152"/>
      <c r="B738" s="153"/>
      <c r="C738" s="131" t="s">
        <v>1766</v>
      </c>
      <c r="D738" s="303"/>
      <c r="E738" s="304" t="s">
        <v>1767</v>
      </c>
      <c r="F738" s="304" t="s">
        <v>1768</v>
      </c>
      <c r="G738" s="184"/>
      <c r="H738" s="304" t="s">
        <v>1769</v>
      </c>
      <c r="I738" s="282"/>
      <c r="J738" s="285"/>
    </row>
    <row r="739" spans="1:10" ht="14.25" customHeight="1">
      <c r="A739" s="152"/>
      <c r="B739" s="153"/>
      <c r="C739" s="255" t="s">
        <v>1770</v>
      </c>
      <c r="D739" s="303"/>
      <c r="E739" s="305">
        <f>0.294*0.14*0.19</f>
        <v>7.8203999999999999E-3</v>
      </c>
      <c r="F739" s="184">
        <v>13.6</v>
      </c>
      <c r="G739" s="306"/>
      <c r="H739" s="57">
        <f>J724</f>
        <v>75.44</v>
      </c>
      <c r="I739" s="282"/>
      <c r="J739" s="58">
        <f>ROUND(PRODUCT(E739:I739),2)</f>
        <v>8.02</v>
      </c>
    </row>
    <row r="740" spans="1:10" ht="14.25" customHeight="1">
      <c r="A740" s="509"/>
      <c r="B740" s="510"/>
      <c r="C740" s="510"/>
      <c r="D740" s="510"/>
      <c r="E740" s="510"/>
      <c r="F740" s="510"/>
      <c r="G740" s="510"/>
      <c r="H740" s="510"/>
      <c r="I740" s="510"/>
      <c r="J740" s="510"/>
    </row>
    <row r="741" spans="1:10">
      <c r="A741" s="19" t="str">
        <f>'[3]Planilha Orçamentária'!A191</f>
        <v>1.3.7</v>
      </c>
      <c r="B741" s="20"/>
      <c r="C741" s="21" t="str">
        <f>VLOOKUP(A741,'[3]Planilha Orçamentária'!A:K,3,0)</f>
        <v>SINALIZAÇÃO</v>
      </c>
      <c r="D741" s="21"/>
      <c r="E741" s="39"/>
      <c r="F741" s="40"/>
      <c r="G741" s="40"/>
      <c r="H741" s="40"/>
      <c r="I741" s="40"/>
      <c r="J741" s="41"/>
    </row>
    <row r="742" spans="1:10" ht="25.5">
      <c r="A742" s="112" t="str">
        <f>'[3]Planilha Orçamentária'!A192</f>
        <v>1.3.7.1</v>
      </c>
      <c r="B742" s="146">
        <f>VLOOKUP(A742,'[3]Planilha Orçamentária'!A:K,2,0)</f>
        <v>5213416</v>
      </c>
      <c r="C742" s="147" t="str">
        <f>VLOOKUP(A742,'[3]Planilha Orçamentária'!A:K,3,0)</f>
        <v>Confecção de placa em aço nº 16 galvanizado, com película tipo I + I</v>
      </c>
      <c r="D742" s="148" t="str">
        <f>VLOOKUP(A742,'[3]Planilha Orçamentária'!A:K,4,0)</f>
        <v xml:space="preserve">M2    </v>
      </c>
      <c r="E742" s="149"/>
      <c r="F742" s="150"/>
      <c r="G742" s="150"/>
      <c r="H742" s="150"/>
      <c r="I742" s="150"/>
      <c r="J742" s="33">
        <f>ROUND(SUM(J743:J744),2)</f>
        <v>0.6</v>
      </c>
    </row>
    <row r="743" spans="1:10" ht="25.5">
      <c r="A743" s="307"/>
      <c r="B743" s="308"/>
      <c r="C743" s="86" t="s">
        <v>1771</v>
      </c>
      <c r="D743" s="168"/>
      <c r="E743" s="169"/>
      <c r="F743" s="170"/>
      <c r="G743" s="170"/>
      <c r="H743" s="82" t="s">
        <v>1620</v>
      </c>
      <c r="I743" s="256" t="s">
        <v>1608</v>
      </c>
      <c r="J743" s="157"/>
    </row>
    <row r="744" spans="1:10">
      <c r="A744" s="307"/>
      <c r="B744" s="308"/>
      <c r="C744" s="154" t="s">
        <v>1670</v>
      </c>
      <c r="D744" s="31"/>
      <c r="E744" s="82"/>
      <c r="F744" s="32"/>
      <c r="G744" s="32"/>
      <c r="H744" s="82">
        <f>ROUNDUP(((4.828427*0.35*0.35)),2)</f>
        <v>0.6</v>
      </c>
      <c r="I744" s="160">
        <v>1</v>
      </c>
      <c r="J744" s="58">
        <f>ROUND(PRODUCT(E744:I744),2)</f>
        <v>0.6</v>
      </c>
    </row>
    <row r="745" spans="1:10">
      <c r="A745" s="509"/>
      <c r="B745" s="510"/>
      <c r="C745" s="510"/>
      <c r="D745" s="510"/>
      <c r="E745" s="510"/>
      <c r="F745" s="510"/>
      <c r="G745" s="510"/>
      <c r="H745" s="510"/>
      <c r="I745" s="510"/>
      <c r="J745" s="510"/>
    </row>
    <row r="746" spans="1:10" ht="25.5">
      <c r="A746" s="112" t="str">
        <f>'[3]Planilha Orçamentária'!A193</f>
        <v>1.3.7.2</v>
      </c>
      <c r="B746" s="146">
        <f>VLOOKUP(A746,'[3]Planilha Orçamentária'!A:K,2,0)</f>
        <v>5213421</v>
      </c>
      <c r="C746" s="147" t="str">
        <f>VLOOKUP(A746,'[3]Planilha Orçamentária'!A:K,3,0)</f>
        <v>Confecção de placa em aço nº 16 galvanizado, com película tipo I + IV</v>
      </c>
      <c r="D746" s="148" t="str">
        <f>VLOOKUP(A746,'[3]Planilha Orçamentária'!A:K,4,0)</f>
        <v xml:space="preserve">M2    </v>
      </c>
      <c r="E746" s="149"/>
      <c r="F746" s="150"/>
      <c r="G746" s="150"/>
      <c r="H746" s="150"/>
      <c r="I746" s="150"/>
      <c r="J746" s="151">
        <f>ROUND(SUM(J747:J751),2)</f>
        <v>4.3</v>
      </c>
    </row>
    <row r="747" spans="1:10">
      <c r="A747" s="152"/>
      <c r="B747" s="153"/>
      <c r="C747" s="86" t="s">
        <v>1771</v>
      </c>
      <c r="D747" s="31"/>
      <c r="E747" s="155"/>
      <c r="F747" s="31"/>
      <c r="G747" s="31"/>
      <c r="H747" s="155" t="s">
        <v>1620</v>
      </c>
      <c r="I747" s="155" t="s">
        <v>1125</v>
      </c>
      <c r="J747" s="157"/>
    </row>
    <row r="748" spans="1:10">
      <c r="A748" s="152"/>
      <c r="B748" s="153"/>
      <c r="C748" s="142" t="s">
        <v>1671</v>
      </c>
      <c r="D748" s="174"/>
      <c r="E748" s="35"/>
      <c r="F748" s="35"/>
      <c r="G748" s="35"/>
      <c r="H748" s="35">
        <v>0.2</v>
      </c>
      <c r="I748" s="82">
        <v>9</v>
      </c>
      <c r="J748" s="58">
        <f>ROUND(PRODUCT(E748:I748),2)</f>
        <v>1.8</v>
      </c>
    </row>
    <row r="749" spans="1:10">
      <c r="A749" s="161"/>
      <c r="B749" s="296"/>
      <c r="C749" s="177" t="s">
        <v>1772</v>
      </c>
      <c r="D749" s="158"/>
      <c r="E749" s="116"/>
      <c r="F749" s="116"/>
      <c r="G749" s="116"/>
      <c r="H749" s="116">
        <f>0.5*0.5</f>
        <v>0.25</v>
      </c>
      <c r="I749" s="178">
        <v>4</v>
      </c>
      <c r="J749" s="58">
        <f>ROUND(PRODUCT(E749:I749),2)</f>
        <v>1</v>
      </c>
    </row>
    <row r="750" spans="1:10">
      <c r="A750" s="161"/>
      <c r="B750" s="296"/>
      <c r="C750" s="177" t="s">
        <v>1773</v>
      </c>
      <c r="D750" s="158"/>
      <c r="E750" s="116"/>
      <c r="F750" s="116"/>
      <c r="G750" s="116"/>
      <c r="H750" s="116">
        <f>0.5*0.5</f>
        <v>0.25</v>
      </c>
      <c r="I750" s="178">
        <v>6</v>
      </c>
      <c r="J750" s="58">
        <f>ROUND(PRODUCT(E750:I750),2)</f>
        <v>1.5</v>
      </c>
    </row>
    <row r="751" spans="1:10">
      <c r="A751" s="509"/>
      <c r="B751" s="510"/>
      <c r="C751" s="510"/>
      <c r="D751" s="510"/>
      <c r="E751" s="510"/>
      <c r="F751" s="510"/>
      <c r="G751" s="510"/>
      <c r="H751" s="510"/>
      <c r="I751" s="510"/>
      <c r="J751" s="510"/>
    </row>
    <row r="752" spans="1:10" ht="38.25">
      <c r="A752" s="28" t="str">
        <f>'[3]Planilha Orçamentária'!A194</f>
        <v>1.3.7.3</v>
      </c>
      <c r="B752" s="42">
        <f>VLOOKUP(A752,'[3]Planilha Orçamentária'!A:K,2,0)</f>
        <v>5216111</v>
      </c>
      <c r="C752" s="166" t="str">
        <f>VLOOKUP(A752,'[3]Planilha Orçamentária'!A:K,3,0)</f>
        <v>FORNECIMENTO E IMPLANTAÇÃO DE SUPORTE E TRAVESSA PARA PLACA DE SINALIZAÇÃO EM MADEIRA DE LEI TRATADA 8 X 8 CM</v>
      </c>
      <c r="D752" s="31" t="str">
        <f>VLOOKUP(A752,'[3]Planilha Orçamentária'!A:K,4,0)</f>
        <v>UND</v>
      </c>
      <c r="E752" s="30"/>
      <c r="F752" s="32"/>
      <c r="G752" s="32"/>
      <c r="H752" s="32"/>
      <c r="I752" s="32"/>
      <c r="J752" s="45">
        <f>ROUND(SUM(J753:J754),2)</f>
        <v>16</v>
      </c>
    </row>
    <row r="753" spans="1:10">
      <c r="A753" s="54"/>
      <c r="B753" s="54"/>
      <c r="C753" s="86" t="s">
        <v>1771</v>
      </c>
      <c r="D753" s="31"/>
      <c r="E753" s="30"/>
      <c r="F753" s="32"/>
      <c r="G753" s="32"/>
      <c r="H753" s="32"/>
      <c r="I753" s="155" t="s">
        <v>1125</v>
      </c>
      <c r="J753" s="58"/>
    </row>
    <row r="754" spans="1:10">
      <c r="A754" s="176"/>
      <c r="B754" s="176"/>
      <c r="C754" s="142" t="s">
        <v>1676</v>
      </c>
      <c r="D754" s="174"/>
      <c r="E754" s="175"/>
      <c r="F754" s="35"/>
      <c r="G754" s="35"/>
      <c r="H754" s="82"/>
      <c r="I754" s="82">
        <v>16</v>
      </c>
      <c r="J754" s="58">
        <f>ROUND(PRODUCT(E754:I754),2)</f>
        <v>16</v>
      </c>
    </row>
    <row r="755" spans="1:10">
      <c r="A755" s="507"/>
      <c r="B755" s="507"/>
      <c r="C755" s="507"/>
      <c r="D755" s="507"/>
      <c r="E755" s="507"/>
      <c r="F755" s="507"/>
      <c r="G755" s="507"/>
      <c r="H755" s="507"/>
      <c r="I755" s="507"/>
      <c r="J755" s="508"/>
    </row>
    <row r="756" spans="1:10" ht="25.5">
      <c r="A756" s="28" t="str">
        <f>'[3]Planilha Orçamentária'!A195</f>
        <v>1.3.7.4</v>
      </c>
      <c r="B756" s="42" t="str">
        <f>VLOOKUP(A756,'[3]Planilha Orçamentária'!A:K,2,0)</f>
        <v>COMP-58084869</v>
      </c>
      <c r="C756" s="166" t="str">
        <f>VLOOKUP(A756,'[3]Planilha Orçamentária'!A:K,3,0)</f>
        <v>PLACA ESMALTADA PARA IDENTIFICAÇÃO NR DE RUA, DIMENSÕES 45X25CM</v>
      </c>
      <c r="D756" s="31" t="str">
        <f>VLOOKUP(A756,'[3]Planilha Orçamentária'!A:K,4,0)</f>
        <v>UND</v>
      </c>
      <c r="E756" s="30"/>
      <c r="F756" s="32"/>
      <c r="G756" s="32"/>
      <c r="H756" s="32"/>
      <c r="I756" s="32"/>
      <c r="J756" s="45">
        <f>ROUND(SUM(J758:J758),2)</f>
        <v>5</v>
      </c>
    </row>
    <row r="757" spans="1:10">
      <c r="A757" s="112"/>
      <c r="B757" s="146"/>
      <c r="C757" s="86" t="s">
        <v>1771</v>
      </c>
      <c r="D757" s="31"/>
      <c r="E757" s="30"/>
      <c r="F757" s="32"/>
      <c r="G757" s="32"/>
      <c r="H757" s="32"/>
      <c r="I757" s="155" t="s">
        <v>1125</v>
      </c>
      <c r="J757" s="151"/>
    </row>
    <row r="758" spans="1:10">
      <c r="A758" s="176"/>
      <c r="B758" s="176"/>
      <c r="C758" s="142" t="s">
        <v>1676</v>
      </c>
      <c r="D758" s="31"/>
      <c r="E758" s="30"/>
      <c r="F758" s="32"/>
      <c r="G758" s="32"/>
      <c r="H758" s="32"/>
      <c r="I758" s="82">
        <v>5</v>
      </c>
      <c r="J758" s="188">
        <f>ROUND(PRODUCT(E758:I758),2)</f>
        <v>5</v>
      </c>
    </row>
    <row r="759" spans="1:10">
      <c r="A759" s="506"/>
      <c r="B759" s="507"/>
      <c r="C759" s="507"/>
      <c r="D759" s="507"/>
      <c r="E759" s="507"/>
      <c r="F759" s="507"/>
      <c r="G759" s="507"/>
      <c r="H759" s="507"/>
      <c r="I759" s="507"/>
      <c r="J759" s="508"/>
    </row>
    <row r="760" spans="1:10" ht="38.25">
      <c r="A760" s="28" t="str">
        <f>'[3]Planilha Orçamentária'!A196</f>
        <v>1.3.7.5</v>
      </c>
      <c r="B760" s="42" t="str">
        <f>VLOOKUP(A760,'[3]Planilha Orçamentária'!A:K,2,0)</f>
        <v>CP-72947-21572945</v>
      </c>
      <c r="C760" s="166" t="str">
        <f>VLOOKUP(A760,'[3]Planilha Orçamentária'!A:K,3,0)</f>
        <v>SINALIZACAO HORIZONTAL COM TINTA RETRORREFLETIVA A BASE DE RESINA ACRILICA COM MICROESFERAS DE VIDRO</v>
      </c>
      <c r="D760" s="31" t="str">
        <f>VLOOKUP(A760,'[3]Planilha Orçamentária'!A:K,4,0)</f>
        <v>M2</v>
      </c>
      <c r="E760" s="30"/>
      <c r="F760" s="32"/>
      <c r="G760" s="32"/>
      <c r="H760" s="32"/>
      <c r="I760" s="32"/>
      <c r="J760" s="45">
        <f>ROUND(SUM(J762:J762),2)</f>
        <v>9.7200000000000006</v>
      </c>
    </row>
    <row r="761" spans="1:10">
      <c r="A761" s="112"/>
      <c r="B761" s="146"/>
      <c r="C761" s="86" t="s">
        <v>1771</v>
      </c>
      <c r="D761" s="63"/>
      <c r="E761" s="309"/>
      <c r="F761" s="64"/>
      <c r="G761" s="64"/>
      <c r="H761" s="64"/>
      <c r="I761" s="309" t="s">
        <v>1620</v>
      </c>
      <c r="J761" s="151"/>
    </row>
    <row r="762" spans="1:10">
      <c r="A762" s="176"/>
      <c r="B762" s="176"/>
      <c r="C762" s="142" t="s">
        <v>1774</v>
      </c>
      <c r="D762" s="191"/>
      <c r="E762" s="82"/>
      <c r="F762" s="82"/>
      <c r="G762" s="82"/>
      <c r="H762" s="82"/>
      <c r="I762" s="82">
        <v>9.7200000000000006</v>
      </c>
      <c r="J762" s="188">
        <f>ROUND(PRODUCT(E762:I762),2)</f>
        <v>9.7200000000000006</v>
      </c>
    </row>
    <row r="763" spans="1:10">
      <c r="A763" s="506"/>
      <c r="B763" s="507"/>
      <c r="C763" s="507"/>
      <c r="D763" s="507"/>
      <c r="E763" s="507"/>
      <c r="F763" s="507"/>
      <c r="G763" s="507"/>
      <c r="H763" s="507"/>
      <c r="I763" s="507"/>
      <c r="J763" s="508"/>
    </row>
    <row r="764" spans="1:10" ht="51">
      <c r="A764" s="28" t="str">
        <f>'[3]Planilha Orçamentária'!A197</f>
        <v>1.3.7.6</v>
      </c>
      <c r="B764" s="42">
        <f>VLOOKUP(A764,'[3]Planilha Orçamentária'!A:K,2,0)</f>
        <v>102512</v>
      </c>
      <c r="C764" s="166" t="str">
        <f>VLOOKUP(A764,'[3]Planilha Orçamentária'!A:K,3,0)</f>
        <v>PINTURA DE EIXO VIÁRIO SOBRE ASFALTO COM TINTA RETRORREFLETIVA A BASE DE RESINA ACRÍLICA COM MICROESFERAS DE VIDRO, APLICAÇÃO MECÂNICA COM DEMARCADORA AUTOPROPELIDA. AF_05/2021</v>
      </c>
      <c r="D764" s="31" t="str">
        <f>VLOOKUP(A764,'[3]Planilha Orçamentária'!A:K,4,0)</f>
        <v>M</v>
      </c>
      <c r="E764" s="30"/>
      <c r="F764" s="32"/>
      <c r="G764" s="32"/>
      <c r="H764" s="32"/>
      <c r="I764" s="32"/>
      <c r="J764" s="45">
        <f>ROUND(SUM(J766:J766),2)</f>
        <v>1130.22</v>
      </c>
    </row>
    <row r="765" spans="1:10">
      <c r="A765" s="112"/>
      <c r="B765" s="146"/>
      <c r="C765" s="86" t="s">
        <v>1771</v>
      </c>
      <c r="D765" s="63"/>
      <c r="E765" s="309"/>
      <c r="F765" s="80" t="s">
        <v>1606</v>
      </c>
      <c r="G765" s="64"/>
      <c r="H765" s="64"/>
      <c r="I765" s="309"/>
      <c r="J765" s="151"/>
    </row>
    <row r="766" spans="1:10">
      <c r="A766" s="176"/>
      <c r="B766" s="176"/>
      <c r="C766" s="142" t="s">
        <v>1676</v>
      </c>
      <c r="D766" s="191"/>
      <c r="E766" s="82"/>
      <c r="F766" s="82">
        <v>1130.22</v>
      </c>
      <c r="G766" s="82"/>
      <c r="H766" s="82"/>
      <c r="I766" s="82"/>
      <c r="J766" s="188">
        <f>ROUND(PRODUCT(E766:I766),2)</f>
        <v>1130.22</v>
      </c>
    </row>
    <row r="767" spans="1:10">
      <c r="A767" s="506"/>
      <c r="B767" s="507"/>
      <c r="C767" s="507"/>
      <c r="D767" s="507"/>
      <c r="E767" s="507"/>
      <c r="F767" s="507"/>
      <c r="G767" s="507"/>
      <c r="H767" s="507"/>
      <c r="I767" s="507"/>
      <c r="J767" s="508"/>
    </row>
    <row r="768" spans="1:10" ht="51">
      <c r="A768" s="28" t="str">
        <f>'[3]Planilha Orçamentária'!A198</f>
        <v>1.3.7.7</v>
      </c>
      <c r="B768" s="42">
        <f>VLOOKUP(A768,'[3]Planilha Orçamentária'!A:K,2,0)</f>
        <v>102509</v>
      </c>
      <c r="C768" s="166" t="str">
        <f>VLOOKUP(A768,'[3]Planilha Orçamentária'!A:K,3,0)</f>
        <v>PINTURA DE FAIXA DE PEDESTRE OU ZEBRADA TINTA RETRORREFLETIVA A BASE DE RESINA ACRÍLICA COM MICROESFERAS DE VIDRO, E = 30 CM, APLICAÇÃO MANUAL. AF_05/2021</v>
      </c>
      <c r="D768" s="31" t="str">
        <f>VLOOKUP(A768,'[3]Planilha Orçamentária'!A:K,4,0)</f>
        <v>M2</v>
      </c>
      <c r="E768" s="30"/>
      <c r="F768" s="32"/>
      <c r="G768" s="32"/>
      <c r="H768" s="32"/>
      <c r="I768" s="32"/>
      <c r="J768" s="45">
        <f>ROUND(SUM(J770:J770),2)</f>
        <v>46.8</v>
      </c>
    </row>
    <row r="769" spans="1:10">
      <c r="A769" s="112"/>
      <c r="B769" s="146"/>
      <c r="C769" s="86" t="s">
        <v>1771</v>
      </c>
      <c r="D769" s="63"/>
      <c r="E769" s="309"/>
      <c r="F769" s="64"/>
      <c r="G769" s="64"/>
      <c r="H769" s="64"/>
      <c r="I769" s="309" t="s">
        <v>1620</v>
      </c>
      <c r="J769" s="151"/>
    </row>
    <row r="770" spans="1:10">
      <c r="A770" s="176"/>
      <c r="B770" s="176"/>
      <c r="C770" s="142" t="s">
        <v>1676</v>
      </c>
      <c r="D770" s="191"/>
      <c r="E770" s="82"/>
      <c r="F770" s="82"/>
      <c r="G770" s="82"/>
      <c r="H770" s="82"/>
      <c r="I770" s="82">
        <v>46.8</v>
      </c>
      <c r="J770" s="188">
        <f>ROUND(PRODUCT(E770:I770),2)</f>
        <v>46.8</v>
      </c>
    </row>
    <row r="771" spans="1:10">
      <c r="A771" s="506"/>
      <c r="B771" s="507"/>
      <c r="C771" s="507"/>
      <c r="D771" s="507"/>
      <c r="E771" s="507"/>
      <c r="F771" s="507"/>
      <c r="G771" s="507"/>
      <c r="H771" s="507"/>
      <c r="I771" s="507"/>
      <c r="J771" s="508"/>
    </row>
    <row r="772" spans="1:10">
      <c r="A772" s="19" t="str">
        <f>'[3]Planilha Orçamentária'!A199</f>
        <v>1.3.8</v>
      </c>
      <c r="B772" s="20"/>
      <c r="C772" s="21" t="str">
        <f>VLOOKUP(A772,'[3]Planilha Orçamentária'!A:K,3,0)</f>
        <v>ACESSIBILIDADE</v>
      </c>
      <c r="D772" s="21"/>
      <c r="E772" s="39"/>
      <c r="F772" s="40"/>
      <c r="G772" s="40"/>
      <c r="H772" s="40"/>
      <c r="I772" s="40"/>
      <c r="J772" s="41"/>
    </row>
    <row r="773" spans="1:10" ht="51">
      <c r="A773" s="112" t="str">
        <f>'[3]Planilha Orçamentária'!A200</f>
        <v>1.3.8.1</v>
      </c>
      <c r="B773" s="146" t="str">
        <f>VLOOKUP(A773,'[3]Planilha Orçamentária'!A:K,2,0)</f>
        <v>CP-S12039-81921471</v>
      </c>
      <c r="C773" s="147" t="str">
        <f>VLOOKUP(A773,'[3]Planilha Orçamentária'!A:K,3,0)</f>
        <v>Piso tátil direcional e/ou alerta, de concreto, na cor natural, p/deficientes visuais, dimensões 40x40cm, aplicado com argamassa industrializada ac-ii, rejuntado, exclusive regularização de base</v>
      </c>
      <c r="D773" s="148" t="str">
        <f>VLOOKUP(A773,'[3]Planilha Orçamentária'!A:K,4,0)</f>
        <v>M2</v>
      </c>
      <c r="E773" s="149"/>
      <c r="F773" s="150"/>
      <c r="G773" s="150"/>
      <c r="H773" s="150"/>
      <c r="I773" s="150"/>
      <c r="J773" s="33">
        <f>ROUND(SUM(J774:J776),2)</f>
        <v>16.32</v>
      </c>
    </row>
    <row r="774" spans="1:10">
      <c r="A774" s="112"/>
      <c r="B774" s="146"/>
      <c r="C774" s="259" t="s">
        <v>1771</v>
      </c>
      <c r="D774" s="69"/>
      <c r="E774" s="310"/>
      <c r="F774" s="71"/>
      <c r="G774" s="71"/>
      <c r="H774" s="71"/>
      <c r="I774" s="310" t="s">
        <v>1620</v>
      </c>
      <c r="J774" s="151"/>
    </row>
    <row r="775" spans="1:10">
      <c r="A775" s="54"/>
      <c r="B775" s="54"/>
      <c r="C775" s="142" t="s">
        <v>1676</v>
      </c>
      <c r="D775" s="191"/>
      <c r="E775" s="82"/>
      <c r="F775" s="82"/>
      <c r="G775" s="82"/>
      <c r="H775" s="82"/>
      <c r="I775" s="82">
        <v>2.88</v>
      </c>
      <c r="J775" s="36">
        <f>ROUND(PRODUCT(E775:I775),2)</f>
        <v>2.88</v>
      </c>
    </row>
    <row r="776" spans="1:10">
      <c r="A776" s="54"/>
      <c r="B776" s="54"/>
      <c r="C776" s="142"/>
      <c r="D776" s="191"/>
      <c r="E776" s="82"/>
      <c r="F776" s="82"/>
      <c r="G776" s="82"/>
      <c r="H776" s="82"/>
      <c r="I776" s="82">
        <v>13.44</v>
      </c>
      <c r="J776" s="36">
        <f>ROUND(PRODUCT(E776:I776),2)</f>
        <v>13.44</v>
      </c>
    </row>
    <row r="777" spans="1:10">
      <c r="A777" s="506"/>
      <c r="B777" s="507"/>
      <c r="C777" s="507"/>
      <c r="D777" s="507"/>
      <c r="E777" s="507"/>
      <c r="F777" s="507"/>
      <c r="G777" s="507"/>
      <c r="H777" s="507"/>
      <c r="I777" s="507"/>
      <c r="J777" s="507"/>
    </row>
    <row r="778" spans="1:10">
      <c r="A778" s="19" t="str">
        <f>'[3]Planilha Orçamentária'!A201</f>
        <v>1.3.9</v>
      </c>
      <c r="B778" s="20"/>
      <c r="C778" s="21" t="str">
        <f>VLOOKUP(A778,'[3]Planilha Orçamentária'!A:K,3,0)</f>
        <v>MATERIAIS</v>
      </c>
      <c r="D778" s="21"/>
      <c r="E778" s="39"/>
      <c r="F778" s="40"/>
      <c r="G778" s="40"/>
      <c r="H778" s="40"/>
      <c r="I778" s="40"/>
      <c r="J778" s="41"/>
    </row>
    <row r="779" spans="1:10" ht="51">
      <c r="A779" s="60" t="str">
        <f>'[3]Planilha Orçamentária'!A202</f>
        <v>1.3.9.1</v>
      </c>
      <c r="B779" s="61">
        <f>VLOOKUP(A779,'[3]Planilha Orçamentária'!A:K,2,0)</f>
        <v>10775</v>
      </c>
      <c r="C779" s="62" t="str">
        <f>VLOOKUP(A779,'[3]Planilha Orçamentária'!A:K,3,0)</f>
        <v xml:space="preserve">LOCACAO DE CONTAINER 2,30 X 6,00 M, ALT. 2,50 M, COM 1 SANITARIO, PARA ESCRITORIO, COMPLETO, SEM DIVISORIAS INTERNAS (NAO INCLUI MOBILIZACAO/DESMOBILIZACAO)                                                                                                                                                                                                                                                                                                                                              </v>
      </c>
      <c r="D779" s="63" t="str">
        <f>VLOOKUP(A779,'[3]Planilha Orçamentária'!A:K,4,0)</f>
        <v xml:space="preserve">MES   </v>
      </c>
      <c r="E779" s="62"/>
      <c r="F779" s="64"/>
      <c r="G779" s="64"/>
      <c r="H779" s="64"/>
      <c r="I779" s="64"/>
      <c r="J779" s="65">
        <f>ROUND(SUM(J781:J781),2)</f>
        <v>6</v>
      </c>
    </row>
    <row r="780" spans="1:10" ht="25.5">
      <c r="A780" s="66"/>
      <c r="B780" s="67"/>
      <c r="C780" s="68"/>
      <c r="D780" s="69"/>
      <c r="E780" s="68"/>
      <c r="F780" s="70"/>
      <c r="G780" s="71"/>
      <c r="H780" s="71"/>
      <c r="I780" s="34" t="s">
        <v>1609</v>
      </c>
      <c r="J780" s="72"/>
    </row>
    <row r="781" spans="1:10">
      <c r="A781" s="27"/>
      <c r="B781" s="27"/>
      <c r="C781" s="73"/>
      <c r="D781" s="74"/>
      <c r="E781" s="35"/>
      <c r="F781" s="75"/>
      <c r="G781" s="35"/>
      <c r="H781" s="35"/>
      <c r="I781" s="35">
        <f>I523</f>
        <v>6</v>
      </c>
      <c r="J781" s="36">
        <f>ROUND(PRODUCT(E781:I781),2)</f>
        <v>6</v>
      </c>
    </row>
    <row r="782" spans="1:10">
      <c r="A782" s="496"/>
      <c r="B782" s="496"/>
      <c r="C782" s="496"/>
      <c r="D782" s="496"/>
      <c r="E782" s="496"/>
      <c r="F782" s="496"/>
      <c r="G782" s="496"/>
      <c r="H782" s="496"/>
      <c r="I782" s="496"/>
      <c r="J782" s="496"/>
    </row>
    <row r="783" spans="1:10" ht="38.25">
      <c r="A783" s="60" t="str">
        <f>'[3]Planilha Orçamentária'!A203</f>
        <v>1.3.9.2</v>
      </c>
      <c r="B783" s="61">
        <f>VLOOKUP(A783,'[3]Planilha Orçamentária'!A:K,2,0)</f>
        <v>10776</v>
      </c>
      <c r="C783" s="62" t="str">
        <f>VLOOKUP(A783,'[3]Planilha Orçamentária'!A:K,3,0)</f>
        <v xml:space="preserve">LOCACAO DE CONTAINER 2,30 X 6,00 M, ALT. 2,50 M, PARA ESCRITORIO, SEM DIVISORIAS INTERNAS E SEM SANITARIO (NAO INCLUI MOBILIZACAO/DESMOBILIZACAO)                                                                                                                                                                                                                                                                                                                                                         </v>
      </c>
      <c r="D783" s="63" t="str">
        <f>VLOOKUP(A783,'[3]Planilha Orçamentária'!A:K,4,0)</f>
        <v xml:space="preserve">MES   </v>
      </c>
      <c r="E783" s="62"/>
      <c r="F783" s="64"/>
      <c r="G783" s="64"/>
      <c r="H783" s="64"/>
      <c r="I783" s="64"/>
      <c r="J783" s="65">
        <f>ROUND(SUM(J785:J785),2)</f>
        <v>6</v>
      </c>
    </row>
    <row r="784" spans="1:10" ht="25.5">
      <c r="A784" s="66"/>
      <c r="B784" s="67"/>
      <c r="C784" s="68"/>
      <c r="D784" s="69"/>
      <c r="E784" s="68"/>
      <c r="F784" s="70"/>
      <c r="G784" s="71"/>
      <c r="H784" s="71"/>
      <c r="I784" s="34" t="s">
        <v>1609</v>
      </c>
      <c r="J784" s="72"/>
    </row>
    <row r="785" spans="1:10">
      <c r="A785" s="27"/>
      <c r="B785" s="27"/>
      <c r="C785" s="73"/>
      <c r="D785" s="74"/>
      <c r="E785" s="35"/>
      <c r="F785" s="75"/>
      <c r="G785" s="35"/>
      <c r="H785" s="35"/>
      <c r="I785" s="35">
        <f>I781</f>
        <v>6</v>
      </c>
      <c r="J785" s="36">
        <f>ROUND(PRODUCT(E785:I785),2)</f>
        <v>6</v>
      </c>
    </row>
    <row r="786" spans="1:10">
      <c r="A786" s="496"/>
      <c r="B786" s="496"/>
      <c r="C786" s="496"/>
      <c r="D786" s="496"/>
      <c r="E786" s="496"/>
      <c r="F786" s="496"/>
      <c r="G786" s="496"/>
      <c r="H786" s="496"/>
      <c r="I786" s="496"/>
      <c r="J786" s="496"/>
    </row>
    <row r="787" spans="1:10" ht="63.75">
      <c r="A787" s="99" t="str">
        <f>'[3]Planilha Orçamentária'!A204</f>
        <v>1.3.9.3</v>
      </c>
      <c r="B787" s="48">
        <f>VLOOKUP(A787,'[3]Planilha Orçamentária'!A:K,2,0)</f>
        <v>36170</v>
      </c>
      <c r="C787" s="100" t="str">
        <f>VLOOKUP(A787,'[3]Planilha Orçamentária'!A:K,3,0)</f>
        <v xml:space="preserve">BLOQUETE/PISO INTERTRAVADO DE CONCRETO - MODELO ONDA/16 FACES/RETANGULAR/TIJOLINHO/PAVER/HOLANDES/PARALELEPIPEDO, *22 CM X 11* CM, E = 8 CM, RESISTENCIA DE 35 MPA (NBR 9781), COR NATURAL                                                                                                                                                                                                                                                                                                                </v>
      </c>
      <c r="D787" s="101" t="str">
        <f>VLOOKUP(A787,'[3]Planilha Orçamentária'!A:K,4,0)</f>
        <v xml:space="preserve">M2    </v>
      </c>
      <c r="E787" s="100"/>
      <c r="F787" s="102"/>
      <c r="G787" s="102"/>
      <c r="H787" s="102"/>
      <c r="I787" s="102"/>
      <c r="J787" s="193">
        <f>ROUND(SUM(J788:J789),2)</f>
        <v>1345.79</v>
      </c>
    </row>
    <row r="788" spans="1:10" ht="14.25">
      <c r="A788" s="94"/>
      <c r="B788" s="128"/>
      <c r="C788" s="126" t="s">
        <v>1730</v>
      </c>
      <c r="D788" s="96"/>
      <c r="E788" s="34" t="s">
        <v>837</v>
      </c>
      <c r="F788" s="34"/>
      <c r="G788" s="82"/>
      <c r="H788" s="82"/>
      <c r="I788" s="82" t="s">
        <v>1620</v>
      </c>
      <c r="J788" s="120"/>
    </row>
    <row r="789" spans="1:10">
      <c r="A789" s="94"/>
      <c r="B789" s="128"/>
      <c r="C789" s="194" t="s">
        <v>1677</v>
      </c>
      <c r="D789" s="53"/>
      <c r="E789" s="94">
        <v>1.0130999999999999</v>
      </c>
      <c r="F789" s="34"/>
      <c r="G789" s="82"/>
      <c r="H789" s="82"/>
      <c r="I789" s="82">
        <f>J625</f>
        <v>1328.39</v>
      </c>
      <c r="J789" s="120">
        <f>ROUND(PRODUCT(E789:I789),2)</f>
        <v>1345.79</v>
      </c>
    </row>
    <row r="790" spans="1:10">
      <c r="A790" s="497"/>
      <c r="B790" s="497"/>
      <c r="C790" s="497"/>
      <c r="D790" s="497"/>
      <c r="E790" s="497"/>
      <c r="F790" s="497"/>
      <c r="G790" s="497"/>
      <c r="H790" s="497"/>
      <c r="I790" s="497"/>
      <c r="J790" s="497"/>
    </row>
    <row r="791" spans="1:10" ht="63.75">
      <c r="A791" s="99" t="str">
        <f>'[3]Planilha Orçamentária'!A205</f>
        <v>1.3.9.4</v>
      </c>
      <c r="B791" s="48">
        <f>VLOOKUP(A791,'[3]Planilha Orçamentária'!A:K,2,0)</f>
        <v>36154</v>
      </c>
      <c r="C791" s="100" t="str">
        <f>VLOOKUP(A791,'[3]Planilha Orçamentária'!A:K,3,0)</f>
        <v xml:space="preserve">BLOQUETE/PISO INTERTRAVADO DE CONCRETO - MODELO ONDA/16 FACES/RETANGULAR/TIJOLINHO/PAVER/HOLANDES/PARALELEPIPEDO, 20 CM X 10 CM, E = 8 CM, RESISTENCIA DE 35 MPA (NBR 9781), COLORIDO                                                                                                                                                                                                                                                                                                                     </v>
      </c>
      <c r="D791" s="101" t="str">
        <f>VLOOKUP(A791,'[3]Planilha Orçamentária'!A:K,4,0)</f>
        <v xml:space="preserve">M2    </v>
      </c>
      <c r="E791" s="100"/>
      <c r="F791" s="102"/>
      <c r="G791" s="102"/>
      <c r="H791" s="102"/>
      <c r="I791" s="102"/>
      <c r="J791" s="33">
        <f>ROUND(SUM(J792:J794),2)</f>
        <v>154.11000000000001</v>
      </c>
    </row>
    <row r="792" spans="1:10" ht="14.25">
      <c r="A792" s="94"/>
      <c r="B792" s="128"/>
      <c r="C792" s="126" t="s">
        <v>1730</v>
      </c>
      <c r="D792" s="96"/>
      <c r="E792" s="34" t="s">
        <v>837</v>
      </c>
      <c r="F792" s="34"/>
      <c r="G792" s="82"/>
      <c r="H792" s="82"/>
      <c r="I792" s="82" t="s">
        <v>1620</v>
      </c>
      <c r="J792" s="120"/>
    </row>
    <row r="793" spans="1:10">
      <c r="A793" s="94"/>
      <c r="B793" s="128"/>
      <c r="C793" s="194" t="s">
        <v>1677</v>
      </c>
      <c r="D793" s="53"/>
      <c r="E793" s="94">
        <v>1.0130999999999999</v>
      </c>
      <c r="F793" s="34"/>
      <c r="G793" s="82"/>
      <c r="H793" s="82"/>
      <c r="I793" s="82">
        <f>J626</f>
        <v>152.12</v>
      </c>
      <c r="J793" s="120">
        <f t="shared" ref="J793" si="68">ROUND(PRODUCT(E793:I793),2)</f>
        <v>154.11000000000001</v>
      </c>
    </row>
    <row r="794" spans="1:10">
      <c r="A794" s="94"/>
      <c r="B794" s="128"/>
      <c r="C794" s="145"/>
      <c r="D794" s="96"/>
      <c r="E794" s="82"/>
      <c r="F794" s="34"/>
      <c r="G794" s="82"/>
      <c r="H794" s="82"/>
      <c r="I794" s="82"/>
      <c r="J794" s="120"/>
    </row>
    <row r="795" spans="1:10">
      <c r="A795" s="498"/>
      <c r="B795" s="499"/>
      <c r="C795" s="499"/>
      <c r="D795" s="499"/>
      <c r="E795" s="499"/>
      <c r="F795" s="499"/>
      <c r="G795" s="499"/>
      <c r="H795" s="499"/>
      <c r="I795" s="499"/>
      <c r="J795" s="500"/>
    </row>
    <row r="796" spans="1:10" ht="38.25">
      <c r="A796" s="28" t="str">
        <f>'[3]Planilha Orçamentária'!A206</f>
        <v>1.3.9.5</v>
      </c>
      <c r="B796" s="29">
        <f>VLOOKUP(A796,'[3]Planilha Orçamentária'!A:K,2,0)</f>
        <v>1518</v>
      </c>
      <c r="C796" s="30" t="str">
        <f>VLOOKUP(A796,'[3]Planilha Orçamentária'!A:K,3,0)</f>
        <v xml:space="preserve">CONCRETO BETUMINOSO USINADO A QUENTE (CBUQ) PARA PAVIMENTACAO ASFALTICA, PADRAO DNIT, FAIXA C, COM CAP 50/70 - AQUISICAO POSTO USINA                                                                                                                                                                                                                                                                                                                                                                      </v>
      </c>
      <c r="D796" s="31" t="str">
        <f>VLOOKUP(A796,'[3]Planilha Orçamentária'!A:K,4,0)</f>
        <v xml:space="preserve">T     </v>
      </c>
      <c r="E796" s="30"/>
      <c r="F796" s="32"/>
      <c r="G796" s="32"/>
      <c r="H796" s="32"/>
      <c r="I796" s="32"/>
      <c r="J796" s="33">
        <f>ROUND(SUM(J797:J798),2)</f>
        <v>386.92</v>
      </c>
    </row>
    <row r="797" spans="1:10" ht="14.25">
      <c r="A797" s="94"/>
      <c r="B797" s="94"/>
      <c r="C797" s="126" t="s">
        <v>1730</v>
      </c>
      <c r="D797" s="94"/>
      <c r="E797" s="34" t="s">
        <v>837</v>
      </c>
      <c r="F797" s="94"/>
      <c r="G797" s="94"/>
      <c r="H797" s="94"/>
      <c r="I797" s="94" t="s">
        <v>1623</v>
      </c>
      <c r="J797" s="94"/>
    </row>
    <row r="798" spans="1:10">
      <c r="A798" s="94"/>
      <c r="B798" s="94"/>
      <c r="C798" s="195" t="s">
        <v>1679</v>
      </c>
      <c r="D798" s="94"/>
      <c r="E798" s="94">
        <v>2.5548000000000002</v>
      </c>
      <c r="F798" s="94"/>
      <c r="G798" s="94"/>
      <c r="H798" s="94"/>
      <c r="I798" s="196">
        <f>J633</f>
        <v>151.44999999999999</v>
      </c>
      <c r="J798" s="120">
        <f t="shared" ref="J798" si="69">ROUND(PRODUCT(E798:I798),2)</f>
        <v>386.92</v>
      </c>
    </row>
    <row r="799" spans="1:10">
      <c r="A799" s="130"/>
      <c r="B799" s="197"/>
      <c r="C799" s="197"/>
      <c r="D799" s="197"/>
      <c r="E799" s="197"/>
      <c r="F799" s="197"/>
      <c r="G799" s="197"/>
      <c r="H799" s="197"/>
      <c r="I799" s="197"/>
      <c r="J799" s="138"/>
    </row>
    <row r="800" spans="1:10">
      <c r="A800" s="28" t="str">
        <f>'[3]Planilha Orçamentária'!A207</f>
        <v>1.3.9.6</v>
      </c>
      <c r="B800" s="29" t="str">
        <f>VLOOKUP(A800,'[3]Planilha Orçamentária'!A:K,2,0)</f>
        <v>INS-185032</v>
      </c>
      <c r="C800" s="30" t="str">
        <f>VLOOKUP(A800,'[3]Planilha Orçamentária'!A:K,3,0)</f>
        <v>BRITA GRADUADA SIMPLES (BGS)</v>
      </c>
      <c r="D800" s="31" t="str">
        <f>VLOOKUP(A800,'[3]Planilha Orçamentária'!A:K,4,0)</f>
        <v>M3</v>
      </c>
      <c r="E800" s="30"/>
      <c r="F800" s="32"/>
      <c r="G800" s="32"/>
      <c r="H800" s="32"/>
      <c r="I800" s="32"/>
      <c r="J800" s="33">
        <f>ROUND(SUM(J801:J802),2)</f>
        <v>924.35</v>
      </c>
    </row>
    <row r="801" spans="1:10">
      <c r="A801" s="94"/>
      <c r="B801" s="94"/>
      <c r="C801" s="195" t="s">
        <v>1730</v>
      </c>
      <c r="D801" s="94"/>
      <c r="E801" s="34" t="s">
        <v>837</v>
      </c>
      <c r="F801" s="94"/>
      <c r="G801" s="94"/>
      <c r="H801" s="94"/>
      <c r="I801" s="94" t="s">
        <v>1623</v>
      </c>
      <c r="J801" s="94"/>
    </row>
    <row r="802" spans="1:10">
      <c r="A802" s="94"/>
      <c r="B802" s="94"/>
      <c r="C802" s="194" t="s">
        <v>1680</v>
      </c>
      <c r="D802" s="53"/>
      <c r="E802" s="198">
        <v>1</v>
      </c>
      <c r="F802" s="94"/>
      <c r="G802" s="94"/>
      <c r="H802" s="94"/>
      <c r="I802" s="196">
        <f>J606</f>
        <v>924.35</v>
      </c>
      <c r="J802" s="120">
        <f t="shared" ref="J802" si="70">ROUND(PRODUCT(E802:I802),2)</f>
        <v>924.35</v>
      </c>
    </row>
    <row r="803" spans="1:10">
      <c r="A803" s="130"/>
      <c r="B803" s="197"/>
      <c r="C803" s="197"/>
      <c r="D803" s="197"/>
      <c r="E803" s="197"/>
      <c r="F803" s="197"/>
      <c r="G803" s="197"/>
      <c r="H803" s="197"/>
      <c r="I803" s="197"/>
      <c r="J803" s="137"/>
    </row>
    <row r="804" spans="1:10">
      <c r="A804" s="28" t="str">
        <f>'[3]Planilha Orçamentária'!A208</f>
        <v>1.3.9.7</v>
      </c>
      <c r="B804" s="29" t="str">
        <f>VLOOKUP(A804,'[3]Planilha Orçamentária'!A:K,2,0)</f>
        <v>M0808</v>
      </c>
      <c r="C804" s="30" t="str">
        <f>VLOOKUP(A804,'[3]Planilha Orçamentária'!A:K,3,0)</f>
        <v>Brita 4</v>
      </c>
      <c r="D804" s="31" t="str">
        <f>VLOOKUP(A804,'[3]Planilha Orçamentária'!A:K,4,0)</f>
        <v>M3</v>
      </c>
      <c r="E804" s="30"/>
      <c r="F804" s="32"/>
      <c r="G804" s="32"/>
      <c r="H804" s="32"/>
      <c r="I804" s="32"/>
      <c r="J804" s="33">
        <f>ROUND(SUM(J805:J806),2)</f>
        <v>698.87</v>
      </c>
    </row>
    <row r="805" spans="1:10">
      <c r="A805" s="94"/>
      <c r="B805" s="94"/>
      <c r="C805" s="199"/>
      <c r="D805" s="53"/>
      <c r="E805" s="53" t="s">
        <v>1678</v>
      </c>
      <c r="F805" s="94"/>
      <c r="G805" s="94"/>
      <c r="H805" s="94"/>
      <c r="I805" s="94" t="s">
        <v>1623</v>
      </c>
      <c r="J805" s="94"/>
    </row>
    <row r="806" spans="1:10" ht="15">
      <c r="A806" s="94"/>
      <c r="B806" s="94"/>
      <c r="C806" s="109" t="s">
        <v>1681</v>
      </c>
      <c r="D806" s="53"/>
      <c r="E806" s="200">
        <v>1.26</v>
      </c>
      <c r="F806" s="94"/>
      <c r="G806" s="94"/>
      <c r="H806" s="94"/>
      <c r="I806" s="196">
        <f>J601</f>
        <v>554.66</v>
      </c>
      <c r="J806" s="120">
        <f t="shared" ref="J806" si="71">ROUND(PRODUCT(E806:I806),2)</f>
        <v>698.87</v>
      </c>
    </row>
    <row r="807" spans="1:10">
      <c r="A807" s="130"/>
      <c r="B807" s="197"/>
      <c r="C807" s="197"/>
      <c r="D807" s="197"/>
      <c r="E807" s="197"/>
      <c r="F807" s="197"/>
      <c r="G807" s="197"/>
      <c r="H807" s="197"/>
      <c r="I807" s="197"/>
      <c r="J807" s="137"/>
    </row>
    <row r="808" spans="1:10">
      <c r="A808" s="28" t="str">
        <f>'[3]Planilha Orçamentária'!A209</f>
        <v>1.3.9.8</v>
      </c>
      <c r="B808" s="29" t="str">
        <f>VLOOKUP(A808,'[3]Planilha Orçamentária'!A:K,2,0)</f>
        <v>M1135</v>
      </c>
      <c r="C808" s="30" t="str">
        <f>VLOOKUP(A808,'[3]Planilha Orçamentária'!A:K,3,0)</f>
        <v>Pó de pedra</v>
      </c>
      <c r="D808" s="31" t="str">
        <f>VLOOKUP(A808,'[3]Planilha Orçamentária'!A:K,4,0)</f>
        <v>M3</v>
      </c>
      <c r="E808" s="30"/>
      <c r="F808" s="32"/>
      <c r="G808" s="32"/>
      <c r="H808" s="32"/>
      <c r="I808" s="32"/>
      <c r="J808" s="33">
        <f>ROUND(SUM(J809:J810),2)</f>
        <v>77.650000000000006</v>
      </c>
    </row>
    <row r="809" spans="1:10">
      <c r="A809" s="94"/>
      <c r="B809" s="94"/>
      <c r="C809" s="199"/>
      <c r="D809" s="53"/>
      <c r="E809" s="53" t="s">
        <v>1678</v>
      </c>
      <c r="F809" s="94"/>
      <c r="G809" s="94"/>
      <c r="H809" s="94"/>
      <c r="I809" s="94" t="s">
        <v>1623</v>
      </c>
      <c r="J809" s="94"/>
    </row>
    <row r="810" spans="1:10">
      <c r="A810" s="94"/>
      <c r="B810" s="94"/>
      <c r="C810" s="109" t="s">
        <v>1681</v>
      </c>
      <c r="D810" s="53"/>
      <c r="E810" s="53">
        <v>0.14000000000000001</v>
      </c>
      <c r="F810" s="94"/>
      <c r="G810" s="94"/>
      <c r="H810" s="94"/>
      <c r="I810" s="196">
        <f>I806</f>
        <v>554.66</v>
      </c>
      <c r="J810" s="120">
        <f t="shared" ref="J810" si="72">ROUND(PRODUCT(E810:I810),2)</f>
        <v>77.650000000000006</v>
      </c>
    </row>
    <row r="811" spans="1:10">
      <c r="A811" s="130"/>
      <c r="B811" s="197"/>
      <c r="C811" s="197"/>
      <c r="D811" s="197"/>
      <c r="E811" s="197"/>
      <c r="F811" s="197"/>
      <c r="G811" s="197"/>
      <c r="H811" s="197"/>
      <c r="I811" s="197"/>
      <c r="J811" s="137"/>
    </row>
    <row r="812" spans="1:10" ht="38.25">
      <c r="A812" s="28" t="str">
        <f>'[3]Planilha Orçamentária'!A210</f>
        <v>1.3.9.9</v>
      </c>
      <c r="B812" s="29">
        <f>VLOOKUP(A812,'[3]Planilha Orçamentária'!A:K,2,0)</f>
        <v>34492</v>
      </c>
      <c r="C812" s="30" t="str">
        <f>VLOOKUP(A812,'[3]Planilha Orçamentária'!A:K,3,0)</f>
        <v xml:space="preserve">CONCRETO USINADO BOMBEAVEL, CLASSE DE RESISTENCIA C20, COM BRITA 0 E 1, SLUMP = 100 +/- 20 MM, EXCLUI SERVICO DE BOMBEAMENTO (NBR 8953)                                                                                                                                                                                                                                                                                                                                                                   </v>
      </c>
      <c r="D812" s="31" t="str">
        <f>VLOOKUP(A812,'[3]Planilha Orçamentária'!A:K,4,0)</f>
        <v xml:space="preserve">M3    </v>
      </c>
      <c r="E812" s="30"/>
      <c r="F812" s="32"/>
      <c r="G812" s="32"/>
      <c r="H812" s="32"/>
      <c r="I812" s="32"/>
      <c r="J812" s="33">
        <f>ROUND(SUM(J813:J814),2)</f>
        <v>169.69</v>
      </c>
    </row>
    <row r="813" spans="1:10">
      <c r="A813" s="94"/>
      <c r="B813" s="94"/>
      <c r="C813" s="79"/>
      <c r="D813" s="94"/>
      <c r="E813" s="53" t="s">
        <v>1678</v>
      </c>
      <c r="F813" s="94"/>
      <c r="G813" s="94"/>
      <c r="H813" s="94"/>
      <c r="I813" s="94" t="s">
        <v>1623</v>
      </c>
      <c r="J813" s="94"/>
    </row>
    <row r="814" spans="1:10">
      <c r="A814" s="94"/>
      <c r="B814" s="94"/>
      <c r="C814" s="194" t="s">
        <v>1682</v>
      </c>
      <c r="D814" s="53"/>
      <c r="E814" s="198">
        <v>1.2130000000000001</v>
      </c>
      <c r="F814" s="94"/>
      <c r="G814" s="94"/>
      <c r="H814" s="94"/>
      <c r="I814" s="196">
        <f>J649</f>
        <v>139.88999999999999</v>
      </c>
      <c r="J814" s="120">
        <f t="shared" ref="J814" si="73">ROUND(PRODUCT(E814:I814),2)</f>
        <v>169.69</v>
      </c>
    </row>
    <row r="815" spans="1:10">
      <c r="A815" s="130"/>
      <c r="B815" s="197"/>
      <c r="C815" s="197"/>
      <c r="D815" s="197"/>
      <c r="E815" s="197"/>
      <c r="F815" s="197"/>
      <c r="G815" s="197"/>
      <c r="H815" s="197"/>
      <c r="I815" s="197"/>
      <c r="J815" s="137"/>
    </row>
    <row r="816" spans="1:10" ht="38.25">
      <c r="A816" s="28" t="str">
        <f>'[3]Planilha Orçamentária'!A211</f>
        <v>1.3.9.10</v>
      </c>
      <c r="B816" s="29">
        <f>VLOOKUP(A816,'[3]Planilha Orçamentária'!A:K,2,0)</f>
        <v>1345</v>
      </c>
      <c r="C816" s="30" t="str">
        <f>VLOOKUP(A816,'[3]Planilha Orçamentária'!A:K,3,0)</f>
        <v xml:space="preserve">CHAPA/PAINEL DE MADEIRA COMPENSADA PLASTIFICADA (MADEIRITE PLASTIFICADO) PARA FORMA DE CONCRETO, DE 2200 x 1100 MM, E = *17* MM                                                                                                                                                                                                                                                                                                                                                                           </v>
      </c>
      <c r="D816" s="31" t="str">
        <f>VLOOKUP(A816,'[3]Planilha Orçamentária'!A:K,4,0)</f>
        <v xml:space="preserve">M2    </v>
      </c>
      <c r="E816" s="30"/>
      <c r="F816" s="32"/>
      <c r="G816" s="32"/>
      <c r="H816" s="32"/>
      <c r="I816" s="32"/>
      <c r="J816" s="33">
        <f>ROUND(SUM(J817:J818),2)</f>
        <v>59.41</v>
      </c>
    </row>
    <row r="817" spans="1:10">
      <c r="A817" s="94"/>
      <c r="B817" s="94"/>
      <c r="C817" s="79"/>
      <c r="D817" s="94"/>
      <c r="E817" s="53" t="s">
        <v>1678</v>
      </c>
      <c r="F817" s="94"/>
      <c r="G817" s="94"/>
      <c r="H817" s="94"/>
      <c r="I817" s="94" t="s">
        <v>1620</v>
      </c>
      <c r="J817" s="94"/>
    </row>
    <row r="818" spans="1:10">
      <c r="A818" s="94"/>
      <c r="B818" s="94"/>
      <c r="C818" s="194" t="s">
        <v>1775</v>
      </c>
      <c r="D818" s="53"/>
      <c r="E818" s="198">
        <v>1.05</v>
      </c>
      <c r="F818" s="94"/>
      <c r="G818" s="94"/>
      <c r="H818" s="94"/>
      <c r="I818" s="196">
        <f>J720</f>
        <v>56.58</v>
      </c>
      <c r="J818" s="120">
        <f t="shared" ref="J818" si="74">ROUND(PRODUCT(E818:I818),2)</f>
        <v>59.41</v>
      </c>
    </row>
    <row r="819" spans="1:10">
      <c r="A819" s="130"/>
      <c r="B819" s="197"/>
      <c r="C819" s="197"/>
      <c r="D819" s="197"/>
      <c r="E819" s="197"/>
      <c r="F819" s="197"/>
      <c r="G819" s="197"/>
      <c r="H819" s="197"/>
      <c r="I819" s="197"/>
      <c r="J819" s="137"/>
    </row>
    <row r="820" spans="1:10">
      <c r="A820" s="201" t="str">
        <f>'[3]Planilha Orçamentária'!A212</f>
        <v>1.4</v>
      </c>
      <c r="B820" s="504" t="str">
        <f>VLOOKUP(A820,'[3]Planilha Orçamentária'!A:K,3,0)</f>
        <v>RUA MARACANÃ - SOTAVE</v>
      </c>
      <c r="C820" s="505"/>
      <c r="D820" s="505"/>
      <c r="E820" s="505"/>
      <c r="F820" s="505"/>
      <c r="G820" s="505"/>
      <c r="H820" s="505"/>
      <c r="I820" s="505"/>
      <c r="J820" s="505"/>
    </row>
    <row r="821" spans="1:10">
      <c r="A821" s="19" t="str">
        <f>'[3]Planilha Orçamentária'!A213</f>
        <v>1.4.1</v>
      </c>
      <c r="B821" s="20"/>
      <c r="C821" s="21" t="str">
        <f>VLOOKUP(A821,'[3]Planilha Orçamentária'!A:K,3,0)</f>
        <v>INSTALAÇÕES PROVISÓRIAS</v>
      </c>
      <c r="D821" s="22"/>
      <c r="E821" s="23"/>
      <c r="F821" s="24"/>
      <c r="G821" s="24"/>
      <c r="H821" s="24"/>
      <c r="I821" s="25"/>
      <c r="J821" s="26"/>
    </row>
    <row r="822" spans="1:10" ht="25.5">
      <c r="A822" s="59" t="str">
        <f>'[3]Planilha Orçamentária'!A214</f>
        <v>1.4.1.1</v>
      </c>
      <c r="B822" s="42" t="str">
        <f>VLOOKUP(A822,'[3]Planilha Orçamentária'!A:K,2,0)</f>
        <v>CP-74209/001-15055090</v>
      </c>
      <c r="C822" s="30" t="str">
        <f>VLOOKUP(A822,'[3]Planilha Orçamentária'!A:K,3,0)</f>
        <v>PLACA DE OBRA EM CHAPA DE ACO GALVANIZADO</v>
      </c>
      <c r="D822" s="31" t="str">
        <f>VLOOKUP(A822,'[3]Planilha Orçamentária'!A:K,4,0)</f>
        <v xml:space="preserve">M2    </v>
      </c>
      <c r="E822" s="30"/>
      <c r="F822" s="34" t="s">
        <v>1606</v>
      </c>
      <c r="G822" s="34" t="s">
        <v>1607</v>
      </c>
      <c r="H822" s="34"/>
      <c r="I822" s="34" t="s">
        <v>1608</v>
      </c>
      <c r="J822" s="45">
        <f>ROUND(SUM(J824:J824),2)</f>
        <v>8</v>
      </c>
    </row>
    <row r="823" spans="1:10">
      <c r="A823" s="59"/>
      <c r="B823" s="42"/>
      <c r="C823" s="202"/>
      <c r="D823" s="203"/>
      <c r="E823" s="202"/>
      <c r="F823" s="32"/>
      <c r="G823" s="32"/>
      <c r="H823" s="32"/>
      <c r="I823" s="32"/>
      <c r="J823" s="45"/>
    </row>
    <row r="824" spans="1:10">
      <c r="A824" s="59"/>
      <c r="B824" s="27"/>
      <c r="C824" s="204"/>
      <c r="D824" s="205"/>
      <c r="E824" s="206"/>
      <c r="F824" s="35">
        <v>2</v>
      </c>
      <c r="G824" s="35">
        <v>4</v>
      </c>
      <c r="H824" s="207"/>
      <c r="I824" s="35">
        <v>1</v>
      </c>
      <c r="J824" s="58">
        <f>ROUND(PRODUCT(E824:I824),2)</f>
        <v>8</v>
      </c>
    </row>
    <row r="825" spans="1:10">
      <c r="A825" s="515"/>
      <c r="B825" s="516"/>
      <c r="C825" s="516"/>
      <c r="D825" s="516"/>
      <c r="E825" s="516"/>
      <c r="F825" s="516"/>
      <c r="G825" s="516"/>
      <c r="H825" s="516"/>
      <c r="I825" s="516"/>
      <c r="J825" s="517"/>
    </row>
    <row r="826" spans="1:10" ht="25.5">
      <c r="A826" s="59" t="str">
        <f>'[3]Planilha Orçamentária'!A215</f>
        <v>1.4.1.2</v>
      </c>
      <c r="B826" s="29" t="str">
        <f>VLOOKUP(A826,'[3]Planilha Orçamentária'!A:K,2,0)</f>
        <v>COMP-07440249</v>
      </c>
      <c r="C826" s="30" t="str">
        <f>VLOOKUP(A826,'[3]Planilha Orçamentária'!A:K,3,0)</f>
        <v>BANHEIRO QUÍMICO, COM LOCAÇÃO, TRANSPORTE E LIMPEZA</v>
      </c>
      <c r="D826" s="31" t="str">
        <f>VLOOKUP(A826,'[3]Planilha Orçamentária'!A:K,4,0)</f>
        <v>MÊS</v>
      </c>
      <c r="E826" s="30"/>
      <c r="F826" s="32"/>
      <c r="G826" s="32"/>
      <c r="H826" s="32"/>
      <c r="I826" s="32"/>
      <c r="J826" s="33">
        <f>ROUND(SUM(J828:J828),2)</f>
        <v>5</v>
      </c>
    </row>
    <row r="827" spans="1:10" ht="25.5">
      <c r="A827" s="59"/>
      <c r="B827" s="29"/>
      <c r="C827" s="30"/>
      <c r="D827" s="31"/>
      <c r="E827" s="30"/>
      <c r="F827" s="32"/>
      <c r="G827" s="32"/>
      <c r="H827" s="32"/>
      <c r="I827" s="34" t="s">
        <v>1609</v>
      </c>
      <c r="J827" s="33"/>
    </row>
    <row r="828" spans="1:10">
      <c r="A828" s="59"/>
      <c r="B828" s="27"/>
      <c r="C828" s="208"/>
      <c r="D828" s="209"/>
      <c r="E828" s="75"/>
      <c r="F828" s="75"/>
      <c r="G828" s="207"/>
      <c r="H828" s="207"/>
      <c r="I828" s="143">
        <v>5</v>
      </c>
      <c r="J828" s="36">
        <f>ROUND(PRODUCT(E828:I828),2)</f>
        <v>5</v>
      </c>
    </row>
    <row r="829" spans="1:10">
      <c r="A829" s="59"/>
      <c r="B829" s="27"/>
      <c r="C829" s="208"/>
      <c r="D829" s="209"/>
      <c r="E829" s="75"/>
      <c r="F829" s="75"/>
      <c r="G829" s="207"/>
      <c r="H829" s="207"/>
      <c r="I829" s="143"/>
      <c r="J829" s="36"/>
    </row>
    <row r="830" spans="1:10">
      <c r="A830" s="19" t="str">
        <f>'[3]Planilha Orçamentária'!A216</f>
        <v>1.4.2</v>
      </c>
      <c r="B830" s="20"/>
      <c r="C830" s="21" t="str">
        <f>VLOOKUP(A830,'[3]Planilha Orçamentária'!A:K,3,0)</f>
        <v>ADMINISTRAÇÃO LOCAL</v>
      </c>
      <c r="D830" s="21"/>
      <c r="E830" s="39"/>
      <c r="F830" s="40"/>
      <c r="G830" s="40"/>
      <c r="H830" s="40"/>
      <c r="I830" s="40"/>
      <c r="J830" s="41"/>
    </row>
    <row r="831" spans="1:10" ht="25.5">
      <c r="A831" s="28" t="str">
        <f>'[3]Planilha Orçamentária'!A217</f>
        <v>1.4.2.1</v>
      </c>
      <c r="B831" s="42">
        <f>VLOOKUP(A831,'[3]Planilha Orçamentária'!A:K,2,0)</f>
        <v>93565</v>
      </c>
      <c r="C831" s="30" t="str">
        <f>VLOOKUP(A831,'[3]Planilha Orçamentária'!A:K,3,0)</f>
        <v>ENGENHEIRO CIVIL DE OBRA JUNIOR COM ENCARGOS COMPLEMENTARES</v>
      </c>
      <c r="D831" s="31" t="str">
        <f>VLOOKUP(A831,'[3]Planilha Orçamentária'!A:K,4,0)</f>
        <v>MES</v>
      </c>
      <c r="E831" s="43"/>
      <c r="F831" s="44"/>
      <c r="G831" s="44"/>
      <c r="H831" s="44"/>
      <c r="I831" s="44"/>
      <c r="J831" s="45">
        <f>ROUND(SUM(J833),2)</f>
        <v>0.63</v>
      </c>
    </row>
    <row r="832" spans="1:10" ht="14.25">
      <c r="A832" s="28"/>
      <c r="B832" s="42"/>
      <c r="C832" s="210"/>
      <c r="D832" s="31"/>
      <c r="E832" s="43"/>
      <c r="F832" s="57"/>
      <c r="G832" s="57"/>
      <c r="H832" s="57"/>
      <c r="I832" s="57"/>
      <c r="J832" s="45"/>
    </row>
    <row r="833" spans="1:10" ht="14.25">
      <c r="A833" s="53"/>
      <c r="B833" s="54"/>
      <c r="C833" s="210" t="s">
        <v>1776</v>
      </c>
      <c r="D833" s="211"/>
      <c r="E833" s="57">
        <f>22/176</f>
        <v>0.125</v>
      </c>
      <c r="F833" s="57"/>
      <c r="G833" s="57"/>
      <c r="H833" s="57"/>
      <c r="I833" s="57">
        <f>I828</f>
        <v>5</v>
      </c>
      <c r="J833" s="58">
        <f>ROUND(PRODUCT(E833:I833),2)</f>
        <v>0.63</v>
      </c>
    </row>
    <row r="834" spans="1:10" ht="14.25">
      <c r="A834" s="53"/>
      <c r="B834" s="54"/>
      <c r="C834" s="210" t="s">
        <v>1684</v>
      </c>
      <c r="D834" s="211"/>
      <c r="E834" s="57"/>
      <c r="F834" s="57"/>
      <c r="G834" s="57"/>
      <c r="H834" s="57"/>
      <c r="I834" s="57"/>
      <c r="J834" s="212"/>
    </row>
    <row r="835" spans="1:10" ht="14.25">
      <c r="A835" s="53"/>
      <c r="B835" s="54"/>
      <c r="C835" s="210" t="s">
        <v>1612</v>
      </c>
      <c r="D835" s="213"/>
      <c r="E835" s="214"/>
      <c r="F835" s="143"/>
      <c r="G835" s="207"/>
      <c r="H835" s="207"/>
      <c r="I835" s="135"/>
      <c r="J835" s="215"/>
    </row>
    <row r="836" spans="1:10">
      <c r="A836" s="496"/>
      <c r="B836" s="496"/>
      <c r="C836" s="496"/>
      <c r="D836" s="496"/>
      <c r="E836" s="496"/>
      <c r="F836" s="496"/>
      <c r="G836" s="496"/>
      <c r="H836" s="496"/>
      <c r="I836" s="496"/>
      <c r="J836" s="496"/>
    </row>
    <row r="837" spans="1:10" ht="25.5">
      <c r="A837" s="28" t="str">
        <f>'[3]Planilha Orçamentária'!A218</f>
        <v>1.4.2.2</v>
      </c>
      <c r="B837" s="42">
        <f>VLOOKUP(A837,'[3]Planilha Orçamentária'!A:K,2,0)</f>
        <v>93572</v>
      </c>
      <c r="C837" s="30" t="str">
        <f>VLOOKUP(A837,'[3]Planilha Orçamentária'!A:K,3,0)</f>
        <v>ENCARREGADO GERAL DE OBRAS COM ENCARGOS COMPLEMENTARES</v>
      </c>
      <c r="D837" s="31" t="str">
        <f>VLOOKUP(A837,'[3]Planilha Orçamentária'!A:K,4,0)</f>
        <v>MES</v>
      </c>
      <c r="E837" s="43"/>
      <c r="F837" s="44"/>
      <c r="G837" s="44"/>
      <c r="H837" s="44"/>
      <c r="I837" s="44"/>
      <c r="J837" s="45">
        <f>ROUND(SUM(J839),2)</f>
        <v>2.5</v>
      </c>
    </row>
    <row r="838" spans="1:10" ht="14.25">
      <c r="A838" s="28"/>
      <c r="B838" s="42"/>
      <c r="C838" s="210"/>
      <c r="D838" s="31"/>
      <c r="E838" s="43"/>
      <c r="F838" s="57"/>
      <c r="G838" s="57"/>
      <c r="H838" s="57"/>
      <c r="I838" s="57"/>
      <c r="J838" s="45"/>
    </row>
    <row r="839" spans="1:10" ht="14.25">
      <c r="A839" s="53"/>
      <c r="B839" s="54"/>
      <c r="C839" s="210" t="s">
        <v>1777</v>
      </c>
      <c r="D839" s="211"/>
      <c r="E839" s="57">
        <f>88/176</f>
        <v>0.5</v>
      </c>
      <c r="F839" s="57"/>
      <c r="G839" s="57"/>
      <c r="H839" s="57"/>
      <c r="I839" s="57">
        <f>I828</f>
        <v>5</v>
      </c>
      <c r="J839" s="58">
        <f>ROUND(PRODUCT(E839:I839),2)</f>
        <v>2.5</v>
      </c>
    </row>
    <row r="840" spans="1:10" ht="14.25">
      <c r="A840" s="53"/>
      <c r="B840" s="54"/>
      <c r="C840" s="210" t="s">
        <v>1614</v>
      </c>
      <c r="D840" s="211"/>
      <c r="E840" s="57"/>
      <c r="F840" s="57"/>
      <c r="G840" s="57"/>
      <c r="H840" s="57"/>
      <c r="I840" s="57"/>
      <c r="J840" s="212"/>
    </row>
    <row r="841" spans="1:10" ht="14.25">
      <c r="A841" s="53"/>
      <c r="B841" s="54"/>
      <c r="C841" s="210" t="s">
        <v>1612</v>
      </c>
      <c r="D841" s="213"/>
      <c r="E841" s="214"/>
      <c r="F841" s="143"/>
      <c r="G841" s="207"/>
      <c r="H841" s="207"/>
      <c r="I841" s="135"/>
      <c r="J841" s="215"/>
    </row>
    <row r="842" spans="1:10">
      <c r="A842" s="496"/>
      <c r="B842" s="496"/>
      <c r="C842" s="496"/>
      <c r="D842" s="496"/>
      <c r="E842" s="496"/>
      <c r="F842" s="496"/>
      <c r="G842" s="496"/>
      <c r="H842" s="496"/>
      <c r="I842" s="496"/>
      <c r="J842" s="496"/>
    </row>
    <row r="843" spans="1:10">
      <c r="A843" s="19" t="str">
        <f>'[3]Planilha Orçamentária'!A219</f>
        <v>1.4.3</v>
      </c>
      <c r="B843" s="20"/>
      <c r="C843" s="21" t="str">
        <f>VLOOKUP(A843,'[3]Planilha Orçamentária'!A:K,3,0)</f>
        <v>SERVIÇOS PRELIMINARES</v>
      </c>
      <c r="D843" s="22"/>
      <c r="E843" s="23"/>
      <c r="F843" s="24"/>
      <c r="G843" s="24"/>
      <c r="H843" s="24"/>
      <c r="I843" s="25"/>
      <c r="J843" s="26"/>
    </row>
    <row r="844" spans="1:10">
      <c r="A844" s="60" t="str">
        <f>'[3]Planilha Orçamentária'!A220</f>
        <v>1.4.3.1</v>
      </c>
      <c r="B844" s="61">
        <f>VLOOKUP(A844,'[3]Planilha Orçamentária'!A:K,2,0)</f>
        <v>99064</v>
      </c>
      <c r="C844" s="62" t="str">
        <f>VLOOKUP(A844,'[3]Planilha Orçamentária'!A:K,3,0)</f>
        <v>LOCAÇÃO DE PAVIMENTAÇÃO. AF_10/2018</v>
      </c>
      <c r="D844" s="63" t="str">
        <f>VLOOKUP(A844,'[3]Planilha Orçamentária'!A:K,4,0)</f>
        <v>M</v>
      </c>
      <c r="E844" s="62"/>
      <c r="F844" s="57"/>
      <c r="G844" s="71"/>
      <c r="H844" s="71"/>
      <c r="I844" s="71"/>
      <c r="J844" s="78">
        <f>ROUND(SUM(J846:J847),2)</f>
        <v>524.27</v>
      </c>
    </row>
    <row r="845" spans="1:10">
      <c r="A845" s="66"/>
      <c r="B845" s="67"/>
      <c r="C845" s="62"/>
      <c r="D845" s="63"/>
      <c r="E845" s="62"/>
      <c r="F845" s="34" t="s">
        <v>1606</v>
      </c>
      <c r="G845" s="71"/>
      <c r="H845" s="71"/>
      <c r="I845" s="71"/>
      <c r="J845" s="78"/>
    </row>
    <row r="846" spans="1:10">
      <c r="A846" s="94"/>
      <c r="B846" s="94"/>
      <c r="C846" s="109" t="s">
        <v>1778</v>
      </c>
      <c r="D846" s="96"/>
      <c r="E846" s="82"/>
      <c r="F846" s="57">
        <f>(26*20)+(4.27)</f>
        <v>524.27</v>
      </c>
      <c r="G846" s="82"/>
      <c r="H846" s="82"/>
      <c r="I846" s="82"/>
      <c r="J846" s="120">
        <f>ROUND(PRODUCT(E846:I846),2)</f>
        <v>524.27</v>
      </c>
    </row>
    <row r="847" spans="1:10">
      <c r="A847" s="496"/>
      <c r="B847" s="496"/>
      <c r="C847" s="496"/>
      <c r="D847" s="496"/>
      <c r="E847" s="496"/>
      <c r="F847" s="496"/>
      <c r="G847" s="496"/>
      <c r="H847" s="496"/>
      <c r="I847" s="496"/>
      <c r="J847" s="496"/>
    </row>
    <row r="848" spans="1:10" ht="25.5">
      <c r="A848" s="60" t="str">
        <f>'[3]Planilha Orçamentária'!A221</f>
        <v>1.4.3.2</v>
      </c>
      <c r="B848" s="77" t="str">
        <f>VLOOKUP(A848,'[3]Planilha Orçamentária'!A:K,2,0)</f>
        <v>COMP-17562084</v>
      </c>
      <c r="C848" s="62" t="str">
        <f>VLOOKUP(A848,'[3]Planilha Orçamentária'!A:K,3,0)</f>
        <v>DEMOLIÇÃO MANUAL DE CONCRETO SIMPLES</v>
      </c>
      <c r="D848" s="63" t="str">
        <f>VLOOKUP(A848,'[3]Planilha Orçamentária'!A:K,4,0)</f>
        <v>M3</v>
      </c>
      <c r="E848" s="62"/>
      <c r="F848" s="64"/>
      <c r="G848" s="64"/>
      <c r="H848" s="64"/>
      <c r="I848" s="64"/>
      <c r="J848" s="78">
        <f>ROUND(SUM(J850),2)</f>
        <v>8.2100000000000009</v>
      </c>
    </row>
    <row r="849" spans="1:10">
      <c r="A849" s="27"/>
      <c r="B849" s="27"/>
      <c r="C849" s="311" t="s">
        <v>1779</v>
      </c>
      <c r="D849" s="27"/>
      <c r="E849" s="27"/>
      <c r="F849" s="27"/>
      <c r="G849" s="27"/>
      <c r="H849" s="27" t="s">
        <v>1619</v>
      </c>
      <c r="I849" s="34" t="s">
        <v>1620</v>
      </c>
      <c r="J849" s="27"/>
    </row>
    <row r="850" spans="1:10" ht="25.5">
      <c r="A850" s="27"/>
      <c r="B850" s="27"/>
      <c r="C850" s="81" t="s">
        <v>1621</v>
      </c>
      <c r="D850" s="27"/>
      <c r="E850" s="27"/>
      <c r="F850" s="82"/>
      <c r="G850" s="82"/>
      <c r="H850" s="82">
        <v>7.0000000000000007E-2</v>
      </c>
      <c r="I850" s="82">
        <v>117.28</v>
      </c>
      <c r="J850" s="36">
        <f>ROUND(PRODUCT(E850:I850),2)</f>
        <v>8.2100000000000009</v>
      </c>
    </row>
    <row r="851" spans="1:10">
      <c r="A851" s="501"/>
      <c r="B851" s="502"/>
      <c r="C851" s="502"/>
      <c r="D851" s="502"/>
      <c r="E851" s="502"/>
      <c r="F851" s="502"/>
      <c r="G851" s="502"/>
      <c r="H851" s="502"/>
      <c r="I851" s="502"/>
      <c r="J851" s="503"/>
    </row>
    <row r="852" spans="1:10" ht="51">
      <c r="A852" s="60" t="str">
        <f>'[3]Planilha Orçamentária'!A222</f>
        <v>1.4.3.3</v>
      </c>
      <c r="B852" s="77" t="str">
        <f>VLOOKUP(A852,'[3]Planilha Orçamentária'!A:K,2,0)</f>
        <v>COMP-35145154</v>
      </c>
      <c r="C852" s="62" t="str">
        <f>VLOOKUP(A852,'[3]Planilha Orçamentária'!A:K,3,0)</f>
        <v>CARGA E DESCARGA MECANICA DE SOLO UTILIZANDO CAMINHAO BASCULANTE 14,0M3/36T E PA CARREGADEIRA SOBRE PNEUS 128 HP, CAPACIDADE DA CAÇAMBA 1,7 A 2,8 M3, PESO OPERACIONAL 11632 KH</v>
      </c>
      <c r="D852" s="63" t="str">
        <f>VLOOKUP(A852,'[3]Planilha Orçamentária'!A:K,4,0)</f>
        <v>M3</v>
      </c>
      <c r="E852" s="62"/>
      <c r="F852" s="64"/>
      <c r="G852" s="64"/>
      <c r="H852" s="64"/>
      <c r="I852" s="64"/>
      <c r="J852" s="78">
        <f>ROUND(SUM(J854),2)</f>
        <v>10.26</v>
      </c>
    </row>
    <row r="853" spans="1:10">
      <c r="A853" s="27"/>
      <c r="B853" s="27"/>
      <c r="C853" s="86"/>
      <c r="D853" s="69"/>
      <c r="E853" s="81" t="s">
        <v>1622</v>
      </c>
      <c r="F853" s="71"/>
      <c r="G853" s="71"/>
      <c r="H853" s="71"/>
      <c r="I853" s="80" t="s">
        <v>1623</v>
      </c>
      <c r="J853" s="27"/>
    </row>
    <row r="854" spans="1:10">
      <c r="A854" s="27"/>
      <c r="B854" s="27"/>
      <c r="C854" s="86" t="s">
        <v>1624</v>
      </c>
      <c r="D854" s="69"/>
      <c r="E854" s="81">
        <v>1.25</v>
      </c>
      <c r="F854" s="71"/>
      <c r="G854" s="71"/>
      <c r="H854" s="71"/>
      <c r="I854" s="87">
        <f>J848</f>
        <v>8.2100000000000009</v>
      </c>
      <c r="J854" s="36">
        <f>ROUND(PRODUCT(E854:I854),2)</f>
        <v>10.26</v>
      </c>
    </row>
    <row r="855" spans="1:10">
      <c r="A855" s="501"/>
      <c r="B855" s="502"/>
      <c r="C855" s="502"/>
      <c r="D855" s="502"/>
      <c r="E855" s="502"/>
      <c r="F855" s="502"/>
      <c r="G855" s="502"/>
      <c r="H855" s="502"/>
      <c r="I855" s="502"/>
      <c r="J855" s="503"/>
    </row>
    <row r="856" spans="1:10" ht="38.25">
      <c r="A856" s="60" t="str">
        <f>'[3]Planilha Orçamentária'!A223</f>
        <v>1.4.3.4</v>
      </c>
      <c r="B856" s="77">
        <f>VLOOKUP(A856,'[3]Planilha Orçamentária'!A:K,2,0)</f>
        <v>95876</v>
      </c>
      <c r="C856" s="62" t="str">
        <f>VLOOKUP(A856,'[3]Planilha Orçamentária'!A:K,3,0)</f>
        <v>TRANSPORTE COM CAMINHÃO BASCULANTE DE 14 M³, EM VIA URBANA PAVIMENTADA, DMT ATÉ 30 KM (UNIDADE: M3XKM). AF_07/2020</v>
      </c>
      <c r="D856" s="63" t="str">
        <f>VLOOKUP(A856,'[3]Planilha Orçamentária'!A:K,4,0)</f>
        <v>M3XKM</v>
      </c>
      <c r="E856" s="62"/>
      <c r="F856" s="64"/>
      <c r="G856" s="64"/>
      <c r="H856" s="64"/>
      <c r="I856" s="64"/>
      <c r="J856" s="78">
        <f>ROUND(SUM(J858),2)</f>
        <v>76.95</v>
      </c>
    </row>
    <row r="857" spans="1:10">
      <c r="A857" s="27"/>
      <c r="B857" s="27"/>
      <c r="C857" s="90" t="s">
        <v>1780</v>
      </c>
      <c r="D857" s="27"/>
      <c r="E857" s="27" t="s">
        <v>1627</v>
      </c>
      <c r="F857" s="27"/>
      <c r="G857" s="27"/>
      <c r="H857" s="27"/>
      <c r="I857" s="27" t="s">
        <v>1623</v>
      </c>
      <c r="J857" s="27"/>
    </row>
    <row r="858" spans="1:10">
      <c r="A858" s="27"/>
      <c r="B858" s="27"/>
      <c r="C858" s="73" t="s">
        <v>1781</v>
      </c>
      <c r="D858" s="27"/>
      <c r="E858" s="81">
        <v>7.5</v>
      </c>
      <c r="F858" s="81"/>
      <c r="G858" s="81"/>
      <c r="H858" s="81"/>
      <c r="I858" s="92">
        <f>J852</f>
        <v>10.26</v>
      </c>
      <c r="J858" s="36">
        <f>ROUND(PRODUCT(E858:I858),2)</f>
        <v>76.95</v>
      </c>
    </row>
    <row r="859" spans="1:10">
      <c r="A859" s="501"/>
      <c r="B859" s="502"/>
      <c r="C859" s="502"/>
      <c r="D859" s="502"/>
      <c r="E859" s="502"/>
      <c r="F859" s="502"/>
      <c r="G859" s="502"/>
      <c r="H859" s="502"/>
      <c r="I859" s="502"/>
      <c r="J859" s="503"/>
    </row>
    <row r="860" spans="1:10">
      <c r="A860" s="19" t="str">
        <f>'[3]Planilha Orçamentária'!A224</f>
        <v>1.4.4</v>
      </c>
      <c r="B860" s="20"/>
      <c r="C860" s="21" t="str">
        <f>VLOOKUP(A860,'[3]Planilha Orçamentária'!A:K,3,0)</f>
        <v>TERRAPLENAGEM</v>
      </c>
      <c r="D860" s="22"/>
      <c r="E860" s="23"/>
      <c r="F860" s="24"/>
      <c r="G860" s="24"/>
      <c r="H860" s="24"/>
      <c r="I860" s="25"/>
      <c r="J860" s="270"/>
    </row>
    <row r="861" spans="1:10" ht="38.25">
      <c r="A861" s="28" t="str">
        <f>'[3]Planilha Orçamentária'!A225</f>
        <v>1.4.4.1</v>
      </c>
      <c r="B861" s="42" t="str">
        <f>VLOOKUP(A861,'[3]Planilha Orçamentária'!A:K,2,0)</f>
        <v>CP-74205/001-17324935</v>
      </c>
      <c r="C861" s="30" t="str">
        <f>VLOOKUP(A861,'[3]Planilha Orçamentária'!A:K,3,0)</f>
        <v>ESCAVAÇÃO MECÂNICA DE MATERIAL 1A. CATEGORIA, PROVENIENTE DE CORTE DE SUBLEITO (C/TRATOR ESTEIRAS  160HP)</v>
      </c>
      <c r="D861" s="31" t="str">
        <f>VLOOKUP(A861,'[3]Planilha Orçamentária'!A:K,4,0)</f>
        <v>M3</v>
      </c>
      <c r="E861" s="30"/>
      <c r="F861" s="32"/>
      <c r="G861" s="32"/>
      <c r="H861" s="32"/>
      <c r="I861" s="32"/>
      <c r="J861" s="45">
        <f>ROUND(SUM(J863:J863),2)</f>
        <v>2626.68</v>
      </c>
    </row>
    <row r="862" spans="1:10">
      <c r="A862" s="28"/>
      <c r="B862" s="42"/>
      <c r="C862" s="86" t="s">
        <v>1782</v>
      </c>
      <c r="D862" s="31"/>
      <c r="E862" s="30"/>
      <c r="F862" s="32"/>
      <c r="G862" s="32"/>
      <c r="H862" s="32"/>
      <c r="I862" s="34" t="s">
        <v>1623</v>
      </c>
      <c r="J862" s="45"/>
    </row>
    <row r="863" spans="1:10">
      <c r="A863" s="94"/>
      <c r="B863" s="95"/>
      <c r="C863" s="73" t="s">
        <v>1729</v>
      </c>
      <c r="D863" s="96"/>
      <c r="E863" s="82"/>
      <c r="F863" s="82"/>
      <c r="G863" s="82"/>
      <c r="H863" s="82"/>
      <c r="I863" s="82">
        <f>[3]PARÂMETROS!G628</f>
        <v>2626.68</v>
      </c>
      <c r="J863" s="97">
        <f>ROUND(PRODUCT(E863:I863),2)</f>
        <v>2626.68</v>
      </c>
    </row>
    <row r="864" spans="1:10">
      <c r="A864" s="513"/>
      <c r="B864" s="513"/>
      <c r="C864" s="513"/>
      <c r="D864" s="513"/>
      <c r="E864" s="513"/>
      <c r="F864" s="513"/>
      <c r="G864" s="513"/>
      <c r="H864" s="513"/>
      <c r="I864" s="513"/>
      <c r="J864" s="513"/>
    </row>
    <row r="865" spans="1:10" ht="51">
      <c r="A865" s="99" t="str">
        <f>'[3]Planilha Orçamentária'!A226</f>
        <v>1.4.4.2</v>
      </c>
      <c r="B865" s="48" t="str">
        <f>VLOOKUP(A865,'[3]Planilha Orçamentária'!A:K,2,0)</f>
        <v>COMP-35145154</v>
      </c>
      <c r="C865" s="100" t="str">
        <f>VLOOKUP(A865,'[3]Planilha Orçamentária'!A:K,3,0)</f>
        <v>CARGA E DESCARGA MECANICA DE SOLO UTILIZANDO CAMINHAO BASCULANTE 14,0M3/36T E PA CARREGADEIRA SOBRE PNEUS 128 HP, CAPACIDADE DA CAÇAMBA 1,7 A 2,8 M3, PESO OPERACIONAL 11632 KH</v>
      </c>
      <c r="D865" s="101" t="str">
        <f>VLOOKUP(A865,'[3]Planilha Orçamentária'!A:K,4,0)</f>
        <v>M3</v>
      </c>
      <c r="E865" s="100"/>
      <c r="F865" s="102"/>
      <c r="G865" s="102"/>
      <c r="H865" s="102"/>
      <c r="I865" s="102"/>
      <c r="J865" s="45">
        <f>ROUND(SUM(J867:J867),2)</f>
        <v>3272.73</v>
      </c>
    </row>
    <row r="866" spans="1:10">
      <c r="A866" s="99"/>
      <c r="B866" s="48"/>
      <c r="C866" s="73" t="s">
        <v>1631</v>
      </c>
      <c r="D866" s="101"/>
      <c r="E866" s="105" t="s">
        <v>1622</v>
      </c>
      <c r="F866" s="106"/>
      <c r="G866" s="106"/>
      <c r="H866" s="106"/>
      <c r="I866" s="106" t="s">
        <v>1623</v>
      </c>
      <c r="J866" s="103"/>
    </row>
    <row r="867" spans="1:10">
      <c r="A867" s="99"/>
      <c r="B867" s="48"/>
      <c r="C867" s="73" t="s">
        <v>1632</v>
      </c>
      <c r="D867" s="96"/>
      <c r="E867" s="82">
        <v>1.25</v>
      </c>
      <c r="F867" s="35"/>
      <c r="G867" s="35"/>
      <c r="H867" s="35"/>
      <c r="I867" s="35">
        <f>[3]PARÂMETROS!G629</f>
        <v>2618.1799999999998</v>
      </c>
      <c r="J867" s="97">
        <f>ROUND(PRODUCT(E867:I867),2)</f>
        <v>3272.73</v>
      </c>
    </row>
    <row r="868" spans="1:10">
      <c r="A868" s="513"/>
      <c r="B868" s="513"/>
      <c r="C868" s="513"/>
      <c r="D868" s="513"/>
      <c r="E868" s="513"/>
      <c r="F868" s="513"/>
      <c r="G868" s="513"/>
      <c r="H868" s="513"/>
      <c r="I868" s="513"/>
      <c r="J868" s="513"/>
    </row>
    <row r="869" spans="1:10" ht="38.25">
      <c r="A869" s="216" t="str">
        <f>'[3]Planilha Orçamentária'!A227</f>
        <v>1.4.4.3</v>
      </c>
      <c r="B869" s="217">
        <f>VLOOKUP(A869,'[3]Planilha Orçamentária'!A:K,2,0)</f>
        <v>95876</v>
      </c>
      <c r="C869" s="218" t="str">
        <f>VLOOKUP(A869,'[3]Planilha Orçamentária'!A:K,3,0)</f>
        <v>TRANSPORTE COM CAMINHÃO BASCULANTE DE 14 M³, EM VIA URBANA PAVIMENTADA, DMT ATÉ 30 KM (UNIDADE: M3XKM). AF_07/2020</v>
      </c>
      <c r="D869" s="219" t="str">
        <f>VLOOKUP(A869,'[3]Planilha Orçamentária'!A:K,4,0)</f>
        <v>M3XKM</v>
      </c>
      <c r="E869" s="218"/>
      <c r="F869" s="64"/>
      <c r="G869" s="64"/>
      <c r="H869" s="64"/>
      <c r="I869" s="64"/>
      <c r="J869" s="33">
        <f>ROUND(SUM(J871:J871),2)</f>
        <v>24545.48</v>
      </c>
    </row>
    <row r="870" spans="1:10">
      <c r="A870" s="216"/>
      <c r="B870" s="217"/>
      <c r="C870" s="90" t="s">
        <v>1783</v>
      </c>
      <c r="D870" s="219"/>
      <c r="E870" s="91" t="s">
        <v>1627</v>
      </c>
      <c r="F870" s="64"/>
      <c r="G870" s="64"/>
      <c r="H870" s="80"/>
      <c r="I870" s="80" t="s">
        <v>1623</v>
      </c>
      <c r="J870" s="78"/>
    </row>
    <row r="871" spans="1:10">
      <c r="A871" s="216"/>
      <c r="B871" s="217"/>
      <c r="C871" s="73" t="s">
        <v>1784</v>
      </c>
      <c r="D871" s="96"/>
      <c r="E871" s="81">
        <v>7.5</v>
      </c>
      <c r="F871" s="271"/>
      <c r="G871" s="271"/>
      <c r="H871" s="271"/>
      <c r="I871" s="225">
        <f>J865</f>
        <v>3272.73</v>
      </c>
      <c r="J871" s="226">
        <f>ROUND(PRODUCT(E871:I871),2)</f>
        <v>24545.48</v>
      </c>
    </row>
    <row r="872" spans="1:10">
      <c r="A872" s="498"/>
      <c r="B872" s="499"/>
      <c r="C872" s="499"/>
      <c r="D872" s="499"/>
      <c r="E872" s="499"/>
      <c r="F872" s="499"/>
      <c r="G872" s="499"/>
      <c r="H872" s="499"/>
      <c r="I872" s="499"/>
      <c r="J872" s="500"/>
    </row>
    <row r="873" spans="1:10" ht="38.25">
      <c r="A873" s="28" t="str">
        <f>'[3]Planilha Orçamentária'!A228</f>
        <v>1.4.4.4</v>
      </c>
      <c r="B873" s="42">
        <f>VLOOKUP(A873,'[3]Planilha Orçamentária'!A:K,2,0)</f>
        <v>96385</v>
      </c>
      <c r="C873" s="30" t="str">
        <f>VLOOKUP(A873,'[3]Planilha Orçamentária'!A:K,3,0)</f>
        <v>EXECUÇÃO E COMPACTAÇÃO DE ATERRO COM SOLO PREDOMINANTEMENTE ARGILOSO - EXCLUSIVE SOLO, ESCAVAÇÃO, CARGA E TRANSPORTE. AF_11/2019</v>
      </c>
      <c r="D873" s="31" t="str">
        <f>VLOOKUP(A873,'[3]Planilha Orçamentária'!A:K,4,0)</f>
        <v>M3</v>
      </c>
      <c r="E873" s="30"/>
      <c r="F873" s="32"/>
      <c r="G873" s="32"/>
      <c r="H873" s="32"/>
      <c r="I873" s="32"/>
      <c r="J873" s="45">
        <f>ROUND(SUM(J875:J875),2)</f>
        <v>8.5</v>
      </c>
    </row>
    <row r="874" spans="1:10">
      <c r="A874" s="28"/>
      <c r="B874" s="42"/>
      <c r="C874" s="86" t="s">
        <v>1782</v>
      </c>
      <c r="D874" s="31"/>
      <c r="E874" s="30"/>
      <c r="F874" s="32"/>
      <c r="G874" s="32"/>
      <c r="H874" s="32"/>
      <c r="I874" s="34" t="s">
        <v>1623</v>
      </c>
      <c r="J874" s="45"/>
    </row>
    <row r="875" spans="1:10">
      <c r="A875" s="94"/>
      <c r="B875" s="95"/>
      <c r="C875" s="73" t="s">
        <v>1729</v>
      </c>
      <c r="D875" s="96"/>
      <c r="E875" s="82"/>
      <c r="F875" s="82"/>
      <c r="G875" s="82"/>
      <c r="H875" s="82"/>
      <c r="I875" s="82">
        <f>[3]PARÂMETROS!G631</f>
        <v>8.5</v>
      </c>
      <c r="J875" s="97">
        <f>ROUND(PRODUCT(E875:I875),2)</f>
        <v>8.5</v>
      </c>
    </row>
    <row r="876" spans="1:10">
      <c r="A876" s="513"/>
      <c r="B876" s="513"/>
      <c r="C876" s="513"/>
      <c r="D876" s="513"/>
      <c r="E876" s="513"/>
      <c r="F876" s="513"/>
      <c r="G876" s="513"/>
      <c r="H876" s="513"/>
      <c r="I876" s="513"/>
      <c r="J876" s="513"/>
    </row>
    <row r="877" spans="1:10">
      <c r="A877" s="19" t="str">
        <f>'[3]Planilha Orçamentária'!A229</f>
        <v>1.4.5</v>
      </c>
      <c r="B877" s="20"/>
      <c r="C877" s="21" t="str">
        <f>VLOOKUP(A877,'[3]Planilha Orçamentária'!A:K,3,0)</f>
        <v>PAVIMENTAÇÃO</v>
      </c>
      <c r="D877" s="22"/>
      <c r="E877" s="23"/>
      <c r="F877" s="24"/>
      <c r="G877" s="24"/>
      <c r="H877" s="24"/>
      <c r="I877" s="25"/>
      <c r="J877" s="41"/>
    </row>
    <row r="878" spans="1:10" ht="25.5">
      <c r="A878" s="66" t="str">
        <f>'[3]Planilha Orçamentária'!A230</f>
        <v>1.4.5.1</v>
      </c>
      <c r="B878" s="67">
        <f>VLOOKUP(A878,'[3]Planilha Orçamentária'!A:K,2,0)</f>
        <v>100576</v>
      </c>
      <c r="C878" s="68" t="str">
        <f>VLOOKUP(A878,'[3]Planilha Orçamentária'!A:K,3,0)</f>
        <v>REGULARIZAÇÃO E COMPACTAÇÃO DE SUBLEITO DE SOLO  PREDOMINANTEMENTE ARGILOSO. AF_11/2019</v>
      </c>
      <c r="D878" s="69" t="str">
        <f>VLOOKUP(A878,'[3]Planilha Orçamentária'!A:K,4,0)</f>
        <v>M2</v>
      </c>
      <c r="E878" s="68"/>
      <c r="F878" s="71"/>
      <c r="G878" s="71"/>
      <c r="H878" s="71"/>
      <c r="I878" s="71"/>
      <c r="J878" s="78">
        <f>ROUND(SUM(J880:J881),2)</f>
        <v>4417.3999999999996</v>
      </c>
    </row>
    <row r="879" spans="1:10">
      <c r="A879" s="60"/>
      <c r="B879" s="77"/>
      <c r="C879" s="79" t="s">
        <v>1785</v>
      </c>
      <c r="D879" s="63"/>
      <c r="E879" s="62"/>
      <c r="F879" s="80"/>
      <c r="G879" s="80"/>
      <c r="H879" s="64"/>
      <c r="I879" s="87" t="s">
        <v>1620</v>
      </c>
      <c r="J879" s="78"/>
    </row>
    <row r="880" spans="1:10">
      <c r="A880" s="60"/>
      <c r="B880" s="77"/>
      <c r="C880" s="109" t="s">
        <v>1635</v>
      </c>
      <c r="D880" s="63"/>
      <c r="E880" s="62"/>
      <c r="F880" s="80"/>
      <c r="G880" s="80"/>
      <c r="H880" s="64"/>
      <c r="I880" s="111">
        <v>3135.92</v>
      </c>
      <c r="J880" s="97">
        <f t="shared" ref="J880:J881" si="75">ROUND(PRODUCT(E880:I880),2)</f>
        <v>3135.92</v>
      </c>
    </row>
    <row r="881" spans="1:10" ht="15">
      <c r="A881" s="112"/>
      <c r="B881" s="113"/>
      <c r="C881" s="114" t="s">
        <v>1636</v>
      </c>
      <c r="D881" s="115"/>
      <c r="E881" s="116"/>
      <c r="F881" s="117"/>
      <c r="G881" s="116"/>
      <c r="H881" s="116"/>
      <c r="I881" s="118">
        <v>1281.48</v>
      </c>
      <c r="J881" s="119">
        <f t="shared" si="75"/>
        <v>1281.48</v>
      </c>
    </row>
    <row r="882" spans="1:10">
      <c r="A882" s="520"/>
      <c r="B882" s="521"/>
      <c r="C882" s="521"/>
      <c r="D882" s="521"/>
      <c r="E882" s="521"/>
      <c r="F882" s="521"/>
      <c r="G882" s="521"/>
      <c r="H882" s="521"/>
      <c r="I882" s="521"/>
      <c r="J882" s="522"/>
    </row>
    <row r="883" spans="1:10" ht="38.25">
      <c r="A883" s="66" t="str">
        <f>'[3]Planilha Orçamentária'!A231</f>
        <v>1.4.5.2</v>
      </c>
      <c r="B883" s="67" t="str">
        <f>VLOOKUP(A883,'[3]Planilha Orçamentária'!A:K,2,0)</f>
        <v>COMP-28881239</v>
      </c>
      <c r="C883" s="68" t="str">
        <f>VLOOKUP(A883,'[3]Planilha Orçamentária'!A:K,3,0)</f>
        <v>Base ou sub-base de macadame hidráulico com brita comercial - EXCLUSIVE MATERIAL, CARGA E TRANSPORTE - NÃO DESONERADO</v>
      </c>
      <c r="D883" s="69" t="str">
        <f>VLOOKUP(A883,'[3]Planilha Orçamentária'!A:K,4,0)</f>
        <v>M3</v>
      </c>
      <c r="E883" s="68"/>
      <c r="F883" s="71"/>
      <c r="G883" s="71"/>
      <c r="H883" s="71"/>
      <c r="I883" s="71"/>
      <c r="J883" s="78">
        <f>ROUND(SUM(J885:J888),2)</f>
        <v>798.57</v>
      </c>
    </row>
    <row r="884" spans="1:10">
      <c r="A884" s="60"/>
      <c r="B884" s="77"/>
      <c r="C884" s="79" t="s">
        <v>1785</v>
      </c>
      <c r="D884" s="63"/>
      <c r="E884" s="62"/>
      <c r="F884" s="80"/>
      <c r="G884" s="80"/>
      <c r="H884" s="80" t="s">
        <v>1619</v>
      </c>
      <c r="I884" s="87" t="s">
        <v>1620</v>
      </c>
      <c r="J884" s="78"/>
    </row>
    <row r="885" spans="1:10">
      <c r="A885" s="60"/>
      <c r="B885" s="77"/>
      <c r="C885" s="109" t="s">
        <v>1635</v>
      </c>
      <c r="D885" s="63"/>
      <c r="E885" s="62"/>
      <c r="F885" s="80"/>
      <c r="G885" s="80"/>
      <c r="H885" s="116">
        <v>0.2</v>
      </c>
      <c r="I885" s="111">
        <f>J880</f>
        <v>3135.92</v>
      </c>
      <c r="J885" s="97">
        <f t="shared" ref="J885:J888" si="76">ROUND(PRODUCT(E885:I885),2)</f>
        <v>627.17999999999995</v>
      </c>
    </row>
    <row r="886" spans="1:10" ht="15">
      <c r="A886" s="112"/>
      <c r="B886" s="113"/>
      <c r="C886" s="114" t="s">
        <v>1636</v>
      </c>
      <c r="D886" s="115"/>
      <c r="E886" s="116"/>
      <c r="F886" s="117"/>
      <c r="G886" s="116"/>
      <c r="H886" s="116">
        <v>0.2</v>
      </c>
      <c r="I886" s="118">
        <f>J881</f>
        <v>1281.48</v>
      </c>
      <c r="J886" s="119">
        <f t="shared" si="76"/>
        <v>256.3</v>
      </c>
    </row>
    <row r="887" spans="1:10" ht="15">
      <c r="A887" s="28"/>
      <c r="B887" s="29"/>
      <c r="C887" s="109" t="s">
        <v>1786</v>
      </c>
      <c r="D887" s="74"/>
      <c r="E887" s="35">
        <v>-1</v>
      </c>
      <c r="F887" s="121">
        <v>264.27</v>
      </c>
      <c r="G887" s="35">
        <v>1</v>
      </c>
      <c r="H887" s="116">
        <v>0.2</v>
      </c>
      <c r="I887" s="111"/>
      <c r="J887" s="119">
        <f t="shared" si="76"/>
        <v>-52.85</v>
      </c>
    </row>
    <row r="888" spans="1:10" ht="15">
      <c r="A888" s="28"/>
      <c r="B888" s="29"/>
      <c r="C888" s="109" t="s">
        <v>1787</v>
      </c>
      <c r="D888" s="74"/>
      <c r="E888" s="35">
        <v>-1</v>
      </c>
      <c r="F888" s="121">
        <v>133.59</v>
      </c>
      <c r="G888" s="35">
        <v>1.2</v>
      </c>
      <c r="H888" s="116">
        <v>0.2</v>
      </c>
      <c r="I888" s="111"/>
      <c r="J888" s="119">
        <f t="shared" si="76"/>
        <v>-32.06</v>
      </c>
    </row>
    <row r="889" spans="1:10">
      <c r="A889" s="520"/>
      <c r="B889" s="521"/>
      <c r="C889" s="521"/>
      <c r="D889" s="521"/>
      <c r="E889" s="521"/>
      <c r="F889" s="521"/>
      <c r="G889" s="521"/>
      <c r="H889" s="521"/>
      <c r="I889" s="521"/>
      <c r="J889" s="522"/>
    </row>
    <row r="890" spans="1:10" ht="38.25">
      <c r="A890" s="60" t="str">
        <f>'[3]Planilha Orçamentária'!A232</f>
        <v>1.4.5.3</v>
      </c>
      <c r="B890" s="61" t="str">
        <f>VLOOKUP(A890,'[3]Planilha Orçamentária'!A:K,2,0)</f>
        <v>CP-96396-26507981</v>
      </c>
      <c r="C890" s="62" t="str">
        <f>VLOOKUP(A890,'[3]Planilha Orçamentária'!A:K,3,0)</f>
        <v>EXECUÇÃO E COMPACTAÇÃO DE BASE E OU SUB BASE PARA PAVIMENTAÇÃO DE BRITA GRADUADA SIMPLES - EXCLUSIVE MATERIAL, CARGA E TRANSPORTE</v>
      </c>
      <c r="D890" s="63" t="str">
        <f>VLOOKUP(A890,'[3]Planilha Orçamentária'!A:K,4,0)</f>
        <v>M3</v>
      </c>
      <c r="E890" s="124"/>
      <c r="F890" s="125"/>
      <c r="G890" s="125"/>
      <c r="H890" s="125"/>
      <c r="I890" s="125"/>
      <c r="J890" s="65">
        <f>ROUND(SUM(J892:J895),2)</f>
        <v>798.57</v>
      </c>
    </row>
    <row r="891" spans="1:10">
      <c r="A891" s="60"/>
      <c r="B891" s="61"/>
      <c r="C891" s="79" t="s">
        <v>1785</v>
      </c>
      <c r="D891" s="63"/>
      <c r="E891" s="127"/>
      <c r="F891" s="127"/>
      <c r="G891" s="127"/>
      <c r="H891" s="88" t="s">
        <v>1619</v>
      </c>
      <c r="I891" s="87" t="s">
        <v>1620</v>
      </c>
      <c r="J891" s="65"/>
    </row>
    <row r="892" spans="1:10">
      <c r="A892" s="60"/>
      <c r="B892" s="61"/>
      <c r="C892" s="109" t="s">
        <v>1635</v>
      </c>
      <c r="D892" s="63"/>
      <c r="E892" s="127"/>
      <c r="F892" s="127"/>
      <c r="G892" s="127"/>
      <c r="H892" s="116">
        <v>0.2</v>
      </c>
      <c r="I892" s="111">
        <f>J880</f>
        <v>3135.92</v>
      </c>
      <c r="J892" s="97">
        <f t="shared" ref="J892:J895" si="77">ROUND(PRODUCT(E892:I892),2)</f>
        <v>627.17999999999995</v>
      </c>
    </row>
    <row r="893" spans="1:10">
      <c r="A893" s="66"/>
      <c r="B893" s="67"/>
      <c r="C893" s="114" t="s">
        <v>1636</v>
      </c>
      <c r="D893" s="69"/>
      <c r="E893" s="235"/>
      <c r="F893" s="235"/>
      <c r="G893" s="235"/>
      <c r="H893" s="116">
        <v>0.2</v>
      </c>
      <c r="I893" s="118">
        <f>J881</f>
        <v>1281.48</v>
      </c>
      <c r="J893" s="119">
        <f t="shared" si="77"/>
        <v>256.3</v>
      </c>
    </row>
    <row r="894" spans="1:10" ht="15">
      <c r="A894" s="60"/>
      <c r="B894" s="77"/>
      <c r="C894" s="109" t="s">
        <v>1786</v>
      </c>
      <c r="D894" s="63"/>
      <c r="E894" s="35">
        <v>-1</v>
      </c>
      <c r="F894" s="121">
        <f>F887</f>
        <v>264.27</v>
      </c>
      <c r="G894" s="35">
        <v>1</v>
      </c>
      <c r="H894" s="116">
        <v>0.2</v>
      </c>
      <c r="I894" s="111"/>
      <c r="J894" s="119">
        <f t="shared" si="77"/>
        <v>-52.85</v>
      </c>
    </row>
    <row r="895" spans="1:10" ht="15">
      <c r="A895" s="60"/>
      <c r="B895" s="77"/>
      <c r="C895" s="109" t="s">
        <v>1787</v>
      </c>
      <c r="D895" s="63"/>
      <c r="E895" s="35">
        <v>-1</v>
      </c>
      <c r="F895" s="121">
        <f>F888</f>
        <v>133.59</v>
      </c>
      <c r="G895" s="35">
        <v>1.2</v>
      </c>
      <c r="H895" s="116">
        <v>0.2</v>
      </c>
      <c r="I895" s="111"/>
      <c r="J895" s="119">
        <f t="shared" si="77"/>
        <v>-32.06</v>
      </c>
    </row>
    <row r="896" spans="1:10">
      <c r="A896" s="497"/>
      <c r="B896" s="497"/>
      <c r="C896" s="497"/>
      <c r="D896" s="497"/>
      <c r="E896" s="497"/>
      <c r="F896" s="497"/>
      <c r="G896" s="497"/>
      <c r="H896" s="497"/>
      <c r="I896" s="497"/>
      <c r="J896" s="497"/>
    </row>
    <row r="897" spans="1:10" ht="51">
      <c r="A897" s="28" t="str">
        <f>'[3]Planilha Orçamentária'!A233</f>
        <v>1.4.5.4</v>
      </c>
      <c r="B897" s="29" t="str">
        <f>VLOOKUP(A897,'[3]Planilha Orçamentária'!A:K,2,0)</f>
        <v>COMP-35145154</v>
      </c>
      <c r="C897" s="30" t="str">
        <f>VLOOKUP(A897,'[3]Planilha Orçamentária'!A:K,3,0)</f>
        <v>CARGA E DESCARGA MECANICA DE SOLO UTILIZANDO CAMINHAO BASCULANTE 14,0M3/36T E PA CARREGADEIRA SOBRE PNEUS 128 HP, CAPACIDADE DA CAÇAMBA 1,7 A 2,8 M3, PESO OPERACIONAL 11632 KH</v>
      </c>
      <c r="D897" s="31" t="str">
        <f>VLOOKUP(A897,'[3]Planilha Orçamentária'!A:K,4,0)</f>
        <v>M3</v>
      </c>
      <c r="E897" s="30"/>
      <c r="F897" s="32"/>
      <c r="G897" s="32"/>
      <c r="H897" s="32"/>
      <c r="I897" s="32"/>
      <c r="J897" s="33">
        <f>ROUND(SUM(J899:J899),2)</f>
        <v>1996.43</v>
      </c>
    </row>
    <row r="898" spans="1:10" ht="25.5">
      <c r="A898" s="28"/>
      <c r="B898" s="29"/>
      <c r="C898" s="62"/>
      <c r="D898" s="63"/>
      <c r="E898" s="127" t="s">
        <v>1622</v>
      </c>
      <c r="F898" s="34"/>
      <c r="G898" s="32"/>
      <c r="H898" s="32"/>
      <c r="I898" s="135" t="s">
        <v>1734</v>
      </c>
      <c r="J898" s="33"/>
    </row>
    <row r="899" spans="1:10" ht="14.25">
      <c r="A899" s="28"/>
      <c r="B899" s="29"/>
      <c r="C899" s="131" t="s">
        <v>1642</v>
      </c>
      <c r="D899" s="96"/>
      <c r="E899" s="34">
        <v>1.25</v>
      </c>
      <c r="F899" s="140"/>
      <c r="G899" s="129"/>
      <c r="H899" s="129"/>
      <c r="I899" s="141">
        <f>J890+J883</f>
        <v>1597.14</v>
      </c>
      <c r="J899" s="253">
        <f t="shared" ref="J899" si="78">ROUND(PRODUCT(E899:I899),2)</f>
        <v>1996.43</v>
      </c>
    </row>
    <row r="900" spans="1:10">
      <c r="A900" s="513"/>
      <c r="B900" s="513"/>
      <c r="C900" s="513"/>
      <c r="D900" s="513"/>
      <c r="E900" s="513"/>
      <c r="F900" s="513"/>
      <c r="G900" s="513"/>
      <c r="H900" s="513"/>
      <c r="I900" s="513"/>
      <c r="J900" s="513"/>
    </row>
    <row r="901" spans="1:10" ht="25.5">
      <c r="A901" s="28" t="str">
        <f>'[3]Planilha Orçamentária'!A234</f>
        <v>1.4.5.5</v>
      </c>
      <c r="B901" s="29" t="str">
        <f>VLOOKUP(A901,'[3]Planilha Orçamentária'!A:K,2,0)</f>
        <v>COMP-83526730</v>
      </c>
      <c r="C901" s="30" t="str">
        <f>VLOOKUP(A901,'[3]Planilha Orçamentária'!A:K,3,0)</f>
        <v>TRANSPORTE COMERCIAL DE BRITA</v>
      </c>
      <c r="D901" s="31" t="str">
        <f>VLOOKUP(A901,'[3]Planilha Orçamentária'!A:K,4,0)</f>
        <v>M3XKM</v>
      </c>
      <c r="E901" s="30"/>
      <c r="F901" s="32"/>
      <c r="G901" s="32"/>
      <c r="H901" s="32"/>
      <c r="I901" s="32"/>
      <c r="J901" s="33">
        <f>ROUND(SUM(J903:J903),2)</f>
        <v>14773.58</v>
      </c>
    </row>
    <row r="902" spans="1:10">
      <c r="A902" s="28"/>
      <c r="B902" s="29"/>
      <c r="C902" s="79" t="s">
        <v>1788</v>
      </c>
      <c r="D902" s="31"/>
      <c r="E902" s="86" t="s">
        <v>1627</v>
      </c>
      <c r="F902" s="34"/>
      <c r="G902" s="34"/>
      <c r="H902" s="34"/>
      <c r="I902" s="34" t="s">
        <v>1623</v>
      </c>
      <c r="J902" s="33"/>
    </row>
    <row r="903" spans="1:10" ht="14.25">
      <c r="A903" s="28"/>
      <c r="B903" s="29"/>
      <c r="C903" s="126" t="s">
        <v>1789</v>
      </c>
      <c r="D903" s="94"/>
      <c r="E903" s="141">
        <v>7.4</v>
      </c>
      <c r="F903" s="134"/>
      <c r="G903" s="94"/>
      <c r="H903" s="94"/>
      <c r="I903" s="136">
        <f>J897</f>
        <v>1996.43</v>
      </c>
      <c r="J903" s="253">
        <f t="shared" ref="J903" si="79">ROUND(PRODUCT(E903:I903),2)</f>
        <v>14773.58</v>
      </c>
    </row>
    <row r="904" spans="1:10">
      <c r="A904" s="513"/>
      <c r="B904" s="513"/>
      <c r="C904" s="513"/>
      <c r="D904" s="513"/>
      <c r="E904" s="513"/>
      <c r="F904" s="513"/>
      <c r="G904" s="513"/>
      <c r="H904" s="513"/>
      <c r="I904" s="513"/>
      <c r="J904" s="513"/>
    </row>
    <row r="905" spans="1:10" ht="51">
      <c r="A905" s="99" t="str">
        <f>'[3]Planilha Orçamentária'!A235</f>
        <v>1.4.5.6</v>
      </c>
      <c r="B905" s="48" t="str">
        <f>VLOOKUP(A905,'[3]Planilha Orçamentária'!A:K,2,0)</f>
        <v>CP-92399-27762594</v>
      </c>
      <c r="C905" s="100" t="str">
        <f>VLOOKUP(A905,'[3]Planilha Orçamentária'!A:K,3,0)</f>
        <v>EXECUÇÃO DE VIA EM PISO INTERTRAVADO, COM BLOCO RETANGULAR COR NATURAL/COLORIDO DE 20 X 10 CM, ESPESSURA 8 CM - (SEM O MATERIAL BLOQUETE/PISO INTERTRAVADO)</v>
      </c>
      <c r="D905" s="101" t="str">
        <f>VLOOKUP(A905,'[3]Planilha Orçamentária'!A:K,4,0)</f>
        <v>M2</v>
      </c>
      <c r="E905" s="34"/>
      <c r="F905" s="34"/>
      <c r="G905" s="64"/>
      <c r="H905" s="34"/>
      <c r="I905" s="87"/>
      <c r="J905" s="33">
        <f>ROUND(SUM(J906:J911),2)</f>
        <v>3992.83</v>
      </c>
    </row>
    <row r="906" spans="1:10">
      <c r="A906" s="94"/>
      <c r="B906" s="133"/>
      <c r="C906" s="79" t="s">
        <v>1785</v>
      </c>
      <c r="D906" s="96"/>
      <c r="E906" s="82"/>
      <c r="F906" s="34"/>
      <c r="G906" s="82"/>
      <c r="H906" s="82"/>
      <c r="I906" s="82" t="s">
        <v>1620</v>
      </c>
      <c r="J906" s="120"/>
    </row>
    <row r="907" spans="1:10" ht="28.5">
      <c r="A907" s="94"/>
      <c r="B907" s="133"/>
      <c r="C907" s="126" t="s">
        <v>1646</v>
      </c>
      <c r="D907" s="96"/>
      <c r="E907" s="82"/>
      <c r="F907" s="34"/>
      <c r="G907" s="82"/>
      <c r="H907" s="82"/>
      <c r="I907" s="82">
        <f>J880</f>
        <v>3135.92</v>
      </c>
      <c r="J907" s="120">
        <f>ROUND(PRODUCT(E907:I907),2)</f>
        <v>3135.92</v>
      </c>
    </row>
    <row r="908" spans="1:10" ht="14.25">
      <c r="A908" s="94"/>
      <c r="B908" s="133"/>
      <c r="C908" s="126"/>
      <c r="D908" s="96"/>
      <c r="E908" s="82"/>
      <c r="F908" s="34" t="s">
        <v>1606</v>
      </c>
      <c r="G908" s="82" t="s">
        <v>1607</v>
      </c>
      <c r="H908" s="82"/>
      <c r="I908" s="82"/>
      <c r="J908" s="120"/>
    </row>
    <row r="909" spans="1:10" ht="15">
      <c r="A909" s="94"/>
      <c r="B909" s="133"/>
      <c r="C909" s="109" t="s">
        <v>1786</v>
      </c>
      <c r="D909" s="63"/>
      <c r="E909" s="35">
        <v>-1</v>
      </c>
      <c r="F909" s="121">
        <v>264.27</v>
      </c>
      <c r="G909" s="35">
        <v>1</v>
      </c>
      <c r="H909" s="82"/>
      <c r="I909" s="82"/>
      <c r="J909" s="120">
        <f>ROUND(PRODUCT(E909:I909),2)</f>
        <v>-264.27</v>
      </c>
    </row>
    <row r="910" spans="1:10" ht="15">
      <c r="A910" s="94"/>
      <c r="B910" s="133"/>
      <c r="C910" s="109" t="s">
        <v>1787</v>
      </c>
      <c r="D910" s="63"/>
      <c r="E910" s="35">
        <v>-1</v>
      </c>
      <c r="F910" s="121">
        <v>133.58000000000001</v>
      </c>
      <c r="G910" s="35">
        <v>1.2</v>
      </c>
      <c r="H910" s="82"/>
      <c r="I910" s="82"/>
      <c r="J910" s="120">
        <f>ROUND(PRODUCT(E910:I910),2)</f>
        <v>-160.30000000000001</v>
      </c>
    </row>
    <row r="911" spans="1:10" ht="28.5">
      <c r="A911" s="94"/>
      <c r="B911" s="133"/>
      <c r="C911" s="126" t="s">
        <v>1647</v>
      </c>
      <c r="D911" s="96"/>
      <c r="E911" s="82"/>
      <c r="F911" s="34"/>
      <c r="G911" s="82"/>
      <c r="H911" s="82"/>
      <c r="I911" s="82">
        <f>J881</f>
        <v>1281.48</v>
      </c>
      <c r="J911" s="120">
        <f>ROUND(PRODUCT(E911:I911),2)</f>
        <v>1281.48</v>
      </c>
    </row>
    <row r="912" spans="1:10">
      <c r="A912" s="497"/>
      <c r="B912" s="497"/>
      <c r="C912" s="497"/>
      <c r="D912" s="497"/>
      <c r="E912" s="497"/>
      <c r="F912" s="497"/>
      <c r="G912" s="497"/>
      <c r="H912" s="497"/>
      <c r="I912" s="497"/>
      <c r="J912" s="497"/>
    </row>
    <row r="913" spans="1:11" ht="63.75">
      <c r="A913" s="99" t="str">
        <f>'[3]Planilha Orçamentária'!A236</f>
        <v>1.4.5.7</v>
      </c>
      <c r="B913" s="48">
        <f>VLOOKUP(A913,'[3]Planilha Orçamentária'!A:K,2,0)</f>
        <v>94273</v>
      </c>
      <c r="C913" s="100" t="str">
        <f>VLOOKUP(A913,'[3]Planilha Orçamentária'!A:K,3,0)</f>
        <v>ASSENTAMENTO DE GUIA (MEIO-FIO) EM TRECHO RETO, CONFECCIONADA EM CONCRETO PRÉ-FABRICADO, DIMENSÕES 100X15X13X30 CM (COMPRIMENTO X BASE INFERIOR X BASE SUPERIOR X ALTURA), PARA VIAS URBANAS (USO VIÁRIO). AF_06/2016</v>
      </c>
      <c r="D913" s="101" t="str">
        <f>VLOOKUP(A913,'[3]Planilha Orçamentária'!A:K,4,0)</f>
        <v>M</v>
      </c>
      <c r="E913" s="100"/>
      <c r="F913" s="102"/>
      <c r="G913" s="102"/>
      <c r="H913" s="102"/>
      <c r="I913" s="102"/>
      <c r="J913" s="33">
        <f>ROUND(SUM(J914:J916),2)</f>
        <v>1041.01</v>
      </c>
    </row>
    <row r="914" spans="1:11">
      <c r="A914" s="94"/>
      <c r="B914" s="128"/>
      <c r="C914" s="79" t="s">
        <v>1785</v>
      </c>
      <c r="D914" s="96"/>
      <c r="E914" s="82"/>
      <c r="F914" s="34" t="s">
        <v>1606</v>
      </c>
      <c r="G914" s="82"/>
      <c r="H914" s="82"/>
      <c r="I914" s="82"/>
      <c r="J914" s="120"/>
    </row>
    <row r="915" spans="1:11" ht="25.5">
      <c r="A915" s="94"/>
      <c r="B915" s="128"/>
      <c r="C915" s="145" t="s">
        <v>1790</v>
      </c>
      <c r="D915" s="96"/>
      <c r="E915" s="82"/>
      <c r="F915" s="34">
        <f>[3]PARÂMETROS!B641</f>
        <v>1018.11</v>
      </c>
      <c r="G915" s="82"/>
      <c r="H915" s="82"/>
      <c r="I915" s="82"/>
      <c r="J915" s="120">
        <f t="shared" ref="J915:J916" si="80">ROUND(PRODUCT(E915:I915),2)</f>
        <v>1018.11</v>
      </c>
    </row>
    <row r="916" spans="1:11">
      <c r="A916" s="94"/>
      <c r="B916" s="128"/>
      <c r="C916" s="144" t="s">
        <v>1791</v>
      </c>
      <c r="D916" s="96"/>
      <c r="E916" s="82"/>
      <c r="F916" s="34">
        <v>22.9</v>
      </c>
      <c r="G916" s="82"/>
      <c r="H916" s="82"/>
      <c r="I916" s="82"/>
      <c r="J916" s="120">
        <f t="shared" si="80"/>
        <v>22.9</v>
      </c>
    </row>
    <row r="917" spans="1:11">
      <c r="A917" s="498"/>
      <c r="B917" s="499"/>
      <c r="C917" s="499"/>
      <c r="D917" s="499"/>
      <c r="E917" s="499"/>
      <c r="F917" s="499"/>
      <c r="G917" s="499"/>
      <c r="H917" s="499"/>
      <c r="I917" s="499"/>
      <c r="J917" s="500"/>
    </row>
    <row r="918" spans="1:11">
      <c r="A918" s="19" t="str">
        <f>'[3]Planilha Orçamentária'!A237</f>
        <v>1.4.6</v>
      </c>
      <c r="B918" s="20"/>
      <c r="C918" s="21" t="str">
        <f>VLOOKUP(A918,'[3]Planilha Orçamentária'!A:K,3,0)</f>
        <v>DRENAGEM</v>
      </c>
      <c r="D918" s="22"/>
      <c r="E918" s="23"/>
      <c r="F918" s="24"/>
      <c r="G918" s="24"/>
      <c r="H918" s="24"/>
      <c r="I918" s="25"/>
      <c r="J918" s="41"/>
    </row>
    <row r="919" spans="1:11" ht="25.5">
      <c r="A919" s="28" t="str">
        <f>'[3]Planilha Orçamentária'!A238</f>
        <v>1.4.6.1</v>
      </c>
      <c r="B919" s="42">
        <f>VLOOKUP(A919,'[3]Planilha Orçamentária'!A:K,2,0)</f>
        <v>93358</v>
      </c>
      <c r="C919" s="166" t="str">
        <f>VLOOKUP(A919,'[3]Planilha Orçamentária'!A:K,3,0)</f>
        <v>ESCAVAÇÃO MANUAL DE VALA COM PROFUNDIDADE MENOR OU IGUAL A 1,30 M. AF_02/2021</v>
      </c>
      <c r="D919" s="31" t="str">
        <f>VLOOKUP(A919,'[3]Planilha Orçamentária'!A:K,4,0)</f>
        <v>M3</v>
      </c>
      <c r="E919" s="30"/>
      <c r="F919" s="32"/>
      <c r="G919" s="32"/>
      <c r="H919" s="32"/>
      <c r="I919" s="32"/>
      <c r="J919" s="45">
        <f>ROUND(SUM(J920:J922),2)</f>
        <v>4.16</v>
      </c>
    </row>
    <row r="920" spans="1:11">
      <c r="A920" s="27"/>
      <c r="B920" s="27"/>
      <c r="C920" s="79" t="s">
        <v>1792</v>
      </c>
      <c r="D920" s="27"/>
      <c r="E920" s="27"/>
      <c r="F920" s="27" t="s">
        <v>1708</v>
      </c>
      <c r="G920" s="27" t="s">
        <v>1607</v>
      </c>
      <c r="H920" s="27" t="s">
        <v>1663</v>
      </c>
      <c r="I920" s="27"/>
      <c r="J920" s="27"/>
    </row>
    <row r="921" spans="1:11" ht="28.5">
      <c r="A921" s="27"/>
      <c r="B921" s="27"/>
      <c r="C921" s="131" t="s">
        <v>1664</v>
      </c>
      <c r="D921" s="158"/>
      <c r="E921" s="159"/>
      <c r="F921" s="156">
        <v>130.04</v>
      </c>
      <c r="G921" s="156">
        <v>0.4</v>
      </c>
      <c r="H921" s="156">
        <f>0.16-0.08</f>
        <v>0.08</v>
      </c>
      <c r="I921" s="27"/>
      <c r="J921" s="36">
        <f t="shared" ref="J921" si="81">ROUND(PRODUCT(E921:I921),2)</f>
        <v>4.16</v>
      </c>
    </row>
    <row r="922" spans="1:11">
      <c r="A922" s="501"/>
      <c r="B922" s="502"/>
      <c r="C922" s="502"/>
      <c r="D922" s="502"/>
      <c r="E922" s="502"/>
      <c r="F922" s="502"/>
      <c r="G922" s="502"/>
      <c r="H922" s="502"/>
      <c r="I922" s="502"/>
      <c r="J922" s="503"/>
    </row>
    <row r="923" spans="1:11" ht="63.75">
      <c r="A923" s="28" t="str">
        <f>'[3]Planilha Orçamentária'!A239</f>
        <v>1.4.6.2</v>
      </c>
      <c r="B923" s="42">
        <f>VLOOKUP(A923,'[3]Planilha Orçamentária'!A:K,2,0)</f>
        <v>90091</v>
      </c>
      <c r="C923" s="166" t="str">
        <f>VLOOKUP(A923,'[3]Planilha Orçamentária'!A:K,3,0)</f>
        <v>ESCAVAÇÃO MECANIZADA DE VALA COM PROF. ATÉ 1,5 M (MÉDIA MONTANTE E JUSANTE/UMA COMPOSIÇÃO POR TRECHO), ESCAVADEIRA (0,8 M3), LARG. DE 1,5 M A 2,5 M, EM SOLO DE 1A CATEGORIA, LOCAIS COM BAIXO NÍVEL DE INTERFERÊNCIA. AF_02/2021</v>
      </c>
      <c r="D923" s="31" t="str">
        <f>VLOOKUP(A923,'[3]Planilha Orçamentária'!A:K,4,0)</f>
        <v>M3</v>
      </c>
      <c r="E923" s="30"/>
      <c r="F923" s="32"/>
      <c r="G923" s="32"/>
      <c r="H923" s="32"/>
      <c r="I923" s="32"/>
      <c r="J923" s="45">
        <f>ROUND(SUM(J924:J927),2)</f>
        <v>37.32</v>
      </c>
    </row>
    <row r="924" spans="1:11">
      <c r="A924" s="27"/>
      <c r="B924" s="27"/>
      <c r="C924" s="79" t="s">
        <v>1792</v>
      </c>
      <c r="D924" s="27"/>
      <c r="E924" s="27"/>
      <c r="F924" s="27" t="s">
        <v>1708</v>
      </c>
      <c r="G924" s="27" t="s">
        <v>1607</v>
      </c>
      <c r="H924" s="27" t="s">
        <v>1663</v>
      </c>
      <c r="I924" s="27"/>
      <c r="J924" s="27"/>
    </row>
    <row r="925" spans="1:11" ht="42.75">
      <c r="A925" s="27"/>
      <c r="B925" s="27"/>
      <c r="C925" s="281" t="s">
        <v>1746</v>
      </c>
      <c r="D925" s="191"/>
      <c r="E925" s="156"/>
      <c r="F925" s="80">
        <v>264.27</v>
      </c>
      <c r="G925" s="156">
        <f>1+0.6</f>
        <v>1.6</v>
      </c>
      <c r="H925" s="156">
        <f>0.55-0.53</f>
        <v>2.0000000000000018E-2</v>
      </c>
      <c r="I925" s="27"/>
      <c r="J925" s="36">
        <f t="shared" ref="J925:J926" si="82">ROUND(PRODUCT(E925:I925),2)</f>
        <v>8.4600000000000009</v>
      </c>
      <c r="K925" s="7" t="s">
        <v>1793</v>
      </c>
    </row>
    <row r="926" spans="1:11" ht="42.75">
      <c r="A926" s="27"/>
      <c r="B926" s="27"/>
      <c r="C926" s="281" t="s">
        <v>1794</v>
      </c>
      <c r="D926" s="191"/>
      <c r="E926" s="156"/>
      <c r="F926" s="80">
        <v>133.59</v>
      </c>
      <c r="G926" s="156">
        <f>1.2+0.6</f>
        <v>1.7999999999999998</v>
      </c>
      <c r="H926" s="156">
        <f>0.65-0.53</f>
        <v>0.12</v>
      </c>
      <c r="I926" s="27"/>
      <c r="J926" s="36">
        <f t="shared" si="82"/>
        <v>28.86</v>
      </c>
      <c r="K926" s="7" t="s">
        <v>1793</v>
      </c>
    </row>
    <row r="927" spans="1:11">
      <c r="A927" s="501"/>
      <c r="B927" s="502"/>
      <c r="C927" s="502"/>
      <c r="D927" s="502"/>
      <c r="E927" s="502"/>
      <c r="F927" s="502"/>
      <c r="G927" s="502"/>
      <c r="H927" s="502"/>
      <c r="I927" s="502"/>
      <c r="J927" s="503"/>
    </row>
    <row r="928" spans="1:11" ht="63.75">
      <c r="A928" s="28" t="str">
        <f>'[3]Planilha Orçamentária'!A240</f>
        <v>1.4.6.3</v>
      </c>
      <c r="B928" s="42">
        <f>VLOOKUP(A928,'[3]Planilha Orçamentária'!A:K,2,0)</f>
        <v>93367</v>
      </c>
      <c r="C928" s="166" t="str">
        <f>VLOOKUP(A928,'[3]Planilha Orçamentária'!A:K,3,0)</f>
        <v>REATERRO MECANIZADO DE VALA COM ESCAVADEIRA HIDRÁULICA (CAPACIDADE DA CAÇAMBA: 0,8 M³ / POTÊNCIA: 111 HP), LARGURA DE 1,5 A 2,5 M, PROFUNDIDADE ATÉ 1,5 M, COM SOLO DE 1ª CATEGORIA EM LOCAIS COM BAIXO NÍVEL DE INTERFERÊNCIA. AF_04/2016</v>
      </c>
      <c r="D928" s="31" t="str">
        <f>VLOOKUP(A928,'[3]Planilha Orçamentária'!A:K,4,0)</f>
        <v>M3</v>
      </c>
      <c r="E928" s="30"/>
      <c r="F928" s="32"/>
      <c r="G928" s="32"/>
      <c r="H928" s="32"/>
      <c r="I928" s="32"/>
      <c r="J928" s="45">
        <f>ROUND(SUM(J929:J933),2)</f>
        <v>12.79</v>
      </c>
    </row>
    <row r="929" spans="1:10">
      <c r="A929" s="27"/>
      <c r="B929" s="27"/>
      <c r="C929" s="79" t="s">
        <v>1792</v>
      </c>
      <c r="D929" s="27"/>
      <c r="E929" s="27"/>
      <c r="F929" s="27"/>
      <c r="G929" s="27"/>
      <c r="H929" s="27"/>
      <c r="I929" s="27"/>
      <c r="J929" s="27"/>
    </row>
    <row r="930" spans="1:10">
      <c r="A930" s="27"/>
      <c r="B930" s="27"/>
      <c r="C930" s="80" t="s">
        <v>1748</v>
      </c>
      <c r="D930" s="231"/>
      <c r="E930" s="231"/>
      <c r="F930" s="27"/>
      <c r="G930" s="27"/>
      <c r="H930" s="27"/>
      <c r="I930" s="290">
        <f>J923</f>
        <v>37.32</v>
      </c>
      <c r="J930" s="36">
        <f t="shared" ref="J930:J932" si="83">ROUND(PRODUCT(E930:I930),2)</f>
        <v>37.32</v>
      </c>
    </row>
    <row r="931" spans="1:10" ht="25.5">
      <c r="A931" s="27"/>
      <c r="B931" s="27"/>
      <c r="C931" s="288" t="s">
        <v>1749</v>
      </c>
      <c r="D931" s="27"/>
      <c r="E931" s="27">
        <v>-1</v>
      </c>
      <c r="F931" s="27">
        <f>F925</f>
        <v>264.27</v>
      </c>
      <c r="G931" s="27">
        <v>1</v>
      </c>
      <c r="H931" s="290">
        <f>H925</f>
        <v>2.0000000000000018E-2</v>
      </c>
      <c r="I931" s="290"/>
      <c r="J931" s="36">
        <f t="shared" si="83"/>
        <v>-5.29</v>
      </c>
    </row>
    <row r="932" spans="1:10" ht="25.5">
      <c r="A932" s="27"/>
      <c r="B932" s="27"/>
      <c r="C932" s="288" t="s">
        <v>1749</v>
      </c>
      <c r="D932" s="27"/>
      <c r="E932" s="27">
        <v>-1</v>
      </c>
      <c r="F932" s="27">
        <f>F926</f>
        <v>133.59</v>
      </c>
      <c r="G932" s="27">
        <v>1.2</v>
      </c>
      <c r="H932" s="290">
        <f>H926</f>
        <v>0.12</v>
      </c>
      <c r="I932" s="290"/>
      <c r="J932" s="36">
        <f t="shared" si="83"/>
        <v>-19.239999999999998</v>
      </c>
    </row>
    <row r="933" spans="1:10">
      <c r="A933" s="501"/>
      <c r="B933" s="502"/>
      <c r="C933" s="502"/>
      <c r="D933" s="502"/>
      <c r="E933" s="502"/>
      <c r="F933" s="502"/>
      <c r="G933" s="502"/>
      <c r="H933" s="502"/>
      <c r="I933" s="502"/>
      <c r="J933" s="503"/>
    </row>
    <row r="934" spans="1:10" ht="51">
      <c r="A934" s="28" t="str">
        <f>'[3]Planilha Orçamentária'!A241</f>
        <v>1.4.6.4</v>
      </c>
      <c r="B934" s="42" t="str">
        <f>VLOOKUP(A934,'[3]Planilha Orçamentária'!A:K,2,0)</f>
        <v>COMP-35145154</v>
      </c>
      <c r="C934" s="166" t="str">
        <f>VLOOKUP(A934,'[3]Planilha Orçamentária'!A:K,3,0)</f>
        <v>CARGA E DESCARGA MECANICA DE SOLO UTILIZANDO CAMINHAO BASCULANTE 14,0M3/36T E PA CARREGADEIRA SOBRE PNEUS 128 HP, CAPACIDADE DA CAÇAMBA 1,7 A 2,8 M3, PESO OPERACIONAL 11632 KH</v>
      </c>
      <c r="D934" s="31" t="str">
        <f>VLOOKUP(A934,'[3]Planilha Orçamentária'!A:K,4,0)</f>
        <v>M3</v>
      </c>
      <c r="E934" s="30"/>
      <c r="F934" s="32"/>
      <c r="G934" s="32"/>
      <c r="H934" s="32"/>
      <c r="I934" s="32"/>
      <c r="J934" s="45">
        <f>ROUND(SUM(J935:J937),2)</f>
        <v>30.66</v>
      </c>
    </row>
    <row r="935" spans="1:10" ht="25.5">
      <c r="A935" s="27"/>
      <c r="B935" s="27"/>
      <c r="C935" s="79"/>
      <c r="D935" s="63"/>
      <c r="E935" s="79" t="s">
        <v>1622</v>
      </c>
      <c r="F935" s="80"/>
      <c r="G935" s="80"/>
      <c r="H935" s="80"/>
      <c r="I935" s="80" t="s">
        <v>1750</v>
      </c>
      <c r="J935" s="27"/>
    </row>
    <row r="936" spans="1:10" ht="14.25">
      <c r="A936" s="27"/>
      <c r="B936" s="27"/>
      <c r="C936" s="291" t="s">
        <v>1751</v>
      </c>
      <c r="D936" s="292"/>
      <c r="E936" s="156">
        <v>1.25</v>
      </c>
      <c r="F936" s="82"/>
      <c r="G936" s="293"/>
      <c r="H936" s="293"/>
      <c r="I936" s="293">
        <f>J923-J928</f>
        <v>24.53</v>
      </c>
      <c r="J936" s="36">
        <f t="shared" ref="J936" si="84">ROUND(PRODUCT(E936:I936),2)</f>
        <v>30.66</v>
      </c>
    </row>
    <row r="937" spans="1:10">
      <c r="A937" s="501"/>
      <c r="B937" s="502"/>
      <c r="C937" s="502"/>
      <c r="D937" s="502"/>
      <c r="E937" s="502"/>
      <c r="F937" s="502"/>
      <c r="G937" s="502"/>
      <c r="H937" s="502"/>
      <c r="I937" s="502"/>
      <c r="J937" s="503"/>
    </row>
    <row r="938" spans="1:10" ht="38.25">
      <c r="A938" s="28" t="str">
        <f>'[3]Planilha Orçamentária'!A242</f>
        <v>1.4.6.5</v>
      </c>
      <c r="B938" s="42">
        <f>VLOOKUP(A938,'[3]Planilha Orçamentária'!A:K,2,0)</f>
        <v>95876</v>
      </c>
      <c r="C938" s="166" t="str">
        <f>VLOOKUP(A938,'[3]Planilha Orçamentária'!A:K,3,0)</f>
        <v>TRANSPORTE COM CAMINHÃO BASCULANTE DE 14 M³, EM VIA URBANA PAVIMENTADA, DMT ATÉ 30 KM (UNIDADE: M3XKM). AF_07/2020</v>
      </c>
      <c r="D938" s="31" t="str">
        <f>VLOOKUP(A938,'[3]Planilha Orçamentária'!A:K,4,0)</f>
        <v>M3XKM</v>
      </c>
      <c r="E938" s="30"/>
      <c r="F938" s="32"/>
      <c r="G938" s="32"/>
      <c r="H938" s="32"/>
      <c r="I938" s="32"/>
      <c r="J938" s="45">
        <f>ROUND(SUM(J939:J941),2)</f>
        <v>229.95</v>
      </c>
    </row>
    <row r="939" spans="1:10">
      <c r="A939" s="27"/>
      <c r="B939" s="27"/>
      <c r="C939" s="30"/>
      <c r="D939" s="31"/>
      <c r="E939" s="86" t="s">
        <v>1627</v>
      </c>
      <c r="F939" s="32"/>
      <c r="G939" s="32"/>
      <c r="H939" s="32"/>
      <c r="I939" s="34" t="s">
        <v>1795</v>
      </c>
      <c r="J939" s="27"/>
    </row>
    <row r="940" spans="1:10">
      <c r="A940" s="27"/>
      <c r="B940" s="27"/>
      <c r="C940" s="288" t="s">
        <v>1796</v>
      </c>
      <c r="D940" s="191"/>
      <c r="E940" s="192">
        <v>7.5</v>
      </c>
      <c r="F940" s="35"/>
      <c r="G940" s="82"/>
      <c r="H940" s="82"/>
      <c r="I940" s="82">
        <f>J934</f>
        <v>30.66</v>
      </c>
      <c r="J940" s="36">
        <f t="shared" ref="J940" si="85">ROUND(PRODUCT(E940:I940),2)</f>
        <v>229.95</v>
      </c>
    </row>
    <row r="941" spans="1:10">
      <c r="A941" s="501"/>
      <c r="B941" s="502"/>
      <c r="C941" s="502"/>
      <c r="D941" s="502"/>
      <c r="E941" s="502"/>
      <c r="F941" s="502"/>
      <c r="G941" s="502"/>
      <c r="H941" s="502"/>
      <c r="I941" s="502"/>
      <c r="J941" s="503"/>
    </row>
    <row r="942" spans="1:10" ht="38.25">
      <c r="A942" s="28" t="str">
        <f>'[3]Planilha Orçamentária'!A243</f>
        <v>1.4.6.6</v>
      </c>
      <c r="B942" s="42">
        <f>VLOOKUP(A942,'[3]Planilha Orçamentária'!A:K,2,0)</f>
        <v>94971</v>
      </c>
      <c r="C942" s="166" t="str">
        <f>VLOOKUP(A942,'[3]Planilha Orçamentária'!A:K,3,0)</f>
        <v>CONCRETO FCK = 25MPA, TRAÇO 1:2,3:2,7 (EM MASSA SECA DE CIMENTO/ AREIA MÉDIA/ BRITA 1) - PREPARO MECÂNICO COM BETONEIRA 600 L. AF_05/2021</v>
      </c>
      <c r="D942" s="31" t="str">
        <f>VLOOKUP(A942,'[3]Planilha Orçamentária'!A:K,4,0)</f>
        <v>M3</v>
      </c>
      <c r="E942" s="30"/>
      <c r="F942" s="32"/>
      <c r="G942" s="32"/>
      <c r="H942" s="32"/>
      <c r="I942" s="32"/>
      <c r="J942" s="45">
        <f>ROUND(SUM(J943:J949),2)</f>
        <v>58.88</v>
      </c>
    </row>
    <row r="943" spans="1:10">
      <c r="A943" s="27"/>
      <c r="B943" s="27"/>
      <c r="C943" s="79" t="s">
        <v>1792</v>
      </c>
      <c r="D943" s="27"/>
      <c r="E943" s="27"/>
      <c r="F943" s="27" t="s">
        <v>1708</v>
      </c>
      <c r="G943" s="27" t="s">
        <v>1607</v>
      </c>
      <c r="H943" s="27" t="s">
        <v>1663</v>
      </c>
      <c r="I943" s="27"/>
      <c r="J943" s="27"/>
    </row>
    <row r="944" spans="1:10" ht="28.5">
      <c r="A944" s="27"/>
      <c r="B944" s="27"/>
      <c r="C944" s="126" t="s">
        <v>1666</v>
      </c>
      <c r="D944" s="164"/>
      <c r="E944" s="164"/>
      <c r="F944" s="156">
        <f>F921</f>
        <v>130.04</v>
      </c>
      <c r="G944" s="156">
        <v>0.4</v>
      </c>
      <c r="H944" s="156">
        <f>0.16-0.08</f>
        <v>0.08</v>
      </c>
      <c r="I944" s="27"/>
      <c r="J944" s="36">
        <f t="shared" ref="J944" si="86">ROUND(PRODUCT(E944:I944),2)</f>
        <v>4.16</v>
      </c>
    </row>
    <row r="945" spans="1:10" ht="28.5">
      <c r="A945" s="94"/>
      <c r="B945" s="94"/>
      <c r="C945" s="131" t="s">
        <v>1755</v>
      </c>
      <c r="D945" s="27"/>
      <c r="E945" s="27"/>
      <c r="F945" s="301"/>
      <c r="G945" s="184"/>
      <c r="H945" s="27"/>
      <c r="I945" s="301"/>
      <c r="J945" s="312"/>
    </row>
    <row r="946" spans="1:10" ht="14.25">
      <c r="A946" s="94"/>
      <c r="B946" s="94"/>
      <c r="C946" s="255" t="s">
        <v>1756</v>
      </c>
      <c r="D946" s="27"/>
      <c r="E946" s="27"/>
      <c r="F946" s="301">
        <f>F925</f>
        <v>264.27</v>
      </c>
      <c r="G946" s="184">
        <v>1</v>
      </c>
      <c r="H946" s="27">
        <v>0.15</v>
      </c>
      <c r="I946" s="301"/>
      <c r="J946" s="36">
        <f t="shared" ref="J946:J949" si="87">ROUND(PRODUCT(E946:I946),2)</f>
        <v>39.64</v>
      </c>
    </row>
    <row r="947" spans="1:10" ht="28.5">
      <c r="A947" s="94"/>
      <c r="B947" s="94"/>
      <c r="C947" s="255" t="s">
        <v>1757</v>
      </c>
      <c r="D947" s="27"/>
      <c r="E947" s="27">
        <v>-1</v>
      </c>
      <c r="F947" s="302">
        <v>1.8800000000000001E-2</v>
      </c>
      <c r="G947" s="57">
        <f>F946</f>
        <v>264.27</v>
      </c>
      <c r="H947" s="57">
        <v>0.15</v>
      </c>
      <c r="I947" s="57">
        <v>8</v>
      </c>
      <c r="J947" s="36">
        <f t="shared" si="87"/>
        <v>-5.96</v>
      </c>
    </row>
    <row r="948" spans="1:10" ht="14.25">
      <c r="A948" s="94"/>
      <c r="B948" s="94"/>
      <c r="C948" s="255" t="s">
        <v>1797</v>
      </c>
      <c r="D948" s="27"/>
      <c r="E948" s="27"/>
      <c r="F948" s="301">
        <f>F932</f>
        <v>133.59</v>
      </c>
      <c r="G948" s="184">
        <f>G932</f>
        <v>1.2</v>
      </c>
      <c r="H948" s="27">
        <v>0.15</v>
      </c>
      <c r="I948" s="301"/>
      <c r="J948" s="36">
        <f t="shared" si="87"/>
        <v>24.05</v>
      </c>
    </row>
    <row r="949" spans="1:10" ht="28.5">
      <c r="A949" s="94"/>
      <c r="B949" s="94"/>
      <c r="C949" s="255" t="s">
        <v>1757</v>
      </c>
      <c r="D949" s="27"/>
      <c r="E949" s="27">
        <v>-1</v>
      </c>
      <c r="F949" s="302">
        <v>1.8800000000000001E-2</v>
      </c>
      <c r="G949" s="57">
        <f>F948</f>
        <v>133.59</v>
      </c>
      <c r="H949" s="57">
        <v>0.15</v>
      </c>
      <c r="I949" s="57">
        <v>8</v>
      </c>
      <c r="J949" s="36">
        <f t="shared" si="87"/>
        <v>-3.01</v>
      </c>
    </row>
    <row r="950" spans="1:10">
      <c r="A950" s="501"/>
      <c r="B950" s="502"/>
      <c r="C950" s="502"/>
      <c r="D950" s="502"/>
      <c r="E950" s="502"/>
      <c r="F950" s="502"/>
      <c r="G950" s="502"/>
      <c r="H950" s="502"/>
      <c r="I950" s="502"/>
      <c r="J950" s="503"/>
    </row>
    <row r="951" spans="1:10" ht="38.25">
      <c r="A951" s="28" t="str">
        <f>'[3]Planilha Orçamentária'!A244</f>
        <v>1.4.6.7</v>
      </c>
      <c r="B951" s="42" t="str">
        <f>VLOOKUP(A951,'[3]Planilha Orçamentária'!A:K,2,0)</f>
        <v>CP-S03639-45770834</v>
      </c>
      <c r="C951" s="166" t="str">
        <f>VLOOKUP(A951,'[3]Planilha Orçamentária'!A:K,3,0)</f>
        <v>Fornecimento e instalação de tela aço soldada nervurada CA-60, Q-283, malha 10x10cm, ferro 6.02mm (4,48 kg/m2), painel 2,45x6,0m, Telcon ou similar</v>
      </c>
      <c r="D951" s="31" t="str">
        <f>VLOOKUP(A951,'[3]Planilha Orçamentária'!A:K,4,0)</f>
        <v>M2</v>
      </c>
      <c r="E951" s="30"/>
      <c r="F951" s="32"/>
      <c r="G951" s="32"/>
      <c r="H951" s="32"/>
      <c r="I951" s="32"/>
      <c r="J951" s="45">
        <f>ROUND(SUM(J952:J954),2)</f>
        <v>52.02</v>
      </c>
    </row>
    <row r="952" spans="1:10">
      <c r="A952" s="27"/>
      <c r="B952" s="27"/>
      <c r="C952" s="79" t="s">
        <v>1792</v>
      </c>
      <c r="D952" s="27"/>
      <c r="E952" s="27"/>
      <c r="F952" s="27" t="s">
        <v>1708</v>
      </c>
      <c r="G952" s="27" t="s">
        <v>1607</v>
      </c>
      <c r="H952" s="27"/>
      <c r="I952" s="27"/>
      <c r="J952" s="27"/>
    </row>
    <row r="953" spans="1:10" ht="14.25">
      <c r="A953" s="27"/>
      <c r="B953" s="27"/>
      <c r="C953" s="126" t="s">
        <v>1668</v>
      </c>
      <c r="D953" s="96"/>
      <c r="E953" s="82"/>
      <c r="F953" s="156">
        <f>F921</f>
        <v>130.04</v>
      </c>
      <c r="G953" s="156">
        <v>0.4</v>
      </c>
      <c r="H953" s="27"/>
      <c r="I953" s="27"/>
      <c r="J953" s="36">
        <f t="shared" ref="J953" si="88">ROUND(PRODUCT(E953:I953),2)</f>
        <v>52.02</v>
      </c>
    </row>
    <row r="954" spans="1:10">
      <c r="A954" s="501"/>
      <c r="B954" s="502"/>
      <c r="C954" s="502"/>
      <c r="D954" s="502"/>
      <c r="E954" s="502"/>
      <c r="F954" s="502"/>
      <c r="G954" s="502"/>
      <c r="H954" s="502"/>
      <c r="I954" s="502"/>
      <c r="J954" s="503"/>
    </row>
    <row r="955" spans="1:10" ht="38.25">
      <c r="A955" s="28" t="str">
        <f>'[3]Planilha Orçamentária'!A245</f>
        <v>1.4.6.8</v>
      </c>
      <c r="B955" s="42">
        <f>VLOOKUP(A955,'[3]Planilha Orçamentária'!A:K,2,0)</f>
        <v>94974</v>
      </c>
      <c r="C955" s="166" t="str">
        <f>VLOOKUP(A955,'[3]Planilha Orçamentária'!A:K,3,0)</f>
        <v>CONCRETO MAGRO PARA LASTRO, TRAÇO 1:4,5:4,5 (EM MASSA SECA DE CIMENTO/ AREIA MÉDIA/ BRITA 1) - PREPARO MANUAL. AF_05/2021</v>
      </c>
      <c r="D955" s="31" t="str">
        <f>VLOOKUP(A955,'[3]Planilha Orçamentária'!A:K,4,0)</f>
        <v>M3</v>
      </c>
      <c r="E955" s="30"/>
      <c r="F955" s="32"/>
      <c r="G955" s="32"/>
      <c r="H955" s="32"/>
      <c r="I955" s="32"/>
      <c r="J955" s="45">
        <f>ROUND(SUM(J956:J960),2)</f>
        <v>45.06</v>
      </c>
    </row>
    <row r="956" spans="1:10">
      <c r="A956" s="27"/>
      <c r="B956" s="27"/>
      <c r="C956" s="79" t="s">
        <v>1792</v>
      </c>
      <c r="D956" s="31"/>
      <c r="E956" s="30"/>
      <c r="F956" s="80" t="s">
        <v>1606</v>
      </c>
      <c r="G956" s="80" t="s">
        <v>1607</v>
      </c>
      <c r="H956" s="80" t="s">
        <v>1619</v>
      </c>
      <c r="I956" s="27"/>
      <c r="J956" s="27"/>
    </row>
    <row r="957" spans="1:10" ht="28.5">
      <c r="A957" s="27"/>
      <c r="B957" s="27"/>
      <c r="C957" s="297" t="s">
        <v>1798</v>
      </c>
      <c r="D957" s="27"/>
      <c r="E957" s="27"/>
      <c r="F957" s="298">
        <f>F925</f>
        <v>264.27</v>
      </c>
      <c r="G957" s="184">
        <v>1</v>
      </c>
      <c r="H957" s="27">
        <v>0.1</v>
      </c>
      <c r="I957" s="27"/>
      <c r="J957" s="36">
        <f t="shared" ref="J957:J959" si="89">ROUND(PRODUCT(E957:I957),2)</f>
        <v>26.43</v>
      </c>
    </row>
    <row r="958" spans="1:10" ht="28.5">
      <c r="A958" s="37"/>
      <c r="B958" s="38"/>
      <c r="C958" s="297" t="s">
        <v>1799</v>
      </c>
      <c r="D958" s="27"/>
      <c r="E958" s="27"/>
      <c r="F958" s="298">
        <f>F932</f>
        <v>133.59</v>
      </c>
      <c r="G958" s="184">
        <v>1.2</v>
      </c>
      <c r="H958" s="27">
        <v>0.1</v>
      </c>
      <c r="I958" s="27"/>
      <c r="J958" s="36">
        <f t="shared" si="89"/>
        <v>16.03</v>
      </c>
    </row>
    <row r="959" spans="1:10" ht="14.25">
      <c r="A959" s="37"/>
      <c r="B959" s="38"/>
      <c r="C959" s="163" t="s">
        <v>1665</v>
      </c>
      <c r="D959" s="164"/>
      <c r="E959" s="164"/>
      <c r="F959" s="156">
        <f>F921</f>
        <v>130.04</v>
      </c>
      <c r="G959" s="156">
        <v>0.4</v>
      </c>
      <c r="H959" s="156">
        <v>0.05</v>
      </c>
      <c r="I959" s="27"/>
      <c r="J959" s="36">
        <f t="shared" si="89"/>
        <v>2.6</v>
      </c>
    </row>
    <row r="960" spans="1:10">
      <c r="A960" s="501"/>
      <c r="B960" s="502"/>
      <c r="C960" s="502"/>
      <c r="D960" s="502"/>
      <c r="E960" s="502"/>
      <c r="F960" s="502"/>
      <c r="G960" s="502"/>
      <c r="H960" s="502"/>
      <c r="I960" s="502"/>
      <c r="J960" s="503"/>
    </row>
    <row r="961" spans="1:10" ht="38.25">
      <c r="A961" s="28" t="str">
        <f>'[3]Planilha Orçamentária'!A246</f>
        <v>1.4.6.9</v>
      </c>
      <c r="B961" s="42">
        <f>VLOOKUP(A961,'[3]Planilha Orçamentária'!A:K,2,0)</f>
        <v>92771</v>
      </c>
      <c r="C961" s="166" t="str">
        <f>VLOOKUP(A961,'[3]Planilha Orçamentária'!A:K,3,0)</f>
        <v>ARMAÇÃO DE LAJE DE ESTRUTURA CONVENCIONAL DE CONCRETO ARMADO UTILIZANDO AÇO CA-50 DE 10,0 MM - MONTAGEM. AF_06/2022</v>
      </c>
      <c r="D961" s="31" t="str">
        <f>VLOOKUP(A961,'[3]Planilha Orçamentária'!A:K,4,0)</f>
        <v>KG</v>
      </c>
      <c r="E961" s="30"/>
      <c r="F961" s="32"/>
      <c r="G961" s="32"/>
      <c r="H961" s="32"/>
      <c r="I961" s="32"/>
      <c r="J961" s="45">
        <f>ROUND(SUM(J962:J965),2)</f>
        <v>3532.04</v>
      </c>
    </row>
    <row r="962" spans="1:10">
      <c r="A962" s="27"/>
      <c r="B962" s="27"/>
      <c r="C962" s="79" t="s">
        <v>1792</v>
      </c>
      <c r="D962" s="191"/>
      <c r="E962" s="156"/>
      <c r="F962" s="295" t="s">
        <v>1758</v>
      </c>
      <c r="G962" s="295"/>
      <c r="H962" s="295"/>
      <c r="I962" s="295" t="s">
        <v>328</v>
      </c>
      <c r="J962" s="27"/>
    </row>
    <row r="963" spans="1:10" ht="28.5">
      <c r="A963" s="27"/>
      <c r="B963" s="27"/>
      <c r="C963" s="131" t="s">
        <v>1800</v>
      </c>
      <c r="D963" s="31"/>
      <c r="E963" s="30"/>
      <c r="F963" s="295">
        <f>F957</f>
        <v>264.27</v>
      </c>
      <c r="G963" s="295"/>
      <c r="H963" s="295"/>
      <c r="I963" s="295">
        <v>8.2899999999999991</v>
      </c>
      <c r="J963" s="36">
        <f t="shared" ref="J963:J964" si="90">ROUND(PRODUCT(E963:I963),2)</f>
        <v>2190.8000000000002</v>
      </c>
    </row>
    <row r="964" spans="1:10" ht="28.5">
      <c r="A964" s="27"/>
      <c r="B964" s="27"/>
      <c r="C964" s="131" t="s">
        <v>1801</v>
      </c>
      <c r="D964" s="31"/>
      <c r="E964" s="30"/>
      <c r="F964" s="295">
        <f>F926</f>
        <v>133.59</v>
      </c>
      <c r="G964" s="295"/>
      <c r="H964" s="295"/>
      <c r="I964" s="295">
        <v>10.039999999999999</v>
      </c>
      <c r="J964" s="36">
        <f t="shared" si="90"/>
        <v>1341.24</v>
      </c>
    </row>
    <row r="965" spans="1:10">
      <c r="A965" s="501"/>
      <c r="B965" s="502"/>
      <c r="C965" s="502"/>
      <c r="D965" s="502"/>
      <c r="E965" s="502"/>
      <c r="F965" s="502"/>
      <c r="G965" s="502"/>
      <c r="H965" s="502"/>
      <c r="I965" s="502"/>
      <c r="J965" s="503"/>
    </row>
    <row r="966" spans="1:10" ht="51">
      <c r="A966" s="28" t="str">
        <f>'[3]Planilha Orçamentária'!A247</f>
        <v>1.4.6.10</v>
      </c>
      <c r="B966" s="42" t="str">
        <f>VLOOKUP(A966,'[3]Planilha Orçamentária'!A:K,2,0)</f>
        <v>CP-92268-29291149</v>
      </c>
      <c r="C966" s="166" t="str">
        <f>VLOOKUP(A966,'[3]Planilha Orçamentária'!A:K,3,0)</f>
        <v>FABRICAÇÃO DE FÔRMA PARA LAJES, EM CHAPA DE MADEIRA COMPENSADA PLASTIFICADA, E = 18 MM - EXCLUINDO O PAINEL DE MADEIRA COMPENSADA PLASTIFICADA DE 2200 x 1100 MM, E = *17* MM</v>
      </c>
      <c r="D966" s="31" t="str">
        <f>VLOOKUP(A966,'[3]Planilha Orçamentária'!A:K,4,0)</f>
        <v>M2</v>
      </c>
      <c r="E966" s="30"/>
      <c r="F966" s="32"/>
      <c r="G966" s="32"/>
      <c r="H966" s="32"/>
      <c r="I966" s="32"/>
      <c r="J966" s="45">
        <f>ROUND(SUM(J967:J970),2)</f>
        <v>246.73</v>
      </c>
    </row>
    <row r="967" spans="1:10">
      <c r="A967" s="27"/>
      <c r="B967" s="27"/>
      <c r="C967" s="79" t="s">
        <v>1792</v>
      </c>
      <c r="D967" s="191"/>
      <c r="E967" s="156"/>
      <c r="F967" s="156" t="s">
        <v>1802</v>
      </c>
      <c r="G967" s="156" t="s">
        <v>1619</v>
      </c>
      <c r="H967" s="156" t="s">
        <v>1803</v>
      </c>
      <c r="I967" s="27"/>
      <c r="J967" s="27"/>
    </row>
    <row r="968" spans="1:10" ht="28.5">
      <c r="A968" s="27"/>
      <c r="B968" s="27"/>
      <c r="C968" s="255" t="s">
        <v>1804</v>
      </c>
      <c r="D968" s="96"/>
      <c r="E968" s="82"/>
      <c r="F968" s="57">
        <f>1*4</f>
        <v>4</v>
      </c>
      <c r="G968" s="57">
        <v>0.15</v>
      </c>
      <c r="H968" s="57">
        <f>F963</f>
        <v>264.27</v>
      </c>
      <c r="I968" s="27"/>
      <c r="J968" s="36">
        <f t="shared" ref="J968:J969" si="91">ROUND(PRODUCT(E968:I968),2)</f>
        <v>158.56</v>
      </c>
    </row>
    <row r="969" spans="1:10" ht="28.5">
      <c r="A969" s="27"/>
      <c r="B969" s="27"/>
      <c r="C969" s="255" t="s">
        <v>1805</v>
      </c>
      <c r="D969" s="96"/>
      <c r="E969" s="82"/>
      <c r="F969" s="57">
        <f>(1*2)+(1.2*2)</f>
        <v>4.4000000000000004</v>
      </c>
      <c r="G969" s="57">
        <v>0.15</v>
      </c>
      <c r="H969" s="57">
        <f>F964</f>
        <v>133.59</v>
      </c>
      <c r="I969" s="27"/>
      <c r="J969" s="36">
        <f t="shared" si="91"/>
        <v>88.17</v>
      </c>
    </row>
    <row r="970" spans="1:10">
      <c r="A970" s="501"/>
      <c r="B970" s="502"/>
      <c r="C970" s="502"/>
      <c r="D970" s="502"/>
      <c r="E970" s="502"/>
      <c r="F970" s="502"/>
      <c r="G970" s="502"/>
      <c r="H970" s="502"/>
      <c r="I970" s="502"/>
      <c r="J970" s="503"/>
    </row>
    <row r="971" spans="1:10" ht="51">
      <c r="A971" s="28" t="str">
        <f>'[3]Planilha Orçamentária'!A248</f>
        <v>1.4.6.11</v>
      </c>
      <c r="B971" s="42">
        <f>VLOOKUP(A971,'[3]Planilha Orçamentária'!A:K,2,0)</f>
        <v>103320</v>
      </c>
      <c r="C971" s="166" t="str">
        <f>VLOOKUP(A971,'[3]Planilha Orçamentária'!A:K,3,0)</f>
        <v>ALVENARIA DE VEDAÇÃO DE BLOCOS VAZADOS DE CONCRETO DE 19X19X39 CM (ESPESSURA 19 CM) E ARGAMASSA DE ASSENTAMENTO COM PREPARO EM BETONEIRA. AF_12/2021</v>
      </c>
      <c r="D971" s="31" t="str">
        <f>VLOOKUP(A971,'[3]Planilha Orçamentária'!A:K,4,0)</f>
        <v>M2</v>
      </c>
      <c r="E971" s="30"/>
      <c r="F971" s="32"/>
      <c r="G971" s="32"/>
      <c r="H971" s="32"/>
      <c r="I971" s="32"/>
      <c r="J971" s="45">
        <f>ROUND(SUM(J972:J975),2)</f>
        <v>345.01</v>
      </c>
    </row>
    <row r="972" spans="1:10">
      <c r="A972" s="27"/>
      <c r="B972" s="27"/>
      <c r="C972" s="79" t="s">
        <v>1792</v>
      </c>
      <c r="D972" s="96"/>
      <c r="E972" s="82"/>
      <c r="F972" s="57" t="s">
        <v>1606</v>
      </c>
      <c r="G972" s="57"/>
      <c r="H972" s="57" t="s">
        <v>1663</v>
      </c>
      <c r="I972" s="313" t="s">
        <v>1763</v>
      </c>
      <c r="J972" s="27"/>
    </row>
    <row r="973" spans="1:10" ht="14.25">
      <c r="A973" s="27"/>
      <c r="B973" s="27"/>
      <c r="C973" s="255" t="s">
        <v>1764</v>
      </c>
      <c r="D973" s="96"/>
      <c r="E973" s="82"/>
      <c r="F973" s="57">
        <f>H968</f>
        <v>264.27</v>
      </c>
      <c r="G973" s="57"/>
      <c r="H973" s="57">
        <v>0.4</v>
      </c>
      <c r="I973" s="57">
        <v>2</v>
      </c>
      <c r="J973" s="36">
        <f t="shared" ref="J973:J974" si="92">ROUND(PRODUCT(E973:I973),2)</f>
        <v>211.42</v>
      </c>
    </row>
    <row r="974" spans="1:10" ht="14.25">
      <c r="A974" s="27"/>
      <c r="B974" s="27"/>
      <c r="C974" s="255" t="s">
        <v>1806</v>
      </c>
      <c r="D974" s="96"/>
      <c r="E974" s="82"/>
      <c r="F974" s="57">
        <f>F964</f>
        <v>133.59</v>
      </c>
      <c r="G974" s="57"/>
      <c r="H974" s="57">
        <v>0.5</v>
      </c>
      <c r="I974" s="57">
        <v>2</v>
      </c>
      <c r="J974" s="36">
        <f t="shared" si="92"/>
        <v>133.59</v>
      </c>
    </row>
    <row r="975" spans="1:10">
      <c r="A975" s="501"/>
      <c r="B975" s="502"/>
      <c r="C975" s="502"/>
      <c r="D975" s="502"/>
      <c r="E975" s="502"/>
      <c r="F975" s="502"/>
      <c r="G975" s="502"/>
      <c r="H975" s="502"/>
      <c r="I975" s="502"/>
      <c r="J975" s="503"/>
    </row>
    <row r="976" spans="1:10" ht="51">
      <c r="A976" s="28" t="str">
        <f>'[3]Planilha Orçamentária'!A249</f>
        <v>1.4.6.12</v>
      </c>
      <c r="B976" s="42">
        <f>VLOOKUP(A976,'[3]Planilha Orçamentária'!A:K,2,0)</f>
        <v>87879</v>
      </c>
      <c r="C976" s="166" t="str">
        <f>VLOOKUP(A976,'[3]Planilha Orçamentária'!A:K,3,0)</f>
        <v>CHAPISCO APLICADO EM ALVENARIAS E ESTRUTURAS DE CONCRETO INTERNAS, COM COLHER DE PEDREIRO.  ARGAMASSA TRAÇO 1:3 COM PREPARO EM BETONEIRA 400L. AF_06/2014</v>
      </c>
      <c r="D976" s="31" t="str">
        <f>VLOOKUP(A976,'[3]Planilha Orçamentária'!A:K,4,0)</f>
        <v>M2</v>
      </c>
      <c r="E976" s="30"/>
      <c r="F976" s="32"/>
      <c r="G976" s="32"/>
      <c r="H976" s="32"/>
      <c r="I976" s="32"/>
      <c r="J976" s="45">
        <f>ROUND(SUM(J977:J979),2)</f>
        <v>345.01</v>
      </c>
    </row>
    <row r="977" spans="1:10">
      <c r="A977" s="27"/>
      <c r="B977" s="27"/>
      <c r="C977" s="79" t="s">
        <v>1792</v>
      </c>
      <c r="D977" s="96"/>
      <c r="E977" s="82"/>
      <c r="F977" s="57"/>
      <c r="G977" s="57"/>
      <c r="H977" s="57"/>
      <c r="I977" s="254"/>
      <c r="J977" s="27"/>
    </row>
    <row r="978" spans="1:10" ht="14.25">
      <c r="A978" s="27"/>
      <c r="B978" s="27"/>
      <c r="C978" s="255" t="s">
        <v>1765</v>
      </c>
      <c r="D978" s="96"/>
      <c r="E978" s="82"/>
      <c r="F978" s="57"/>
      <c r="G978" s="57"/>
      <c r="H978" s="57"/>
      <c r="I978" s="314">
        <f>J971</f>
        <v>345.01</v>
      </c>
      <c r="J978" s="36">
        <f t="shared" ref="J978" si="93">ROUND(PRODUCT(E978:I978),2)</f>
        <v>345.01</v>
      </c>
    </row>
    <row r="979" spans="1:10">
      <c r="A979" s="501"/>
      <c r="B979" s="502"/>
      <c r="C979" s="502"/>
      <c r="D979" s="502"/>
      <c r="E979" s="502"/>
      <c r="F979" s="502"/>
      <c r="G979" s="502"/>
      <c r="H979" s="502"/>
      <c r="I979" s="502"/>
      <c r="J979" s="503"/>
    </row>
    <row r="980" spans="1:10" ht="63.75">
      <c r="A980" s="28" t="str">
        <f>'[3]Planilha Orçamentária'!A250</f>
        <v>1.4.6.13</v>
      </c>
      <c r="B980" s="42">
        <f>VLOOKUP(A980,'[3]Planilha Orçamentária'!A:K,2,0)</f>
        <v>87547</v>
      </c>
      <c r="C980" s="166" t="str">
        <f>VLOOKUP(A980,'[3]Planilha Orçamentária'!A:K,3,0)</f>
        <v>MASSA ÚNICA, PARA RECEBIMENTO DE PINTURA, EM ARGAMASSA TRAÇO 1:2:8, PREPARO MECÂNICO COM BETONEIRA 400L, APLICADA MANUALMENTE EM FACES INTERNAS DE PAREDES, ESPESSURA DE 10MM, COM EXECUÇÃO DE TALISCAS. AF_06/2014</v>
      </c>
      <c r="D980" s="31" t="str">
        <f>VLOOKUP(A980,'[3]Planilha Orçamentária'!A:K,4,0)</f>
        <v>M2</v>
      </c>
      <c r="E980" s="30"/>
      <c r="F980" s="32"/>
      <c r="G980" s="32"/>
      <c r="H980" s="32"/>
      <c r="I980" s="32"/>
      <c r="J980" s="45">
        <f>ROUND(SUM(J981:J983),2)</f>
        <v>345.01</v>
      </c>
    </row>
    <row r="981" spans="1:10">
      <c r="A981" s="27"/>
      <c r="B981" s="27"/>
      <c r="C981" s="79" t="s">
        <v>1792</v>
      </c>
      <c r="D981" s="96"/>
      <c r="E981" s="82"/>
      <c r="F981" s="57"/>
      <c r="G981" s="57"/>
      <c r="H981" s="57"/>
      <c r="I981" s="254"/>
      <c r="J981" s="27"/>
    </row>
    <row r="982" spans="1:10" ht="14.25">
      <c r="A982" s="27"/>
      <c r="B982" s="27"/>
      <c r="C982" s="255" t="s">
        <v>1765</v>
      </c>
      <c r="D982" s="96"/>
      <c r="E982" s="82"/>
      <c r="F982" s="57"/>
      <c r="G982" s="57"/>
      <c r="H982" s="57"/>
      <c r="I982" s="314">
        <f>J976</f>
        <v>345.01</v>
      </c>
      <c r="J982" s="36">
        <f t="shared" ref="J982" si="94">ROUND(PRODUCT(E982:I982),2)</f>
        <v>345.01</v>
      </c>
    </row>
    <row r="983" spans="1:10">
      <c r="A983" s="501"/>
      <c r="B983" s="502"/>
      <c r="C983" s="502"/>
      <c r="D983" s="502"/>
      <c r="E983" s="502"/>
      <c r="F983" s="502"/>
      <c r="G983" s="502"/>
      <c r="H983" s="502"/>
      <c r="I983" s="502"/>
      <c r="J983" s="503"/>
    </row>
    <row r="984" spans="1:10" ht="38.25">
      <c r="A984" s="28" t="str">
        <f>'[3]Planilha Orçamentária'!A251</f>
        <v>1.4.6.14</v>
      </c>
      <c r="B984" s="42">
        <f>VLOOKUP(A984,'[3]Planilha Orçamentária'!A:K,2,0)</f>
        <v>94975</v>
      </c>
      <c r="C984" s="166" t="str">
        <f>VLOOKUP(A984,'[3]Planilha Orçamentária'!A:K,3,0)</f>
        <v>CONCRETO FCK = 15MPA, TRAÇO 1:3,4:3,5 (EM MASSA SECA DE CIMENTO/ AREIA MÉDIA/ BRITA 1) - PREPARO MANUAL. AF_05/2021</v>
      </c>
      <c r="D984" s="31" t="str">
        <f>VLOOKUP(A984,'[3]Planilha Orçamentária'!A:K,4,0)</f>
        <v>M3</v>
      </c>
      <c r="E984" s="30"/>
      <c r="F984" s="32"/>
      <c r="G984" s="32"/>
      <c r="H984" s="32"/>
      <c r="I984" s="32"/>
      <c r="J984" s="45">
        <f>ROUND(SUM(J985:J989),2)</f>
        <v>36.69</v>
      </c>
    </row>
    <row r="985" spans="1:10" ht="28.5">
      <c r="A985" s="27"/>
      <c r="B985" s="27"/>
      <c r="C985" s="131" t="s">
        <v>1807</v>
      </c>
      <c r="D985" s="303"/>
      <c r="E985" s="304" t="s">
        <v>1767</v>
      </c>
      <c r="F985" s="304" t="s">
        <v>1768</v>
      </c>
      <c r="G985" s="184"/>
      <c r="H985" s="304" t="s">
        <v>1769</v>
      </c>
      <c r="I985" s="27"/>
      <c r="J985" s="27"/>
    </row>
    <row r="986" spans="1:10" ht="28.5">
      <c r="A986" s="27"/>
      <c r="B986" s="27"/>
      <c r="C986" s="255" t="s">
        <v>1770</v>
      </c>
      <c r="D986" s="303"/>
      <c r="E986" s="305">
        <f>0.294*0.14*0.19</f>
        <v>7.8203999999999999E-3</v>
      </c>
      <c r="F986" s="184">
        <v>13.6</v>
      </c>
      <c r="G986" s="306"/>
      <c r="H986" s="57">
        <f>J971</f>
        <v>345.01</v>
      </c>
      <c r="I986" s="27"/>
      <c r="J986" s="36">
        <f t="shared" ref="J986" si="95">ROUND(PRODUCT(E986:I986),2)</f>
        <v>36.69</v>
      </c>
    </row>
    <row r="987" spans="1:10" ht="14.25">
      <c r="A987" s="27"/>
      <c r="B987" s="27"/>
      <c r="C987" s="131" t="s">
        <v>1807</v>
      </c>
      <c r="D987" s="303"/>
      <c r="E987" s="305"/>
      <c r="F987" s="184"/>
      <c r="G987" s="306"/>
      <c r="H987" s="57"/>
      <c r="I987" s="27"/>
      <c r="J987" s="36"/>
    </row>
    <row r="988" spans="1:10" ht="28.5">
      <c r="A988" s="27"/>
      <c r="B988" s="27"/>
      <c r="C988" s="255" t="s">
        <v>1770</v>
      </c>
      <c r="D988" s="303"/>
      <c r="E988" s="305"/>
      <c r="F988" s="184"/>
      <c r="G988" s="306"/>
      <c r="H988" s="57"/>
      <c r="I988" s="27"/>
      <c r="J988" s="36"/>
    </row>
    <row r="989" spans="1:10">
      <c r="A989" s="501"/>
      <c r="B989" s="502"/>
      <c r="C989" s="502"/>
      <c r="D989" s="502"/>
      <c r="E989" s="502"/>
      <c r="F989" s="502"/>
      <c r="G989" s="502"/>
      <c r="H989" s="502"/>
      <c r="I989" s="502"/>
      <c r="J989" s="503"/>
    </row>
    <row r="990" spans="1:10" ht="25.5">
      <c r="A990" s="28" t="str">
        <f>'[3]Planilha Orçamentária'!A252</f>
        <v>1.4.6.15</v>
      </c>
      <c r="B990" s="42" t="str">
        <f>VLOOKUP(A990,'[3]Planilha Orçamentária'!A:K,2,0)</f>
        <v>CP-74157/004-48264518</v>
      </c>
      <c r="C990" s="166" t="str">
        <f>VLOOKUP(A990,'[3]Planilha Orçamentária'!A:K,3,0)</f>
        <v>LANCAMENTO/APLICACAO MANUAL DE CONCRETO EM FUNDACOES (concreto magro)</v>
      </c>
      <c r="D990" s="31" t="str">
        <f>VLOOKUP(A990,'[3]Planilha Orçamentária'!A:K,4,0)</f>
        <v>M3</v>
      </c>
      <c r="E990" s="30"/>
      <c r="F990" s="32"/>
      <c r="G990" s="32"/>
      <c r="H990" s="32"/>
      <c r="I990" s="32"/>
      <c r="J990" s="45">
        <f>ROUND(SUM(J991:J993),2)</f>
        <v>140.63</v>
      </c>
    </row>
    <row r="991" spans="1:10">
      <c r="A991" s="27"/>
      <c r="B991" s="27"/>
      <c r="C991" s="79" t="s">
        <v>1792</v>
      </c>
      <c r="D991" s="96"/>
      <c r="E991" s="82"/>
      <c r="F991" s="57"/>
      <c r="G991" s="57"/>
      <c r="H991" s="57"/>
      <c r="I991" s="254"/>
      <c r="J991" s="27"/>
    </row>
    <row r="992" spans="1:10" ht="14.25">
      <c r="A992" s="27"/>
      <c r="B992" s="27"/>
      <c r="C992" s="255" t="s">
        <v>1808</v>
      </c>
      <c r="D992" s="96"/>
      <c r="E992" s="82"/>
      <c r="F992" s="57"/>
      <c r="G992" s="57"/>
      <c r="H992" s="57"/>
      <c r="I992" s="57">
        <f>J984+J955+J942</f>
        <v>140.63</v>
      </c>
      <c r="J992" s="36">
        <f t="shared" ref="J992" si="96">ROUND(PRODUCT(E992:I992),2)</f>
        <v>140.63</v>
      </c>
    </row>
    <row r="993" spans="1:10">
      <c r="A993" s="501"/>
      <c r="B993" s="502"/>
      <c r="C993" s="502"/>
      <c r="D993" s="502"/>
      <c r="E993" s="502"/>
      <c r="F993" s="502"/>
      <c r="G993" s="502"/>
      <c r="H993" s="502"/>
      <c r="I993" s="502"/>
      <c r="J993" s="503"/>
    </row>
    <row r="994" spans="1:10">
      <c r="A994" s="19" t="str">
        <f>'[3]Planilha Orçamentária'!A253</f>
        <v>1.4.7</v>
      </c>
      <c r="B994" s="20"/>
      <c r="C994" s="21" t="str">
        <f>VLOOKUP(A994,'[3]Planilha Orçamentária'!A:K,3,0)</f>
        <v>SINALIZAÇÃO</v>
      </c>
      <c r="D994" s="22"/>
      <c r="E994" s="23"/>
      <c r="F994" s="24"/>
      <c r="G994" s="24"/>
      <c r="H994" s="24"/>
      <c r="I994" s="25"/>
      <c r="J994" s="41"/>
    </row>
    <row r="995" spans="1:10" ht="25.5">
      <c r="A995" s="28" t="str">
        <f>'[3]Planilha Orçamentária'!A254</f>
        <v>1.4.7.1</v>
      </c>
      <c r="B995" s="42">
        <f>VLOOKUP(A995,'[3]Planilha Orçamentária'!A:K,2,0)</f>
        <v>5213421</v>
      </c>
      <c r="C995" s="166" t="str">
        <f>VLOOKUP(A995,'[3]Planilha Orçamentária'!A:K,3,0)</f>
        <v>Confecção de placa em aço nº 16 galvanizado, com película tipo I + IV</v>
      </c>
      <c r="D995" s="31" t="str">
        <f>VLOOKUP(A995,'[3]Planilha Orçamentária'!A:K,4,0)</f>
        <v xml:space="preserve">M2    </v>
      </c>
      <c r="E995" s="30"/>
      <c r="F995" s="32"/>
      <c r="G995" s="32"/>
      <c r="H995" s="32"/>
      <c r="I995" s="32"/>
      <c r="J995" s="45">
        <f>ROUND(SUM(J996:J998),2)</f>
        <v>5.4</v>
      </c>
    </row>
    <row r="996" spans="1:10" ht="25.5">
      <c r="A996" s="54"/>
      <c r="B996" s="54"/>
      <c r="C996" s="142" t="s">
        <v>1809</v>
      </c>
      <c r="D996" s="174"/>
      <c r="E996" s="175"/>
      <c r="F996" s="35"/>
      <c r="G996" s="35"/>
      <c r="H996" s="82" t="s">
        <v>1620</v>
      </c>
      <c r="I996" s="171" t="s">
        <v>1608</v>
      </c>
      <c r="J996" s="58"/>
    </row>
    <row r="997" spans="1:10">
      <c r="A997" s="176"/>
      <c r="B997" s="176"/>
      <c r="C997" s="142" t="s">
        <v>1671</v>
      </c>
      <c r="D997" s="174"/>
      <c r="E997" s="35"/>
      <c r="F997" s="35"/>
      <c r="G997" s="35"/>
      <c r="H997" s="35">
        <v>0.2</v>
      </c>
      <c r="I997" s="82">
        <v>12</v>
      </c>
      <c r="J997" s="58">
        <f>ROUND(PRODUCT(E997:I997),2)</f>
        <v>2.4</v>
      </c>
    </row>
    <row r="998" spans="1:10">
      <c r="A998" s="176"/>
      <c r="B998" s="176"/>
      <c r="C998" s="177" t="s">
        <v>1672</v>
      </c>
      <c r="D998" s="158"/>
      <c r="E998" s="116"/>
      <c r="F998" s="116"/>
      <c r="G998" s="116"/>
      <c r="H998" s="116">
        <f>0.5*0.5</f>
        <v>0.25</v>
      </c>
      <c r="I998" s="82">
        <v>12</v>
      </c>
      <c r="J998" s="58">
        <f t="shared" ref="J998" si="97">ROUND(PRODUCT(E998:I998),2)</f>
        <v>3</v>
      </c>
    </row>
    <row r="999" spans="1:10">
      <c r="A999" s="507"/>
      <c r="B999" s="507"/>
      <c r="C999" s="507"/>
      <c r="D999" s="507"/>
      <c r="E999" s="507"/>
      <c r="F999" s="507"/>
      <c r="G999" s="507"/>
      <c r="H999" s="507"/>
      <c r="I999" s="507"/>
      <c r="J999" s="508"/>
    </row>
    <row r="1000" spans="1:10" ht="38.25">
      <c r="A1000" s="28" t="str">
        <f>'[3]Planilha Orçamentária'!A255</f>
        <v>1.4.7.2</v>
      </c>
      <c r="B1000" s="42">
        <f>VLOOKUP(A1000,'[3]Planilha Orçamentária'!A:K,2,0)</f>
        <v>5216111</v>
      </c>
      <c r="C1000" s="166" t="str">
        <f>VLOOKUP(A1000,'[3]Planilha Orçamentária'!A:K,3,0)</f>
        <v>FORNECIMENTO E IMPLANTAÇÃO DE SUPORTE E TRAVESSA PARA PLACA DE SINALIZAÇÃO EM MADEIRA DE LEI TRATADA 8 X 8 CM</v>
      </c>
      <c r="D1000" s="31" t="str">
        <f>VLOOKUP(A1000,'[3]Planilha Orçamentária'!A:K,4,0)</f>
        <v>UND</v>
      </c>
      <c r="E1000" s="30"/>
      <c r="F1000" s="32"/>
      <c r="G1000" s="32"/>
      <c r="H1000" s="32"/>
      <c r="I1000" s="32"/>
      <c r="J1000" s="45">
        <f>ROUND(SUM(J1002:J1002),2)</f>
        <v>12</v>
      </c>
    </row>
    <row r="1001" spans="1:10">
      <c r="A1001" s="112"/>
      <c r="B1001" s="146"/>
      <c r="C1001" s="142" t="s">
        <v>1809</v>
      </c>
      <c r="D1001" s="31"/>
      <c r="E1001" s="30"/>
      <c r="F1001" s="32"/>
      <c r="G1001" s="32"/>
      <c r="H1001" s="32"/>
      <c r="I1001" s="34" t="s">
        <v>1125</v>
      </c>
      <c r="J1001" s="151"/>
    </row>
    <row r="1002" spans="1:10">
      <c r="A1002" s="176"/>
      <c r="B1002" s="176"/>
      <c r="C1002" s="142" t="s">
        <v>1676</v>
      </c>
      <c r="D1002" s="174"/>
      <c r="E1002" s="175"/>
      <c r="F1002" s="35"/>
      <c r="G1002" s="35"/>
      <c r="H1002" s="82"/>
      <c r="I1002" s="82">
        <v>12</v>
      </c>
      <c r="J1002" s="188">
        <f>ROUND(PRODUCT(E1002:I1002),2)</f>
        <v>12</v>
      </c>
    </row>
    <row r="1003" spans="1:10">
      <c r="A1003" s="506"/>
      <c r="B1003" s="507"/>
      <c r="C1003" s="507"/>
      <c r="D1003" s="507"/>
      <c r="E1003" s="507"/>
      <c r="F1003" s="507"/>
      <c r="G1003" s="507"/>
      <c r="H1003" s="507"/>
      <c r="I1003" s="507"/>
      <c r="J1003" s="508"/>
    </row>
    <row r="1004" spans="1:10" ht="25.5">
      <c r="A1004" s="112" t="str">
        <f>'[3]Planilha Orçamentária'!A256</f>
        <v>1.4.7.3</v>
      </c>
      <c r="B1004" s="146" t="str">
        <f>VLOOKUP(A1004,'[3]Planilha Orçamentária'!A:K,2,0)</f>
        <v>COMP-58084869</v>
      </c>
      <c r="C1004" s="147" t="str">
        <f>VLOOKUP(A1004,'[3]Planilha Orçamentária'!A:K,3,0)</f>
        <v>PLACA ESMALTADA PARA IDENTIFICAÇÃO NR DE RUA, DIMENSÕES 45X25CM</v>
      </c>
      <c r="D1004" s="148" t="str">
        <f>VLOOKUP(A1004,'[3]Planilha Orçamentária'!A:K,4,0)</f>
        <v>UND</v>
      </c>
      <c r="E1004" s="149"/>
      <c r="F1004" s="150"/>
      <c r="G1004" s="150"/>
      <c r="H1004" s="150"/>
      <c r="I1004" s="150"/>
      <c r="J1004" s="151">
        <f>ROUND(SUM(J1005:J1006),2)</f>
        <v>2</v>
      </c>
    </row>
    <row r="1005" spans="1:10">
      <c r="A1005" s="28"/>
      <c r="B1005" s="29"/>
      <c r="C1005" s="142" t="s">
        <v>1809</v>
      </c>
      <c r="D1005" s="31"/>
      <c r="E1005" s="30"/>
      <c r="F1005" s="32"/>
      <c r="G1005" s="32"/>
      <c r="H1005" s="32"/>
      <c r="I1005" s="34" t="s">
        <v>1125</v>
      </c>
      <c r="J1005" s="33"/>
    </row>
    <row r="1006" spans="1:10">
      <c r="A1006" s="28"/>
      <c r="B1006" s="29"/>
      <c r="C1006" s="142" t="s">
        <v>1676</v>
      </c>
      <c r="D1006" s="31"/>
      <c r="E1006" s="30"/>
      <c r="F1006" s="32"/>
      <c r="G1006" s="32"/>
      <c r="H1006" s="32"/>
      <c r="I1006" s="82">
        <v>2</v>
      </c>
      <c r="J1006" s="188">
        <f>ROUND(PRODUCT(E1006:I1006),2)</f>
        <v>2</v>
      </c>
    </row>
    <row r="1007" spans="1:10">
      <c r="A1007" s="511"/>
      <c r="B1007" s="512"/>
      <c r="C1007" s="512"/>
      <c r="D1007" s="512"/>
      <c r="E1007" s="512"/>
      <c r="F1007" s="512"/>
      <c r="G1007" s="512"/>
      <c r="H1007" s="512"/>
      <c r="I1007" s="512"/>
      <c r="J1007" s="512"/>
    </row>
    <row r="1008" spans="1:10" ht="38.25">
      <c r="A1008" s="60" t="str">
        <f>'[3]Planilha Orçamentária'!A257</f>
        <v>1.4.7.4</v>
      </c>
      <c r="B1008" s="61" t="str">
        <f>VLOOKUP(A1008,'[3]Planilha Orçamentária'!A:K,2,0)</f>
        <v>CP-72947-21572945</v>
      </c>
      <c r="C1008" s="190" t="str">
        <f>VLOOKUP(A1008,'[3]Planilha Orçamentária'!A:K,3,0)</f>
        <v>SINALIZACAO HORIZONTAL COM TINTA RETRORREFLETIVA A BASE DE RESINA ACRILICA COM MICROESFERAS DE VIDRO</v>
      </c>
      <c r="D1008" s="63" t="str">
        <f>VLOOKUP(A1008,'[3]Planilha Orçamentária'!A:K,4,0)</f>
        <v>M2</v>
      </c>
      <c r="E1008" s="62"/>
      <c r="F1008" s="64"/>
      <c r="G1008" s="64"/>
      <c r="H1008" s="64"/>
      <c r="I1008" s="64"/>
      <c r="J1008" s="78">
        <f>ROUND(SUM(J1010:J1010),2)</f>
        <v>6.12</v>
      </c>
    </row>
    <row r="1009" spans="1:10">
      <c r="A1009" s="66"/>
      <c r="B1009" s="67"/>
      <c r="C1009" s="142" t="s">
        <v>1809</v>
      </c>
      <c r="D1009" s="63"/>
      <c r="E1009" s="62"/>
      <c r="F1009" s="80"/>
      <c r="G1009" s="64"/>
      <c r="H1009" s="64"/>
      <c r="I1009" s="34" t="s">
        <v>1620</v>
      </c>
      <c r="J1009" s="78"/>
    </row>
    <row r="1010" spans="1:10">
      <c r="A1010" s="176"/>
      <c r="B1010" s="176"/>
      <c r="C1010" s="142" t="s">
        <v>1676</v>
      </c>
      <c r="D1010" s="191"/>
      <c r="E1010" s="192"/>
      <c r="F1010" s="82"/>
      <c r="G1010" s="82"/>
      <c r="H1010" s="82"/>
      <c r="I1010" s="82">
        <v>6.12</v>
      </c>
      <c r="J1010" s="36">
        <f>ROUND(PRODUCT(E1010:I1010),2)</f>
        <v>6.12</v>
      </c>
    </row>
    <row r="1011" spans="1:10">
      <c r="A1011" s="507"/>
      <c r="B1011" s="507"/>
      <c r="C1011" s="507"/>
      <c r="D1011" s="507"/>
      <c r="E1011" s="507"/>
      <c r="F1011" s="507"/>
      <c r="G1011" s="507"/>
      <c r="H1011" s="507"/>
      <c r="I1011" s="507"/>
      <c r="J1011" s="508"/>
    </row>
    <row r="1012" spans="1:10">
      <c r="A1012" s="19" t="str">
        <f>'[3]Planilha Orçamentária'!A258</f>
        <v>1.4.8</v>
      </c>
      <c r="B1012" s="20"/>
      <c r="C1012" s="21" t="str">
        <f>VLOOKUP(A1012,'[3]Planilha Orçamentária'!A:K,3,0)</f>
        <v>MATERIAIS</v>
      </c>
      <c r="D1012" s="21"/>
      <c r="E1012" s="39"/>
      <c r="F1012" s="40"/>
      <c r="G1012" s="40"/>
      <c r="H1012" s="40"/>
      <c r="I1012" s="40"/>
      <c r="J1012" s="41"/>
    </row>
    <row r="1013" spans="1:10" ht="51">
      <c r="A1013" s="60" t="str">
        <f>'[3]Planilha Orçamentária'!A259</f>
        <v>1.4.8.1</v>
      </c>
      <c r="B1013" s="61">
        <f>VLOOKUP(A1013,'[3]Planilha Orçamentária'!A:K,2,0)</f>
        <v>10775</v>
      </c>
      <c r="C1013" s="62" t="str">
        <f>VLOOKUP(A1013,'[3]Planilha Orçamentária'!A:K,3,0)</f>
        <v xml:space="preserve">LOCACAO DE CONTAINER 2,30 X 6,00 M, ALT. 2,50 M, COM 1 SANITARIO, PARA ESCRITORIO, COMPLETO, SEM DIVISORIAS INTERNAS (NAO INCLUI MOBILIZACAO/DESMOBILIZACAO)                                                                                                                                                                                                                                                                                                                                              </v>
      </c>
      <c r="D1013" s="63" t="str">
        <f>VLOOKUP(A1013,'[3]Planilha Orçamentária'!A:K,4,0)</f>
        <v xml:space="preserve">MES   </v>
      </c>
      <c r="E1013" s="62"/>
      <c r="F1013" s="64"/>
      <c r="G1013" s="64"/>
      <c r="H1013" s="64"/>
      <c r="I1013" s="64"/>
      <c r="J1013" s="65">
        <f>ROUND(SUM(J1015:J1015),2)</f>
        <v>5</v>
      </c>
    </row>
    <row r="1014" spans="1:10" ht="25.5">
      <c r="A1014" s="66"/>
      <c r="B1014" s="67"/>
      <c r="C1014" s="68"/>
      <c r="D1014" s="69"/>
      <c r="E1014" s="68"/>
      <c r="F1014" s="70"/>
      <c r="G1014" s="71"/>
      <c r="H1014" s="71"/>
      <c r="I1014" s="34" t="s">
        <v>1609</v>
      </c>
      <c r="J1014" s="72"/>
    </row>
    <row r="1015" spans="1:10">
      <c r="A1015" s="27"/>
      <c r="B1015" s="27"/>
      <c r="C1015" s="73"/>
      <c r="D1015" s="74"/>
      <c r="E1015" s="35"/>
      <c r="F1015" s="75"/>
      <c r="G1015" s="35"/>
      <c r="H1015" s="35"/>
      <c r="I1015" s="35">
        <f>I828</f>
        <v>5</v>
      </c>
      <c r="J1015" s="36">
        <f>ROUND(PRODUCT(E1015:I1015),2)</f>
        <v>5</v>
      </c>
    </row>
    <row r="1016" spans="1:10">
      <c r="A1016" s="496"/>
      <c r="B1016" s="496"/>
      <c r="C1016" s="496"/>
      <c r="D1016" s="496"/>
      <c r="E1016" s="496"/>
      <c r="F1016" s="496"/>
      <c r="G1016" s="496"/>
      <c r="H1016" s="496"/>
      <c r="I1016" s="496"/>
      <c r="J1016" s="496"/>
    </row>
    <row r="1017" spans="1:10" ht="38.25">
      <c r="A1017" s="60" t="str">
        <f>'[3]Planilha Orçamentária'!A260</f>
        <v>1.4.8.2</v>
      </c>
      <c r="B1017" s="61">
        <f>VLOOKUP(A1017,'[3]Planilha Orçamentária'!A:K,2,0)</f>
        <v>10776</v>
      </c>
      <c r="C1017" s="62" t="str">
        <f>VLOOKUP(A1017,'[3]Planilha Orçamentária'!A:K,3,0)</f>
        <v xml:space="preserve">LOCACAO DE CONTAINER 2,30 X 6,00 M, ALT. 2,50 M, PARA ESCRITORIO, SEM DIVISORIAS INTERNAS E SEM SANITARIO (NAO INCLUI MOBILIZACAO/DESMOBILIZACAO)                                                                                                                                                                                                                                                                                                                                                         </v>
      </c>
      <c r="D1017" s="63" t="str">
        <f>VLOOKUP(A1017,'[3]Planilha Orçamentária'!A:K,4,0)</f>
        <v xml:space="preserve">MES   </v>
      </c>
      <c r="E1017" s="62"/>
      <c r="F1017" s="64"/>
      <c r="G1017" s="64"/>
      <c r="H1017" s="64"/>
      <c r="I1017" s="64"/>
      <c r="J1017" s="65">
        <f>ROUND(SUM(J1019:J1019),2)</f>
        <v>5</v>
      </c>
    </row>
    <row r="1018" spans="1:10" ht="25.5">
      <c r="A1018" s="66"/>
      <c r="B1018" s="67"/>
      <c r="C1018" s="68"/>
      <c r="D1018" s="69"/>
      <c r="E1018" s="68"/>
      <c r="F1018" s="70"/>
      <c r="G1018" s="71"/>
      <c r="H1018" s="71"/>
      <c r="I1018" s="34" t="s">
        <v>1609</v>
      </c>
      <c r="J1018" s="72"/>
    </row>
    <row r="1019" spans="1:10">
      <c r="A1019" s="27"/>
      <c r="B1019" s="27"/>
      <c r="C1019" s="73"/>
      <c r="D1019" s="74"/>
      <c r="E1019" s="35"/>
      <c r="F1019" s="75"/>
      <c r="G1019" s="35"/>
      <c r="H1019" s="35"/>
      <c r="I1019" s="35">
        <f>I1015</f>
        <v>5</v>
      </c>
      <c r="J1019" s="36">
        <f>ROUND(PRODUCT(E1019:I1019),2)</f>
        <v>5</v>
      </c>
    </row>
    <row r="1020" spans="1:10">
      <c r="A1020" s="496"/>
      <c r="B1020" s="496"/>
      <c r="C1020" s="496"/>
      <c r="D1020" s="496"/>
      <c r="E1020" s="496"/>
      <c r="F1020" s="496"/>
      <c r="G1020" s="496"/>
      <c r="H1020" s="496"/>
      <c r="I1020" s="496"/>
      <c r="J1020" s="496"/>
    </row>
    <row r="1021" spans="1:10" ht="63.75">
      <c r="A1021" s="99" t="str">
        <f>'[3]Planilha Orçamentária'!A261</f>
        <v>1.4.8.3</v>
      </c>
      <c r="B1021" s="48">
        <f>VLOOKUP(A1021,'[3]Planilha Orçamentária'!A:K,2,0)</f>
        <v>36170</v>
      </c>
      <c r="C1021" s="100" t="str">
        <f>VLOOKUP(A1021,'[3]Planilha Orçamentária'!A:K,3,0)</f>
        <v xml:space="preserve">BLOQUETE/PISO INTERTRAVADO DE CONCRETO - MODELO ONDA/16 FACES/RETANGULAR/TIJOLINHO/PAVER/HOLANDES/PARALELEPIPEDO, *22 CM X 11* CM, E = 8 CM, RESISTENCIA DE 35 MPA (NBR 9781), COR NATURAL                                                                                                                                                                                                                                                                                                                </v>
      </c>
      <c r="D1021" s="101" t="str">
        <f>VLOOKUP(A1021,'[3]Planilha Orçamentária'!A:K,4,0)</f>
        <v xml:space="preserve">M2    </v>
      </c>
      <c r="E1021" s="100"/>
      <c r="F1021" s="102"/>
      <c r="G1021" s="102"/>
      <c r="H1021" s="102"/>
      <c r="I1021" s="102"/>
      <c r="J1021" s="193">
        <f>ROUND(SUM(J1022:J1023),2)</f>
        <v>2746.87</v>
      </c>
    </row>
    <row r="1022" spans="1:10">
      <c r="A1022" s="94"/>
      <c r="B1022" s="128"/>
      <c r="C1022" s="79" t="s">
        <v>1785</v>
      </c>
      <c r="D1022" s="96"/>
      <c r="E1022" s="34" t="s">
        <v>837</v>
      </c>
      <c r="F1022" s="34"/>
      <c r="G1022" s="82"/>
      <c r="H1022" s="82"/>
      <c r="I1022" s="82" t="s">
        <v>1620</v>
      </c>
      <c r="J1022" s="120"/>
    </row>
    <row r="1023" spans="1:10">
      <c r="A1023" s="94"/>
      <c r="B1023" s="128"/>
      <c r="C1023" s="194" t="s">
        <v>1677</v>
      </c>
      <c r="D1023" s="53"/>
      <c r="E1023" s="94">
        <v>1.0130999999999999</v>
      </c>
      <c r="F1023" s="34"/>
      <c r="G1023" s="82"/>
      <c r="H1023" s="82"/>
      <c r="I1023" s="82">
        <f>SUM(J907:J910)</f>
        <v>2711.35</v>
      </c>
      <c r="J1023" s="120">
        <f>ROUND(PRODUCT(E1023:I1023),2)</f>
        <v>2746.87</v>
      </c>
    </row>
    <row r="1024" spans="1:10">
      <c r="A1024" s="497"/>
      <c r="B1024" s="497"/>
      <c r="C1024" s="497"/>
      <c r="D1024" s="497"/>
      <c r="E1024" s="497"/>
      <c r="F1024" s="497"/>
      <c r="G1024" s="497"/>
      <c r="H1024" s="497"/>
      <c r="I1024" s="497"/>
      <c r="J1024" s="497"/>
    </row>
    <row r="1025" spans="1:10" ht="63.75">
      <c r="A1025" s="99" t="str">
        <f>'[3]Planilha Orçamentária'!A262</f>
        <v>1.4.8.4</v>
      </c>
      <c r="B1025" s="48">
        <f>VLOOKUP(A1025,'[3]Planilha Orçamentária'!A:K,2,0)</f>
        <v>36154</v>
      </c>
      <c r="C1025" s="100" t="str">
        <f>VLOOKUP(A1025,'[3]Planilha Orçamentária'!A:K,3,0)</f>
        <v xml:space="preserve">BLOQUETE/PISO INTERTRAVADO DE CONCRETO - MODELO ONDA/16 FACES/RETANGULAR/TIJOLINHO/PAVER/HOLANDES/PARALELEPIPEDO, 20 CM X 10 CM, E = 8 CM, RESISTENCIA DE 35 MPA (NBR 9781), COLORIDO                                                                                                                                                                                                                                                                                                                     </v>
      </c>
      <c r="D1025" s="101" t="str">
        <f>VLOOKUP(A1025,'[3]Planilha Orçamentária'!A:K,4,0)</f>
        <v xml:space="preserve">M2    </v>
      </c>
      <c r="E1025" s="100"/>
      <c r="F1025" s="102"/>
      <c r="G1025" s="102"/>
      <c r="H1025" s="102"/>
      <c r="I1025" s="102"/>
      <c r="J1025" s="33">
        <f>ROUND(SUM(J1026:J1028),2)</f>
        <v>1298.27</v>
      </c>
    </row>
    <row r="1026" spans="1:10">
      <c r="A1026" s="94"/>
      <c r="B1026" s="128"/>
      <c r="C1026" s="79" t="s">
        <v>1785</v>
      </c>
      <c r="D1026" s="96"/>
      <c r="E1026" s="34" t="s">
        <v>837</v>
      </c>
      <c r="F1026" s="34"/>
      <c r="G1026" s="82"/>
      <c r="H1026" s="82"/>
      <c r="I1026" s="82" t="s">
        <v>1620</v>
      </c>
      <c r="J1026" s="120"/>
    </row>
    <row r="1027" spans="1:10">
      <c r="A1027" s="94"/>
      <c r="B1027" s="128"/>
      <c r="C1027" s="194" t="s">
        <v>1677</v>
      </c>
      <c r="D1027" s="53"/>
      <c r="E1027" s="94">
        <v>1.0130999999999999</v>
      </c>
      <c r="F1027" s="34"/>
      <c r="G1027" s="82"/>
      <c r="H1027" s="82"/>
      <c r="I1027" s="82">
        <f>J911</f>
        <v>1281.48</v>
      </c>
      <c r="J1027" s="120">
        <f t="shared" ref="J1027" si="98">ROUND(PRODUCT(E1027:I1027),2)</f>
        <v>1298.27</v>
      </c>
    </row>
    <row r="1028" spans="1:10">
      <c r="A1028" s="94"/>
      <c r="B1028" s="128"/>
      <c r="C1028" s="145"/>
      <c r="D1028" s="96"/>
      <c r="E1028" s="82"/>
      <c r="F1028" s="34"/>
      <c r="G1028" s="82"/>
      <c r="H1028" s="82"/>
      <c r="I1028" s="82"/>
      <c r="J1028" s="120"/>
    </row>
    <row r="1029" spans="1:10">
      <c r="A1029" s="498"/>
      <c r="B1029" s="499"/>
      <c r="C1029" s="499"/>
      <c r="D1029" s="499"/>
      <c r="E1029" s="499"/>
      <c r="F1029" s="499"/>
      <c r="G1029" s="499"/>
      <c r="H1029" s="499"/>
      <c r="I1029" s="499"/>
      <c r="J1029" s="500"/>
    </row>
    <row r="1030" spans="1:10">
      <c r="A1030" s="99" t="str">
        <f>'[3]Planilha Orçamentária'!A263</f>
        <v>1.4.8.5</v>
      </c>
      <c r="B1030" s="48" t="str">
        <f>VLOOKUP(A1030,'[3]Planilha Orçamentária'!A:K,2,0)</f>
        <v>INS-185032</v>
      </c>
      <c r="C1030" s="100" t="str">
        <f>VLOOKUP(A1030,'[3]Planilha Orçamentária'!A:K,3,0)</f>
        <v>BRITA GRADUADA SIMPLES (BGS)</v>
      </c>
      <c r="D1030" s="101" t="str">
        <f>VLOOKUP(A1030,'[3]Planilha Orçamentária'!A:K,4,0)</f>
        <v>M3</v>
      </c>
      <c r="E1030" s="100"/>
      <c r="F1030" s="102"/>
      <c r="G1030" s="102"/>
      <c r="H1030" s="102"/>
      <c r="I1030" s="102"/>
      <c r="J1030" s="33">
        <f>ROUND(SUM(J1031:J1032),2)</f>
        <v>798.57</v>
      </c>
    </row>
    <row r="1031" spans="1:10">
      <c r="A1031" s="94"/>
      <c r="B1031" s="94"/>
      <c r="C1031" s="195" t="s">
        <v>1785</v>
      </c>
      <c r="D1031" s="94"/>
      <c r="E1031" s="34" t="s">
        <v>837</v>
      </c>
      <c r="F1031" s="94"/>
      <c r="G1031" s="94"/>
      <c r="H1031" s="94"/>
      <c r="I1031" s="94" t="s">
        <v>1623</v>
      </c>
      <c r="J1031" s="94"/>
    </row>
    <row r="1032" spans="1:10">
      <c r="A1032" s="94"/>
      <c r="B1032" s="94"/>
      <c r="C1032" s="194" t="s">
        <v>1680</v>
      </c>
      <c r="D1032" s="53"/>
      <c r="E1032" s="198">
        <v>1</v>
      </c>
      <c r="F1032" s="94"/>
      <c r="G1032" s="94"/>
      <c r="H1032" s="94"/>
      <c r="I1032" s="196">
        <f>J890</f>
        <v>798.57</v>
      </c>
      <c r="J1032" s="120">
        <f t="shared" ref="J1032" si="99">ROUND(PRODUCT(E1032:I1032),2)</f>
        <v>798.57</v>
      </c>
    </row>
    <row r="1033" spans="1:10">
      <c r="A1033" s="95"/>
      <c r="B1033" s="137"/>
      <c r="C1033" s="137"/>
      <c r="D1033" s="137"/>
      <c r="E1033" s="137"/>
      <c r="F1033" s="137"/>
      <c r="G1033" s="137"/>
      <c r="H1033" s="137"/>
      <c r="I1033" s="137"/>
      <c r="J1033" s="137"/>
    </row>
    <row r="1034" spans="1:10">
      <c r="A1034" s="99" t="str">
        <f>'[3]Planilha Orçamentária'!A264</f>
        <v>1.4.8.6</v>
      </c>
      <c r="B1034" s="48" t="str">
        <f>VLOOKUP(A1034,'[3]Planilha Orçamentária'!A:K,2,0)</f>
        <v>M0808</v>
      </c>
      <c r="C1034" s="100" t="str">
        <f>VLOOKUP(A1034,'[3]Planilha Orçamentária'!A:K,3,0)</f>
        <v>Brita 4</v>
      </c>
      <c r="D1034" s="101" t="str">
        <f>VLOOKUP(A1034,'[3]Planilha Orçamentária'!A:K,4,0)</f>
        <v>M3</v>
      </c>
      <c r="E1034" s="100"/>
      <c r="F1034" s="102"/>
      <c r="G1034" s="102"/>
      <c r="H1034" s="102"/>
      <c r="I1034" s="102"/>
      <c r="J1034" s="33">
        <f>ROUND(SUM(J1035:J1036),2)</f>
        <v>1006.2</v>
      </c>
    </row>
    <row r="1035" spans="1:10">
      <c r="A1035" s="94"/>
      <c r="B1035" s="94"/>
      <c r="C1035" s="199"/>
      <c r="D1035" s="53"/>
      <c r="E1035" s="53"/>
      <c r="F1035" s="94"/>
      <c r="G1035" s="94"/>
      <c r="H1035" s="94"/>
      <c r="I1035" s="94" t="s">
        <v>1623</v>
      </c>
      <c r="J1035" s="94"/>
    </row>
    <row r="1036" spans="1:10" ht="15">
      <c r="A1036" s="94"/>
      <c r="B1036" s="94"/>
      <c r="C1036" s="109" t="s">
        <v>1681</v>
      </c>
      <c r="D1036" s="53"/>
      <c r="E1036" s="200">
        <v>1.26</v>
      </c>
      <c r="F1036" s="94"/>
      <c r="G1036" s="94"/>
      <c r="H1036" s="94"/>
      <c r="I1036" s="196">
        <f>J883</f>
        <v>798.57</v>
      </c>
      <c r="J1036" s="120">
        <f t="shared" ref="J1036" si="100">ROUND(PRODUCT(E1036:I1036),2)</f>
        <v>1006.2</v>
      </c>
    </row>
    <row r="1037" spans="1:10">
      <c r="A1037" s="95"/>
      <c r="B1037" s="137"/>
      <c r="C1037" s="137"/>
      <c r="D1037" s="137"/>
      <c r="E1037" s="137"/>
      <c r="F1037" s="137"/>
      <c r="G1037" s="137"/>
      <c r="H1037" s="137"/>
      <c r="I1037" s="137"/>
      <c r="J1037" s="137"/>
    </row>
    <row r="1038" spans="1:10">
      <c r="A1038" s="99" t="str">
        <f>'[3]Planilha Orçamentária'!A265</f>
        <v>1.4.8.7</v>
      </c>
      <c r="B1038" s="48" t="str">
        <f>VLOOKUP(A1038,'[3]Planilha Orçamentária'!A:K,2,0)</f>
        <v>M1135</v>
      </c>
      <c r="C1038" s="100" t="str">
        <f>VLOOKUP(A1038,'[3]Planilha Orçamentária'!A:K,3,0)</f>
        <v>Pó de pedra</v>
      </c>
      <c r="D1038" s="101" t="str">
        <f>VLOOKUP(A1038,'[3]Planilha Orçamentária'!A:K,4,0)</f>
        <v>M3</v>
      </c>
      <c r="E1038" s="100"/>
      <c r="F1038" s="102"/>
      <c r="G1038" s="102"/>
      <c r="H1038" s="102"/>
      <c r="I1038" s="102"/>
      <c r="J1038" s="33">
        <f>ROUND(SUM(J1039:J1040),2)</f>
        <v>111.8</v>
      </c>
    </row>
    <row r="1039" spans="1:10">
      <c r="A1039" s="94"/>
      <c r="B1039" s="94"/>
      <c r="C1039" s="199"/>
      <c r="D1039" s="53"/>
      <c r="E1039" s="53" t="s">
        <v>1678</v>
      </c>
      <c r="F1039" s="94"/>
      <c r="G1039" s="94"/>
      <c r="H1039" s="94"/>
      <c r="I1039" s="94" t="s">
        <v>1623</v>
      </c>
      <c r="J1039" s="94"/>
    </row>
    <row r="1040" spans="1:10">
      <c r="A1040" s="94"/>
      <c r="B1040" s="94"/>
      <c r="C1040" s="109" t="s">
        <v>1681</v>
      </c>
      <c r="D1040" s="53"/>
      <c r="E1040" s="53">
        <v>0.14000000000000001</v>
      </c>
      <c r="F1040" s="94"/>
      <c r="G1040" s="94"/>
      <c r="H1040" s="94"/>
      <c r="I1040" s="196">
        <f>I1036</f>
        <v>798.57</v>
      </c>
      <c r="J1040" s="120">
        <f t="shared" ref="J1040" si="101">ROUND(PRODUCT(E1040:I1040),2)</f>
        <v>111.8</v>
      </c>
    </row>
    <row r="1041" spans="1:10">
      <c r="A1041" s="95"/>
      <c r="B1041" s="137"/>
      <c r="C1041" s="137"/>
      <c r="D1041" s="137"/>
      <c r="E1041" s="137"/>
      <c r="F1041" s="137"/>
      <c r="G1041" s="137"/>
      <c r="H1041" s="137"/>
      <c r="I1041" s="137"/>
      <c r="J1041" s="137"/>
    </row>
    <row r="1042" spans="1:10" ht="38.25">
      <c r="A1042" s="99" t="str">
        <f>'[3]Planilha Orçamentária'!A266</f>
        <v>1.4.8.8</v>
      </c>
      <c r="B1042" s="48">
        <f>VLOOKUP(A1042,'[3]Planilha Orçamentária'!A:K,2,0)</f>
        <v>1345</v>
      </c>
      <c r="C1042" s="100" t="str">
        <f>VLOOKUP(A1042,'[3]Planilha Orçamentária'!A:K,3,0)</f>
        <v xml:space="preserve">CHAPA/PAINEL DE MADEIRA COMPENSADA PLASTIFICADA (MADEIRITE PLASTIFICADO) PARA FORMA DE CONCRETO, DE 2200 x 1100 MM, E = *17* MM                                                                                                                                                                                                                                                                                                                                                                           </v>
      </c>
      <c r="D1042" s="101" t="str">
        <f>VLOOKUP(A1042,'[3]Planilha Orçamentária'!A:K,4,0)</f>
        <v xml:space="preserve">M2    </v>
      </c>
      <c r="E1042" s="100"/>
      <c r="F1042" s="102"/>
      <c r="G1042" s="102"/>
      <c r="H1042" s="102"/>
      <c r="I1042" s="102"/>
      <c r="J1042" s="33">
        <f>ROUND(SUM(J1043:J1044),2)</f>
        <v>259.07</v>
      </c>
    </row>
    <row r="1043" spans="1:10">
      <c r="A1043" s="94"/>
      <c r="B1043" s="94"/>
      <c r="C1043" s="79"/>
      <c r="D1043" s="94"/>
      <c r="E1043" s="53" t="s">
        <v>1678</v>
      </c>
      <c r="F1043" s="94"/>
      <c r="G1043" s="94"/>
      <c r="H1043" s="94"/>
      <c r="I1043" s="94" t="s">
        <v>1620</v>
      </c>
      <c r="J1043" s="94"/>
    </row>
    <row r="1044" spans="1:10">
      <c r="A1044" s="94"/>
      <c r="B1044" s="94"/>
      <c r="C1044" s="194" t="s">
        <v>1775</v>
      </c>
      <c r="D1044" s="53"/>
      <c r="E1044" s="198">
        <v>1.05</v>
      </c>
      <c r="F1044" s="94"/>
      <c r="G1044" s="94"/>
      <c r="H1044" s="94"/>
      <c r="I1044" s="196">
        <f>J966</f>
        <v>246.73</v>
      </c>
      <c r="J1044" s="120">
        <f t="shared" ref="J1044" si="102">ROUND(PRODUCT(E1044:I1044),2)</f>
        <v>259.07</v>
      </c>
    </row>
    <row r="1045" spans="1:10">
      <c r="A1045" s="95"/>
      <c r="B1045" s="137"/>
      <c r="C1045" s="137"/>
      <c r="D1045" s="137"/>
      <c r="E1045" s="137"/>
      <c r="F1045" s="137"/>
      <c r="G1045" s="137"/>
      <c r="H1045" s="137"/>
      <c r="I1045" s="137"/>
      <c r="J1045" s="137"/>
    </row>
    <row r="1046" spans="1:10">
      <c r="A1046" s="201" t="str">
        <f>'[3]Planilha Orçamentária'!A267</f>
        <v>1.5</v>
      </c>
      <c r="B1046" s="504" t="str">
        <f>VLOOKUP(A1046,'[3]Planilha Orçamentária'!A:K,3,0)</f>
        <v>RUA MARANDANE - SOTAVE</v>
      </c>
      <c r="C1046" s="505"/>
      <c r="D1046" s="505"/>
      <c r="E1046" s="505"/>
      <c r="F1046" s="505"/>
      <c r="G1046" s="505"/>
      <c r="H1046" s="505"/>
      <c r="I1046" s="505"/>
      <c r="J1046" s="505"/>
    </row>
    <row r="1047" spans="1:10">
      <c r="A1047" s="19" t="str">
        <f>'[3]Planilha Orçamentária'!A268</f>
        <v>1.5.1</v>
      </c>
      <c r="B1047" s="20"/>
      <c r="C1047" s="21" t="str">
        <f>VLOOKUP(A1047,'[3]Planilha Orçamentária'!A:K,3,0)</f>
        <v>INSTALAÇÕES PROVISÓRIAS</v>
      </c>
      <c r="D1047" s="22"/>
      <c r="E1047" s="23"/>
      <c r="F1047" s="24"/>
      <c r="G1047" s="24"/>
      <c r="H1047" s="24"/>
      <c r="I1047" s="25"/>
      <c r="J1047" s="26"/>
    </row>
    <row r="1048" spans="1:10" ht="25.5">
      <c r="A1048" s="59" t="str">
        <f>'[3]Planilha Orçamentária'!A269</f>
        <v>1.5.1.1</v>
      </c>
      <c r="B1048" s="42" t="str">
        <f>VLOOKUP(A1048,'[3]Planilha Orçamentária'!A:K,2,0)</f>
        <v>CP-74209/001-15055090</v>
      </c>
      <c r="C1048" s="30" t="str">
        <f>VLOOKUP(A1048,'[3]Planilha Orçamentária'!A:K,3,0)</f>
        <v>PLACA DE OBRA EM CHAPA DE ACO GALVANIZADO</v>
      </c>
      <c r="D1048" s="31" t="str">
        <f>VLOOKUP(A1048,'[3]Planilha Orçamentária'!A:K,4,0)</f>
        <v xml:space="preserve">M2    </v>
      </c>
      <c r="E1048" s="30"/>
      <c r="F1048" s="34" t="s">
        <v>1606</v>
      </c>
      <c r="G1048" s="34" t="s">
        <v>1607</v>
      </c>
      <c r="H1048" s="34"/>
      <c r="I1048" s="34" t="s">
        <v>1608</v>
      </c>
      <c r="J1048" s="45">
        <f>ROUND(SUM(J1050:J1050),2)</f>
        <v>8</v>
      </c>
    </row>
    <row r="1049" spans="1:10">
      <c r="A1049" s="59"/>
      <c r="B1049" s="42"/>
      <c r="C1049" s="202"/>
      <c r="D1049" s="203"/>
      <c r="E1049" s="202"/>
      <c r="F1049" s="32"/>
      <c r="G1049" s="32"/>
      <c r="H1049" s="32"/>
      <c r="I1049" s="32"/>
      <c r="J1049" s="45"/>
    </row>
    <row r="1050" spans="1:10">
      <c r="A1050" s="59"/>
      <c r="B1050" s="27"/>
      <c r="C1050" s="204"/>
      <c r="D1050" s="205"/>
      <c r="E1050" s="206"/>
      <c r="F1050" s="35">
        <v>2</v>
      </c>
      <c r="G1050" s="35">
        <v>4</v>
      </c>
      <c r="H1050" s="207"/>
      <c r="I1050" s="35">
        <v>1</v>
      </c>
      <c r="J1050" s="58">
        <f>ROUND(PRODUCT(E1050:I1050),2)</f>
        <v>8</v>
      </c>
    </row>
    <row r="1051" spans="1:10">
      <c r="A1051" s="515"/>
      <c r="B1051" s="516"/>
      <c r="C1051" s="516"/>
      <c r="D1051" s="516"/>
      <c r="E1051" s="516"/>
      <c r="F1051" s="516"/>
      <c r="G1051" s="516"/>
      <c r="H1051" s="516"/>
      <c r="I1051" s="516"/>
      <c r="J1051" s="517"/>
    </row>
    <row r="1052" spans="1:10" ht="25.5">
      <c r="A1052" s="59" t="str">
        <f>'[3]Planilha Orçamentária'!A270</f>
        <v>1.5.1.2</v>
      </c>
      <c r="B1052" s="29" t="str">
        <f>VLOOKUP(A1052,'[3]Planilha Orçamentária'!A:K,2,0)</f>
        <v>COMP-07440249</v>
      </c>
      <c r="C1052" s="30" t="str">
        <f>VLOOKUP(A1052,'[3]Planilha Orçamentária'!A:K,3,0)</f>
        <v>BANHEIRO QUÍMICO, COM LOCAÇÃO, TRANSPORTE E LIMPEZA</v>
      </c>
      <c r="D1052" s="31" t="str">
        <f>VLOOKUP(A1052,'[3]Planilha Orçamentária'!A:K,4,0)</f>
        <v>MÊS</v>
      </c>
      <c r="E1052" s="30"/>
      <c r="F1052" s="32"/>
      <c r="G1052" s="32"/>
      <c r="H1052" s="32"/>
      <c r="I1052" s="32"/>
      <c r="J1052" s="33">
        <f>ROUND(SUM(J1054:J1054),2)</f>
        <v>3</v>
      </c>
    </row>
    <row r="1053" spans="1:10" ht="25.5">
      <c r="A1053" s="59"/>
      <c r="B1053" s="29"/>
      <c r="C1053" s="30"/>
      <c r="D1053" s="31"/>
      <c r="E1053" s="30"/>
      <c r="F1053" s="32"/>
      <c r="G1053" s="32"/>
      <c r="H1053" s="32"/>
      <c r="I1053" s="34" t="s">
        <v>1609</v>
      </c>
      <c r="J1053" s="33"/>
    </row>
    <row r="1054" spans="1:10">
      <c r="A1054" s="59"/>
      <c r="B1054" s="27"/>
      <c r="C1054" s="208"/>
      <c r="D1054" s="209"/>
      <c r="E1054" s="75"/>
      <c r="F1054" s="75"/>
      <c r="G1054" s="207"/>
      <c r="H1054" s="207"/>
      <c r="I1054" s="143">
        <v>3</v>
      </c>
      <c r="J1054" s="36">
        <f>ROUND(PRODUCT(E1054:I1054),2)</f>
        <v>3</v>
      </c>
    </row>
    <row r="1055" spans="1:10">
      <c r="A1055" s="59"/>
      <c r="B1055" s="27"/>
      <c r="C1055" s="208"/>
      <c r="D1055" s="209"/>
      <c r="E1055" s="75"/>
      <c r="F1055" s="75"/>
      <c r="G1055" s="207"/>
      <c r="H1055" s="207"/>
      <c r="I1055" s="143"/>
      <c r="J1055" s="36"/>
    </row>
    <row r="1056" spans="1:10">
      <c r="A1056" s="19" t="str">
        <f>'[3]Planilha Orçamentária'!A271</f>
        <v>1.5.2</v>
      </c>
      <c r="B1056" s="20"/>
      <c r="C1056" s="21" t="str">
        <f>VLOOKUP(A1056,'[3]Planilha Orçamentária'!A:K,3,0)</f>
        <v>ADMINISTRAÇÃO LOCAL</v>
      </c>
      <c r="D1056" s="21"/>
      <c r="E1056" s="39"/>
      <c r="F1056" s="40"/>
      <c r="G1056" s="40"/>
      <c r="H1056" s="40"/>
      <c r="I1056" s="40"/>
      <c r="J1056" s="41"/>
    </row>
    <row r="1057" spans="1:10" ht="25.5">
      <c r="A1057" s="28" t="str">
        <f>'[3]Planilha Orçamentária'!A272</f>
        <v>1.5.2.1</v>
      </c>
      <c r="B1057" s="42">
        <f>VLOOKUP(A1057,'[3]Planilha Orçamentária'!A:K,2,0)</f>
        <v>93565</v>
      </c>
      <c r="C1057" s="30" t="str">
        <f>VLOOKUP(A1057,'[3]Planilha Orçamentária'!A:K,3,0)</f>
        <v>ENGENHEIRO CIVIL DE OBRA JUNIOR COM ENCARGOS COMPLEMENTARES</v>
      </c>
      <c r="D1057" s="31" t="str">
        <f>VLOOKUP(A1057,'[3]Planilha Orçamentária'!A:K,4,0)</f>
        <v>MES</v>
      </c>
      <c r="E1057" s="43"/>
      <c r="F1057" s="44"/>
      <c r="G1057" s="44"/>
      <c r="H1057" s="44"/>
      <c r="I1057" s="44"/>
      <c r="J1057" s="45">
        <f>ROUND(SUM(J1059),2)</f>
        <v>0.38</v>
      </c>
    </row>
    <row r="1058" spans="1:10" ht="14.25">
      <c r="A1058" s="28"/>
      <c r="B1058" s="42"/>
      <c r="C1058" s="210"/>
      <c r="D1058" s="31"/>
      <c r="E1058" s="43"/>
      <c r="F1058" s="57"/>
      <c r="G1058" s="57"/>
      <c r="H1058" s="57"/>
      <c r="I1058" s="57"/>
      <c r="J1058" s="45"/>
    </row>
    <row r="1059" spans="1:10" ht="14.25">
      <c r="A1059" s="53"/>
      <c r="B1059" s="54"/>
      <c r="C1059" s="210" t="s">
        <v>1810</v>
      </c>
      <c r="D1059" s="211"/>
      <c r="E1059" s="57">
        <f>22/176</f>
        <v>0.125</v>
      </c>
      <c r="F1059" s="57"/>
      <c r="G1059" s="57"/>
      <c r="H1059" s="57"/>
      <c r="I1059" s="57">
        <f>I1054</f>
        <v>3</v>
      </c>
      <c r="J1059" s="58">
        <f>ROUND(PRODUCT(E1059:I1059),2)</f>
        <v>0.38</v>
      </c>
    </row>
    <row r="1060" spans="1:10" ht="14.25">
      <c r="A1060" s="53"/>
      <c r="B1060" s="54"/>
      <c r="C1060" s="210" t="s">
        <v>1684</v>
      </c>
      <c r="D1060" s="211"/>
      <c r="E1060" s="57"/>
      <c r="F1060" s="57"/>
      <c r="G1060" s="57"/>
      <c r="H1060" s="57"/>
      <c r="I1060" s="57"/>
      <c r="J1060" s="212"/>
    </row>
    <row r="1061" spans="1:10" ht="14.25">
      <c r="A1061" s="53"/>
      <c r="B1061" s="54"/>
      <c r="C1061" s="210" t="s">
        <v>1612</v>
      </c>
      <c r="D1061" s="213"/>
      <c r="E1061" s="214"/>
      <c r="F1061" s="143"/>
      <c r="G1061" s="207"/>
      <c r="H1061" s="207"/>
      <c r="I1061" s="135"/>
      <c r="J1061" s="215"/>
    </row>
    <row r="1062" spans="1:10">
      <c r="A1062" s="496"/>
      <c r="B1062" s="496"/>
      <c r="C1062" s="496"/>
      <c r="D1062" s="496"/>
      <c r="E1062" s="496"/>
      <c r="F1062" s="496"/>
      <c r="G1062" s="496"/>
      <c r="H1062" s="496"/>
      <c r="I1062" s="496"/>
      <c r="J1062" s="496"/>
    </row>
    <row r="1063" spans="1:10" ht="25.5">
      <c r="A1063" s="28" t="str">
        <f>'[3]Planilha Orçamentária'!A273</f>
        <v>1.5.2.2</v>
      </c>
      <c r="B1063" s="42">
        <f>VLOOKUP(A1063,'[3]Planilha Orçamentária'!A:K,2,0)</f>
        <v>93572</v>
      </c>
      <c r="C1063" s="30" t="str">
        <f>VLOOKUP(A1063,'[3]Planilha Orçamentária'!A:K,3,0)</f>
        <v>ENCARREGADO GERAL DE OBRAS COM ENCARGOS COMPLEMENTARES</v>
      </c>
      <c r="D1063" s="31" t="str">
        <f>VLOOKUP(A1063,'[3]Planilha Orçamentária'!A:K,4,0)</f>
        <v>MES</v>
      </c>
      <c r="E1063" s="43"/>
      <c r="F1063" s="44"/>
      <c r="G1063" s="44"/>
      <c r="H1063" s="44"/>
      <c r="I1063" s="44"/>
      <c r="J1063" s="45">
        <f>ROUND(SUM(J1065),2)</f>
        <v>1.1299999999999999</v>
      </c>
    </row>
    <row r="1064" spans="1:10" ht="14.25">
      <c r="A1064" s="28"/>
      <c r="B1064" s="42"/>
      <c r="C1064" s="210"/>
      <c r="D1064" s="31"/>
      <c r="E1064" s="43"/>
      <c r="F1064" s="57"/>
      <c r="G1064" s="57"/>
      <c r="H1064" s="57"/>
      <c r="I1064" s="57"/>
      <c r="J1064" s="45"/>
    </row>
    <row r="1065" spans="1:10" ht="14.25">
      <c r="A1065" s="53"/>
      <c r="B1065" s="54"/>
      <c r="C1065" s="210" t="s">
        <v>1811</v>
      </c>
      <c r="D1065" s="211"/>
      <c r="E1065" s="57">
        <f>66/176</f>
        <v>0.375</v>
      </c>
      <c r="F1065" s="57"/>
      <c r="G1065" s="57"/>
      <c r="H1065" s="57"/>
      <c r="I1065" s="57">
        <f>I1054</f>
        <v>3</v>
      </c>
      <c r="J1065" s="58">
        <f>ROUND(PRODUCT(E1065:I1065),2)</f>
        <v>1.1299999999999999</v>
      </c>
    </row>
    <row r="1066" spans="1:10" ht="14.25">
      <c r="A1066" s="53"/>
      <c r="B1066" s="54"/>
      <c r="C1066" s="210" t="s">
        <v>1812</v>
      </c>
      <c r="D1066" s="211"/>
      <c r="E1066" s="57"/>
      <c r="F1066" s="57"/>
      <c r="G1066" s="57"/>
      <c r="H1066" s="57"/>
      <c r="I1066" s="57"/>
      <c r="J1066" s="212"/>
    </row>
    <row r="1067" spans="1:10" ht="14.25">
      <c r="A1067" s="53"/>
      <c r="B1067" s="54"/>
      <c r="C1067" s="210" t="s">
        <v>1612</v>
      </c>
      <c r="D1067" s="213"/>
      <c r="E1067" s="214"/>
      <c r="F1067" s="143"/>
      <c r="G1067" s="207"/>
      <c r="H1067" s="207"/>
      <c r="I1067" s="135"/>
      <c r="J1067" s="215"/>
    </row>
    <row r="1068" spans="1:10">
      <c r="A1068" s="496"/>
      <c r="B1068" s="496"/>
      <c r="C1068" s="496"/>
      <c r="D1068" s="496"/>
      <c r="E1068" s="496"/>
      <c r="F1068" s="496"/>
      <c r="G1068" s="496"/>
      <c r="H1068" s="496"/>
      <c r="I1068" s="496"/>
      <c r="J1068" s="496"/>
    </row>
    <row r="1069" spans="1:10">
      <c r="A1069" s="19" t="str">
        <f>'[3]Planilha Orçamentária'!A274</f>
        <v>1.5.3</v>
      </c>
      <c r="B1069" s="20"/>
      <c r="C1069" s="21" t="str">
        <f>VLOOKUP(A1069,'[3]Planilha Orçamentária'!A:K,3,0)</f>
        <v>SERVIÇOS PRELIMINARES</v>
      </c>
      <c r="D1069" s="22"/>
      <c r="E1069" s="23"/>
      <c r="F1069" s="24"/>
      <c r="G1069" s="24"/>
      <c r="H1069" s="24"/>
      <c r="I1069" s="25"/>
      <c r="J1069" s="26"/>
    </row>
    <row r="1070" spans="1:10">
      <c r="A1070" s="60" t="str">
        <f>'[3]Planilha Orçamentária'!A275</f>
        <v>1.5.3.1</v>
      </c>
      <c r="B1070" s="61">
        <f>VLOOKUP(A1070,'[3]Planilha Orçamentária'!A:K,2,0)</f>
        <v>99064</v>
      </c>
      <c r="C1070" s="62" t="str">
        <f>VLOOKUP(A1070,'[3]Planilha Orçamentária'!A:K,3,0)</f>
        <v>LOCAÇÃO DE PAVIMENTAÇÃO. AF_10/2018</v>
      </c>
      <c r="D1070" s="63" t="str">
        <f>VLOOKUP(A1070,'[3]Planilha Orçamentária'!A:K,4,0)</f>
        <v>M</v>
      </c>
      <c r="E1070" s="62"/>
      <c r="F1070" s="57"/>
      <c r="G1070" s="71"/>
      <c r="H1070" s="71"/>
      <c r="I1070" s="71"/>
      <c r="J1070" s="78">
        <f>ROUND(SUM(J1072:J1074),2)</f>
        <v>246.96</v>
      </c>
    </row>
    <row r="1071" spans="1:10">
      <c r="A1071" s="66"/>
      <c r="B1071" s="67"/>
      <c r="C1071" s="62"/>
      <c r="D1071" s="63"/>
      <c r="E1071" s="62"/>
      <c r="F1071" s="34" t="s">
        <v>1606</v>
      </c>
      <c r="G1071" s="71"/>
      <c r="H1071" s="71"/>
      <c r="I1071" s="71"/>
      <c r="J1071" s="78"/>
    </row>
    <row r="1072" spans="1:10">
      <c r="A1072" s="94"/>
      <c r="B1072" s="94"/>
      <c r="C1072" s="109" t="s">
        <v>1813</v>
      </c>
      <c r="D1072" s="96"/>
      <c r="E1072" s="82"/>
      <c r="F1072" s="57">
        <f>(20-2.81)+(2*20)+(14.3)</f>
        <v>71.489999999999995</v>
      </c>
      <c r="G1072" s="82"/>
      <c r="H1072" s="82"/>
      <c r="I1072" s="82"/>
      <c r="J1072" s="120">
        <f>ROUND(PRODUCT(E1072:I1072),2)</f>
        <v>71.489999999999995</v>
      </c>
    </row>
    <row r="1073" spans="1:11">
      <c r="A1073" s="94"/>
      <c r="B1073" s="94"/>
      <c r="C1073" s="109" t="s">
        <v>1814</v>
      </c>
      <c r="D1073" s="96"/>
      <c r="E1073" s="82"/>
      <c r="F1073" s="57">
        <f>(20-14.3)+(8*20)+(9.77)</f>
        <v>175.47</v>
      </c>
      <c r="G1073" s="82"/>
      <c r="H1073" s="82"/>
      <c r="I1073" s="82"/>
      <c r="J1073" s="120">
        <f>ROUND(PRODUCT(E1073:I1073),2)</f>
        <v>175.47</v>
      </c>
    </row>
    <row r="1074" spans="1:11">
      <c r="A1074" s="496"/>
      <c r="B1074" s="496"/>
      <c r="C1074" s="496"/>
      <c r="D1074" s="496"/>
      <c r="E1074" s="496"/>
      <c r="F1074" s="496"/>
      <c r="G1074" s="496"/>
      <c r="H1074" s="496"/>
      <c r="I1074" s="496"/>
      <c r="J1074" s="496"/>
    </row>
    <row r="1075" spans="1:11" ht="25.5">
      <c r="A1075" s="60" t="str">
        <f>'[3]Planilha Orçamentária'!A276</f>
        <v>1.5.3.2</v>
      </c>
      <c r="B1075" s="77" t="str">
        <f>VLOOKUP(A1075,'[3]Planilha Orçamentária'!A:K,2,0)</f>
        <v>COMP-17562084</v>
      </c>
      <c r="C1075" s="62" t="str">
        <f>VLOOKUP(A1075,'[3]Planilha Orçamentária'!A:K,3,0)</f>
        <v>DEMOLIÇÃO MANUAL DE CONCRETO SIMPLES</v>
      </c>
      <c r="D1075" s="63" t="str">
        <f>VLOOKUP(A1075,'[3]Planilha Orçamentária'!A:K,4,0)</f>
        <v>M3</v>
      </c>
      <c r="E1075" s="62"/>
      <c r="F1075" s="64"/>
      <c r="G1075" s="64"/>
      <c r="H1075" s="64"/>
      <c r="I1075" s="64"/>
      <c r="J1075" s="78">
        <f>ROUND(SUM(J1077),2)</f>
        <v>18.059999999999999</v>
      </c>
    </row>
    <row r="1076" spans="1:11">
      <c r="A1076" s="27"/>
      <c r="B1076" s="27"/>
      <c r="C1076" s="311" t="s">
        <v>1815</v>
      </c>
      <c r="D1076" s="27"/>
      <c r="E1076" s="27"/>
      <c r="F1076" s="27"/>
      <c r="G1076" s="27"/>
      <c r="H1076" s="27" t="s">
        <v>1619</v>
      </c>
      <c r="I1076" s="34" t="s">
        <v>1620</v>
      </c>
      <c r="J1076" s="27"/>
    </row>
    <row r="1077" spans="1:11" ht="25.5">
      <c r="A1077" s="27"/>
      <c r="B1077" s="27"/>
      <c r="C1077" s="81" t="s">
        <v>1621</v>
      </c>
      <c r="D1077" s="27"/>
      <c r="E1077" s="27"/>
      <c r="F1077" s="82"/>
      <c r="G1077" s="82"/>
      <c r="H1077" s="82">
        <v>7.0000000000000007E-2</v>
      </c>
      <c r="I1077" s="82">
        <v>258.05</v>
      </c>
      <c r="J1077" s="36">
        <f>ROUND(PRODUCT(E1077:I1077),2)</f>
        <v>18.059999999999999</v>
      </c>
      <c r="K1077" s="7">
        <f>144.75+113.3</f>
        <v>258.05</v>
      </c>
    </row>
    <row r="1078" spans="1:11">
      <c r="A1078" s="501"/>
      <c r="B1078" s="502"/>
      <c r="C1078" s="502"/>
      <c r="D1078" s="502"/>
      <c r="E1078" s="502"/>
      <c r="F1078" s="502"/>
      <c r="G1078" s="502"/>
      <c r="H1078" s="502"/>
      <c r="I1078" s="502"/>
      <c r="J1078" s="503"/>
    </row>
    <row r="1079" spans="1:11" ht="51">
      <c r="A1079" s="60" t="str">
        <f>'[3]Planilha Orçamentária'!A277</f>
        <v>1.5.3.3</v>
      </c>
      <c r="B1079" s="77" t="str">
        <f>VLOOKUP(A1079,'[3]Planilha Orçamentária'!A:K,2,0)</f>
        <v>COMP-35145154</v>
      </c>
      <c r="C1079" s="62" t="str">
        <f>VLOOKUP(A1079,'[3]Planilha Orçamentária'!A:K,3,0)</f>
        <v>CARGA E DESCARGA MECANICA DE SOLO UTILIZANDO CAMINHAO BASCULANTE 14,0M3/36T E PA CARREGADEIRA SOBRE PNEUS 128 HP, CAPACIDADE DA CAÇAMBA 1,7 A 2,8 M3, PESO OPERACIONAL 11632 KH</v>
      </c>
      <c r="D1079" s="63" t="str">
        <f>VLOOKUP(A1079,'[3]Planilha Orçamentária'!A:K,4,0)</f>
        <v>M3</v>
      </c>
      <c r="E1079" s="62"/>
      <c r="F1079" s="64"/>
      <c r="G1079" s="64"/>
      <c r="H1079" s="64"/>
      <c r="I1079" s="64"/>
      <c r="J1079" s="78">
        <f>ROUND(SUM(J1081),2)</f>
        <v>22.58</v>
      </c>
    </row>
    <row r="1080" spans="1:11">
      <c r="A1080" s="27"/>
      <c r="B1080" s="27"/>
      <c r="C1080" s="86"/>
      <c r="D1080" s="69"/>
      <c r="E1080" s="81" t="s">
        <v>1622</v>
      </c>
      <c r="F1080" s="71"/>
      <c r="G1080" s="71"/>
      <c r="H1080" s="71"/>
      <c r="I1080" s="80" t="s">
        <v>1623</v>
      </c>
      <c r="J1080" s="27"/>
    </row>
    <row r="1081" spans="1:11">
      <c r="A1081" s="27"/>
      <c r="B1081" s="27"/>
      <c r="C1081" s="86" t="s">
        <v>1624</v>
      </c>
      <c r="D1081" s="69"/>
      <c r="E1081" s="81">
        <v>1.25</v>
      </c>
      <c r="F1081" s="71"/>
      <c r="G1081" s="71"/>
      <c r="H1081" s="71"/>
      <c r="I1081" s="87">
        <f>J1075</f>
        <v>18.059999999999999</v>
      </c>
      <c r="J1081" s="36">
        <f>ROUND(PRODUCT(E1081:I1081),2)</f>
        <v>22.58</v>
      </c>
    </row>
    <row r="1082" spans="1:11">
      <c r="A1082" s="501"/>
      <c r="B1082" s="502"/>
      <c r="C1082" s="502"/>
      <c r="D1082" s="502"/>
      <c r="E1082" s="502"/>
      <c r="F1082" s="502"/>
      <c r="G1082" s="502"/>
      <c r="H1082" s="502"/>
      <c r="I1082" s="502"/>
      <c r="J1082" s="503"/>
    </row>
    <row r="1083" spans="1:11" ht="38.25">
      <c r="A1083" s="60" t="str">
        <f>'[3]Planilha Orçamentária'!A278</f>
        <v>1.5.3.4</v>
      </c>
      <c r="B1083" s="77">
        <f>VLOOKUP(A1083,'[3]Planilha Orçamentária'!A:K,2,0)</f>
        <v>95876</v>
      </c>
      <c r="C1083" s="62" t="str">
        <f>VLOOKUP(A1083,'[3]Planilha Orçamentária'!A:K,3,0)</f>
        <v>TRANSPORTE COM CAMINHÃO BASCULANTE DE 14 M³, EM VIA URBANA PAVIMENTADA, DMT ATÉ 30 KM (UNIDADE: M3XKM). AF_07/2020</v>
      </c>
      <c r="D1083" s="63" t="str">
        <f>VLOOKUP(A1083,'[3]Planilha Orçamentária'!A:K,4,0)</f>
        <v>M3XKM</v>
      </c>
      <c r="E1083" s="62"/>
      <c r="F1083" s="64"/>
      <c r="G1083" s="64"/>
      <c r="H1083" s="64"/>
      <c r="I1083" s="64"/>
      <c r="J1083" s="78">
        <f>ROUND(SUM(J1085),2)</f>
        <v>178.38</v>
      </c>
    </row>
    <row r="1084" spans="1:11">
      <c r="A1084" s="27"/>
      <c r="B1084" s="27"/>
      <c r="C1084" s="90" t="s">
        <v>1816</v>
      </c>
      <c r="D1084" s="27"/>
      <c r="E1084" s="27" t="s">
        <v>1627</v>
      </c>
      <c r="F1084" s="27"/>
      <c r="G1084" s="27"/>
      <c r="H1084" s="27"/>
      <c r="I1084" s="27" t="s">
        <v>1623</v>
      </c>
      <c r="J1084" s="27"/>
    </row>
    <row r="1085" spans="1:11">
      <c r="A1085" s="27"/>
      <c r="B1085" s="27"/>
      <c r="C1085" s="73" t="s">
        <v>1817</v>
      </c>
      <c r="D1085" s="27"/>
      <c r="E1085" s="81">
        <v>7.9</v>
      </c>
      <c r="F1085" s="81"/>
      <c r="G1085" s="81"/>
      <c r="H1085" s="81"/>
      <c r="I1085" s="92">
        <f>J1079</f>
        <v>22.58</v>
      </c>
      <c r="J1085" s="36">
        <f>ROUND(PRODUCT(E1085:I1085),2)</f>
        <v>178.38</v>
      </c>
    </row>
    <row r="1086" spans="1:11">
      <c r="A1086" s="501"/>
      <c r="B1086" s="502"/>
      <c r="C1086" s="502"/>
      <c r="D1086" s="502"/>
      <c r="E1086" s="502"/>
      <c r="F1086" s="502"/>
      <c r="G1086" s="502"/>
      <c r="H1086" s="502"/>
      <c r="I1086" s="502"/>
      <c r="J1086" s="503"/>
    </row>
    <row r="1087" spans="1:11">
      <c r="A1087" s="19" t="str">
        <f>'[3]Planilha Orçamentária'!A279</f>
        <v>1.5.4</v>
      </c>
      <c r="B1087" s="20"/>
      <c r="C1087" s="21" t="str">
        <f>VLOOKUP(A1087,'[3]Planilha Orçamentária'!A:K,3,0)</f>
        <v>TERRAPLENAGEM</v>
      </c>
      <c r="D1087" s="22"/>
      <c r="E1087" s="23"/>
      <c r="F1087" s="24"/>
      <c r="G1087" s="24"/>
      <c r="H1087" s="24"/>
      <c r="I1087" s="25"/>
      <c r="J1087" s="270"/>
    </row>
    <row r="1088" spans="1:11" ht="38.25">
      <c r="A1088" s="28" t="str">
        <f>'[3]Planilha Orçamentária'!A280</f>
        <v>1.5.4.1</v>
      </c>
      <c r="B1088" s="42" t="str">
        <f>VLOOKUP(A1088,'[3]Planilha Orçamentária'!A:K,2,0)</f>
        <v>CP-74205/001-17324935</v>
      </c>
      <c r="C1088" s="30" t="str">
        <f>VLOOKUP(A1088,'[3]Planilha Orçamentária'!A:K,3,0)</f>
        <v>ESCAVAÇÃO MECÂNICA DE MATERIAL 1A. CATEGORIA, PROVENIENTE DE CORTE DE SUBLEITO (C/TRATOR ESTEIRAS  160HP)</v>
      </c>
      <c r="D1088" s="31" t="str">
        <f>VLOOKUP(A1088,'[3]Planilha Orçamentária'!A:K,4,0)</f>
        <v>M3</v>
      </c>
      <c r="E1088" s="30"/>
      <c r="F1088" s="32"/>
      <c r="G1088" s="32"/>
      <c r="H1088" s="32"/>
      <c r="I1088" s="32"/>
      <c r="J1088" s="45">
        <f>ROUND(SUM(J1090:J1090),2)</f>
        <v>585.77</v>
      </c>
    </row>
    <row r="1089" spans="1:11">
      <c r="A1089" s="28"/>
      <c r="B1089" s="42"/>
      <c r="C1089" s="86" t="s">
        <v>1818</v>
      </c>
      <c r="D1089" s="31"/>
      <c r="E1089" s="30"/>
      <c r="F1089" s="32"/>
      <c r="G1089" s="32"/>
      <c r="H1089" s="32"/>
      <c r="I1089" s="34" t="s">
        <v>1623</v>
      </c>
      <c r="J1089" s="45"/>
    </row>
    <row r="1090" spans="1:11">
      <c r="A1090" s="94"/>
      <c r="B1090" s="95"/>
      <c r="C1090" s="73" t="s">
        <v>1729</v>
      </c>
      <c r="D1090" s="96"/>
      <c r="E1090" s="82"/>
      <c r="F1090" s="82"/>
      <c r="G1090" s="82"/>
      <c r="H1090" s="82"/>
      <c r="I1090" s="82">
        <f>[3]PARÂMETROS!G683</f>
        <v>585.77</v>
      </c>
      <c r="J1090" s="97">
        <f>ROUND(PRODUCT(E1090:I1090),2)</f>
        <v>585.77</v>
      </c>
    </row>
    <row r="1091" spans="1:11">
      <c r="A1091" s="513"/>
      <c r="B1091" s="513"/>
      <c r="C1091" s="513"/>
      <c r="D1091" s="513"/>
      <c r="E1091" s="513"/>
      <c r="F1091" s="513"/>
      <c r="G1091" s="513"/>
      <c r="H1091" s="513"/>
      <c r="I1091" s="513"/>
      <c r="J1091" s="513"/>
    </row>
    <row r="1092" spans="1:11" ht="51">
      <c r="A1092" s="99" t="str">
        <f>'[3]Planilha Orçamentária'!A281</f>
        <v>1.5.4.2</v>
      </c>
      <c r="B1092" s="48" t="str">
        <f>VLOOKUP(A1092,'[3]Planilha Orçamentária'!A:K,2,0)</f>
        <v>COMP-35145154</v>
      </c>
      <c r="C1092" s="100" t="str">
        <f>VLOOKUP(A1092,'[3]Planilha Orçamentária'!A:K,3,0)</f>
        <v>CARGA E DESCARGA MECANICA DE SOLO UTILIZANDO CAMINHAO BASCULANTE 14,0M3/36T E PA CARREGADEIRA SOBRE PNEUS 128 HP, CAPACIDADE DA CAÇAMBA 1,7 A 2,8 M3, PESO OPERACIONAL 11632 KH</v>
      </c>
      <c r="D1092" s="101" t="str">
        <f>VLOOKUP(A1092,'[3]Planilha Orçamentária'!A:K,4,0)</f>
        <v>M3</v>
      </c>
      <c r="E1092" s="100"/>
      <c r="F1092" s="102"/>
      <c r="G1092" s="102"/>
      <c r="H1092" s="102"/>
      <c r="I1092" s="102"/>
      <c r="J1092" s="45">
        <f>ROUND(SUM(J1094:J1094),2)</f>
        <v>726.09</v>
      </c>
    </row>
    <row r="1093" spans="1:11">
      <c r="A1093" s="99"/>
      <c r="B1093" s="48"/>
      <c r="C1093" s="73" t="s">
        <v>1631</v>
      </c>
      <c r="D1093" s="101"/>
      <c r="E1093" s="105" t="s">
        <v>1622</v>
      </c>
      <c r="F1093" s="106"/>
      <c r="G1093" s="106"/>
      <c r="H1093" s="106"/>
      <c r="I1093" s="106" t="s">
        <v>1623</v>
      </c>
      <c r="J1093" s="103"/>
    </row>
    <row r="1094" spans="1:11">
      <c r="A1094" s="99"/>
      <c r="B1094" s="48"/>
      <c r="C1094" s="73" t="s">
        <v>1632</v>
      </c>
      <c r="D1094" s="96"/>
      <c r="E1094" s="82">
        <v>1.25</v>
      </c>
      <c r="F1094" s="35"/>
      <c r="G1094" s="35"/>
      <c r="H1094" s="35"/>
      <c r="I1094" s="35">
        <f>[3]PARÂMETROS!G684</f>
        <v>580.87</v>
      </c>
      <c r="J1094" s="97">
        <f>ROUND(PRODUCT(E1094:I1094),2)</f>
        <v>726.09</v>
      </c>
    </row>
    <row r="1095" spans="1:11">
      <c r="A1095" s="513"/>
      <c r="B1095" s="513"/>
      <c r="C1095" s="513"/>
      <c r="D1095" s="513"/>
      <c r="E1095" s="513"/>
      <c r="F1095" s="513"/>
      <c r="G1095" s="513"/>
      <c r="H1095" s="513"/>
      <c r="I1095" s="513"/>
      <c r="J1095" s="513"/>
    </row>
    <row r="1096" spans="1:11" ht="38.25">
      <c r="A1096" s="216" t="str">
        <f>'[3]Planilha Orçamentária'!A282</f>
        <v>1.5.4.3</v>
      </c>
      <c r="B1096" s="217">
        <f>VLOOKUP(A1096,'[3]Planilha Orçamentária'!A:K,2,0)</f>
        <v>95876</v>
      </c>
      <c r="C1096" s="218" t="str">
        <f>VLOOKUP(A1096,'[3]Planilha Orçamentária'!A:K,3,0)</f>
        <v>TRANSPORTE COM CAMINHÃO BASCULANTE DE 14 M³, EM VIA URBANA PAVIMENTADA, DMT ATÉ 30 KM (UNIDADE: M3XKM). AF_07/2020</v>
      </c>
      <c r="D1096" s="219" t="str">
        <f>VLOOKUP(A1096,'[3]Planilha Orçamentária'!A:K,4,0)</f>
        <v>M3XKM</v>
      </c>
      <c r="E1096" s="218"/>
      <c r="F1096" s="64"/>
      <c r="G1096" s="64"/>
      <c r="H1096" s="64"/>
      <c r="I1096" s="64"/>
      <c r="J1096" s="33">
        <f>ROUND(SUM(J1098:J1098),2)</f>
        <v>5736.11</v>
      </c>
    </row>
    <row r="1097" spans="1:11">
      <c r="A1097" s="216"/>
      <c r="B1097" s="217"/>
      <c r="C1097" s="90" t="s">
        <v>1816</v>
      </c>
      <c r="D1097" s="219"/>
      <c r="E1097" s="91" t="s">
        <v>1627</v>
      </c>
      <c r="F1097" s="64"/>
      <c r="G1097" s="64"/>
      <c r="H1097" s="80"/>
      <c r="I1097" s="80" t="s">
        <v>1623</v>
      </c>
      <c r="J1097" s="78"/>
      <c r="K1097" s="108"/>
    </row>
    <row r="1098" spans="1:11">
      <c r="A1098" s="216"/>
      <c r="B1098" s="217"/>
      <c r="C1098" s="73" t="s">
        <v>1819</v>
      </c>
      <c r="D1098" s="96"/>
      <c r="E1098" s="81">
        <v>7.9</v>
      </c>
      <c r="F1098" s="271"/>
      <c r="G1098" s="271"/>
      <c r="H1098" s="271"/>
      <c r="I1098" s="225">
        <f>J1092</f>
        <v>726.09</v>
      </c>
      <c r="J1098" s="226">
        <f>ROUND(PRODUCT(E1098:I1098),2)</f>
        <v>5736.11</v>
      </c>
    </row>
    <row r="1099" spans="1:11">
      <c r="A1099" s="498"/>
      <c r="B1099" s="499"/>
      <c r="C1099" s="499"/>
      <c r="D1099" s="499"/>
      <c r="E1099" s="499"/>
      <c r="F1099" s="499"/>
      <c r="G1099" s="499"/>
      <c r="H1099" s="499"/>
      <c r="I1099" s="499"/>
      <c r="J1099" s="500"/>
    </row>
    <row r="1100" spans="1:11" ht="38.25">
      <c r="A1100" s="28" t="str">
        <f>'[3]Planilha Orçamentária'!A283</f>
        <v>1.5.4.4</v>
      </c>
      <c r="B1100" s="42">
        <f>VLOOKUP(A1100,'[3]Planilha Orçamentária'!A:K,2,0)</f>
        <v>96385</v>
      </c>
      <c r="C1100" s="30" t="str">
        <f>VLOOKUP(A1100,'[3]Planilha Orçamentária'!A:K,3,0)</f>
        <v>EXECUÇÃO E COMPACTAÇÃO DE ATERRO COM SOLO PREDOMINANTEMENTE ARGILOSO - EXCLUSIVE SOLO, ESCAVAÇÃO, CARGA E TRANSPORTE. AF_11/2019</v>
      </c>
      <c r="D1100" s="31" t="str">
        <f>VLOOKUP(A1100,'[3]Planilha Orçamentária'!A:K,4,0)</f>
        <v>M3</v>
      </c>
      <c r="E1100" s="30"/>
      <c r="F1100" s="32"/>
      <c r="G1100" s="32"/>
      <c r="H1100" s="32"/>
      <c r="I1100" s="32"/>
      <c r="J1100" s="45">
        <f>ROUND(SUM(J1102:J1102),2)</f>
        <v>4.9000000000000004</v>
      </c>
    </row>
    <row r="1101" spans="1:11">
      <c r="A1101" s="28"/>
      <c r="B1101" s="42"/>
      <c r="C1101" s="86" t="s">
        <v>1818</v>
      </c>
      <c r="D1101" s="31"/>
      <c r="E1101" s="30"/>
      <c r="F1101" s="32"/>
      <c r="G1101" s="32"/>
      <c r="H1101" s="32"/>
      <c r="I1101" s="34" t="s">
        <v>1623</v>
      </c>
      <c r="J1101" s="45"/>
    </row>
    <row r="1102" spans="1:11">
      <c r="A1102" s="94"/>
      <c r="B1102" s="95"/>
      <c r="C1102" s="73" t="s">
        <v>1729</v>
      </c>
      <c r="D1102" s="96"/>
      <c r="E1102" s="82"/>
      <c r="F1102" s="82"/>
      <c r="G1102" s="82"/>
      <c r="H1102" s="82"/>
      <c r="I1102" s="82">
        <f>[3]PARÂMETROS!G686</f>
        <v>4.9000000000000004</v>
      </c>
      <c r="J1102" s="97">
        <f>ROUND(PRODUCT(E1102:I1102),2)</f>
        <v>4.9000000000000004</v>
      </c>
    </row>
    <row r="1103" spans="1:11">
      <c r="A1103" s="513"/>
      <c r="B1103" s="513"/>
      <c r="C1103" s="513"/>
      <c r="D1103" s="513"/>
      <c r="E1103" s="513"/>
      <c r="F1103" s="513"/>
      <c r="G1103" s="513"/>
      <c r="H1103" s="513"/>
      <c r="I1103" s="513"/>
      <c r="J1103" s="513"/>
    </row>
    <row r="1104" spans="1:11">
      <c r="A1104" s="19" t="str">
        <f>'[3]Planilha Orçamentária'!A284</f>
        <v>1.5.5</v>
      </c>
      <c r="B1104" s="20"/>
      <c r="C1104" s="21" t="str">
        <f>VLOOKUP(A1104,'[3]Planilha Orçamentária'!A:K,3,0)</f>
        <v>PAVIMENTAÇÃO</v>
      </c>
      <c r="D1104" s="22"/>
      <c r="E1104" s="23"/>
      <c r="F1104" s="24"/>
      <c r="G1104" s="24"/>
      <c r="H1104" s="24"/>
      <c r="I1104" s="25"/>
      <c r="J1104" s="41"/>
    </row>
    <row r="1105" spans="1:10" ht="25.5">
      <c r="A1105" s="66" t="str">
        <f>'[3]Planilha Orçamentária'!A285</f>
        <v>1.5.5.1</v>
      </c>
      <c r="B1105" s="67">
        <f>VLOOKUP(A1105,'[3]Planilha Orçamentária'!A:K,2,0)</f>
        <v>100576</v>
      </c>
      <c r="C1105" s="68" t="str">
        <f>VLOOKUP(A1105,'[3]Planilha Orçamentária'!A:K,3,0)</f>
        <v>REGULARIZAÇÃO E COMPACTAÇÃO DE SUBLEITO DE SOLO  PREDOMINANTEMENTE ARGILOSO. AF_11/2019</v>
      </c>
      <c r="D1105" s="69" t="str">
        <f>VLOOKUP(A1105,'[3]Planilha Orçamentária'!A:K,4,0)</f>
        <v>M2</v>
      </c>
      <c r="E1105" s="68"/>
      <c r="F1105" s="71"/>
      <c r="G1105" s="71"/>
      <c r="H1105" s="71"/>
      <c r="I1105" s="71"/>
      <c r="J1105" s="78">
        <f>ROUND(SUM(J1108:J1111),2)</f>
        <v>1828.39</v>
      </c>
    </row>
    <row r="1106" spans="1:10">
      <c r="A1106" s="60"/>
      <c r="B1106" s="77"/>
      <c r="C1106" s="79" t="s">
        <v>1820</v>
      </c>
      <c r="D1106" s="63"/>
      <c r="E1106" s="62"/>
      <c r="F1106" s="80"/>
      <c r="G1106" s="80"/>
      <c r="H1106" s="64"/>
      <c r="I1106" s="87"/>
      <c r="J1106" s="78"/>
    </row>
    <row r="1107" spans="1:10">
      <c r="A1107" s="60"/>
      <c r="B1107" s="77"/>
      <c r="C1107" s="109" t="s">
        <v>1814</v>
      </c>
      <c r="D1107" s="63"/>
      <c r="E1107" s="62"/>
      <c r="F1107" s="80"/>
      <c r="G1107" s="80"/>
      <c r="H1107" s="64"/>
      <c r="I1107" s="87" t="s">
        <v>1620</v>
      </c>
      <c r="J1107" s="110"/>
    </row>
    <row r="1108" spans="1:10">
      <c r="A1108" s="60"/>
      <c r="B1108" s="77"/>
      <c r="C1108" s="109" t="s">
        <v>1635</v>
      </c>
      <c r="D1108" s="63"/>
      <c r="E1108" s="62"/>
      <c r="F1108" s="80"/>
      <c r="G1108" s="80"/>
      <c r="H1108" s="64"/>
      <c r="I1108" s="111">
        <v>908.21</v>
      </c>
      <c r="J1108" s="97">
        <f t="shared" ref="J1108:J1109" si="103">ROUND(PRODUCT(E1108:I1108),2)</f>
        <v>908.21</v>
      </c>
    </row>
    <row r="1109" spans="1:10" ht="15">
      <c r="A1109" s="112"/>
      <c r="B1109" s="113"/>
      <c r="C1109" s="114" t="s">
        <v>1636</v>
      </c>
      <c r="D1109" s="115"/>
      <c r="E1109" s="116"/>
      <c r="F1109" s="117"/>
      <c r="G1109" s="116"/>
      <c r="H1109" s="116"/>
      <c r="I1109" s="118">
        <v>419.75</v>
      </c>
      <c r="J1109" s="119">
        <f t="shared" si="103"/>
        <v>419.75</v>
      </c>
    </row>
    <row r="1110" spans="1:10">
      <c r="A1110" s="28"/>
      <c r="B1110" s="29"/>
      <c r="C1110" s="109" t="s">
        <v>1813</v>
      </c>
      <c r="D1110" s="74"/>
      <c r="E1110" s="35"/>
      <c r="F1110" s="80" t="s">
        <v>1606</v>
      </c>
      <c r="G1110" s="80" t="s">
        <v>1607</v>
      </c>
      <c r="H1110" s="35"/>
      <c r="I1110" s="111"/>
      <c r="J1110" s="120"/>
    </row>
    <row r="1111" spans="1:10" ht="25.5">
      <c r="A1111" s="28"/>
      <c r="B1111" s="29"/>
      <c r="C1111" s="109" t="s">
        <v>1638</v>
      </c>
      <c r="D1111" s="74"/>
      <c r="E1111" s="35"/>
      <c r="F1111" s="57">
        <f>(20-2.81)+(2*20)+(14.3)</f>
        <v>71.489999999999995</v>
      </c>
      <c r="G1111" s="91">
        <f>6+1</f>
        <v>7</v>
      </c>
      <c r="H1111" s="35"/>
      <c r="I1111" s="111"/>
      <c r="J1111" s="119">
        <f t="shared" ref="J1111" si="104">ROUND(PRODUCT(E1111:I1111),2)</f>
        <v>500.43</v>
      </c>
    </row>
    <row r="1112" spans="1:10">
      <c r="A1112" s="520"/>
      <c r="B1112" s="521"/>
      <c r="C1112" s="521"/>
      <c r="D1112" s="521"/>
      <c r="E1112" s="521"/>
      <c r="F1112" s="521"/>
      <c r="G1112" s="521"/>
      <c r="H1112" s="521"/>
      <c r="I1112" s="521"/>
      <c r="J1112" s="522"/>
    </row>
    <row r="1113" spans="1:10" ht="38.25">
      <c r="A1113" s="60" t="str">
        <f>'[3]Planilha Orçamentária'!A286</f>
        <v>1.5.5.2</v>
      </c>
      <c r="B1113" s="61" t="str">
        <f>VLOOKUP(A1113,'[3]Planilha Orçamentária'!A:K,2,0)</f>
        <v>COMP-28881239</v>
      </c>
      <c r="C1113" s="62" t="str">
        <f>VLOOKUP(A1113,'[3]Planilha Orçamentária'!A:K,3,0)</f>
        <v>Base ou sub-base de macadame hidráulico com brita comercial - EXCLUSIVE MATERIAL, CARGA E TRANSPORTE - NÃO DESONERADO</v>
      </c>
      <c r="D1113" s="63" t="str">
        <f>VLOOKUP(A1113,'[3]Planilha Orçamentária'!A:K,4,0)</f>
        <v>M3</v>
      </c>
      <c r="E1113" s="124"/>
      <c r="F1113" s="125"/>
      <c r="G1113" s="125"/>
      <c r="H1113" s="125"/>
      <c r="I1113" s="125"/>
      <c r="J1113" s="78">
        <f>ROUND(SUM(J1115:J1116),2)</f>
        <v>75.06</v>
      </c>
    </row>
    <row r="1114" spans="1:10">
      <c r="A1114" s="60"/>
      <c r="B1114" s="61"/>
      <c r="C1114" s="79" t="s">
        <v>1820</v>
      </c>
      <c r="D1114" s="63"/>
      <c r="E1114" s="124"/>
      <c r="F1114" s="125"/>
      <c r="G1114" s="125"/>
      <c r="H1114" s="88"/>
      <c r="I1114" s="87"/>
      <c r="J1114" s="65"/>
    </row>
    <row r="1115" spans="1:10">
      <c r="A1115" s="60"/>
      <c r="B1115" s="61"/>
      <c r="C1115" s="109" t="s">
        <v>1813</v>
      </c>
      <c r="D1115" s="63"/>
      <c r="E1115" s="124"/>
      <c r="F1115" s="80" t="s">
        <v>1606</v>
      </c>
      <c r="G1115" s="80" t="s">
        <v>1607</v>
      </c>
      <c r="H1115" s="80" t="s">
        <v>1619</v>
      </c>
      <c r="I1115" s="111"/>
      <c r="J1115" s="97"/>
    </row>
    <row r="1116" spans="1:10" ht="28.5">
      <c r="A1116" s="60"/>
      <c r="B1116" s="61"/>
      <c r="C1116" s="126" t="s">
        <v>1640</v>
      </c>
      <c r="D1116" s="63"/>
      <c r="E1116" s="124"/>
      <c r="F1116" s="80">
        <f>F1111</f>
        <v>71.489999999999995</v>
      </c>
      <c r="G1116" s="91">
        <f>6+0.5+0.5</f>
        <v>7</v>
      </c>
      <c r="H1116" s="80">
        <v>0.15</v>
      </c>
      <c r="I1116" s="111"/>
      <c r="J1116" s="97">
        <f t="shared" ref="J1116" si="105">ROUND(PRODUCT(E1116:I1116),2)</f>
        <v>75.06</v>
      </c>
    </row>
    <row r="1117" spans="1:10">
      <c r="A1117" s="526"/>
      <c r="B1117" s="527"/>
      <c r="C1117" s="527"/>
      <c r="D1117" s="527"/>
      <c r="E1117" s="527"/>
      <c r="F1117" s="527"/>
      <c r="G1117" s="527"/>
      <c r="H1117" s="527"/>
      <c r="I1117" s="527"/>
      <c r="J1117" s="528"/>
    </row>
    <row r="1118" spans="1:10" ht="38.25">
      <c r="A1118" s="60" t="str">
        <f>'[3]Planilha Orçamentária'!A287</f>
        <v>1.5.5.3</v>
      </c>
      <c r="B1118" s="61" t="str">
        <f>VLOOKUP(A1118,'[3]Planilha Orçamentária'!A:K,2,0)</f>
        <v>CP-96396-26507981</v>
      </c>
      <c r="C1118" s="62" t="str">
        <f>VLOOKUP(A1118,'[3]Planilha Orçamentária'!A:K,3,0)</f>
        <v>EXECUÇÃO E COMPACTAÇÃO DE BASE E OU SUB BASE PARA PAVIMENTAÇÃO DE BRITA GRADUADA SIMPLES - EXCLUSIVE MATERIAL, CARGA E TRANSPORTE</v>
      </c>
      <c r="D1118" s="63" t="str">
        <f>VLOOKUP(A1118,'[3]Planilha Orçamentária'!A:K,4,0)</f>
        <v>M3</v>
      </c>
      <c r="E1118" s="124"/>
      <c r="F1118" s="125"/>
      <c r="G1118" s="125"/>
      <c r="H1118" s="125"/>
      <c r="I1118" s="125"/>
      <c r="J1118" s="65">
        <f>ROUND(SUM(J1121:J1124),2)</f>
        <v>351.38</v>
      </c>
    </row>
    <row r="1119" spans="1:10">
      <c r="A1119" s="60"/>
      <c r="B1119" s="61"/>
      <c r="C1119" s="79" t="s">
        <v>1820</v>
      </c>
      <c r="D1119" s="63"/>
      <c r="E1119" s="127"/>
      <c r="F1119" s="127"/>
      <c r="G1119" s="127"/>
      <c r="H1119" s="88"/>
      <c r="I1119" s="87"/>
      <c r="J1119" s="65"/>
    </row>
    <row r="1120" spans="1:10">
      <c r="A1120" s="60"/>
      <c r="B1120" s="61"/>
      <c r="C1120" s="109" t="s">
        <v>1814</v>
      </c>
      <c r="D1120" s="63"/>
      <c r="E1120" s="127"/>
      <c r="F1120" s="127"/>
      <c r="G1120" s="127"/>
      <c r="H1120" s="88" t="s">
        <v>1619</v>
      </c>
      <c r="I1120" s="87" t="s">
        <v>1620</v>
      </c>
      <c r="J1120" s="65"/>
    </row>
    <row r="1121" spans="1:10">
      <c r="A1121" s="60"/>
      <c r="B1121" s="61"/>
      <c r="C1121" s="109" t="s">
        <v>1635</v>
      </c>
      <c r="D1121" s="63"/>
      <c r="E1121" s="127"/>
      <c r="F1121" s="127"/>
      <c r="G1121" s="127"/>
      <c r="H1121" s="88">
        <v>0.2</v>
      </c>
      <c r="I1121" s="111">
        <f>I1108</f>
        <v>908.21</v>
      </c>
      <c r="J1121" s="97">
        <f t="shared" ref="J1121:J1122" si="106">ROUND(PRODUCT(E1121:I1121),2)</f>
        <v>181.64</v>
      </c>
    </row>
    <row r="1122" spans="1:10">
      <c r="A1122" s="60"/>
      <c r="B1122" s="61"/>
      <c r="C1122" s="109" t="s">
        <v>1636</v>
      </c>
      <c r="D1122" s="63"/>
      <c r="E1122" s="127"/>
      <c r="F1122" s="127"/>
      <c r="G1122" s="127"/>
      <c r="H1122" s="88">
        <v>0.2</v>
      </c>
      <c r="I1122" s="111">
        <f>I1109</f>
        <v>419.75</v>
      </c>
      <c r="J1122" s="97">
        <f t="shared" si="106"/>
        <v>83.95</v>
      </c>
    </row>
    <row r="1123" spans="1:10">
      <c r="A1123" s="60"/>
      <c r="B1123" s="61"/>
      <c r="C1123" s="109" t="s">
        <v>1813</v>
      </c>
      <c r="D1123" s="63"/>
      <c r="E1123" s="127"/>
      <c r="F1123" s="80" t="s">
        <v>1606</v>
      </c>
      <c r="G1123" s="80" t="s">
        <v>1607</v>
      </c>
      <c r="H1123" s="80" t="s">
        <v>1619</v>
      </c>
      <c r="I1123" s="127"/>
      <c r="J1123" s="65"/>
    </row>
    <row r="1124" spans="1:10" ht="28.5">
      <c r="A1124" s="94"/>
      <c r="B1124" s="128"/>
      <c r="C1124" s="126" t="s">
        <v>1696</v>
      </c>
      <c r="D1124" s="96"/>
      <c r="E1124" s="34"/>
      <c r="F1124" s="80">
        <f>F1116</f>
        <v>71.489999999999995</v>
      </c>
      <c r="G1124" s="91">
        <v>6</v>
      </c>
      <c r="H1124" s="80">
        <v>0.2</v>
      </c>
      <c r="I1124" s="82"/>
      <c r="J1124" s="97">
        <f>ROUND(PRODUCT(E1124:I1124),2)</f>
        <v>85.79</v>
      </c>
    </row>
    <row r="1125" spans="1:10">
      <c r="A1125" s="497"/>
      <c r="B1125" s="497"/>
      <c r="C1125" s="497"/>
      <c r="D1125" s="497"/>
      <c r="E1125" s="497"/>
      <c r="F1125" s="497"/>
      <c r="G1125" s="497"/>
      <c r="H1125" s="497"/>
      <c r="I1125" s="497"/>
      <c r="J1125" s="497"/>
    </row>
    <row r="1126" spans="1:10" ht="51">
      <c r="A1126" s="28" t="str">
        <f>'[3]Planilha Orçamentária'!A288</f>
        <v>1.5.5.4</v>
      </c>
      <c r="B1126" s="29" t="str">
        <f>VLOOKUP(A1126,'[3]Planilha Orçamentária'!A:K,2,0)</f>
        <v>COMP-35145154</v>
      </c>
      <c r="C1126" s="30" t="str">
        <f>VLOOKUP(A1126,'[3]Planilha Orçamentária'!A:K,3,0)</f>
        <v>CARGA E DESCARGA MECANICA DE SOLO UTILIZANDO CAMINHAO BASCULANTE 14,0M3/36T E PA CARREGADEIRA SOBRE PNEUS 128 HP, CAPACIDADE DA CAÇAMBA 1,7 A 2,8 M3, PESO OPERACIONAL 11632 KH</v>
      </c>
      <c r="D1126" s="31" t="str">
        <f>VLOOKUP(A1126,'[3]Planilha Orçamentária'!A:K,4,0)</f>
        <v>M3</v>
      </c>
      <c r="E1126" s="30"/>
      <c r="F1126" s="32"/>
      <c r="G1126" s="32"/>
      <c r="H1126" s="32"/>
      <c r="I1126" s="32"/>
      <c r="J1126" s="33">
        <f>ROUND(SUM(J1128:J1128),2)</f>
        <v>533.04999999999995</v>
      </c>
    </row>
    <row r="1127" spans="1:10" ht="25.5">
      <c r="A1127" s="28"/>
      <c r="B1127" s="29"/>
      <c r="C1127" s="62"/>
      <c r="D1127" s="63"/>
      <c r="E1127" s="127" t="s">
        <v>1622</v>
      </c>
      <c r="F1127" s="34"/>
      <c r="G1127" s="32"/>
      <c r="H1127" s="32"/>
      <c r="I1127" s="135" t="s">
        <v>1734</v>
      </c>
      <c r="J1127" s="33"/>
    </row>
    <row r="1128" spans="1:10" ht="14.25">
      <c r="A1128" s="28"/>
      <c r="B1128" s="29"/>
      <c r="C1128" s="131" t="s">
        <v>1642</v>
      </c>
      <c r="D1128" s="96"/>
      <c r="E1128" s="34">
        <v>1.25</v>
      </c>
      <c r="F1128" s="140"/>
      <c r="G1128" s="129"/>
      <c r="H1128" s="129"/>
      <c r="I1128" s="141">
        <f>J1118+J1113</f>
        <v>426.44</v>
      </c>
      <c r="J1128" s="253">
        <f t="shared" ref="J1128" si="107">ROUND(PRODUCT(E1128:I1128),2)</f>
        <v>533.04999999999995</v>
      </c>
    </row>
    <row r="1129" spans="1:10">
      <c r="A1129" s="513"/>
      <c r="B1129" s="513"/>
      <c r="C1129" s="513"/>
      <c r="D1129" s="513"/>
      <c r="E1129" s="513"/>
      <c r="F1129" s="513"/>
      <c r="G1129" s="513"/>
      <c r="H1129" s="513"/>
      <c r="I1129" s="513"/>
      <c r="J1129" s="513"/>
    </row>
    <row r="1130" spans="1:10" ht="25.5">
      <c r="A1130" s="28" t="str">
        <f>'[3]Planilha Orçamentária'!A289</f>
        <v>1.5.5.5</v>
      </c>
      <c r="B1130" s="29" t="str">
        <f>VLOOKUP(A1130,'[3]Planilha Orçamentária'!A:K,2,0)</f>
        <v>COMP-83526730</v>
      </c>
      <c r="C1130" s="30" t="str">
        <f>VLOOKUP(A1130,'[3]Planilha Orçamentária'!A:K,3,0)</f>
        <v>TRANSPORTE COMERCIAL DE BRITA</v>
      </c>
      <c r="D1130" s="31" t="str">
        <f>VLOOKUP(A1130,'[3]Planilha Orçamentária'!A:K,4,0)</f>
        <v>M3XKM</v>
      </c>
      <c r="E1130" s="30"/>
      <c r="F1130" s="32"/>
      <c r="G1130" s="32"/>
      <c r="H1130" s="32"/>
      <c r="I1130" s="32"/>
      <c r="J1130" s="33">
        <f>ROUND(SUM(J1132:J1132),2)</f>
        <v>2985.08</v>
      </c>
    </row>
    <row r="1131" spans="1:10">
      <c r="A1131" s="28"/>
      <c r="B1131" s="29"/>
      <c r="C1131" s="79" t="s">
        <v>1821</v>
      </c>
      <c r="D1131" s="31"/>
      <c r="E1131" s="86" t="s">
        <v>1627</v>
      </c>
      <c r="F1131" s="34"/>
      <c r="G1131" s="34"/>
      <c r="H1131" s="34"/>
      <c r="I1131" s="34" t="s">
        <v>1623</v>
      </c>
      <c r="J1131" s="33"/>
    </row>
    <row r="1132" spans="1:10" ht="14.25">
      <c r="A1132" s="28"/>
      <c r="B1132" s="29"/>
      <c r="C1132" s="126" t="s">
        <v>1822</v>
      </c>
      <c r="D1132" s="94"/>
      <c r="E1132" s="141">
        <v>5.6</v>
      </c>
      <c r="F1132" s="134"/>
      <c r="G1132" s="94"/>
      <c r="H1132" s="94"/>
      <c r="I1132" s="136">
        <f>J1126</f>
        <v>533.04999999999995</v>
      </c>
      <c r="J1132" s="253">
        <f t="shared" ref="J1132" si="108">ROUND(PRODUCT(E1132:I1132),2)</f>
        <v>2985.08</v>
      </c>
    </row>
    <row r="1133" spans="1:10">
      <c r="A1133" s="513"/>
      <c r="B1133" s="513"/>
      <c r="C1133" s="513"/>
      <c r="D1133" s="513"/>
      <c r="E1133" s="513"/>
      <c r="F1133" s="513"/>
      <c r="G1133" s="513"/>
      <c r="H1133" s="513"/>
      <c r="I1133" s="513"/>
      <c r="J1133" s="513"/>
    </row>
    <row r="1134" spans="1:10" ht="51">
      <c r="A1134" s="99" t="str">
        <f>'[3]Planilha Orçamentária'!A290</f>
        <v>1.5.5.6</v>
      </c>
      <c r="B1134" s="48" t="str">
        <f>VLOOKUP(A1134,'[3]Planilha Orçamentária'!A:K,2,0)</f>
        <v>CP-92399-27762594</v>
      </c>
      <c r="C1134" s="100" t="str">
        <f>VLOOKUP(A1134,'[3]Planilha Orçamentária'!A:K,3,0)</f>
        <v>EXECUÇÃO DE VIA EM PISO INTERTRAVADO, COM BLOCO RETANGULAR COR NATURAL/COLORIDO DE 20 X 10 CM, ESPESSURA 8 CM - (SEM O MATERIAL BLOQUETE/PISO INTERTRAVADO)</v>
      </c>
      <c r="D1134" s="101" t="str">
        <f>VLOOKUP(A1134,'[3]Planilha Orçamentária'!A:K,4,0)</f>
        <v>M2</v>
      </c>
      <c r="E1134" s="34"/>
      <c r="F1134" s="34"/>
      <c r="G1134" s="64"/>
      <c r="H1134" s="34"/>
      <c r="I1134" s="87"/>
      <c r="J1134" s="33">
        <f>ROUND(SUM(J1135:J1137),2)</f>
        <v>1327.96</v>
      </c>
    </row>
    <row r="1135" spans="1:10">
      <c r="A1135" s="94"/>
      <c r="B1135" s="133"/>
      <c r="C1135" s="79" t="s">
        <v>1820</v>
      </c>
      <c r="D1135" s="96"/>
      <c r="E1135" s="82"/>
      <c r="F1135" s="34"/>
      <c r="G1135" s="82"/>
      <c r="H1135" s="82"/>
      <c r="I1135" s="82" t="s">
        <v>1620</v>
      </c>
      <c r="J1135" s="120"/>
    </row>
    <row r="1136" spans="1:10" ht="28.5">
      <c r="A1136" s="94"/>
      <c r="B1136" s="133"/>
      <c r="C1136" s="126" t="s">
        <v>1646</v>
      </c>
      <c r="D1136" s="96"/>
      <c r="E1136" s="82"/>
      <c r="F1136" s="34"/>
      <c r="G1136" s="82"/>
      <c r="H1136" s="82"/>
      <c r="I1136" s="82">
        <f>[3]PARÂMETROS!F703</f>
        <v>908.21</v>
      </c>
      <c r="J1136" s="120">
        <f>ROUND(PRODUCT(E1136:I1136),2)</f>
        <v>908.21</v>
      </c>
    </row>
    <row r="1137" spans="1:10" ht="28.5">
      <c r="A1137" s="94"/>
      <c r="B1137" s="133"/>
      <c r="C1137" s="126" t="s">
        <v>1647</v>
      </c>
      <c r="D1137" s="96"/>
      <c r="E1137" s="82"/>
      <c r="F1137" s="34"/>
      <c r="G1137" s="82"/>
      <c r="H1137" s="82"/>
      <c r="I1137" s="82">
        <f>[3]PARÂMETROS!F704</f>
        <v>419.75</v>
      </c>
      <c r="J1137" s="120">
        <f>ROUND(PRODUCT(E1137:I1137),2)</f>
        <v>419.75</v>
      </c>
    </row>
    <row r="1138" spans="1:10">
      <c r="A1138" s="497"/>
      <c r="B1138" s="497"/>
      <c r="C1138" s="497"/>
      <c r="D1138" s="497"/>
      <c r="E1138" s="497"/>
      <c r="F1138" s="497"/>
      <c r="G1138" s="497"/>
      <c r="H1138" s="497"/>
      <c r="I1138" s="497"/>
      <c r="J1138" s="497"/>
    </row>
    <row r="1139" spans="1:10" ht="25.5">
      <c r="A1139" s="99" t="str">
        <f>'[3]Planilha Orçamentária'!A291</f>
        <v>1.5.5.7</v>
      </c>
      <c r="B1139" s="48" t="str">
        <f>VLOOKUP(A1139,'[3]Planilha Orçamentária'!A:K,2,0)</f>
        <v>COMP-62038505</v>
      </c>
      <c r="C1139" s="100" t="str">
        <f>VLOOKUP(A1139,'[3]Planilha Orçamentária'!A:K,3,0)</f>
        <v>EXECUÇÃO DE IMPRIMAÇÃO COM ASFALTO DILUÍDO CM-30 - SERVIÇO UTILIZADO NOS LOTES</v>
      </c>
      <c r="D1139" s="101" t="str">
        <f>VLOOKUP(A1139,'[3]Planilha Orçamentária'!A:K,4,0)</f>
        <v>M2</v>
      </c>
      <c r="E1139" s="100"/>
      <c r="F1139" s="102"/>
      <c r="G1139" s="102"/>
      <c r="H1139" s="102"/>
      <c r="I1139" s="102"/>
      <c r="J1139" s="33">
        <f>ROUND(SUM(J1140:J1142),2)</f>
        <v>407.19</v>
      </c>
    </row>
    <row r="1140" spans="1:10">
      <c r="A1140" s="94"/>
      <c r="B1140" s="128"/>
      <c r="C1140" s="79" t="s">
        <v>1820</v>
      </c>
      <c r="D1140" s="96"/>
      <c r="E1140" s="82"/>
      <c r="F1140" s="34"/>
      <c r="G1140" s="82"/>
      <c r="H1140" s="82"/>
      <c r="I1140" s="82"/>
      <c r="J1140" s="120"/>
    </row>
    <row r="1141" spans="1:10" ht="28.5">
      <c r="A1141" s="94"/>
      <c r="B1141" s="128"/>
      <c r="C1141" s="131" t="s">
        <v>1648</v>
      </c>
      <c r="D1141" s="31"/>
      <c r="E1141" s="30"/>
      <c r="F1141" s="134"/>
      <c r="G1141" s="32"/>
      <c r="H1141" s="32"/>
      <c r="I1141" s="135" t="s">
        <v>1620</v>
      </c>
      <c r="J1141" s="120"/>
    </row>
    <row r="1142" spans="1:10" ht="14.25">
      <c r="A1142" s="94"/>
      <c r="B1142" s="128"/>
      <c r="C1142" s="131" t="s">
        <v>1649</v>
      </c>
      <c r="D1142" s="31"/>
      <c r="E1142" s="30"/>
      <c r="F1142" s="134"/>
      <c r="G1142" s="32"/>
      <c r="H1142" s="32"/>
      <c r="I1142" s="136">
        <f>[3]PARÂMETROS!F693</f>
        <v>407.19</v>
      </c>
      <c r="J1142" s="120">
        <f t="shared" ref="J1142" si="109">ROUND(PRODUCT(E1142:I1142),2)</f>
        <v>407.19</v>
      </c>
    </row>
    <row r="1143" spans="1:10">
      <c r="A1143" s="498"/>
      <c r="B1143" s="499"/>
      <c r="C1143" s="499"/>
      <c r="D1143" s="499"/>
      <c r="E1143" s="499"/>
      <c r="F1143" s="499"/>
      <c r="G1143" s="499"/>
      <c r="H1143" s="499"/>
      <c r="I1143" s="499"/>
      <c r="J1143" s="500"/>
    </row>
    <row r="1144" spans="1:10" ht="38.25">
      <c r="A1144" s="99" t="str">
        <f>'[3]Planilha Orçamentária'!A292</f>
        <v>1.5.5.8</v>
      </c>
      <c r="B1144" s="48" t="str">
        <f>VLOOKUP(A1144,'[3]Planilha Orçamentária'!A:K,2,0)</f>
        <v>CP-95995-51339760</v>
      </c>
      <c r="C1144" s="100" t="str">
        <f>VLOOKUP(A1144,'[3]Planilha Orçamentária'!A:K,3,0)</f>
        <v>EXECUÇÃO DE PAVIMENTO COM APLICAÇÃO DE CONCRETO ASFÁLTICO, CAMADA DE ROLAMENTO - EXCLUSIVE CARGA E TRANSPORTE E CONCRETO BETUMINOSO</v>
      </c>
      <c r="D1144" s="101" t="str">
        <f>VLOOKUP(A1144,'[3]Planilha Orçamentária'!A:K,4,0)</f>
        <v>M3</v>
      </c>
      <c r="E1144" s="100"/>
      <c r="F1144" s="102"/>
      <c r="G1144" s="102"/>
      <c r="H1144" s="102"/>
      <c r="I1144" s="102"/>
      <c r="J1144" s="33">
        <f>ROUND(SUM(J1145:J1146),2)</f>
        <v>20.36</v>
      </c>
    </row>
    <row r="1145" spans="1:10">
      <c r="A1145" s="94"/>
      <c r="B1145" s="128"/>
      <c r="C1145" s="79" t="s">
        <v>1820</v>
      </c>
      <c r="D1145" s="96"/>
      <c r="E1145" s="82"/>
      <c r="F1145" s="34"/>
      <c r="G1145" s="82"/>
      <c r="H1145" s="135" t="s">
        <v>1619</v>
      </c>
      <c r="I1145" s="135" t="s">
        <v>1620</v>
      </c>
      <c r="J1145" s="120"/>
    </row>
    <row r="1146" spans="1:10" ht="14.25">
      <c r="A1146" s="94"/>
      <c r="B1146" s="128"/>
      <c r="C1146" s="131" t="s">
        <v>1650</v>
      </c>
      <c r="D1146" s="94"/>
      <c r="E1146" s="94"/>
      <c r="F1146" s="134"/>
      <c r="G1146" s="94"/>
      <c r="H1146" s="136">
        <v>0.05</v>
      </c>
      <c r="I1146" s="136">
        <f>J1139</f>
        <v>407.19</v>
      </c>
      <c r="J1146" s="120">
        <f t="shared" ref="J1146" si="110">ROUND(PRODUCT(E1146:I1146),2)</f>
        <v>20.36</v>
      </c>
    </row>
    <row r="1147" spans="1:10">
      <c r="A1147" s="498"/>
      <c r="B1147" s="499"/>
      <c r="C1147" s="499"/>
      <c r="D1147" s="499"/>
      <c r="E1147" s="499"/>
      <c r="F1147" s="499"/>
      <c r="G1147" s="499"/>
      <c r="H1147" s="499"/>
      <c r="I1147" s="499"/>
      <c r="J1147" s="500"/>
    </row>
    <row r="1148" spans="1:10" ht="38.25">
      <c r="A1148" s="99" t="str">
        <f>'[3]Planilha Orçamentária'!A293</f>
        <v>1.5.5.9</v>
      </c>
      <c r="B1148" s="48" t="str">
        <f>VLOOKUP(A1148,'[3]Planilha Orçamentária'!A:K,2,0)</f>
        <v>COMP-10034101</v>
      </c>
      <c r="C1148" s="100" t="str">
        <f>VLOOKUP(A1148,'[3]Planilha Orçamentária'!A:K,3,0)</f>
        <v>CARGA, MANOBRAS E DESCARGA DE MISTURA BETUMINOSA A QUENTE, COM CAMINHAO BASCULANTE 6 M3, DESCARGA EM VIBRO-ACABADORA</v>
      </c>
      <c r="D1148" s="101" t="str">
        <f>VLOOKUP(A1148,'[3]Planilha Orçamentária'!A:K,4,0)</f>
        <v>M3</v>
      </c>
      <c r="E1148" s="100"/>
      <c r="F1148" s="102"/>
      <c r="G1148" s="102"/>
      <c r="H1148" s="102"/>
      <c r="I1148" s="102"/>
      <c r="J1148" s="33">
        <f>ROUND(SUM(J1149:J1150),2)</f>
        <v>20.36</v>
      </c>
    </row>
    <row r="1149" spans="1:10" ht="14.25">
      <c r="A1149" s="94"/>
      <c r="B1149" s="128"/>
      <c r="C1149" s="126"/>
      <c r="D1149" s="31"/>
      <c r="E1149" s="30"/>
      <c r="F1149" s="34"/>
      <c r="G1149" s="32"/>
      <c r="H1149" s="32"/>
      <c r="I1149" s="135" t="s">
        <v>1623</v>
      </c>
      <c r="J1149" s="120"/>
    </row>
    <row r="1150" spans="1:10" ht="14.25">
      <c r="A1150" s="94"/>
      <c r="B1150" s="128"/>
      <c r="C1150" s="139" t="s">
        <v>1651</v>
      </c>
      <c r="D1150" s="129"/>
      <c r="E1150" s="129"/>
      <c r="F1150" s="140"/>
      <c r="G1150" s="129"/>
      <c r="H1150" s="129"/>
      <c r="I1150" s="141">
        <f>J1144</f>
        <v>20.36</v>
      </c>
      <c r="J1150" s="120">
        <f t="shared" ref="J1150" si="111">ROUND(PRODUCT(E1150:I1150),2)</f>
        <v>20.36</v>
      </c>
    </row>
    <row r="1151" spans="1:10">
      <c r="A1151" s="498"/>
      <c r="B1151" s="499"/>
      <c r="C1151" s="499"/>
      <c r="D1151" s="499"/>
      <c r="E1151" s="499"/>
      <c r="F1151" s="499"/>
      <c r="G1151" s="499"/>
      <c r="H1151" s="499"/>
      <c r="I1151" s="499"/>
      <c r="J1151" s="500"/>
    </row>
    <row r="1152" spans="1:10" ht="25.5">
      <c r="A1152" s="99" t="str">
        <f>'[3]Planilha Orçamentária'!A294</f>
        <v>1.5.5.10</v>
      </c>
      <c r="B1152" s="48" t="str">
        <f>VLOOKUP(A1152,'[3]Planilha Orçamentária'!A:K,2,0)</f>
        <v>CP-95303-56931542</v>
      </c>
      <c r="C1152" s="100" t="str">
        <f>VLOOKUP(A1152,'[3]Planilha Orçamentária'!A:K,3,0)</f>
        <v>TRANSPORTE COM CAMINHÃO BASCULANTE 10 M3 DE MASSA ASFALTICA PARA PAVIMENTAÇÃO URBANA</v>
      </c>
      <c r="D1152" s="101" t="str">
        <f>VLOOKUP(A1152,'[3]Planilha Orçamentária'!A:K,4,0)</f>
        <v>M3XKM</v>
      </c>
      <c r="E1152" s="100"/>
      <c r="F1152" s="102"/>
      <c r="G1152" s="102"/>
      <c r="H1152" s="102"/>
      <c r="I1152" s="102"/>
      <c r="J1152" s="33">
        <f>ROUND(SUM(J1153:J1154),2)</f>
        <v>374.62</v>
      </c>
    </row>
    <row r="1153" spans="1:10">
      <c r="A1153" s="94"/>
      <c r="B1153" s="128"/>
      <c r="C1153" s="79" t="s">
        <v>1823</v>
      </c>
      <c r="D1153" s="31"/>
      <c r="E1153" s="86" t="s">
        <v>1627</v>
      </c>
      <c r="F1153" s="34"/>
      <c r="G1153" s="34"/>
      <c r="H1153" s="34"/>
      <c r="I1153" s="34" t="s">
        <v>1623</v>
      </c>
      <c r="J1153" s="120"/>
    </row>
    <row r="1154" spans="1:10" ht="14.25">
      <c r="A1154" s="94"/>
      <c r="B1154" s="128"/>
      <c r="C1154" s="126" t="s">
        <v>1824</v>
      </c>
      <c r="D1154" s="94"/>
      <c r="E1154" s="141">
        <v>18.399999999999999</v>
      </c>
      <c r="F1154" s="134"/>
      <c r="G1154" s="94"/>
      <c r="H1154" s="94"/>
      <c r="I1154" s="136">
        <f>J1148</f>
        <v>20.36</v>
      </c>
      <c r="J1154" s="120">
        <f t="shared" ref="J1154" si="112">ROUND(PRODUCT(E1154:I1154),2)</f>
        <v>374.62</v>
      </c>
    </row>
    <row r="1155" spans="1:10">
      <c r="A1155" s="498"/>
      <c r="B1155" s="499"/>
      <c r="C1155" s="499"/>
      <c r="D1155" s="499"/>
      <c r="E1155" s="499"/>
      <c r="F1155" s="499"/>
      <c r="G1155" s="499"/>
      <c r="H1155" s="499"/>
      <c r="I1155" s="499"/>
      <c r="J1155" s="500"/>
    </row>
    <row r="1156" spans="1:10" ht="25.5">
      <c r="A1156" s="99" t="str">
        <f>'[3]Planilha Orçamentária'!A295</f>
        <v>1.5.5.11</v>
      </c>
      <c r="B1156" s="48" t="str">
        <f>VLOOKUP(A1156,'[3]Planilha Orçamentária'!A:K,2,0)</f>
        <v>CP-97084-89637704</v>
      </c>
      <c r="C1156" s="100" t="str">
        <f>VLOOKUP(A1156,'[3]Planilha Orçamentária'!A:K,3,0)</f>
        <v>REGULARIZACAO E COMPACTAÇÃO MANUAL DE TERRENO COM PLACA VIBRATÓRIA</v>
      </c>
      <c r="D1156" s="101" t="str">
        <f>VLOOKUP(A1156,'[3]Planilha Orçamentária'!A:K,4,0)</f>
        <v>M2</v>
      </c>
      <c r="E1156" s="100"/>
      <c r="F1156" s="102"/>
      <c r="G1156" s="102"/>
      <c r="H1156" s="102"/>
      <c r="I1156" s="102"/>
      <c r="J1156" s="33">
        <f>ROUND(SUM(J1157:J1158),2)</f>
        <v>264.83999999999997</v>
      </c>
    </row>
    <row r="1157" spans="1:10">
      <c r="A1157" s="94"/>
      <c r="B1157" s="128"/>
      <c r="C1157" s="79" t="s">
        <v>1820</v>
      </c>
      <c r="D1157" s="96"/>
      <c r="E1157" s="82"/>
      <c r="F1157" s="34"/>
      <c r="G1157" s="82"/>
      <c r="H1157" s="82"/>
      <c r="I1157" s="135" t="s">
        <v>1620</v>
      </c>
      <c r="J1157" s="120"/>
    </row>
    <row r="1158" spans="1:10">
      <c r="A1158" s="94"/>
      <c r="B1158" s="128"/>
      <c r="C1158" s="142" t="s">
        <v>1654</v>
      </c>
      <c r="D1158" s="94"/>
      <c r="E1158" s="94"/>
      <c r="F1158" s="134"/>
      <c r="G1158" s="135"/>
      <c r="H1158" s="135"/>
      <c r="I1158" s="143">
        <f>[3]PARÂMETROS!F702</f>
        <v>264.83999999999997</v>
      </c>
      <c r="J1158" s="120">
        <f t="shared" ref="J1158" si="113">ROUND(PRODUCT(E1158:I1158),2)</f>
        <v>264.83999999999997</v>
      </c>
    </row>
    <row r="1159" spans="1:10">
      <c r="A1159" s="498"/>
      <c r="B1159" s="499"/>
      <c r="C1159" s="499"/>
      <c r="D1159" s="499"/>
      <c r="E1159" s="499"/>
      <c r="F1159" s="499"/>
      <c r="G1159" s="499"/>
      <c r="H1159" s="499"/>
      <c r="I1159" s="499"/>
      <c r="J1159" s="500"/>
    </row>
    <row r="1160" spans="1:10" ht="24" customHeight="1">
      <c r="A1160" s="99" t="str">
        <f>'[3]Planilha Orçamentária'!A296</f>
        <v>1.5.5.12</v>
      </c>
      <c r="B1160" s="48" t="str">
        <f>VLOOKUP(A1160,'[3]Planilha Orçamentária'!A:K,2,0)</f>
        <v>CP-94991-12549457</v>
      </c>
      <c r="C1160" s="100" t="str">
        <f>VLOOKUP(A1160,'[3]Planilha Orçamentária'!A:K,3,0)</f>
        <v>EXECUÇÃO DE PASSEIO (CALÇADA) OU PISO DE CONCRETO COM CONCRETO MOLDADO IN LOCO, USINADO, ACABAMENTO CONVENCIONAL, NÃO ARMADO - EXCLUINDO O CONCRETO USINADO 20MPA</v>
      </c>
      <c r="D1160" s="101" t="str">
        <f>VLOOKUP(A1160,'[3]Planilha Orçamentária'!A:K,4,0)</f>
        <v>M3</v>
      </c>
      <c r="E1160" s="100"/>
      <c r="F1160" s="102"/>
      <c r="G1160" s="102"/>
      <c r="H1160" s="102"/>
      <c r="I1160" s="102"/>
      <c r="J1160" s="33">
        <f>ROUND(SUM(J1161:J1163),2)</f>
        <v>17.77</v>
      </c>
    </row>
    <row r="1161" spans="1:10">
      <c r="A1161" s="94"/>
      <c r="B1161" s="128"/>
      <c r="C1161" s="79" t="s">
        <v>1820</v>
      </c>
      <c r="D1161" s="96"/>
      <c r="E1161" s="82"/>
      <c r="F1161" s="34"/>
      <c r="G1161" s="82"/>
      <c r="H1161" s="34" t="s">
        <v>1619</v>
      </c>
      <c r="I1161" s="34" t="s">
        <v>1620</v>
      </c>
      <c r="J1161" s="120"/>
    </row>
    <row r="1162" spans="1:10">
      <c r="A1162" s="94"/>
      <c r="B1162" s="128"/>
      <c r="C1162" s="142" t="s">
        <v>1654</v>
      </c>
      <c r="D1162" s="94"/>
      <c r="E1162" s="94"/>
      <c r="F1162" s="134"/>
      <c r="G1162" s="135"/>
      <c r="H1162" s="135">
        <v>7.0000000000000007E-2</v>
      </c>
      <c r="I1162" s="143">
        <f>J1156</f>
        <v>264.83999999999997</v>
      </c>
      <c r="J1162" s="120">
        <f t="shared" ref="J1162:J1163" si="114">ROUND(PRODUCT(E1162:I1162),2)</f>
        <v>18.54</v>
      </c>
    </row>
    <row r="1163" spans="1:10">
      <c r="A1163" s="94"/>
      <c r="B1163" s="128"/>
      <c r="C1163" s="73" t="s">
        <v>1655</v>
      </c>
      <c r="D1163" s="94"/>
      <c r="E1163" s="94">
        <v>-1</v>
      </c>
      <c r="F1163" s="134"/>
      <c r="G1163" s="135"/>
      <c r="H1163" s="135">
        <v>7.0000000000000007E-2</v>
      </c>
      <c r="I1163" s="143">
        <f>J1284</f>
        <v>11</v>
      </c>
      <c r="J1163" s="120">
        <f t="shared" si="114"/>
        <v>-0.77</v>
      </c>
    </row>
    <row r="1164" spans="1:10">
      <c r="A1164" s="498"/>
      <c r="B1164" s="499"/>
      <c r="C1164" s="499"/>
      <c r="D1164" s="499"/>
      <c r="E1164" s="499"/>
      <c r="F1164" s="499"/>
      <c r="G1164" s="499"/>
      <c r="H1164" s="499"/>
      <c r="I1164" s="499"/>
      <c r="J1164" s="500"/>
    </row>
    <row r="1165" spans="1:10" ht="63.75">
      <c r="A1165" s="99" t="str">
        <f>'[3]Planilha Orçamentária'!A297</f>
        <v>1.5.5.13</v>
      </c>
      <c r="B1165" s="48">
        <f>VLOOKUP(A1165,'[3]Planilha Orçamentária'!A:K,2,0)</f>
        <v>94273</v>
      </c>
      <c r="C1165" s="100" t="str">
        <f>VLOOKUP(A1165,'[3]Planilha Orçamentária'!A:K,3,0)</f>
        <v>ASSENTAMENTO DE GUIA (MEIO-FIO) EM TRECHO RETO, CONFECCIONADA EM CONCRETO PRÉ-FABRICADO, DIMENSÕES 100X15X13X30 CM (COMPRIMENTO X BASE INFERIOR X BASE SUPERIOR X ALTURA), PARA VIAS URBANAS (USO VIÁRIO). AF_06/2016</v>
      </c>
      <c r="D1165" s="101" t="str">
        <f>VLOOKUP(A1165,'[3]Planilha Orçamentária'!A:K,4,0)</f>
        <v>M</v>
      </c>
      <c r="E1165" s="100"/>
      <c r="F1165" s="102"/>
      <c r="G1165" s="102"/>
      <c r="H1165" s="102"/>
      <c r="I1165" s="102"/>
      <c r="J1165" s="33">
        <f>ROUND(SUM(J1166:J1168),2)</f>
        <v>163.01</v>
      </c>
    </row>
    <row r="1166" spans="1:10">
      <c r="A1166" s="94"/>
      <c r="B1166" s="128"/>
      <c r="C1166" s="79" t="s">
        <v>1820</v>
      </c>
      <c r="D1166" s="96"/>
      <c r="E1166" s="82"/>
      <c r="F1166" s="34" t="s">
        <v>1606</v>
      </c>
      <c r="G1166" s="82"/>
      <c r="H1166" s="82"/>
      <c r="I1166" s="82"/>
      <c r="J1166" s="120"/>
    </row>
    <row r="1167" spans="1:10" ht="25.5">
      <c r="A1167" s="94"/>
      <c r="B1167" s="128"/>
      <c r="C1167" s="144" t="s">
        <v>1702</v>
      </c>
      <c r="D1167" s="96"/>
      <c r="E1167" s="82"/>
      <c r="F1167" s="34">
        <f>144.37-F1172</f>
        <v>131.78</v>
      </c>
      <c r="G1167" s="82"/>
      <c r="H1167" s="82"/>
      <c r="I1167" s="82"/>
      <c r="J1167" s="120">
        <f t="shared" ref="J1167:J1168" si="115">ROUND(PRODUCT(E1167:I1167),2)</f>
        <v>131.78</v>
      </c>
    </row>
    <row r="1168" spans="1:10">
      <c r="A1168" s="94"/>
      <c r="B1168" s="128"/>
      <c r="C1168" s="145" t="s">
        <v>1657</v>
      </c>
      <c r="D1168" s="96"/>
      <c r="E1168" s="82"/>
      <c r="F1168" s="34">
        <f>[3]PARÂMETROS!B697</f>
        <v>31.23</v>
      </c>
      <c r="G1168" s="82"/>
      <c r="H1168" s="82"/>
      <c r="I1168" s="82"/>
      <c r="J1168" s="120">
        <f t="shared" si="115"/>
        <v>31.23</v>
      </c>
    </row>
    <row r="1169" spans="1:11">
      <c r="A1169" s="498"/>
      <c r="B1169" s="499"/>
      <c r="C1169" s="499"/>
      <c r="D1169" s="499"/>
      <c r="E1169" s="499"/>
      <c r="F1169" s="499"/>
      <c r="G1169" s="499"/>
      <c r="H1169" s="499"/>
      <c r="I1169" s="499"/>
      <c r="J1169" s="500"/>
    </row>
    <row r="1170" spans="1:11" ht="63.75">
      <c r="A1170" s="99" t="str">
        <f>'[3]Planilha Orçamentária'!A298</f>
        <v>1.5.5.14</v>
      </c>
      <c r="B1170" s="48">
        <f>VLOOKUP(A1170,'[3]Planilha Orçamentária'!A:K,2,0)</f>
        <v>94274</v>
      </c>
      <c r="C1170" s="100" t="str">
        <f>VLOOKUP(A1170,'[3]Planilha Orçamentária'!A:K,3,0)</f>
        <v>ASSENTAMENTO DE GUIA (MEIO-FIO) EM TRECHO CURVO, CONFECCIONADA EM CONCRETO PRÉ-FABRICADO, DIMENSÕES 100X15X13X30 CM (COMPRIMENTO X BASE INFERIOR X BASE SUPERIOR X ALTURA), PARA VIAS URBANAS (USO VIÁRIO). AF_06/2016</v>
      </c>
      <c r="D1170" s="101" t="str">
        <f>VLOOKUP(A1170,'[3]Planilha Orçamentária'!A:K,4,0)</f>
        <v>M</v>
      </c>
      <c r="E1170" s="100"/>
      <c r="F1170" s="102"/>
      <c r="G1170" s="102"/>
      <c r="H1170" s="102"/>
      <c r="I1170" s="102"/>
      <c r="J1170" s="33">
        <f>ROUND(SUM(J1171:J1172),2)</f>
        <v>12.59</v>
      </c>
    </row>
    <row r="1171" spans="1:11">
      <c r="A1171" s="94"/>
      <c r="B1171" s="128"/>
      <c r="C1171" s="79" t="s">
        <v>1820</v>
      </c>
      <c r="D1171" s="96"/>
      <c r="E1171" s="82"/>
      <c r="F1171" s="34" t="s">
        <v>1606</v>
      </c>
      <c r="G1171" s="82"/>
      <c r="H1171" s="82"/>
      <c r="I1171" s="82"/>
      <c r="J1171" s="120"/>
    </row>
    <row r="1172" spans="1:11">
      <c r="A1172" s="94"/>
      <c r="B1172" s="128"/>
      <c r="C1172" s="144" t="s">
        <v>1825</v>
      </c>
      <c r="D1172" s="96"/>
      <c r="E1172" s="82"/>
      <c r="F1172" s="34">
        <f>[3]PARÂMETROS!B698</f>
        <v>12.59</v>
      </c>
      <c r="G1172" s="82"/>
      <c r="H1172" s="82"/>
      <c r="I1172" s="82"/>
      <c r="J1172" s="120">
        <f t="shared" ref="J1172" si="116">ROUND(PRODUCT(E1172:I1172),2)</f>
        <v>12.59</v>
      </c>
    </row>
    <row r="1173" spans="1:11">
      <c r="A1173" s="498"/>
      <c r="B1173" s="499"/>
      <c r="C1173" s="499"/>
      <c r="D1173" s="499"/>
      <c r="E1173" s="499"/>
      <c r="F1173" s="499"/>
      <c r="G1173" s="499"/>
      <c r="H1173" s="499"/>
      <c r="I1173" s="499"/>
      <c r="J1173" s="500"/>
    </row>
    <row r="1174" spans="1:11" ht="76.5">
      <c r="A1174" s="99" t="str">
        <f>'[3]Planilha Orçamentária'!A299</f>
        <v>1.5.5.15</v>
      </c>
      <c r="B1174" s="48">
        <f>VLOOKUP(A1174,'[3]Planilha Orçamentária'!A:K,2,0)</f>
        <v>94275</v>
      </c>
      <c r="C1174" s="100" t="str">
        <f>VLOOKUP(A1174,'[3]Planilha Orçamentária'!A:K,3,0)</f>
        <v>ASSENTAMENTO DE GUIA (MEIO-FIO) EM TRECHO RETO, CONFECCIONADA EM CONCRETO PRÉ-FABRICADO, DIMENSÕES 100X15X13X20 CM (COMPRIMENTO X BASE INFERIOR X BASE SUPERIOR X ALTURA), PARA URBANIZAÇÃO INTERNA DE EMPREENDIMENTOS. AF_06/2016_P</v>
      </c>
      <c r="D1174" s="101" t="str">
        <f>VLOOKUP(A1174,'[3]Planilha Orçamentária'!A:K,4,0)</f>
        <v>M</v>
      </c>
      <c r="E1174" s="100"/>
      <c r="F1174" s="102"/>
      <c r="G1174" s="102"/>
      <c r="H1174" s="102"/>
      <c r="I1174" s="102"/>
      <c r="J1174" s="33">
        <f>ROUND(SUM(J1175:J1176),2)</f>
        <v>1.8</v>
      </c>
    </row>
    <row r="1175" spans="1:11">
      <c r="A1175" s="94"/>
      <c r="B1175" s="128"/>
      <c r="C1175" s="79" t="s">
        <v>1820</v>
      </c>
      <c r="D1175" s="96"/>
      <c r="E1175" s="82"/>
      <c r="F1175" s="34" t="s">
        <v>1606</v>
      </c>
      <c r="G1175" s="82"/>
      <c r="H1175" s="82"/>
      <c r="I1175" s="82"/>
      <c r="J1175" s="120"/>
    </row>
    <row r="1176" spans="1:11" ht="25.5">
      <c r="A1176" s="94"/>
      <c r="B1176" s="128"/>
      <c r="C1176" s="145" t="s">
        <v>1658</v>
      </c>
      <c r="D1176" s="96"/>
      <c r="E1176" s="82"/>
      <c r="F1176" s="121">
        <f>[3]PARÂMETROS!B701</f>
        <v>1.8</v>
      </c>
      <c r="G1176" s="82"/>
      <c r="H1176" s="82"/>
      <c r="I1176" s="82"/>
      <c r="J1176" s="120">
        <f t="shared" ref="J1176" si="117">ROUND(PRODUCT(E1176:I1176),2)</f>
        <v>1.8</v>
      </c>
    </row>
    <row r="1177" spans="1:11">
      <c r="A1177" s="498"/>
      <c r="B1177" s="499"/>
      <c r="C1177" s="499"/>
      <c r="D1177" s="499"/>
      <c r="E1177" s="499"/>
      <c r="F1177" s="499"/>
      <c r="G1177" s="499"/>
      <c r="H1177" s="499"/>
      <c r="I1177" s="499"/>
      <c r="J1177" s="500"/>
    </row>
    <row r="1178" spans="1:11" ht="38.25">
      <c r="A1178" s="99" t="str">
        <f>'[3]Planilha Orçamentária'!A300</f>
        <v>1.5.5.16</v>
      </c>
      <c r="B1178" s="48">
        <f>VLOOKUP(A1178,'[3]Planilha Orçamentária'!A:K,2,0)</f>
        <v>94287</v>
      </c>
      <c r="C1178" s="100" t="str">
        <f>VLOOKUP(A1178,'[3]Planilha Orçamentária'!A:K,3,0)</f>
        <v>EXECUÇÃO DE SARJETA DE CONCRETO USINADO, MOLDADA  IN LOCO  EM TRECHO RETO, 30 CM BASE X 10 CM ALTURA. AF_06/2016</v>
      </c>
      <c r="D1178" s="101" t="str">
        <f>VLOOKUP(A1178,'[3]Planilha Orçamentária'!A:K,4,0)</f>
        <v>M</v>
      </c>
      <c r="E1178" s="100"/>
      <c r="F1178" s="102"/>
      <c r="G1178" s="102"/>
      <c r="H1178" s="102"/>
      <c r="I1178" s="102"/>
      <c r="J1178" s="33">
        <f>ROUND(SUM(J1179:J1180),2)</f>
        <v>134.93</v>
      </c>
    </row>
    <row r="1179" spans="1:11">
      <c r="A1179" s="94"/>
      <c r="B1179" s="128"/>
      <c r="C1179" s="79" t="s">
        <v>1820</v>
      </c>
      <c r="D1179" s="96"/>
      <c r="E1179" s="82"/>
      <c r="F1179" s="34" t="s">
        <v>1606</v>
      </c>
      <c r="G1179" s="82"/>
      <c r="H1179" s="82"/>
      <c r="I1179" s="82"/>
      <c r="J1179" s="120"/>
    </row>
    <row r="1180" spans="1:11" ht="25.5">
      <c r="A1180" s="94"/>
      <c r="B1180" s="128"/>
      <c r="C1180" s="144" t="s">
        <v>1826</v>
      </c>
      <c r="D1180" s="96"/>
      <c r="E1180" s="82"/>
      <c r="F1180" s="34">
        <f>(43.31/0.3)-F1184</f>
        <v>134.92666666666668</v>
      </c>
      <c r="G1180" s="82"/>
      <c r="H1180" s="82"/>
      <c r="I1180" s="82"/>
      <c r="J1180" s="120">
        <f t="shared" ref="J1180" si="118">ROUND(PRODUCT(E1180:I1180),2)</f>
        <v>134.93</v>
      </c>
      <c r="K1180" s="7">
        <f>43.31/0.3</f>
        <v>144.36666666666667</v>
      </c>
    </row>
    <row r="1181" spans="1:11">
      <c r="A1181" s="498"/>
      <c r="B1181" s="499"/>
      <c r="C1181" s="499"/>
      <c r="D1181" s="499"/>
      <c r="E1181" s="499"/>
      <c r="F1181" s="499"/>
      <c r="G1181" s="499"/>
      <c r="H1181" s="499"/>
      <c r="I1181" s="499"/>
      <c r="J1181" s="500"/>
    </row>
    <row r="1182" spans="1:11" ht="38.25">
      <c r="A1182" s="99" t="str">
        <f>'[3]Planilha Orçamentária'!A301</f>
        <v>1.5.5.17</v>
      </c>
      <c r="B1182" s="48">
        <f>VLOOKUP(A1182,'[3]Planilha Orçamentária'!A:K,2,0)</f>
        <v>94288</v>
      </c>
      <c r="C1182" s="100" t="str">
        <f>VLOOKUP(A1182,'[3]Planilha Orçamentária'!A:K,3,0)</f>
        <v>EXECUÇÃO DE SARJETA DE CONCRETO USINADO, MOLDADA  IN LOCO  EM TRECHO CURVO, 30 CM BASE X 10 CM ALTURA. AF_06/2016</v>
      </c>
      <c r="D1182" s="101" t="str">
        <f>VLOOKUP(A1182,'[3]Planilha Orçamentária'!A:K,4,0)</f>
        <v>M</v>
      </c>
      <c r="E1182" s="100"/>
      <c r="F1182" s="102"/>
      <c r="G1182" s="102"/>
      <c r="H1182" s="102"/>
      <c r="I1182" s="102"/>
      <c r="J1182" s="33">
        <f>ROUND(SUM(J1183:J1184),2)</f>
        <v>9.44</v>
      </c>
    </row>
    <row r="1183" spans="1:11">
      <c r="A1183" s="94"/>
      <c r="B1183" s="128"/>
      <c r="C1183" s="79" t="s">
        <v>1820</v>
      </c>
      <c r="D1183" s="96"/>
      <c r="E1183" s="82"/>
      <c r="F1183" s="34" t="s">
        <v>1606</v>
      </c>
      <c r="G1183" s="82"/>
      <c r="H1183" s="82"/>
      <c r="I1183" s="82"/>
      <c r="J1183" s="120"/>
    </row>
    <row r="1184" spans="1:11">
      <c r="A1184" s="94"/>
      <c r="B1184" s="128"/>
      <c r="C1184" s="144" t="s">
        <v>1827</v>
      </c>
      <c r="D1184" s="96"/>
      <c r="E1184" s="82"/>
      <c r="F1184" s="34">
        <f>[3]PARÂMETROS!B700</f>
        <v>9.44</v>
      </c>
      <c r="G1184" s="82"/>
      <c r="H1184" s="82"/>
      <c r="I1184" s="82"/>
      <c r="J1184" s="120">
        <f t="shared" ref="J1184" si="119">ROUND(PRODUCT(E1184:I1184),2)</f>
        <v>9.44</v>
      </c>
    </row>
    <row r="1185" spans="1:11">
      <c r="A1185" s="498"/>
      <c r="B1185" s="499"/>
      <c r="C1185" s="499"/>
      <c r="D1185" s="499"/>
      <c r="E1185" s="499"/>
      <c r="F1185" s="499"/>
      <c r="G1185" s="499"/>
      <c r="H1185" s="499"/>
      <c r="I1185" s="499"/>
      <c r="J1185" s="500"/>
    </row>
    <row r="1186" spans="1:11">
      <c r="A1186" s="19" t="str">
        <f>'[3]Planilha Orçamentária'!A302</f>
        <v>1.5.6</v>
      </c>
      <c r="B1186" s="20"/>
      <c r="C1186" s="21" t="str">
        <f>VLOOKUP(A1186,'[3]Planilha Orçamentária'!A:K,3,0)</f>
        <v>DRENAGEM</v>
      </c>
      <c r="D1186" s="22"/>
      <c r="E1186" s="23"/>
      <c r="F1186" s="24"/>
      <c r="G1186" s="24"/>
      <c r="H1186" s="24"/>
      <c r="I1186" s="25"/>
      <c r="J1186" s="41"/>
    </row>
    <row r="1187" spans="1:11" ht="25.5">
      <c r="A1187" s="112" t="str">
        <f>'[3]Planilha Orçamentária'!A303</f>
        <v>1.5.6.1</v>
      </c>
      <c r="B1187" s="48">
        <f>VLOOKUP(A1187,'[3]Planilha Orçamentária'!A:K,2,0)</f>
        <v>93358</v>
      </c>
      <c r="C1187" s="100" t="str">
        <f>VLOOKUP(A1187,'[3]Planilha Orçamentária'!A:K,3,0)</f>
        <v>ESCAVAÇÃO MANUAL DE VALA COM PROFUNDIDADE MENOR OU IGUAL A 1,30 M. AF_02/2021</v>
      </c>
      <c r="D1187" s="101" t="str">
        <f>VLOOKUP(A1187,'[3]Planilha Orçamentária'!A:K,4,0)</f>
        <v>M3</v>
      </c>
      <c r="E1187" s="100"/>
      <c r="F1187" s="102"/>
      <c r="G1187" s="102"/>
      <c r="H1187" s="102"/>
      <c r="I1187" s="102"/>
      <c r="J1187" s="33">
        <f>ROUND(SUM(J1188:J1189),2)</f>
        <v>5.62</v>
      </c>
    </row>
    <row r="1188" spans="1:11">
      <c r="A1188" s="152"/>
      <c r="B1188" s="153"/>
      <c r="C1188" s="154" t="s">
        <v>1828</v>
      </c>
      <c r="D1188" s="31"/>
      <c r="E1188" s="155"/>
      <c r="F1188" s="156" t="s">
        <v>1606</v>
      </c>
      <c r="G1188" s="156" t="s">
        <v>1607</v>
      </c>
      <c r="H1188" s="156" t="s">
        <v>1663</v>
      </c>
      <c r="I1188" s="155"/>
      <c r="J1188" s="157"/>
    </row>
    <row r="1189" spans="1:11" ht="28.5">
      <c r="A1189" s="307"/>
      <c r="B1189" s="315"/>
      <c r="C1189" s="316" t="s">
        <v>1664</v>
      </c>
      <c r="D1189" s="158"/>
      <c r="E1189" s="159"/>
      <c r="F1189" s="286">
        <v>175.47</v>
      </c>
      <c r="G1189" s="286">
        <v>0.4</v>
      </c>
      <c r="H1189" s="286">
        <f>0.16-0.08</f>
        <v>0.08</v>
      </c>
      <c r="I1189" s="160"/>
      <c r="J1189" s="188">
        <f>ROUND(PRODUCT(E1189:I1189),2)</f>
        <v>5.62</v>
      </c>
    </row>
    <row r="1190" spans="1:11">
      <c r="A1190" s="525"/>
      <c r="B1190" s="525"/>
      <c r="C1190" s="525"/>
      <c r="D1190" s="525"/>
      <c r="E1190" s="525"/>
      <c r="F1190" s="525"/>
      <c r="G1190" s="525"/>
      <c r="H1190" s="525"/>
      <c r="I1190" s="525"/>
      <c r="J1190" s="525"/>
    </row>
    <row r="1191" spans="1:11" ht="38.25">
      <c r="A1191" s="245" t="str">
        <f>'[3]Planilha Orçamentária'!A304</f>
        <v>1.5.6.2</v>
      </c>
      <c r="B1191" s="48">
        <f>VLOOKUP(A1191,'[3]Planilha Orçamentária'!A:K,2,0)</f>
        <v>94971</v>
      </c>
      <c r="C1191" s="100" t="str">
        <f>VLOOKUP(A1191,'[3]Planilha Orçamentária'!A:K,3,0)</f>
        <v>CONCRETO FCK = 25MPA, TRAÇO 1:2,3:2,7 (EM MASSA SECA DE CIMENTO/ AREIA MÉDIA/ BRITA 1) - PREPARO MECÂNICO COM BETONEIRA 600 L. AF_05/2021</v>
      </c>
      <c r="D1191" s="101" t="str">
        <f>VLOOKUP(A1191,'[3]Planilha Orçamentária'!A:K,4,0)</f>
        <v>M3</v>
      </c>
      <c r="E1191" s="100"/>
      <c r="F1191" s="102"/>
      <c r="G1191" s="102"/>
      <c r="H1191" s="102"/>
      <c r="I1191" s="102"/>
      <c r="J1191" s="193">
        <f>ROUND(SUM(J1192:J1197),2)</f>
        <v>6.71</v>
      </c>
    </row>
    <row r="1192" spans="1:11">
      <c r="A1192" s="152"/>
      <c r="B1192" s="153"/>
      <c r="C1192" s="154" t="s">
        <v>1828</v>
      </c>
      <c r="D1192" s="31"/>
      <c r="E1192" s="155"/>
      <c r="F1192" s="156" t="s">
        <v>1606</v>
      </c>
      <c r="G1192" s="156" t="s">
        <v>1607</v>
      </c>
      <c r="H1192" s="156" t="s">
        <v>1663</v>
      </c>
      <c r="I1192" s="155"/>
      <c r="J1192" s="157"/>
    </row>
    <row r="1193" spans="1:11" ht="28.5">
      <c r="A1193" s="152"/>
      <c r="B1193" s="153"/>
      <c r="C1193" s="126" t="s">
        <v>1666</v>
      </c>
      <c r="D1193" s="164"/>
      <c r="E1193" s="164"/>
      <c r="F1193" s="156">
        <f>F1189</f>
        <v>175.47</v>
      </c>
      <c r="G1193" s="156">
        <v>0.4</v>
      </c>
      <c r="H1193" s="156">
        <f>0.16-0.08</f>
        <v>0.08</v>
      </c>
      <c r="I1193" s="160"/>
      <c r="J1193" s="58">
        <f>ROUND(PRODUCT(E1193:I1193),2)</f>
        <v>5.62</v>
      </c>
    </row>
    <row r="1194" spans="1:11" ht="25.5">
      <c r="A1194" s="152"/>
      <c r="B1194" s="153"/>
      <c r="C1194" s="154"/>
      <c r="D1194" s="94"/>
      <c r="E1194" s="155" t="s">
        <v>1829</v>
      </c>
      <c r="F1194" s="94" t="s">
        <v>1606</v>
      </c>
      <c r="G1194" s="94" t="s">
        <v>1607</v>
      </c>
      <c r="H1194" s="94" t="s">
        <v>1619</v>
      </c>
      <c r="I1194" s="94" t="s">
        <v>1660</v>
      </c>
      <c r="J1194" s="212"/>
    </row>
    <row r="1195" spans="1:11" ht="14.25">
      <c r="A1195" s="152"/>
      <c r="B1195" s="153"/>
      <c r="C1195" s="131" t="s">
        <v>1830</v>
      </c>
      <c r="D1195" s="94"/>
      <c r="E1195" s="82">
        <v>2</v>
      </c>
      <c r="F1195" s="94">
        <v>0.7</v>
      </c>
      <c r="G1195" s="94">
        <v>1.4</v>
      </c>
      <c r="H1195" s="94">
        <v>0.15</v>
      </c>
      <c r="I1195" s="196">
        <v>4</v>
      </c>
      <c r="J1195" s="58">
        <f t="shared" ref="J1195:J1197" si="120">ROUND(PRODUCT(E1195:I1195),2)</f>
        <v>1.18</v>
      </c>
    </row>
    <row r="1196" spans="1:11" ht="25.5">
      <c r="A1196" s="152"/>
      <c r="B1196" s="153"/>
      <c r="C1196" s="131"/>
      <c r="D1196" s="94"/>
      <c r="E1196" s="94"/>
      <c r="F1196" s="94" t="s">
        <v>1620</v>
      </c>
      <c r="G1196" s="94" t="s">
        <v>1619</v>
      </c>
      <c r="H1196" s="317" t="s">
        <v>1831</v>
      </c>
      <c r="I1196" s="196" t="s">
        <v>1832</v>
      </c>
      <c r="J1196" s="58"/>
    </row>
    <row r="1197" spans="1:11" ht="28.5">
      <c r="A1197" s="152"/>
      <c r="B1197" s="153"/>
      <c r="C1197" s="255" t="s">
        <v>1833</v>
      </c>
      <c r="D1197" s="94"/>
      <c r="E1197" s="94">
        <v>-2</v>
      </c>
      <c r="F1197" s="94">
        <v>1.9300000000000001E-2</v>
      </c>
      <c r="G1197" s="94">
        <v>0.15</v>
      </c>
      <c r="H1197" s="94">
        <v>4</v>
      </c>
      <c r="I1197" s="196">
        <f>I1195</f>
        <v>4</v>
      </c>
      <c r="J1197" s="58">
        <f t="shared" si="120"/>
        <v>-0.09</v>
      </c>
    </row>
    <row r="1198" spans="1:11" ht="14.25">
      <c r="A1198" s="161"/>
      <c r="B1198" s="296"/>
      <c r="C1198" s="318"/>
      <c r="D1198" s="319"/>
      <c r="E1198" s="319"/>
      <c r="F1198" s="320"/>
      <c r="G1198" s="320"/>
      <c r="H1198" s="320"/>
      <c r="I1198" s="299"/>
      <c r="J1198" s="212"/>
    </row>
    <row r="1199" spans="1:11" ht="38.25">
      <c r="A1199" s="28" t="str">
        <f>'[3]Planilha Orçamentária'!A305</f>
        <v>1.5.6.3</v>
      </c>
      <c r="B1199" s="29" t="str">
        <f>VLOOKUP(A1199,'[3]Planilha Orçamentária'!A:K,2,0)</f>
        <v>CP-S03639-45770834</v>
      </c>
      <c r="C1199" s="30" t="str">
        <f>VLOOKUP(A1199,'[3]Planilha Orçamentária'!A:K,3,0)</f>
        <v>Fornecimento e instalação de tela aço soldada nervurada CA-60, Q-283, malha 10x10cm, ferro 6.02mm (4,48 kg/m2), painel 2,45x6,0m, Telcon ou similar</v>
      </c>
      <c r="D1199" s="31" t="str">
        <f>VLOOKUP(A1199,'[3]Planilha Orçamentária'!A:K,4,0)</f>
        <v>M2</v>
      </c>
      <c r="E1199" s="30"/>
      <c r="F1199" s="32"/>
      <c r="G1199" s="32"/>
      <c r="H1199" s="32"/>
      <c r="I1199" s="32"/>
      <c r="J1199" s="33">
        <f>ROUND(SUM(J1200:J1201),2)</f>
        <v>70.19</v>
      </c>
    </row>
    <row r="1200" spans="1:11">
      <c r="A1200" s="152"/>
      <c r="B1200" s="153"/>
      <c r="C1200" s="154" t="s">
        <v>1828</v>
      </c>
      <c r="D1200" s="31"/>
      <c r="E1200" s="155"/>
      <c r="F1200" s="156" t="s">
        <v>1606</v>
      </c>
      <c r="G1200" s="156" t="s">
        <v>1607</v>
      </c>
      <c r="H1200" s="156"/>
      <c r="I1200" s="155"/>
      <c r="J1200" s="157"/>
      <c r="K1200" s="7">
        <f>(0.9+2+1.1)/3</f>
        <v>1.3333333333333333</v>
      </c>
    </row>
    <row r="1201" spans="1:11" ht="14.25">
      <c r="A1201" s="152"/>
      <c r="B1201" s="153"/>
      <c r="C1201" s="126" t="s">
        <v>1668</v>
      </c>
      <c r="D1201" s="96"/>
      <c r="E1201" s="82"/>
      <c r="F1201" s="156">
        <f>F1189</f>
        <v>175.47</v>
      </c>
      <c r="G1201" s="156">
        <v>0.4</v>
      </c>
      <c r="H1201" s="156"/>
      <c r="I1201" s="160"/>
      <c r="J1201" s="58">
        <f>ROUND(PRODUCT(E1201:I1201),2)</f>
        <v>70.19</v>
      </c>
    </row>
    <row r="1202" spans="1:11">
      <c r="A1202" s="509"/>
      <c r="B1202" s="510"/>
      <c r="C1202" s="510"/>
      <c r="D1202" s="510"/>
      <c r="E1202" s="510"/>
      <c r="F1202" s="510"/>
      <c r="G1202" s="510"/>
      <c r="H1202" s="510"/>
      <c r="I1202" s="510"/>
      <c r="J1202" s="510"/>
    </row>
    <row r="1203" spans="1:11" ht="63.75">
      <c r="A1203" s="28" t="str">
        <f>'[3]Planilha Orçamentária'!A306</f>
        <v>1.5.6.4</v>
      </c>
      <c r="B1203" s="29">
        <f>VLOOKUP(A1203,'[3]Planilha Orçamentária'!A:K,2,0)</f>
        <v>90105</v>
      </c>
      <c r="C1203" s="30" t="str">
        <f>VLOOKUP(A1203,'[3]Planilha Orçamentária'!A:K,3,0)</f>
        <v>ESCAVAÇÃO MECANIZADA DE VALA COM PROFUNDIDADE ATÉ 1,5 M (MÉDIA MONTANTE E JUSANTE/UMA COMPOSIÇÃO POR TRECHO), RETROESCAV. (0,26 M3), LARGURA MENOR QUE 0,8 M, EM SOLO DE 1A CATEGORIA, LOCAIS COM BAIXO NÍVEL DE INTERFERÊNCIA. AF_02/2021</v>
      </c>
      <c r="D1203" s="31" t="str">
        <f>VLOOKUP(A1203,'[3]Planilha Orçamentária'!A:K,4,0)</f>
        <v>M3</v>
      </c>
      <c r="E1203" s="30"/>
      <c r="F1203" s="32"/>
      <c r="G1203" s="32"/>
      <c r="H1203" s="32"/>
      <c r="I1203" s="32"/>
      <c r="J1203" s="33">
        <f>ROUND(SUM(J1206:J1207),2)</f>
        <v>67.33</v>
      </c>
    </row>
    <row r="1204" spans="1:11">
      <c r="A1204" s="152"/>
      <c r="B1204" s="153"/>
      <c r="C1204" s="154" t="s">
        <v>1828</v>
      </c>
      <c r="D1204" s="31"/>
      <c r="E1204" s="155"/>
      <c r="F1204" s="156"/>
      <c r="G1204" s="156"/>
      <c r="H1204" s="156"/>
      <c r="I1204" s="155"/>
      <c r="J1204" s="157"/>
    </row>
    <row r="1205" spans="1:11" ht="25.5">
      <c r="A1205" s="307"/>
      <c r="B1205" s="315"/>
      <c r="C1205" s="321" t="s">
        <v>1834</v>
      </c>
      <c r="D1205" s="322"/>
      <c r="E1205" s="160"/>
      <c r="F1205" s="88" t="s">
        <v>1606</v>
      </c>
      <c r="G1205" s="88" t="s">
        <v>1835</v>
      </c>
      <c r="H1205" s="88" t="s">
        <v>1836</v>
      </c>
      <c r="I1205" s="282"/>
      <c r="J1205" s="285"/>
      <c r="K1205" s="7" t="s">
        <v>1837</v>
      </c>
    </row>
    <row r="1206" spans="1:11" ht="28.5">
      <c r="A1206" s="152"/>
      <c r="B1206" s="153"/>
      <c r="C1206" s="281" t="s">
        <v>1838</v>
      </c>
      <c r="D1206" s="96"/>
      <c r="E1206" s="82"/>
      <c r="F1206" s="156">
        <v>89.77</v>
      </c>
      <c r="G1206" s="156">
        <v>0.75</v>
      </c>
      <c r="H1206" s="156">
        <f>1.33-0.33</f>
        <v>1</v>
      </c>
      <c r="I1206" s="82"/>
      <c r="J1206" s="36">
        <f>ROUND(PRODUCT(E1206:I1206),2)</f>
        <v>67.33</v>
      </c>
      <c r="K1206" s="7">
        <f>(0.9+2+1.1)/3</f>
        <v>1.3333333333333333</v>
      </c>
    </row>
    <row r="1207" spans="1:11" ht="14.25">
      <c r="A1207" s="152"/>
      <c r="B1207" s="153"/>
      <c r="C1207" s="281" t="s">
        <v>1839</v>
      </c>
      <c r="D1207" s="96"/>
      <c r="E1207" s="82"/>
      <c r="F1207" s="156"/>
      <c r="G1207" s="156"/>
      <c r="H1207" s="156"/>
      <c r="I1207" s="82"/>
      <c r="J1207" s="36"/>
    </row>
    <row r="1208" spans="1:11">
      <c r="A1208" s="525"/>
      <c r="B1208" s="525"/>
      <c r="C1208" s="525"/>
      <c r="D1208" s="525"/>
      <c r="E1208" s="525"/>
      <c r="F1208" s="525"/>
      <c r="G1208" s="525"/>
      <c r="H1208" s="525"/>
      <c r="I1208" s="525"/>
      <c r="J1208" s="525"/>
    </row>
    <row r="1209" spans="1:11" ht="63.75">
      <c r="A1209" s="245" t="str">
        <f>'[3]Planilha Orçamentária'!A306</f>
        <v>1.5.6.4</v>
      </c>
      <c r="B1209" s="243">
        <f>VLOOKUP(A1209,'[3]Planilha Orçamentária'!A:K,2,0)</f>
        <v>90105</v>
      </c>
      <c r="C1209" s="100" t="str">
        <f>VLOOKUP(A1209,'[3]Planilha Orçamentária'!A:K,3,0)</f>
        <v>ESCAVAÇÃO MECANIZADA DE VALA COM PROFUNDIDADE ATÉ 1,5 M (MÉDIA MONTANTE E JUSANTE/UMA COMPOSIÇÃO POR TRECHO), RETROESCAV. (0,26 M3), LARGURA MENOR QUE 0,8 M, EM SOLO DE 1A CATEGORIA, LOCAIS COM BAIXO NÍVEL DE INTERFERÊNCIA. AF_02/2021</v>
      </c>
      <c r="D1209" s="101" t="str">
        <f>VLOOKUP(A1209,'[3]Planilha Orçamentária'!A:K,4,0)</f>
        <v>M3</v>
      </c>
      <c r="E1209" s="100"/>
      <c r="F1209" s="102"/>
      <c r="G1209" s="102"/>
      <c r="H1209" s="102"/>
      <c r="I1209" s="102"/>
      <c r="J1209" s="193">
        <f>ROUND(SUM(J1212),2)</f>
        <v>18.72</v>
      </c>
    </row>
    <row r="1210" spans="1:11">
      <c r="A1210" s="152"/>
      <c r="B1210" s="153"/>
      <c r="C1210" s="154" t="s">
        <v>1828</v>
      </c>
      <c r="D1210" s="31"/>
      <c r="E1210" s="155"/>
      <c r="F1210" s="156"/>
      <c r="G1210" s="156"/>
      <c r="H1210" s="156"/>
      <c r="I1210" s="155"/>
      <c r="J1210" s="157"/>
    </row>
    <row r="1211" spans="1:11">
      <c r="A1211" s="152"/>
      <c r="B1211" s="153"/>
      <c r="C1211" s="323" t="s">
        <v>1840</v>
      </c>
      <c r="D1211" s="191"/>
      <c r="E1211" s="156"/>
      <c r="F1211" s="80" t="s">
        <v>1606</v>
      </c>
      <c r="G1211" s="80" t="s">
        <v>1607</v>
      </c>
      <c r="H1211" s="80" t="s">
        <v>1836</v>
      </c>
      <c r="I1211" s="156" t="s">
        <v>1841</v>
      </c>
      <c r="J1211" s="36"/>
    </row>
    <row r="1212" spans="1:11" ht="38.25">
      <c r="A1212" s="152"/>
      <c r="B1212" s="153"/>
      <c r="C1212" s="288" t="s">
        <v>1842</v>
      </c>
      <c r="D1212" s="191"/>
      <c r="E1212" s="156"/>
      <c r="F1212" s="284">
        <f>1.4+0.6</f>
        <v>2</v>
      </c>
      <c r="G1212" s="284">
        <f>1.4+0.6</f>
        <v>2</v>
      </c>
      <c r="H1212" s="156">
        <f>1.5-0.33</f>
        <v>1.17</v>
      </c>
      <c r="I1212" s="156">
        <v>4</v>
      </c>
      <c r="J1212" s="188">
        <f t="shared" ref="J1212" si="121">ROUND(PRODUCT(E1212:I1212),2)</f>
        <v>18.72</v>
      </c>
      <c r="K1212" s="7" t="s">
        <v>1837</v>
      </c>
    </row>
    <row r="1213" spans="1:11" ht="14.25">
      <c r="A1213" s="152"/>
      <c r="B1213" s="153"/>
      <c r="C1213" s="281" t="s">
        <v>1843</v>
      </c>
      <c r="D1213" s="191"/>
      <c r="E1213" s="156"/>
      <c r="F1213" s="284"/>
      <c r="G1213" s="284"/>
      <c r="H1213" s="156"/>
      <c r="I1213" s="156"/>
      <c r="J1213" s="188"/>
      <c r="K1213" s="7">
        <f>(0.9+1.5+2.15)/3</f>
        <v>1.5166666666666666</v>
      </c>
    </row>
    <row r="1214" spans="1:11">
      <c r="A1214" s="509"/>
      <c r="B1214" s="510"/>
      <c r="C1214" s="510"/>
      <c r="D1214" s="510"/>
      <c r="E1214" s="510"/>
      <c r="F1214" s="510"/>
      <c r="G1214" s="510"/>
      <c r="H1214" s="510"/>
      <c r="I1214" s="510"/>
      <c r="J1214" s="510"/>
    </row>
    <row r="1215" spans="1:11" ht="63.75">
      <c r="A1215" s="28" t="str">
        <f>'[3]Planilha Orçamentária'!A307</f>
        <v>1.5.6.5</v>
      </c>
      <c r="B1215" s="29">
        <f>VLOOKUP(A1215,'[3]Planilha Orçamentária'!A:K,2,0)</f>
        <v>93378</v>
      </c>
      <c r="C1215" s="30" t="str">
        <f>VLOOKUP(A1215,'[3]Planilha Orçamentária'!A:K,3,0)</f>
        <v>REATERRO MECANIZADO DE VALA COM RETROESCAVADEIRA (CAPACIDADE DA CAÇAMBA DA RETRO: 0,26 M³ / POTÊNCIA: 88 HP), LARGURA ATÉ 0,8 M, PROFUNDIDADE ATÉ 1,5 M, COM SOLO DE 1ª CATEGORIA EM LOCAIS COM BAIXO NÍVEL DE INTERFERÊNCIA. AF_04/2016</v>
      </c>
      <c r="D1215" s="31" t="str">
        <f>VLOOKUP(A1215,'[3]Planilha Orçamentária'!A:K,4,0)</f>
        <v>M3</v>
      </c>
      <c r="E1215" s="30"/>
      <c r="F1215" s="32"/>
      <c r="G1215" s="32"/>
      <c r="H1215" s="32"/>
      <c r="I1215" s="32"/>
      <c r="J1215" s="33">
        <f>ROUND(SUM(J1216:J1218),2)</f>
        <v>53.05</v>
      </c>
    </row>
    <row r="1216" spans="1:11" ht="25.5">
      <c r="A1216" s="152"/>
      <c r="B1216" s="153"/>
      <c r="C1216" s="73" t="s">
        <v>1844</v>
      </c>
      <c r="D1216" s="96"/>
      <c r="E1216" s="164"/>
      <c r="F1216" s="298"/>
      <c r="G1216" s="164"/>
      <c r="H1216" s="164"/>
      <c r="I1216" s="156"/>
      <c r="J1216" s="157"/>
    </row>
    <row r="1217" spans="1:10">
      <c r="A1217" s="152"/>
      <c r="B1217" s="153"/>
      <c r="C1217" s="145" t="s">
        <v>1845</v>
      </c>
      <c r="D1217" s="96"/>
      <c r="E1217" s="164"/>
      <c r="F1217" s="298"/>
      <c r="G1217" s="324"/>
      <c r="H1217" s="324"/>
      <c r="I1217" s="156">
        <f>J1206</f>
        <v>67.33</v>
      </c>
      <c r="J1217" s="36">
        <f>ROUND(PRODUCT(E1217:I1217),2)</f>
        <v>67.33</v>
      </c>
    </row>
    <row r="1218" spans="1:10" ht="25.5">
      <c r="A1218" s="152"/>
      <c r="B1218" s="153"/>
      <c r="C1218" s="145" t="s">
        <v>1846</v>
      </c>
      <c r="D1218" s="96"/>
      <c r="E1218" s="82">
        <v>-1</v>
      </c>
      <c r="F1218" s="82">
        <f>F1206</f>
        <v>89.77</v>
      </c>
      <c r="G1218" s="82"/>
      <c r="H1218" s="156"/>
      <c r="I1218" s="156">
        <f>PI()*(0.225^2)</f>
        <v>0.15904312808798329</v>
      </c>
      <c r="J1218" s="36">
        <f>ROUND(PRODUCT(E1218:I1218),2)</f>
        <v>-14.28</v>
      </c>
    </row>
    <row r="1219" spans="1:10">
      <c r="A1219" s="509"/>
      <c r="B1219" s="510"/>
      <c r="C1219" s="510"/>
      <c r="D1219" s="510"/>
      <c r="E1219" s="510"/>
      <c r="F1219" s="510"/>
      <c r="G1219" s="510"/>
      <c r="H1219" s="510"/>
      <c r="I1219" s="510"/>
      <c r="J1219" s="510"/>
    </row>
    <row r="1220" spans="1:10" ht="63.75">
      <c r="A1220" s="28" t="str">
        <f>'[3]Planilha Orçamentária'!A308</f>
        <v>1.5.6.6</v>
      </c>
      <c r="B1220" s="29">
        <f>VLOOKUP(A1220,'[3]Planilha Orçamentária'!A:K,2,0)</f>
        <v>93379</v>
      </c>
      <c r="C1220" s="30" t="str">
        <f>VLOOKUP(A1220,'[3]Planilha Orçamentária'!A:K,3,0)</f>
        <v>REATERRO MECANIZADO DE VALA COM RETROESCAVADEIRA (CAPACIDADE DA CAÇAMBA DA RETRO: 0,26 M³ / POTÊNCIA: 88 HP), LARGURA DE 0,8 A 1,5 M, PROFUNDIDADE ATÉ 1,5 M, COM SOLO DE 1ª CATEGORIA EM LOCAIS COM BAIXO NÍVEL DE INTERFERÊNCIA. AF_04/2016</v>
      </c>
      <c r="D1220" s="31" t="str">
        <f>VLOOKUP(A1220,'[3]Planilha Orçamentária'!A:K,4,0)</f>
        <v>M3</v>
      </c>
      <c r="E1220" s="30"/>
      <c r="F1220" s="32"/>
      <c r="G1220" s="32"/>
      <c r="H1220" s="32"/>
      <c r="I1220" s="32"/>
      <c r="J1220" s="33">
        <f>ROUND(SUM(J1221:J1223),2)</f>
        <v>9.5500000000000007</v>
      </c>
    </row>
    <row r="1221" spans="1:10">
      <c r="A1221" s="152"/>
      <c r="B1221" s="152"/>
      <c r="C1221" s="194" t="s">
        <v>1847</v>
      </c>
      <c r="D1221" s="96"/>
      <c r="E1221" s="82"/>
      <c r="F1221" s="82"/>
      <c r="G1221" s="82"/>
      <c r="H1221" s="156"/>
      <c r="I1221" s="156"/>
      <c r="J1221" s="36"/>
    </row>
    <row r="1222" spans="1:10">
      <c r="A1222" s="152"/>
      <c r="B1222" s="152"/>
      <c r="C1222" s="198" t="s">
        <v>1748</v>
      </c>
      <c r="D1222" s="96"/>
      <c r="E1222" s="82"/>
      <c r="F1222" s="82"/>
      <c r="G1222" s="82"/>
      <c r="H1222" s="156"/>
      <c r="I1222" s="156">
        <f>J1209</f>
        <v>18.72</v>
      </c>
      <c r="J1222" s="36">
        <f t="shared" ref="J1222:J1223" si="122">ROUND(PRODUCT(E1222:I1222),2)</f>
        <v>18.72</v>
      </c>
    </row>
    <row r="1223" spans="1:10" ht="25.5">
      <c r="A1223" s="152"/>
      <c r="B1223" s="152"/>
      <c r="C1223" s="288" t="s">
        <v>1848</v>
      </c>
      <c r="D1223" s="96"/>
      <c r="E1223" s="82">
        <v>-1</v>
      </c>
      <c r="F1223" s="82">
        <v>1.4</v>
      </c>
      <c r="G1223" s="82">
        <v>1.4</v>
      </c>
      <c r="H1223" s="156">
        <f>H1212</f>
        <v>1.17</v>
      </c>
      <c r="I1223" s="156">
        <f>I1212</f>
        <v>4</v>
      </c>
      <c r="J1223" s="36">
        <f t="shared" si="122"/>
        <v>-9.17</v>
      </c>
    </row>
    <row r="1224" spans="1:10">
      <c r="A1224" s="161"/>
      <c r="B1224" s="162"/>
      <c r="C1224" s="325"/>
      <c r="D1224" s="326"/>
      <c r="E1224" s="299"/>
      <c r="F1224" s="299"/>
      <c r="G1224" s="299"/>
      <c r="H1224" s="320"/>
      <c r="I1224" s="320"/>
      <c r="J1224" s="327"/>
    </row>
    <row r="1225" spans="1:10">
      <c r="A1225" s="509"/>
      <c r="B1225" s="510"/>
      <c r="C1225" s="510"/>
      <c r="D1225" s="510"/>
      <c r="E1225" s="510"/>
      <c r="F1225" s="510"/>
      <c r="G1225" s="510"/>
      <c r="H1225" s="510"/>
      <c r="I1225" s="510"/>
      <c r="J1225" s="510"/>
    </row>
    <row r="1226" spans="1:10" ht="51">
      <c r="A1226" s="28" t="str">
        <f>'[3]Planilha Orçamentária'!A309</f>
        <v>1.5.6.7</v>
      </c>
      <c r="B1226" s="29" t="str">
        <f>VLOOKUP(A1226,'[3]Planilha Orçamentária'!A:K,2,0)</f>
        <v>COMP-35145154</v>
      </c>
      <c r="C1226" s="30" t="str">
        <f>VLOOKUP(A1226,'[3]Planilha Orçamentária'!A:K,3,0)</f>
        <v>CARGA E DESCARGA MECANICA DE SOLO UTILIZANDO CAMINHAO BASCULANTE 14,0M3/36T E PA CARREGADEIRA SOBRE PNEUS 128 HP, CAPACIDADE DA CAÇAMBA 1,7 A 2,8 M3, PESO OPERACIONAL 11632 KH</v>
      </c>
      <c r="D1226" s="31" t="str">
        <f>VLOOKUP(A1226,'[3]Planilha Orçamentária'!A:K,4,0)</f>
        <v>M3</v>
      </c>
      <c r="E1226" s="30"/>
      <c r="F1226" s="32"/>
      <c r="G1226" s="32"/>
      <c r="H1226" s="32"/>
      <c r="I1226" s="32"/>
      <c r="J1226" s="33">
        <f>ROUND(SUM(J1227:J1228),2)</f>
        <v>29.31</v>
      </c>
    </row>
    <row r="1227" spans="1:10" ht="25.5">
      <c r="A1227" s="152"/>
      <c r="B1227" s="153"/>
      <c r="C1227" s="154"/>
      <c r="D1227" s="31"/>
      <c r="E1227" s="79" t="s">
        <v>1622</v>
      </c>
      <c r="F1227" s="80"/>
      <c r="G1227" s="80"/>
      <c r="H1227" s="80"/>
      <c r="I1227" s="80" t="s">
        <v>1750</v>
      </c>
      <c r="J1227" s="157"/>
    </row>
    <row r="1228" spans="1:10" ht="14.25">
      <c r="A1228" s="152"/>
      <c r="B1228" s="153"/>
      <c r="C1228" s="291" t="s">
        <v>1751</v>
      </c>
      <c r="D1228" s="96"/>
      <c r="E1228" s="82">
        <v>1.25</v>
      </c>
      <c r="F1228" s="156"/>
      <c r="G1228" s="156"/>
      <c r="H1228" s="156"/>
      <c r="I1228" s="160">
        <f>(J1203+J1209)-(J1215+J1220)</f>
        <v>23.450000000000003</v>
      </c>
      <c r="J1228" s="58">
        <f>ROUND(PRODUCT(E1228:I1228),2)</f>
        <v>29.31</v>
      </c>
    </row>
    <row r="1229" spans="1:10">
      <c r="A1229" s="509"/>
      <c r="B1229" s="510"/>
      <c r="C1229" s="510"/>
      <c r="D1229" s="510"/>
      <c r="E1229" s="510"/>
      <c r="F1229" s="510"/>
      <c r="G1229" s="510"/>
      <c r="H1229" s="510"/>
      <c r="I1229" s="510"/>
      <c r="J1229" s="510"/>
    </row>
    <row r="1230" spans="1:10" ht="38.25">
      <c r="A1230" s="28" t="str">
        <f>'[3]Planilha Orçamentária'!A310</f>
        <v>1.5.6.8</v>
      </c>
      <c r="B1230" s="29">
        <f>VLOOKUP(A1230,'[3]Planilha Orçamentária'!A:K,2,0)</f>
        <v>95876</v>
      </c>
      <c r="C1230" s="30" t="str">
        <f>VLOOKUP(A1230,'[3]Planilha Orçamentária'!A:K,3,0)</f>
        <v>TRANSPORTE COM CAMINHÃO BASCULANTE DE 14 M³, EM VIA URBANA PAVIMENTADA, DMT ATÉ 30 KM (UNIDADE: M3XKM). AF_07/2020</v>
      </c>
      <c r="D1230" s="31" t="str">
        <f>VLOOKUP(A1230,'[3]Planilha Orçamentária'!A:K,4,0)</f>
        <v>M3XKM</v>
      </c>
      <c r="E1230" s="30"/>
      <c r="F1230" s="32"/>
      <c r="G1230" s="32"/>
      <c r="H1230" s="32"/>
      <c r="I1230" s="32"/>
      <c r="J1230" s="33">
        <f>ROUND(SUM(J1231:J1232),2)</f>
        <v>231.55</v>
      </c>
    </row>
    <row r="1231" spans="1:10">
      <c r="A1231" s="152"/>
      <c r="B1231" s="153"/>
      <c r="C1231" s="30"/>
      <c r="D1231" s="31"/>
      <c r="E1231" s="86" t="s">
        <v>1627</v>
      </c>
      <c r="F1231" s="32"/>
      <c r="G1231" s="32"/>
      <c r="H1231" s="32"/>
      <c r="I1231" s="34" t="s">
        <v>1795</v>
      </c>
      <c r="J1231" s="157"/>
    </row>
    <row r="1232" spans="1:10">
      <c r="A1232" s="152"/>
      <c r="B1232" s="153"/>
      <c r="C1232" s="73" t="s">
        <v>1849</v>
      </c>
      <c r="D1232" s="191"/>
      <c r="E1232" s="192">
        <v>7.9</v>
      </c>
      <c r="F1232" s="35"/>
      <c r="G1232" s="82"/>
      <c r="H1232" s="82"/>
      <c r="I1232" s="82">
        <f>J1226</f>
        <v>29.31</v>
      </c>
      <c r="J1232" s="58">
        <f>ROUND(PRODUCT(E1232:I1232),2)</f>
        <v>231.55</v>
      </c>
    </row>
    <row r="1233" spans="1:10">
      <c r="A1233" s="509"/>
      <c r="B1233" s="510"/>
      <c r="C1233" s="510"/>
      <c r="D1233" s="510"/>
      <c r="E1233" s="510"/>
      <c r="F1233" s="510"/>
      <c r="G1233" s="510"/>
      <c r="H1233" s="510"/>
      <c r="I1233" s="510"/>
      <c r="J1233" s="510"/>
    </row>
    <row r="1234" spans="1:10" ht="38.25">
      <c r="A1234" s="28" t="str">
        <f>'[3]Planilha Orçamentária'!A311</f>
        <v>1.5.6.9</v>
      </c>
      <c r="B1234" s="29">
        <f>VLOOKUP(A1234,'[3]Planilha Orçamentária'!A:K,2,0)</f>
        <v>94974</v>
      </c>
      <c r="C1234" s="30" t="str">
        <f>VLOOKUP(A1234,'[3]Planilha Orçamentária'!A:K,3,0)</f>
        <v>CONCRETO MAGRO PARA LASTRO, TRAÇO 1:4,5:4,5 (EM MASSA SECA DE CIMENTO/ AREIA MÉDIA/ BRITA 1) - PREPARO MANUAL. AF_05/2021</v>
      </c>
      <c r="D1234" s="31" t="str">
        <f>VLOOKUP(A1234,'[3]Planilha Orçamentária'!A:K,4,0)</f>
        <v>M3</v>
      </c>
      <c r="E1234" s="30"/>
      <c r="F1234" s="32"/>
      <c r="G1234" s="32"/>
      <c r="H1234" s="32"/>
      <c r="I1234" s="32"/>
      <c r="J1234" s="33">
        <f>ROUND(SUM(J1235:J1237),2)</f>
        <v>4.53</v>
      </c>
    </row>
    <row r="1235" spans="1:10">
      <c r="A1235" s="152"/>
      <c r="B1235" s="153"/>
      <c r="C1235" s="154" t="s">
        <v>1828</v>
      </c>
      <c r="D1235" s="63"/>
      <c r="E1235" s="62"/>
      <c r="F1235" s="80" t="s">
        <v>1606</v>
      </c>
      <c r="G1235" s="80" t="s">
        <v>1607</v>
      </c>
      <c r="H1235" s="80" t="s">
        <v>1619</v>
      </c>
      <c r="I1235" s="80" t="s">
        <v>1660</v>
      </c>
      <c r="J1235" s="157"/>
    </row>
    <row r="1236" spans="1:10">
      <c r="A1236" s="152"/>
      <c r="B1236" s="153"/>
      <c r="C1236" s="73" t="s">
        <v>1850</v>
      </c>
      <c r="D1236" s="31"/>
      <c r="E1236" s="30"/>
      <c r="F1236" s="295">
        <f>1.4+0.1+0.1</f>
        <v>1.6</v>
      </c>
      <c r="G1236" s="295">
        <f>1.4+0.1+0.1</f>
        <v>1.6</v>
      </c>
      <c r="H1236" s="295">
        <v>0.1</v>
      </c>
      <c r="I1236" s="295">
        <f>I1212</f>
        <v>4</v>
      </c>
      <c r="J1236" s="58">
        <f t="shared" ref="J1236:J1237" si="123">ROUND(PRODUCT(E1236:I1236),2)</f>
        <v>1.02</v>
      </c>
    </row>
    <row r="1237" spans="1:10" ht="14.25">
      <c r="A1237" s="161"/>
      <c r="B1237" s="296"/>
      <c r="C1237" s="163" t="s">
        <v>1665</v>
      </c>
      <c r="D1237" s="164"/>
      <c r="E1237" s="164"/>
      <c r="F1237" s="156">
        <f>F1189</f>
        <v>175.47</v>
      </c>
      <c r="G1237" s="156">
        <v>0.4</v>
      </c>
      <c r="H1237" s="156">
        <v>0.05</v>
      </c>
      <c r="I1237" s="328"/>
      <c r="J1237" s="58">
        <f t="shared" si="123"/>
        <v>3.51</v>
      </c>
    </row>
    <row r="1238" spans="1:10">
      <c r="A1238" s="509"/>
      <c r="B1238" s="510"/>
      <c r="C1238" s="510"/>
      <c r="D1238" s="510"/>
      <c r="E1238" s="510"/>
      <c r="F1238" s="510"/>
      <c r="G1238" s="510"/>
      <c r="H1238" s="510"/>
      <c r="I1238" s="510"/>
      <c r="J1238" s="510"/>
    </row>
    <row r="1239" spans="1:10" ht="51">
      <c r="A1239" s="28" t="str">
        <f>'[3]Planilha Orçamentária'!A312</f>
        <v>1.5.6.10</v>
      </c>
      <c r="B1239" s="29">
        <f>VLOOKUP(A1239,'[3]Planilha Orçamentária'!A:K,2,0)</f>
        <v>97994</v>
      </c>
      <c r="C1239" s="30" t="str">
        <f>VLOOKUP(A1239,'[3]Planilha Orçamentária'!A:K,3,0)</f>
        <v>BASE PARA POÇO DE VISITA RETANGULAR PARA  ESGOTO, EM ALVENARIA COM BLOCOS DE CONCRETO, DIMENSÕES INTERNAS = 1X1 M, PROFUNDIDADE = 1,40 M, EXCLUINDO TAMPÃO. AF_12/2020</v>
      </c>
      <c r="D1239" s="31" t="str">
        <f>VLOOKUP(A1239,'[3]Planilha Orçamentária'!A:K,4,0)</f>
        <v>UN</v>
      </c>
      <c r="E1239" s="30"/>
      <c r="F1239" s="32"/>
      <c r="G1239" s="32"/>
      <c r="H1239" s="32"/>
      <c r="I1239" s="32"/>
      <c r="J1239" s="33">
        <f>ROUND(SUM(J1240:J1241),2)</f>
        <v>4</v>
      </c>
    </row>
    <row r="1240" spans="1:10">
      <c r="A1240" s="152"/>
      <c r="B1240" s="153"/>
      <c r="C1240" s="154" t="s">
        <v>1828</v>
      </c>
      <c r="D1240" s="31"/>
      <c r="E1240" s="155"/>
      <c r="F1240" s="156"/>
      <c r="G1240" s="156"/>
      <c r="H1240" s="156"/>
      <c r="I1240" s="155" t="s">
        <v>1660</v>
      </c>
      <c r="J1240" s="157"/>
    </row>
    <row r="1241" spans="1:10">
      <c r="A1241" s="152"/>
      <c r="B1241" s="153"/>
      <c r="C1241" s="145" t="s">
        <v>1851</v>
      </c>
      <c r="D1241" s="96"/>
      <c r="E1241" s="82"/>
      <c r="F1241" s="156"/>
      <c r="G1241" s="156"/>
      <c r="H1241" s="156"/>
      <c r="I1241" s="160">
        <f>I1212</f>
        <v>4</v>
      </c>
      <c r="J1241" s="58">
        <f>ROUND(PRODUCT(E1241:I1241),2)</f>
        <v>4</v>
      </c>
    </row>
    <row r="1242" spans="1:10">
      <c r="A1242" s="509"/>
      <c r="B1242" s="510"/>
      <c r="C1242" s="510"/>
      <c r="D1242" s="510"/>
      <c r="E1242" s="510"/>
      <c r="F1242" s="510"/>
      <c r="G1242" s="510"/>
      <c r="H1242" s="510"/>
      <c r="I1242" s="510"/>
      <c r="J1242" s="510"/>
    </row>
    <row r="1243" spans="1:10">
      <c r="A1243" s="152"/>
      <c r="B1243" s="152"/>
      <c r="C1243" s="152"/>
      <c r="D1243" s="152"/>
      <c r="E1243" s="152"/>
      <c r="F1243" s="152"/>
      <c r="G1243" s="152"/>
      <c r="H1243" s="152"/>
      <c r="I1243" s="152"/>
      <c r="J1243" s="152"/>
    </row>
    <row r="1244" spans="1:10" ht="38.25">
      <c r="A1244" s="112" t="str">
        <f>'[3]Planilha Orçamentária'!A313</f>
        <v>1.5.6.11</v>
      </c>
      <c r="B1244" s="48">
        <f>VLOOKUP(A1244,'[3]Planilha Orçamentária'!A:K,2,0)</f>
        <v>92522</v>
      </c>
      <c r="C1244" s="100" t="str">
        <f>VLOOKUP(A1244,'[3]Planilha Orçamentária'!A:K,3,0)</f>
        <v>MONTAGEM E DESMONTAGEM DE FÔRMA DE LAJE MACIÇA, PÉ-DIREITO SIMPLES, EM CHAPA DE MADEIRA COMPENSADA RESINADA, 8 UTILIZAÇÕES. AF_09/2020</v>
      </c>
      <c r="D1244" s="101" t="str">
        <f>VLOOKUP(A1244,'[3]Planilha Orçamentária'!A:K,4,0)</f>
        <v>M2</v>
      </c>
      <c r="E1244" s="100"/>
      <c r="F1244" s="102"/>
      <c r="G1244" s="102"/>
      <c r="H1244" s="102"/>
      <c r="I1244" s="102"/>
      <c r="J1244" s="33">
        <f>ROUND(SUM(J1245:J1246),2)</f>
        <v>5.04</v>
      </c>
    </row>
    <row r="1245" spans="1:10" ht="25.5">
      <c r="A1245" s="152"/>
      <c r="B1245" s="153"/>
      <c r="C1245" s="154" t="s">
        <v>1828</v>
      </c>
      <c r="D1245" s="31"/>
      <c r="E1245" s="155" t="s">
        <v>1829</v>
      </c>
      <c r="F1245" s="94" t="s">
        <v>1852</v>
      </c>
      <c r="G1245" s="94"/>
      <c r="H1245" s="94" t="s">
        <v>1663</v>
      </c>
      <c r="I1245" s="94" t="s">
        <v>1660</v>
      </c>
      <c r="J1245" s="157"/>
    </row>
    <row r="1246" spans="1:10">
      <c r="A1246" s="307"/>
      <c r="B1246" s="315"/>
      <c r="C1246" s="177" t="s">
        <v>1853</v>
      </c>
      <c r="D1246" s="322"/>
      <c r="E1246" s="160">
        <v>2</v>
      </c>
      <c r="F1246" s="286">
        <f>(0.7*2)+(1.4*2)</f>
        <v>4.1999999999999993</v>
      </c>
      <c r="G1246" s="286"/>
      <c r="H1246" s="260">
        <v>0.15</v>
      </c>
      <c r="I1246" s="329">
        <f>I1212</f>
        <v>4</v>
      </c>
      <c r="J1246" s="188">
        <f>ROUND(PRODUCT(E1246:I1246),2)</f>
        <v>5.04</v>
      </c>
    </row>
    <row r="1247" spans="1:10">
      <c r="A1247" s="525"/>
      <c r="B1247" s="525"/>
      <c r="C1247" s="525"/>
      <c r="D1247" s="525"/>
      <c r="E1247" s="525"/>
      <c r="F1247" s="525"/>
      <c r="G1247" s="525"/>
      <c r="H1247" s="525"/>
      <c r="I1247" s="525"/>
      <c r="J1247" s="525"/>
    </row>
    <row r="1248" spans="1:10" ht="38.25">
      <c r="A1248" s="245" t="str">
        <f>'[3]Planilha Orçamentária'!A314</f>
        <v>1.5.6.12</v>
      </c>
      <c r="B1248" s="48">
        <f>VLOOKUP(A1248,'[3]Planilha Orçamentária'!A:K,2,0)</f>
        <v>92771</v>
      </c>
      <c r="C1248" s="100" t="str">
        <f>VLOOKUP(A1248,'[3]Planilha Orçamentária'!A:K,3,0)</f>
        <v>ARMAÇÃO DE LAJE DE ESTRUTURA CONVENCIONAL DE CONCRETO ARMADO UTILIZANDO AÇO CA-50 DE 10,0 MM - MONTAGEM. AF_06/2022</v>
      </c>
      <c r="D1248" s="101" t="str">
        <f>VLOOKUP(A1248,'[3]Planilha Orçamentária'!A:K,4,0)</f>
        <v>KG</v>
      </c>
      <c r="E1248" s="100"/>
      <c r="F1248" s="102"/>
      <c r="G1248" s="102"/>
      <c r="H1248" s="102"/>
      <c r="I1248" s="102"/>
      <c r="J1248" s="193">
        <f>ROUND(SUM(J1249:J1250),2)</f>
        <v>165.44</v>
      </c>
    </row>
    <row r="1249" spans="1:10" ht="25.5">
      <c r="A1249" s="152"/>
      <c r="B1249" s="153"/>
      <c r="C1249" s="154" t="s">
        <v>1828</v>
      </c>
      <c r="D1249" s="31"/>
      <c r="E1249" s="155" t="s">
        <v>1829</v>
      </c>
      <c r="F1249" s="156"/>
      <c r="G1249" s="156"/>
      <c r="H1249" s="94" t="s">
        <v>1854</v>
      </c>
      <c r="I1249" s="94" t="s">
        <v>1660</v>
      </c>
      <c r="J1249" s="157"/>
    </row>
    <row r="1250" spans="1:10">
      <c r="A1250" s="152"/>
      <c r="B1250" s="153"/>
      <c r="C1250" s="73" t="s">
        <v>1855</v>
      </c>
      <c r="D1250" s="96"/>
      <c r="E1250" s="82">
        <v>2</v>
      </c>
      <c r="F1250" s="156"/>
      <c r="G1250" s="156"/>
      <c r="H1250" s="94">
        <v>20.68</v>
      </c>
      <c r="I1250" s="196">
        <f>I1246</f>
        <v>4</v>
      </c>
      <c r="J1250" s="58">
        <f>ROUND(PRODUCT(E1250:I1250),2)</f>
        <v>165.44</v>
      </c>
    </row>
    <row r="1251" spans="1:10">
      <c r="A1251" s="509"/>
      <c r="B1251" s="510"/>
      <c r="C1251" s="510"/>
      <c r="D1251" s="510"/>
      <c r="E1251" s="510"/>
      <c r="F1251" s="510"/>
      <c r="G1251" s="510"/>
      <c r="H1251" s="510"/>
      <c r="I1251" s="510"/>
      <c r="J1251" s="510"/>
    </row>
    <row r="1252" spans="1:10" ht="25.5">
      <c r="A1252" s="28" t="str">
        <f>'[3]Planilha Orçamentária'!A315</f>
        <v>1.5.6.13</v>
      </c>
      <c r="B1252" s="29" t="str">
        <f>VLOOKUP(A1252,'[3]Planilha Orçamentária'!A:K,2,0)</f>
        <v>CP-74157/004-48264518</v>
      </c>
      <c r="C1252" s="30" t="str">
        <f>VLOOKUP(A1252,'[3]Planilha Orçamentária'!A:K,3,0)</f>
        <v>LANCAMENTO/APLICACAO MANUAL DE CONCRETO EM FUNDACOES (concreto magro)</v>
      </c>
      <c r="D1252" s="31" t="str">
        <f>VLOOKUP(A1252,'[3]Planilha Orçamentária'!A:K,4,0)</f>
        <v>M3</v>
      </c>
      <c r="E1252" s="30"/>
      <c r="F1252" s="32"/>
      <c r="G1252" s="32"/>
      <c r="H1252" s="32"/>
      <c r="I1252" s="32"/>
      <c r="J1252" s="33">
        <f>ROUND(SUM(J1253:J1254),2)</f>
        <v>11.24</v>
      </c>
    </row>
    <row r="1253" spans="1:10">
      <c r="A1253" s="152"/>
      <c r="B1253" s="153"/>
      <c r="C1253" s="154"/>
      <c r="D1253" s="31"/>
      <c r="E1253" s="155"/>
      <c r="F1253" s="156"/>
      <c r="G1253" s="156"/>
      <c r="H1253" s="156"/>
      <c r="I1253" s="155"/>
      <c r="J1253" s="157"/>
    </row>
    <row r="1254" spans="1:10" ht="14.25">
      <c r="A1254" s="152"/>
      <c r="B1254" s="153"/>
      <c r="C1254" s="126" t="s">
        <v>1856</v>
      </c>
      <c r="D1254" s="96"/>
      <c r="E1254" s="82"/>
      <c r="F1254" s="156"/>
      <c r="G1254" s="156"/>
      <c r="H1254" s="156"/>
      <c r="I1254" s="160">
        <f>J1234+J1191</f>
        <v>11.24</v>
      </c>
      <c r="J1254" s="58">
        <f>ROUND(PRODUCT(E1254:I1254),2)</f>
        <v>11.24</v>
      </c>
    </row>
    <row r="1255" spans="1:10">
      <c r="A1255" s="509"/>
      <c r="B1255" s="510"/>
      <c r="C1255" s="510"/>
      <c r="D1255" s="510"/>
      <c r="E1255" s="510"/>
      <c r="F1255" s="510"/>
      <c r="G1255" s="510"/>
      <c r="H1255" s="510"/>
      <c r="I1255" s="510"/>
      <c r="J1255" s="510"/>
    </row>
    <row r="1256" spans="1:10" ht="51">
      <c r="A1256" s="28" t="str">
        <f>'[3]Planilha Orçamentária'!A316</f>
        <v>1.5.6.14</v>
      </c>
      <c r="B1256" s="29">
        <f>VLOOKUP(A1256,'[3]Planilha Orçamentária'!A:K,2,0)</f>
        <v>90746</v>
      </c>
      <c r="C1256" s="30" t="str">
        <f>VLOOKUP(A1256,'[3]Planilha Orçamentária'!A:K,3,0)</f>
        <v>ASSENTAMENTO DE TUBO DE PEAD CORRUGADO DE DUPLA PAREDE PARA REDE COLETORA DE ESGOTO, DN 450 MM, JUNTA ELÁSTICA INTEGRADA (NÃO INCLUI FORNECIMENTO). AF_01/2021</v>
      </c>
      <c r="D1256" s="31" t="str">
        <f>VLOOKUP(A1256,'[3]Planilha Orçamentária'!A:K,4,0)</f>
        <v>M</v>
      </c>
      <c r="E1256" s="30"/>
      <c r="F1256" s="32"/>
      <c r="G1256" s="32"/>
      <c r="H1256" s="32"/>
      <c r="I1256" s="32"/>
      <c r="J1256" s="33">
        <f>ROUND(SUM(J1257:J1258),2)</f>
        <v>89.77</v>
      </c>
    </row>
    <row r="1257" spans="1:10">
      <c r="A1257" s="152"/>
      <c r="B1257" s="153"/>
      <c r="C1257" s="154" t="s">
        <v>1828</v>
      </c>
      <c r="D1257" s="31"/>
      <c r="E1257" s="155"/>
      <c r="F1257" s="156" t="s">
        <v>1606</v>
      </c>
      <c r="G1257" s="156"/>
      <c r="H1257" s="156"/>
      <c r="I1257" s="155"/>
      <c r="J1257" s="157"/>
    </row>
    <row r="1258" spans="1:10">
      <c r="A1258" s="152"/>
      <c r="B1258" s="153"/>
      <c r="C1258" s="145" t="s">
        <v>1857</v>
      </c>
      <c r="D1258" s="96"/>
      <c r="E1258" s="82"/>
      <c r="F1258" s="156">
        <f>F1206</f>
        <v>89.77</v>
      </c>
      <c r="G1258" s="156"/>
      <c r="H1258" s="156"/>
      <c r="I1258" s="160"/>
      <c r="J1258" s="58">
        <f>ROUND(PRODUCT(E1258:I1258),2)</f>
        <v>89.77</v>
      </c>
    </row>
    <row r="1259" spans="1:10">
      <c r="A1259" s="19" t="str">
        <f>'[3]Planilha Orçamentária'!A317</f>
        <v>1.5.7</v>
      </c>
      <c r="B1259" s="20"/>
      <c r="C1259" s="21" t="str">
        <f>VLOOKUP(A1259,'[3]Planilha Orçamentária'!A:K,3,0)</f>
        <v>SINALIZAÇÃO</v>
      </c>
      <c r="D1259" s="21"/>
      <c r="E1259" s="39"/>
      <c r="F1259" s="40"/>
      <c r="G1259" s="40"/>
      <c r="H1259" s="40"/>
      <c r="I1259" s="40"/>
      <c r="J1259" s="41"/>
    </row>
    <row r="1260" spans="1:10" ht="25.5">
      <c r="A1260" s="28" t="str">
        <f>'[3]Planilha Orçamentária'!A318</f>
        <v>1.5.7.1</v>
      </c>
      <c r="B1260" s="42">
        <f>VLOOKUP(A1260,'[3]Planilha Orçamentária'!A:K,2,0)</f>
        <v>5213421</v>
      </c>
      <c r="C1260" s="166" t="str">
        <f>VLOOKUP(A1260,'[3]Planilha Orçamentária'!A:K,3,0)</f>
        <v>Confecção de placa em aço nº 16 galvanizado, com película tipo I + IV</v>
      </c>
      <c r="D1260" s="31" t="str">
        <f>VLOOKUP(A1260,'[3]Planilha Orçamentária'!A:K,4,0)</f>
        <v xml:space="preserve">M2    </v>
      </c>
      <c r="E1260" s="30"/>
      <c r="F1260" s="32"/>
      <c r="G1260" s="32"/>
      <c r="H1260" s="32"/>
      <c r="I1260" s="32"/>
      <c r="J1260" s="45">
        <f>ROUND(SUM(J1261:J1265),2)</f>
        <v>3.54</v>
      </c>
    </row>
    <row r="1261" spans="1:10" ht="25.5">
      <c r="A1261" s="54"/>
      <c r="B1261" s="54"/>
      <c r="C1261" s="142" t="s">
        <v>1858</v>
      </c>
      <c r="D1261" s="174"/>
      <c r="E1261" s="175"/>
      <c r="F1261" s="35"/>
      <c r="G1261" s="35"/>
      <c r="H1261" s="82" t="s">
        <v>1620</v>
      </c>
      <c r="I1261" s="171" t="s">
        <v>1608</v>
      </c>
      <c r="J1261" s="58"/>
    </row>
    <row r="1262" spans="1:10">
      <c r="A1262" s="176"/>
      <c r="B1262" s="176"/>
      <c r="C1262" s="142" t="s">
        <v>1671</v>
      </c>
      <c r="D1262" s="174"/>
      <c r="E1262" s="35"/>
      <c r="F1262" s="35"/>
      <c r="G1262" s="35"/>
      <c r="H1262" s="35">
        <v>0.2</v>
      </c>
      <c r="I1262" s="82">
        <v>7</v>
      </c>
      <c r="J1262" s="120">
        <f t="shared" ref="J1262:J1265" si="124">ROUND(PRODUCT(E1262:I1262),2)</f>
        <v>1.4</v>
      </c>
    </row>
    <row r="1263" spans="1:10">
      <c r="A1263" s="176"/>
      <c r="B1263" s="176"/>
      <c r="C1263" s="177" t="s">
        <v>1672</v>
      </c>
      <c r="D1263" s="158"/>
      <c r="E1263" s="116"/>
      <c r="F1263" s="116"/>
      <c r="G1263" s="116"/>
      <c r="H1263" s="116">
        <f>0.5*0.5</f>
        <v>0.25</v>
      </c>
      <c r="I1263" s="178">
        <v>6</v>
      </c>
      <c r="J1263" s="120">
        <f t="shared" si="124"/>
        <v>1.5</v>
      </c>
    </row>
    <row r="1264" spans="1:10">
      <c r="A1264" s="176"/>
      <c r="B1264" s="176"/>
      <c r="C1264" s="177" t="s">
        <v>1673</v>
      </c>
      <c r="D1264" s="158"/>
      <c r="E1264" s="116"/>
      <c r="F1264" s="116"/>
      <c r="G1264" s="116"/>
      <c r="H1264" s="116">
        <f>0.5*0.5</f>
        <v>0.25</v>
      </c>
      <c r="I1264" s="178">
        <v>1</v>
      </c>
      <c r="J1264" s="120">
        <f t="shared" si="124"/>
        <v>0.25</v>
      </c>
    </row>
    <row r="1265" spans="1:10" ht="14.25">
      <c r="A1265" s="176"/>
      <c r="B1265" s="176"/>
      <c r="C1265" s="163" t="s">
        <v>1674</v>
      </c>
      <c r="D1265" s="179"/>
      <c r="E1265" s="180"/>
      <c r="F1265" s="181"/>
      <c r="G1265" s="181"/>
      <c r="H1265" s="116">
        <f>3.14*0.25^2</f>
        <v>0.19625000000000001</v>
      </c>
      <c r="I1265" s="178">
        <v>2</v>
      </c>
      <c r="J1265" s="120">
        <f t="shared" si="124"/>
        <v>0.39</v>
      </c>
    </row>
    <row r="1266" spans="1:10">
      <c r="A1266" s="507"/>
      <c r="B1266" s="507"/>
      <c r="C1266" s="507"/>
      <c r="D1266" s="507"/>
      <c r="E1266" s="507"/>
      <c r="F1266" s="507"/>
      <c r="G1266" s="507"/>
      <c r="H1266" s="507"/>
      <c r="I1266" s="507"/>
      <c r="J1266" s="508"/>
    </row>
    <row r="1267" spans="1:10" ht="38.25">
      <c r="A1267" s="28" t="str">
        <f>'[3]Planilha Orçamentária'!A319</f>
        <v>1.5.7.2</v>
      </c>
      <c r="B1267" s="42">
        <f>VLOOKUP(A1267,'[3]Planilha Orçamentária'!A:K,2,0)</f>
        <v>5216111</v>
      </c>
      <c r="C1267" s="166" t="str">
        <f>VLOOKUP(A1267,'[3]Planilha Orçamentária'!A:K,3,0)</f>
        <v>FORNECIMENTO E IMPLANTAÇÃO DE SUPORTE E TRAVESSA PARA PLACA DE SINALIZAÇÃO EM MADEIRA DE LEI TRATADA 8 X 8 CM</v>
      </c>
      <c r="D1267" s="31" t="str">
        <f>VLOOKUP(A1267,'[3]Planilha Orçamentária'!A:K,4,0)</f>
        <v>UND</v>
      </c>
      <c r="E1267" s="30"/>
      <c r="F1267" s="32"/>
      <c r="G1267" s="32"/>
      <c r="H1267" s="32"/>
      <c r="I1267" s="32"/>
      <c r="J1267" s="45">
        <f>ROUND(SUM(J1269:J1269),2)</f>
        <v>10</v>
      </c>
    </row>
    <row r="1268" spans="1:10">
      <c r="A1268" s="112"/>
      <c r="B1268" s="146"/>
      <c r="C1268" s="142" t="s">
        <v>1858</v>
      </c>
      <c r="D1268" s="31"/>
      <c r="E1268" s="30"/>
      <c r="F1268" s="32"/>
      <c r="G1268" s="32"/>
      <c r="H1268" s="32"/>
      <c r="I1268" s="34" t="s">
        <v>1125</v>
      </c>
      <c r="J1268" s="151"/>
    </row>
    <row r="1269" spans="1:10">
      <c r="A1269" s="176"/>
      <c r="B1269" s="176"/>
      <c r="C1269" s="142" t="s">
        <v>1676</v>
      </c>
      <c r="D1269" s="174"/>
      <c r="E1269" s="175"/>
      <c r="F1269" s="35"/>
      <c r="G1269" s="35"/>
      <c r="H1269" s="82"/>
      <c r="I1269" s="82">
        <v>10</v>
      </c>
      <c r="J1269" s="188">
        <f>ROUND(PRODUCT(E1269:I1269),2)</f>
        <v>10</v>
      </c>
    </row>
    <row r="1270" spans="1:10">
      <c r="A1270" s="506"/>
      <c r="B1270" s="507"/>
      <c r="C1270" s="507"/>
      <c r="D1270" s="507"/>
      <c r="E1270" s="507"/>
      <c r="F1270" s="507"/>
      <c r="G1270" s="507"/>
      <c r="H1270" s="507"/>
      <c r="I1270" s="507"/>
      <c r="J1270" s="508"/>
    </row>
    <row r="1271" spans="1:10" ht="25.5">
      <c r="A1271" s="112" t="str">
        <f>'[3]Planilha Orçamentária'!A320</f>
        <v>1.5.7.3</v>
      </c>
      <c r="B1271" s="146" t="str">
        <f>VLOOKUP(A1271,'[3]Planilha Orçamentária'!A:K,2,0)</f>
        <v>COMP-58084869</v>
      </c>
      <c r="C1271" s="147" t="str">
        <f>VLOOKUP(A1271,'[3]Planilha Orçamentária'!A:K,3,0)</f>
        <v>PLACA ESMALTADA PARA IDENTIFICAÇÃO NR DE RUA, DIMENSÕES 45X25CM</v>
      </c>
      <c r="D1271" s="148" t="str">
        <f>VLOOKUP(A1271,'[3]Planilha Orçamentária'!A:K,4,0)</f>
        <v>UND</v>
      </c>
      <c r="E1271" s="149"/>
      <c r="F1271" s="150"/>
      <c r="G1271" s="150"/>
      <c r="H1271" s="150"/>
      <c r="I1271" s="150"/>
      <c r="J1271" s="151">
        <f>ROUND(SUM(J1272:J1273),2)</f>
        <v>3</v>
      </c>
    </row>
    <row r="1272" spans="1:10">
      <c r="A1272" s="28"/>
      <c r="B1272" s="29"/>
      <c r="C1272" s="142" t="s">
        <v>1858</v>
      </c>
      <c r="D1272" s="31"/>
      <c r="E1272" s="30"/>
      <c r="F1272" s="32"/>
      <c r="G1272" s="32"/>
      <c r="H1272" s="32"/>
      <c r="I1272" s="34" t="s">
        <v>1125</v>
      </c>
      <c r="J1272" s="33"/>
    </row>
    <row r="1273" spans="1:10">
      <c r="A1273" s="28"/>
      <c r="B1273" s="29"/>
      <c r="C1273" s="142" t="s">
        <v>1676</v>
      </c>
      <c r="D1273" s="31"/>
      <c r="E1273" s="30"/>
      <c r="F1273" s="32"/>
      <c r="G1273" s="32"/>
      <c r="H1273" s="32"/>
      <c r="I1273" s="82">
        <v>3</v>
      </c>
      <c r="J1273" s="188">
        <f>ROUND(PRODUCT(E1273:I1273),2)</f>
        <v>3</v>
      </c>
    </row>
    <row r="1274" spans="1:10">
      <c r="A1274" s="511"/>
      <c r="B1274" s="512"/>
      <c r="C1274" s="512"/>
      <c r="D1274" s="512"/>
      <c r="E1274" s="512"/>
      <c r="F1274" s="512"/>
      <c r="G1274" s="512"/>
      <c r="H1274" s="512"/>
      <c r="I1274" s="512"/>
      <c r="J1274" s="512"/>
    </row>
    <row r="1275" spans="1:10" ht="51">
      <c r="A1275" s="60" t="str">
        <f>'[3]Planilha Orçamentária'!A321</f>
        <v>1.5.7.4</v>
      </c>
      <c r="B1275" s="61">
        <f>VLOOKUP(A1275,'[3]Planilha Orçamentária'!A:K,2,0)</f>
        <v>102512</v>
      </c>
      <c r="C1275" s="190" t="str">
        <f>VLOOKUP(A1275,'[3]Planilha Orçamentária'!A:K,3,0)</f>
        <v>PINTURA DE EIXO VIÁRIO SOBRE ASFALTO COM TINTA RETRORREFLETIVA A BASE DE RESINA ACRÍLICA COM MICROESFERAS DE VIDRO, APLICAÇÃO MECÂNICA COM DEMARCADORA AUTOPROPELIDA. AF_05/2021</v>
      </c>
      <c r="D1275" s="63" t="str">
        <f>VLOOKUP(A1275,'[3]Planilha Orçamentária'!A:K,4,0)</f>
        <v>M</v>
      </c>
      <c r="E1275" s="62"/>
      <c r="F1275" s="64"/>
      <c r="G1275" s="64"/>
      <c r="H1275" s="64"/>
      <c r="I1275" s="64"/>
      <c r="J1275" s="78">
        <f>ROUND(SUM(J1277:J1277),2)</f>
        <v>160.07</v>
      </c>
    </row>
    <row r="1276" spans="1:10">
      <c r="A1276" s="66"/>
      <c r="B1276" s="67"/>
      <c r="C1276" s="142" t="s">
        <v>1858</v>
      </c>
      <c r="D1276" s="63"/>
      <c r="E1276" s="62"/>
      <c r="F1276" s="80" t="s">
        <v>1606</v>
      </c>
      <c r="G1276" s="64"/>
      <c r="H1276" s="64"/>
      <c r="I1276" s="34"/>
      <c r="J1276" s="78"/>
    </row>
    <row r="1277" spans="1:10">
      <c r="A1277" s="176"/>
      <c r="B1277" s="176"/>
      <c r="C1277" s="142" t="s">
        <v>1676</v>
      </c>
      <c r="D1277" s="191"/>
      <c r="E1277" s="192"/>
      <c r="F1277" s="82">
        <v>160.07</v>
      </c>
      <c r="G1277" s="82"/>
      <c r="H1277" s="82"/>
      <c r="I1277" s="82"/>
      <c r="J1277" s="36">
        <f>ROUND(PRODUCT(E1277:I1277),2)</f>
        <v>160.07</v>
      </c>
    </row>
    <row r="1278" spans="1:10">
      <c r="A1278" s="507"/>
      <c r="B1278" s="507"/>
      <c r="C1278" s="507"/>
      <c r="D1278" s="507"/>
      <c r="E1278" s="507"/>
      <c r="F1278" s="507"/>
      <c r="G1278" s="507"/>
      <c r="H1278" s="507"/>
      <c r="I1278" s="507"/>
      <c r="J1278" s="508"/>
    </row>
    <row r="1279" spans="1:10" ht="51">
      <c r="A1279" s="60" t="str">
        <f>'[3]Planilha Orçamentária'!A322</f>
        <v>1.5.7.5</v>
      </c>
      <c r="B1279" s="61">
        <f>VLOOKUP(A1279,'[3]Planilha Orçamentária'!A:K,2,0)</f>
        <v>102509</v>
      </c>
      <c r="C1279" s="190" t="str">
        <f>VLOOKUP(A1279,'[3]Planilha Orçamentária'!A:K,3,0)</f>
        <v>PINTURA DE FAIXA DE PEDESTRE OU ZEBRADA TINTA RETRORREFLETIVA A BASE DE RESINA ACRÍLICA COM MICROESFERAS DE VIDRO, E = 30 CM, APLICAÇÃO MANUAL. AF_05/2021</v>
      </c>
      <c r="D1279" s="63" t="str">
        <f>VLOOKUP(A1279,'[3]Planilha Orçamentária'!A:K,4,0)</f>
        <v>M2</v>
      </c>
      <c r="E1279" s="62"/>
      <c r="F1279" s="64"/>
      <c r="G1279" s="64"/>
      <c r="H1279" s="64"/>
      <c r="I1279" s="64"/>
      <c r="J1279" s="78">
        <f>ROUND(SUM(J1281:J1281),2)</f>
        <v>10.76</v>
      </c>
    </row>
    <row r="1280" spans="1:10">
      <c r="A1280" s="66"/>
      <c r="B1280" s="67"/>
      <c r="C1280" s="142" t="s">
        <v>1858</v>
      </c>
      <c r="D1280" s="63"/>
      <c r="E1280" s="62"/>
      <c r="F1280" s="80"/>
      <c r="G1280" s="64"/>
      <c r="H1280" s="64"/>
      <c r="I1280" s="34" t="s">
        <v>1620</v>
      </c>
      <c r="J1280" s="78"/>
    </row>
    <row r="1281" spans="1:10">
      <c r="A1281" s="176"/>
      <c r="B1281" s="176"/>
      <c r="C1281" s="142" t="s">
        <v>1676</v>
      </c>
      <c r="D1281" s="191"/>
      <c r="E1281" s="192"/>
      <c r="F1281" s="82"/>
      <c r="G1281" s="82"/>
      <c r="H1281" s="82"/>
      <c r="I1281" s="82">
        <v>10.76</v>
      </c>
      <c r="J1281" s="36">
        <f>ROUND(PRODUCT(E1281:I1281),2)</f>
        <v>10.76</v>
      </c>
    </row>
    <row r="1282" spans="1:10">
      <c r="A1282" s="507"/>
      <c r="B1282" s="507"/>
      <c r="C1282" s="507"/>
      <c r="D1282" s="507"/>
      <c r="E1282" s="507"/>
      <c r="F1282" s="507"/>
      <c r="G1282" s="507"/>
      <c r="H1282" s="507"/>
      <c r="I1282" s="507"/>
      <c r="J1282" s="508"/>
    </row>
    <row r="1283" spans="1:10">
      <c r="A1283" s="19" t="str">
        <f>'[3]Planilha Orçamentária'!A323</f>
        <v>1.5.8</v>
      </c>
      <c r="B1283" s="20"/>
      <c r="C1283" s="21" t="str">
        <f>VLOOKUP(A1283,'[3]Planilha Orçamentária'!A:K,3,0)</f>
        <v>ACESSIBILIDADE</v>
      </c>
      <c r="D1283" s="21"/>
      <c r="E1283" s="39"/>
      <c r="F1283" s="40"/>
      <c r="G1283" s="40"/>
      <c r="H1283" s="40"/>
      <c r="I1283" s="40"/>
      <c r="J1283" s="41"/>
    </row>
    <row r="1284" spans="1:10" ht="51">
      <c r="A1284" s="28" t="str">
        <f>'[3]Planilha Orçamentária'!A324</f>
        <v>1.5.8.1</v>
      </c>
      <c r="B1284" s="29" t="str">
        <f>VLOOKUP(A1284,'[3]Planilha Orçamentária'!A:K,2,0)</f>
        <v>CP-S12039-81921471</v>
      </c>
      <c r="C1284" s="166" t="str">
        <f>VLOOKUP(A1284,'[3]Planilha Orçamentária'!A:K,3,0)</f>
        <v>Piso tátil direcional e/ou alerta, de concreto, na cor natural, p/deficientes visuais, dimensões 40x40cm, aplicado com argamassa industrializada ac-ii, rejuntado, exclusive regularização de base</v>
      </c>
      <c r="D1284" s="31" t="str">
        <f>VLOOKUP(A1284,'[3]Planilha Orçamentária'!A:K,4,0)</f>
        <v>M2</v>
      </c>
      <c r="E1284" s="30"/>
      <c r="F1284" s="32"/>
      <c r="G1284" s="32"/>
      <c r="H1284" s="32"/>
      <c r="I1284" s="32"/>
      <c r="J1284" s="33">
        <f>ROUND(SUM(J1285:J1286),2)</f>
        <v>11</v>
      </c>
    </row>
    <row r="1285" spans="1:10">
      <c r="A1285" s="54"/>
      <c r="B1285" s="54"/>
      <c r="C1285" s="142" t="s">
        <v>1858</v>
      </c>
      <c r="D1285" s="53"/>
      <c r="E1285" s="54"/>
      <c r="F1285" s="198"/>
      <c r="G1285" s="198"/>
      <c r="H1285" s="198"/>
      <c r="I1285" s="309" t="s">
        <v>1620</v>
      </c>
      <c r="J1285" s="198"/>
    </row>
    <row r="1286" spans="1:10">
      <c r="A1286" s="54"/>
      <c r="B1286" s="54"/>
      <c r="C1286" s="142" t="s">
        <v>1774</v>
      </c>
      <c r="D1286" s="53"/>
      <c r="E1286" s="54"/>
      <c r="F1286" s="198"/>
      <c r="G1286" s="198"/>
      <c r="H1286" s="198"/>
      <c r="I1286" s="198">
        <v>11</v>
      </c>
      <c r="J1286" s="36">
        <f>ROUND(PRODUCT(E1286:I1286),2)</f>
        <v>11</v>
      </c>
    </row>
    <row r="1287" spans="1:10" ht="13.5" customHeight="1">
      <c r="A1287" s="524"/>
      <c r="B1287" s="524"/>
      <c r="C1287" s="524"/>
      <c r="D1287" s="524"/>
      <c r="E1287" s="524"/>
      <c r="F1287" s="524"/>
      <c r="G1287" s="524"/>
      <c r="H1287" s="524"/>
      <c r="I1287" s="524"/>
      <c r="J1287" s="524"/>
    </row>
    <row r="1288" spans="1:10" ht="13.5" customHeight="1">
      <c r="A1288" s="19" t="str">
        <f>'[3]Planilha Orçamentária'!A325</f>
        <v>1.5.9</v>
      </c>
      <c r="B1288" s="20"/>
      <c r="C1288" s="21" t="str">
        <f>VLOOKUP(A1288,'[3]Planilha Orçamentária'!A:K,3,0)</f>
        <v>MATERIAIS</v>
      </c>
      <c r="D1288" s="21"/>
      <c r="E1288" s="39"/>
      <c r="F1288" s="40"/>
      <c r="G1288" s="40"/>
      <c r="H1288" s="40"/>
      <c r="I1288" s="40"/>
      <c r="J1288" s="41"/>
    </row>
    <row r="1289" spans="1:10" ht="51">
      <c r="A1289" s="60" t="str">
        <f>'[3]Planilha Orçamentária'!A326</f>
        <v>1.5.9.1</v>
      </c>
      <c r="B1289" s="61">
        <f>VLOOKUP(A1289,'[3]Planilha Orçamentária'!A:K,2,0)</f>
        <v>10775</v>
      </c>
      <c r="C1289" s="62" t="str">
        <f>VLOOKUP(A1289,'[3]Planilha Orçamentária'!A:K,3,0)</f>
        <v xml:space="preserve">LOCACAO DE CONTAINER 2,30 X 6,00 M, ALT. 2,50 M, COM 1 SANITARIO, PARA ESCRITORIO, COMPLETO, SEM DIVISORIAS INTERNAS (NAO INCLUI MOBILIZACAO/DESMOBILIZACAO)                                                                                                                                                                                                                                                                                                                                              </v>
      </c>
      <c r="D1289" s="63" t="str">
        <f>VLOOKUP(A1289,'[3]Planilha Orçamentária'!A:K,4,0)</f>
        <v xml:space="preserve">MES   </v>
      </c>
      <c r="E1289" s="62"/>
      <c r="F1289" s="64"/>
      <c r="G1289" s="64"/>
      <c r="H1289" s="64"/>
      <c r="I1289" s="64"/>
      <c r="J1289" s="65">
        <f>ROUND(SUM(J1291:J1291),2)</f>
        <v>3</v>
      </c>
    </row>
    <row r="1290" spans="1:10" ht="25.5">
      <c r="A1290" s="66"/>
      <c r="B1290" s="67"/>
      <c r="C1290" s="68"/>
      <c r="D1290" s="69"/>
      <c r="E1290" s="68"/>
      <c r="F1290" s="70"/>
      <c r="G1290" s="71"/>
      <c r="H1290" s="71"/>
      <c r="I1290" s="34" t="s">
        <v>1609</v>
      </c>
      <c r="J1290" s="72"/>
    </row>
    <row r="1291" spans="1:10">
      <c r="A1291" s="27"/>
      <c r="B1291" s="27"/>
      <c r="C1291" s="73"/>
      <c r="D1291" s="74"/>
      <c r="E1291" s="35"/>
      <c r="F1291" s="75"/>
      <c r="G1291" s="35"/>
      <c r="H1291" s="35"/>
      <c r="I1291" s="35">
        <f>I1054</f>
        <v>3</v>
      </c>
      <c r="J1291" s="36">
        <f>ROUND(PRODUCT(E1291:I1291),2)</f>
        <v>3</v>
      </c>
    </row>
    <row r="1292" spans="1:10">
      <c r="A1292" s="496"/>
      <c r="B1292" s="496"/>
      <c r="C1292" s="496"/>
      <c r="D1292" s="496"/>
      <c r="E1292" s="496"/>
      <c r="F1292" s="496"/>
      <c r="G1292" s="496"/>
      <c r="H1292" s="496"/>
      <c r="I1292" s="496"/>
      <c r="J1292" s="496"/>
    </row>
    <row r="1293" spans="1:10" ht="38.25">
      <c r="A1293" s="60" t="str">
        <f>'[3]Planilha Orçamentária'!A327</f>
        <v>1.5.9.2</v>
      </c>
      <c r="B1293" s="61">
        <f>VLOOKUP(A1293,'[3]Planilha Orçamentária'!A:K,2,0)</f>
        <v>10776</v>
      </c>
      <c r="C1293" s="62" t="str">
        <f>VLOOKUP(A1293,'[3]Planilha Orçamentária'!A:K,3,0)</f>
        <v xml:space="preserve">LOCACAO DE CONTAINER 2,30 X 6,00 M, ALT. 2,50 M, PARA ESCRITORIO, SEM DIVISORIAS INTERNAS E SEM SANITARIO (NAO INCLUI MOBILIZACAO/DESMOBILIZACAO)                                                                                                                                                                                                                                                                                                                                                         </v>
      </c>
      <c r="D1293" s="63" t="str">
        <f>VLOOKUP(A1293,'[3]Planilha Orçamentária'!A:K,4,0)</f>
        <v xml:space="preserve">MES   </v>
      </c>
      <c r="E1293" s="62"/>
      <c r="F1293" s="64"/>
      <c r="G1293" s="64"/>
      <c r="H1293" s="64"/>
      <c r="I1293" s="64"/>
      <c r="J1293" s="65">
        <f>ROUND(SUM(J1295:J1295),2)</f>
        <v>3</v>
      </c>
    </row>
    <row r="1294" spans="1:10" ht="25.5">
      <c r="A1294" s="66"/>
      <c r="B1294" s="67"/>
      <c r="C1294" s="68"/>
      <c r="D1294" s="69"/>
      <c r="E1294" s="68"/>
      <c r="F1294" s="70"/>
      <c r="G1294" s="71"/>
      <c r="H1294" s="71"/>
      <c r="I1294" s="34" t="s">
        <v>1609</v>
      </c>
      <c r="J1294" s="72"/>
    </row>
    <row r="1295" spans="1:10">
      <c r="A1295" s="27"/>
      <c r="B1295" s="27"/>
      <c r="C1295" s="73"/>
      <c r="D1295" s="74"/>
      <c r="E1295" s="35"/>
      <c r="F1295" s="75"/>
      <c r="G1295" s="35"/>
      <c r="H1295" s="35"/>
      <c r="I1295" s="35">
        <f>I1291</f>
        <v>3</v>
      </c>
      <c r="J1295" s="36">
        <f>ROUND(PRODUCT(E1295:I1295),2)</f>
        <v>3</v>
      </c>
    </row>
    <row r="1296" spans="1:10">
      <c r="A1296" s="496"/>
      <c r="B1296" s="496"/>
      <c r="C1296" s="496"/>
      <c r="D1296" s="496"/>
      <c r="E1296" s="496"/>
      <c r="F1296" s="496"/>
      <c r="G1296" s="496"/>
      <c r="H1296" s="496"/>
      <c r="I1296" s="496"/>
      <c r="J1296" s="496"/>
    </row>
    <row r="1297" spans="1:10" ht="63.75">
      <c r="A1297" s="99" t="str">
        <f>'[3]Planilha Orçamentária'!A328</f>
        <v>1.5.9.3</v>
      </c>
      <c r="B1297" s="48">
        <f>VLOOKUP(A1297,'[3]Planilha Orçamentária'!A:K,2,0)</f>
        <v>36170</v>
      </c>
      <c r="C1297" s="100" t="str">
        <f>VLOOKUP(A1297,'[3]Planilha Orçamentária'!A:K,3,0)</f>
        <v xml:space="preserve">BLOQUETE/PISO INTERTRAVADO DE CONCRETO - MODELO ONDA/16 FACES/RETANGULAR/TIJOLINHO/PAVER/HOLANDES/PARALELEPIPEDO, *22 CM X 11* CM, E = 8 CM, RESISTENCIA DE 35 MPA (NBR 9781), COR NATURAL                                                                                                                                                                                                                                                                                                                </v>
      </c>
      <c r="D1297" s="101" t="str">
        <f>VLOOKUP(A1297,'[3]Planilha Orçamentária'!A:K,4,0)</f>
        <v xml:space="preserve">M2    </v>
      </c>
      <c r="E1297" s="100"/>
      <c r="F1297" s="102"/>
      <c r="G1297" s="102"/>
      <c r="H1297" s="102"/>
      <c r="I1297" s="102"/>
      <c r="J1297" s="193">
        <f>ROUND(SUM(J1298:J1299),2)</f>
        <v>920.11</v>
      </c>
    </row>
    <row r="1298" spans="1:10">
      <c r="A1298" s="94"/>
      <c r="B1298" s="128"/>
      <c r="C1298" s="79" t="s">
        <v>1820</v>
      </c>
      <c r="D1298" s="96"/>
      <c r="E1298" s="34" t="s">
        <v>837</v>
      </c>
      <c r="F1298" s="34"/>
      <c r="G1298" s="82"/>
      <c r="H1298" s="82"/>
      <c r="I1298" s="82" t="s">
        <v>1620</v>
      </c>
      <c r="J1298" s="120"/>
    </row>
    <row r="1299" spans="1:10">
      <c r="A1299" s="94"/>
      <c r="B1299" s="128"/>
      <c r="C1299" s="194" t="s">
        <v>1677</v>
      </c>
      <c r="D1299" s="53"/>
      <c r="E1299" s="94">
        <v>1.0130999999999999</v>
      </c>
      <c r="F1299" s="34"/>
      <c r="G1299" s="82"/>
      <c r="H1299" s="82"/>
      <c r="I1299" s="82">
        <f>J1136</f>
        <v>908.21</v>
      </c>
      <c r="J1299" s="120">
        <f>ROUND(PRODUCT(E1299:I1299),2)</f>
        <v>920.11</v>
      </c>
    </row>
    <row r="1300" spans="1:10">
      <c r="A1300" s="497"/>
      <c r="B1300" s="497"/>
      <c r="C1300" s="497"/>
      <c r="D1300" s="497"/>
      <c r="E1300" s="497"/>
      <c r="F1300" s="497"/>
      <c r="G1300" s="497"/>
      <c r="H1300" s="497"/>
      <c r="I1300" s="497"/>
      <c r="J1300" s="497"/>
    </row>
    <row r="1301" spans="1:10" ht="63.75">
      <c r="A1301" s="99" t="str">
        <f>'[3]Planilha Orçamentária'!A329</f>
        <v>1.5.9.4</v>
      </c>
      <c r="B1301" s="48">
        <f>VLOOKUP(A1301,'[3]Planilha Orçamentária'!A:K,2,0)</f>
        <v>36154</v>
      </c>
      <c r="C1301" s="100" t="str">
        <f>VLOOKUP(A1301,'[3]Planilha Orçamentária'!A:K,3,0)</f>
        <v xml:space="preserve">BLOQUETE/PISO INTERTRAVADO DE CONCRETO - MODELO ONDA/16 FACES/RETANGULAR/TIJOLINHO/PAVER/HOLANDES/PARALELEPIPEDO, 20 CM X 10 CM, E = 8 CM, RESISTENCIA DE 35 MPA (NBR 9781), COLORIDO                                                                                                                                                                                                                                                                                                                     </v>
      </c>
      <c r="D1301" s="101" t="str">
        <f>VLOOKUP(A1301,'[3]Planilha Orçamentária'!A:K,4,0)</f>
        <v xml:space="preserve">M2    </v>
      </c>
      <c r="E1301" s="100"/>
      <c r="F1301" s="102"/>
      <c r="G1301" s="102"/>
      <c r="H1301" s="102"/>
      <c r="I1301" s="102"/>
      <c r="J1301" s="33">
        <f>ROUND(SUM(J1302:J1304),2)</f>
        <v>425.25</v>
      </c>
    </row>
    <row r="1302" spans="1:10">
      <c r="A1302" s="94"/>
      <c r="B1302" s="128"/>
      <c r="C1302" s="79" t="s">
        <v>1820</v>
      </c>
      <c r="D1302" s="96"/>
      <c r="E1302" s="34" t="s">
        <v>837</v>
      </c>
      <c r="F1302" s="34"/>
      <c r="G1302" s="82"/>
      <c r="H1302" s="82"/>
      <c r="I1302" s="82" t="s">
        <v>1620</v>
      </c>
      <c r="J1302" s="120"/>
    </row>
    <row r="1303" spans="1:10">
      <c r="A1303" s="94"/>
      <c r="B1303" s="128"/>
      <c r="C1303" s="194" t="s">
        <v>1677</v>
      </c>
      <c r="D1303" s="53"/>
      <c r="E1303" s="94">
        <v>1.0130999999999999</v>
      </c>
      <c r="F1303" s="34"/>
      <c r="G1303" s="82"/>
      <c r="H1303" s="82"/>
      <c r="I1303" s="82">
        <f>J1137</f>
        <v>419.75</v>
      </c>
      <c r="J1303" s="120">
        <f t="shared" ref="J1303" si="125">ROUND(PRODUCT(E1303:I1303),2)</f>
        <v>425.25</v>
      </c>
    </row>
    <row r="1304" spans="1:10">
      <c r="A1304" s="94"/>
      <c r="B1304" s="128"/>
      <c r="C1304" s="145"/>
      <c r="D1304" s="96"/>
      <c r="E1304" s="82"/>
      <c r="F1304" s="34"/>
      <c r="G1304" s="82"/>
      <c r="H1304" s="82"/>
      <c r="I1304" s="82"/>
      <c r="J1304" s="120"/>
    </row>
    <row r="1305" spans="1:10">
      <c r="A1305" s="498"/>
      <c r="B1305" s="499"/>
      <c r="C1305" s="499"/>
      <c r="D1305" s="499"/>
      <c r="E1305" s="499"/>
      <c r="F1305" s="499"/>
      <c r="G1305" s="499"/>
      <c r="H1305" s="499"/>
      <c r="I1305" s="499"/>
      <c r="J1305" s="500"/>
    </row>
    <row r="1306" spans="1:10" ht="38.25">
      <c r="A1306" s="28" t="str">
        <f>'[3]Planilha Orçamentária'!A330</f>
        <v>1.5.9.5</v>
      </c>
      <c r="B1306" s="29">
        <f>VLOOKUP(A1306,'[3]Planilha Orçamentária'!A:K,2,0)</f>
        <v>1518</v>
      </c>
      <c r="C1306" s="30" t="str">
        <f>VLOOKUP(A1306,'[3]Planilha Orçamentária'!A:K,3,0)</f>
        <v xml:space="preserve">CONCRETO BETUMINOSO USINADO A QUENTE (CBUQ) PARA PAVIMENTACAO ASFALTICA, PADRAO DNIT, FAIXA C, COM CAP 50/70 - AQUISICAO POSTO USINA                                                                                                                                                                                                                                                                                                                                                                      </v>
      </c>
      <c r="D1306" s="31" t="str">
        <f>VLOOKUP(A1306,'[3]Planilha Orçamentária'!A:K,4,0)</f>
        <v xml:space="preserve">T     </v>
      </c>
      <c r="E1306" s="30"/>
      <c r="F1306" s="32"/>
      <c r="G1306" s="32"/>
      <c r="H1306" s="32"/>
      <c r="I1306" s="32"/>
      <c r="J1306" s="33">
        <f>ROUND(SUM(J1307:J1308),2)</f>
        <v>52.02</v>
      </c>
    </row>
    <row r="1307" spans="1:10">
      <c r="A1307" s="94"/>
      <c r="B1307" s="94"/>
      <c r="C1307" s="79" t="s">
        <v>1820</v>
      </c>
      <c r="D1307" s="94"/>
      <c r="E1307" s="34" t="s">
        <v>837</v>
      </c>
      <c r="F1307" s="94"/>
      <c r="G1307" s="94"/>
      <c r="H1307" s="94"/>
      <c r="I1307" s="94" t="s">
        <v>1623</v>
      </c>
      <c r="J1307" s="94"/>
    </row>
    <row r="1308" spans="1:10">
      <c r="A1308" s="94"/>
      <c r="B1308" s="94"/>
      <c r="C1308" s="195" t="s">
        <v>1679</v>
      </c>
      <c r="D1308" s="94"/>
      <c r="E1308" s="94">
        <v>2.5548000000000002</v>
      </c>
      <c r="F1308" s="94"/>
      <c r="G1308" s="94"/>
      <c r="H1308" s="94"/>
      <c r="I1308" s="196">
        <f>J1144</f>
        <v>20.36</v>
      </c>
      <c r="J1308" s="120">
        <f t="shared" ref="J1308" si="126">ROUND(PRODUCT(E1308:I1308),2)</f>
        <v>52.02</v>
      </c>
    </row>
    <row r="1309" spans="1:10" ht="13.5" customHeight="1">
      <c r="A1309" s="130"/>
      <c r="B1309" s="197"/>
      <c r="C1309" s="197"/>
      <c r="D1309" s="197"/>
      <c r="E1309" s="197"/>
      <c r="F1309" s="197"/>
      <c r="G1309" s="197"/>
      <c r="H1309" s="197"/>
      <c r="I1309" s="197"/>
      <c r="J1309" s="138"/>
    </row>
    <row r="1310" spans="1:10" ht="25.5">
      <c r="A1310" s="28" t="str">
        <f>'[3]Planilha Orçamentária'!A331</f>
        <v>1.5.9.6</v>
      </c>
      <c r="B1310" s="29" t="str">
        <f>VLOOKUP(A1310,'[3]Planilha Orçamentária'!A:K,2,0)</f>
        <v>M0132</v>
      </c>
      <c r="C1310" s="30" t="str">
        <f>VLOOKUP(A1310,'[3]Planilha Orçamentária'!A:K,3,0)</f>
        <v xml:space="preserve">	Tubo PEAD corrugado com paredes estruturadas para drenagem - D = 450 mm</v>
      </c>
      <c r="D1310" s="31" t="str">
        <f>VLOOKUP(A1310,'[3]Planilha Orçamentária'!A:K,4,0)</f>
        <v>M</v>
      </c>
      <c r="E1310" s="30"/>
      <c r="F1310" s="32"/>
      <c r="G1310" s="32"/>
      <c r="H1310" s="32"/>
      <c r="I1310" s="32"/>
      <c r="J1310" s="33">
        <f>ROUND(SUM(J1311:J1312),2)</f>
        <v>89.77</v>
      </c>
    </row>
    <row r="1311" spans="1:10" ht="13.5" customHeight="1">
      <c r="A1311" s="94"/>
      <c r="B1311" s="94"/>
      <c r="C1311" s="154" t="s">
        <v>1828</v>
      </c>
      <c r="D1311" s="94"/>
      <c r="E1311" s="94"/>
      <c r="F1311" s="94" t="s">
        <v>1606</v>
      </c>
      <c r="G1311" s="94"/>
      <c r="H1311" s="94"/>
      <c r="I1311" s="94"/>
      <c r="J1311" s="94"/>
    </row>
    <row r="1312" spans="1:10" ht="13.5" customHeight="1">
      <c r="A1312" s="94"/>
      <c r="B1312" s="94"/>
      <c r="C1312" s="145" t="s">
        <v>1857</v>
      </c>
      <c r="D1312" s="94"/>
      <c r="E1312" s="94"/>
      <c r="F1312" s="196">
        <f>F1258</f>
        <v>89.77</v>
      </c>
      <c r="G1312" s="94"/>
      <c r="H1312" s="94"/>
      <c r="I1312" s="196"/>
      <c r="J1312" s="120">
        <f t="shared" ref="J1312" si="127">ROUND(PRODUCT(E1312:I1312),2)</f>
        <v>89.77</v>
      </c>
    </row>
    <row r="1313" spans="1:10" ht="13.5" customHeight="1">
      <c r="A1313" s="130"/>
      <c r="B1313" s="197"/>
      <c r="C1313" s="197"/>
      <c r="D1313" s="197"/>
      <c r="E1313" s="197"/>
      <c r="F1313" s="197"/>
      <c r="G1313" s="197"/>
      <c r="H1313" s="197"/>
      <c r="I1313" s="197"/>
      <c r="J1313" s="138"/>
    </row>
    <row r="1314" spans="1:10" ht="13.5" customHeight="1">
      <c r="A1314" s="28" t="str">
        <f>'[3]Planilha Orçamentária'!A332</f>
        <v>1.5.9.7</v>
      </c>
      <c r="B1314" s="29" t="str">
        <f>VLOOKUP(A1314,'[3]Planilha Orçamentária'!A:K,2,0)</f>
        <v>INS-185032</v>
      </c>
      <c r="C1314" s="30" t="str">
        <f>VLOOKUP(A1314,'[3]Planilha Orçamentária'!A:K,3,0)</f>
        <v>BRITA GRADUADA SIMPLES (BGS)</v>
      </c>
      <c r="D1314" s="31" t="str">
        <f>VLOOKUP(A1314,'[3]Planilha Orçamentária'!A:K,4,0)</f>
        <v>M3</v>
      </c>
      <c r="E1314" s="30"/>
      <c r="F1314" s="32"/>
      <c r="G1314" s="32"/>
      <c r="H1314" s="32"/>
      <c r="I1314" s="32"/>
      <c r="J1314" s="33">
        <f>ROUND(SUM(J1315:J1316),2)</f>
        <v>351.38</v>
      </c>
    </row>
    <row r="1315" spans="1:10" ht="13.5" customHeight="1">
      <c r="A1315" s="94"/>
      <c r="B1315" s="94"/>
      <c r="C1315" s="154" t="s">
        <v>1828</v>
      </c>
      <c r="D1315" s="94"/>
      <c r="E1315" s="34" t="s">
        <v>837</v>
      </c>
      <c r="F1315" s="94"/>
      <c r="G1315" s="94"/>
      <c r="H1315" s="94"/>
      <c r="I1315" s="94" t="s">
        <v>1623</v>
      </c>
      <c r="J1315" s="94"/>
    </row>
    <row r="1316" spans="1:10" ht="13.5" customHeight="1">
      <c r="A1316" s="94"/>
      <c r="B1316" s="94"/>
      <c r="C1316" s="194" t="s">
        <v>1680</v>
      </c>
      <c r="D1316" s="53"/>
      <c r="E1316" s="198">
        <v>1</v>
      </c>
      <c r="F1316" s="94"/>
      <c r="G1316" s="94"/>
      <c r="H1316" s="94"/>
      <c r="I1316" s="196">
        <f>J1118</f>
        <v>351.38</v>
      </c>
      <c r="J1316" s="120">
        <f t="shared" ref="J1316" si="128">ROUND(PRODUCT(E1316:I1316),2)</f>
        <v>351.38</v>
      </c>
    </row>
    <row r="1317" spans="1:10" ht="13.5" customHeight="1">
      <c r="A1317" s="130"/>
      <c r="B1317" s="197"/>
      <c r="C1317" s="197"/>
      <c r="D1317" s="197"/>
      <c r="E1317" s="197"/>
      <c r="F1317" s="197"/>
      <c r="G1317" s="197"/>
      <c r="H1317" s="197"/>
      <c r="I1317" s="197"/>
      <c r="J1317" s="137"/>
    </row>
    <row r="1318" spans="1:10" ht="13.5" customHeight="1">
      <c r="A1318" s="28" t="str">
        <f>'[3]Planilha Orçamentária'!A333</f>
        <v>1.5.9.8</v>
      </c>
      <c r="B1318" s="29" t="str">
        <f>VLOOKUP(A1318,'[3]Planilha Orçamentária'!A:K,2,0)</f>
        <v>M0808</v>
      </c>
      <c r="C1318" s="30" t="str">
        <f>VLOOKUP(A1318,'[3]Planilha Orçamentária'!A:K,3,0)</f>
        <v>Brita 4</v>
      </c>
      <c r="D1318" s="31" t="str">
        <f>VLOOKUP(A1318,'[3]Planilha Orçamentária'!A:K,4,0)</f>
        <v>M3</v>
      </c>
      <c r="E1318" s="30"/>
      <c r="F1318" s="32"/>
      <c r="G1318" s="32"/>
      <c r="H1318" s="32"/>
      <c r="I1318" s="32"/>
      <c r="J1318" s="33">
        <f>ROUND(SUM(J1319:J1320),2)</f>
        <v>94.58</v>
      </c>
    </row>
    <row r="1319" spans="1:10" ht="13.5" customHeight="1">
      <c r="A1319" s="94"/>
      <c r="B1319" s="94"/>
      <c r="C1319" s="199"/>
      <c r="D1319" s="53"/>
      <c r="E1319" s="53" t="s">
        <v>1678</v>
      </c>
      <c r="F1319" s="94"/>
      <c r="G1319" s="94"/>
      <c r="H1319" s="94"/>
      <c r="I1319" s="94" t="s">
        <v>1623</v>
      </c>
      <c r="J1319" s="94"/>
    </row>
    <row r="1320" spans="1:10" ht="13.5" customHeight="1">
      <c r="A1320" s="94"/>
      <c r="B1320" s="94"/>
      <c r="C1320" s="109" t="s">
        <v>1681</v>
      </c>
      <c r="D1320" s="53"/>
      <c r="E1320" s="200">
        <v>1.26</v>
      </c>
      <c r="F1320" s="94"/>
      <c r="G1320" s="94"/>
      <c r="H1320" s="94"/>
      <c r="I1320" s="196">
        <f>J1113</f>
        <v>75.06</v>
      </c>
      <c r="J1320" s="120">
        <f t="shared" ref="J1320" si="129">ROUND(PRODUCT(E1320:I1320),2)</f>
        <v>94.58</v>
      </c>
    </row>
    <row r="1321" spans="1:10" ht="13.5" customHeight="1">
      <c r="A1321" s="130"/>
      <c r="B1321" s="197"/>
      <c r="C1321" s="197"/>
      <c r="D1321" s="197"/>
      <c r="E1321" s="197"/>
      <c r="F1321" s="197"/>
      <c r="G1321" s="197"/>
      <c r="H1321" s="197"/>
      <c r="I1321" s="197"/>
      <c r="J1321" s="137"/>
    </row>
    <row r="1322" spans="1:10" ht="13.5" customHeight="1">
      <c r="A1322" s="28" t="str">
        <f>'[3]Planilha Orçamentária'!A334</f>
        <v>1.5.9.9</v>
      </c>
      <c r="B1322" s="29" t="str">
        <f>VLOOKUP(A1322,'[3]Planilha Orçamentária'!A:K,2,0)</f>
        <v>M1135</v>
      </c>
      <c r="C1322" s="30" t="str">
        <f>VLOOKUP(A1322,'[3]Planilha Orçamentária'!A:K,3,0)</f>
        <v>Pó de pedra</v>
      </c>
      <c r="D1322" s="31" t="str">
        <f>VLOOKUP(A1322,'[3]Planilha Orçamentária'!A:K,4,0)</f>
        <v>M3</v>
      </c>
      <c r="E1322" s="30"/>
      <c r="F1322" s="32"/>
      <c r="G1322" s="32"/>
      <c r="H1322" s="32"/>
      <c r="I1322" s="32"/>
      <c r="J1322" s="33">
        <f>ROUND(SUM(J1323:J1324),2)</f>
        <v>10.51</v>
      </c>
    </row>
    <row r="1323" spans="1:10" ht="13.5" customHeight="1">
      <c r="A1323" s="94"/>
      <c r="B1323" s="94"/>
      <c r="C1323" s="199"/>
      <c r="D1323" s="53"/>
      <c r="E1323" s="53" t="s">
        <v>1678</v>
      </c>
      <c r="F1323" s="94"/>
      <c r="G1323" s="94"/>
      <c r="H1323" s="94"/>
      <c r="I1323" s="94" t="s">
        <v>1623</v>
      </c>
      <c r="J1323" s="94"/>
    </row>
    <row r="1324" spans="1:10" ht="13.5" customHeight="1">
      <c r="A1324" s="94"/>
      <c r="B1324" s="94"/>
      <c r="C1324" s="109" t="s">
        <v>1681</v>
      </c>
      <c r="D1324" s="53"/>
      <c r="E1324" s="53">
        <v>0.14000000000000001</v>
      </c>
      <c r="F1324" s="94"/>
      <c r="G1324" s="94"/>
      <c r="H1324" s="94"/>
      <c r="I1324" s="196">
        <f>I1320</f>
        <v>75.06</v>
      </c>
      <c r="J1324" s="120">
        <f t="shared" ref="J1324" si="130">ROUND(PRODUCT(E1324:I1324),2)</f>
        <v>10.51</v>
      </c>
    </row>
    <row r="1325" spans="1:10" ht="13.5" customHeight="1">
      <c r="A1325" s="130"/>
      <c r="B1325" s="197"/>
      <c r="C1325" s="197"/>
      <c r="D1325" s="197"/>
      <c r="E1325" s="197"/>
      <c r="F1325" s="197"/>
      <c r="G1325" s="197"/>
      <c r="H1325" s="197"/>
      <c r="I1325" s="197"/>
      <c r="J1325" s="137"/>
    </row>
    <row r="1326" spans="1:10" ht="38.25">
      <c r="A1326" s="28" t="str">
        <f>'[3]Planilha Orçamentária'!A335</f>
        <v>1.5.9.10</v>
      </c>
      <c r="B1326" s="29">
        <f>VLOOKUP(A1326,'[3]Planilha Orçamentária'!A:K,2,0)</f>
        <v>34492</v>
      </c>
      <c r="C1326" s="30" t="str">
        <f>VLOOKUP(A1326,'[3]Planilha Orçamentária'!A:K,3,0)</f>
        <v xml:space="preserve">CONCRETO USINADO BOMBEAVEL, CLASSE DE RESISTENCIA C20, COM BRITA 0 E 1, SLUMP = 100 +/- 20 MM, EXCLUI SERVICO DE BOMBEAMENTO (NBR 8953)                                                                                                                                                                                                                                                                                                                                                                   </v>
      </c>
      <c r="D1326" s="31" t="str">
        <f>VLOOKUP(A1326,'[3]Planilha Orçamentária'!A:K,4,0)</f>
        <v xml:space="preserve">M3    </v>
      </c>
      <c r="E1326" s="30"/>
      <c r="F1326" s="32"/>
      <c r="G1326" s="32"/>
      <c r="H1326" s="32"/>
      <c r="I1326" s="32"/>
      <c r="J1326" s="33">
        <f>ROUND(SUM(J1327:J1328),2)</f>
        <v>21.56</v>
      </c>
    </row>
    <row r="1327" spans="1:10" ht="13.5" customHeight="1">
      <c r="A1327" s="94"/>
      <c r="B1327" s="94"/>
      <c r="C1327" s="79"/>
      <c r="D1327" s="94"/>
      <c r="E1327" s="53" t="s">
        <v>1678</v>
      </c>
      <c r="F1327" s="94"/>
      <c r="G1327" s="94"/>
      <c r="H1327" s="94"/>
      <c r="I1327" s="94" t="s">
        <v>1623</v>
      </c>
      <c r="J1327" s="94"/>
    </row>
    <row r="1328" spans="1:10" ht="13.5" customHeight="1">
      <c r="A1328" s="94"/>
      <c r="B1328" s="94"/>
      <c r="C1328" s="194" t="s">
        <v>1682</v>
      </c>
      <c r="D1328" s="53"/>
      <c r="E1328" s="198">
        <v>1.2130000000000001</v>
      </c>
      <c r="F1328" s="94"/>
      <c r="G1328" s="94"/>
      <c r="H1328" s="94"/>
      <c r="I1328" s="196">
        <f>J1160</f>
        <v>17.77</v>
      </c>
      <c r="J1328" s="120">
        <f t="shared" ref="J1328" si="131">ROUND(PRODUCT(E1328:I1328),2)</f>
        <v>21.56</v>
      </c>
    </row>
    <row r="1329" spans="1:10" ht="13.5" customHeight="1">
      <c r="A1329" s="130"/>
      <c r="B1329" s="197"/>
      <c r="C1329" s="197"/>
      <c r="D1329" s="197"/>
      <c r="E1329" s="197"/>
      <c r="F1329" s="197"/>
      <c r="G1329" s="197"/>
      <c r="H1329" s="197"/>
      <c r="I1329" s="197"/>
      <c r="J1329" s="137"/>
    </row>
    <row r="1330" spans="1:10">
      <c r="A1330" s="201" t="str">
        <f>'[3]Planilha Orçamentária'!A336</f>
        <v>1.6</v>
      </c>
      <c r="B1330" s="504" t="str">
        <f>VLOOKUP(A1330,'[3]Planilha Orçamentária'!A:K,3,0)</f>
        <v>RUA NOVA VIDA - GUARARAPES</v>
      </c>
      <c r="C1330" s="505"/>
      <c r="D1330" s="505"/>
      <c r="E1330" s="505"/>
      <c r="F1330" s="505"/>
      <c r="G1330" s="505"/>
      <c r="H1330" s="505"/>
      <c r="I1330" s="505"/>
      <c r="J1330" s="505"/>
    </row>
    <row r="1331" spans="1:10">
      <c r="A1331" s="19" t="str">
        <f>'[3]Planilha Orçamentária'!A337</f>
        <v>1.6.1</v>
      </c>
      <c r="B1331" s="20"/>
      <c r="C1331" s="21" t="str">
        <f>VLOOKUP(A1331,'[3]Planilha Orçamentária'!A:K,3,0)</f>
        <v>INSTALAÇÕES PROVISÓRIAS</v>
      </c>
      <c r="D1331" s="22"/>
      <c r="E1331" s="23"/>
      <c r="F1331" s="24"/>
      <c r="G1331" s="24"/>
      <c r="H1331" s="24"/>
      <c r="I1331" s="25"/>
      <c r="J1331" s="26"/>
    </row>
    <row r="1332" spans="1:10" ht="25.5">
      <c r="A1332" s="59" t="str">
        <f>'[3]Planilha Orçamentária'!A338</f>
        <v>1.6.1.1</v>
      </c>
      <c r="B1332" s="42" t="str">
        <f>VLOOKUP(A1332,'[3]Planilha Orçamentária'!A:K,2,0)</f>
        <v>CP-74209/001-15055090</v>
      </c>
      <c r="C1332" s="30" t="str">
        <f>VLOOKUP(A1332,'[3]Planilha Orçamentária'!A:K,3,0)</f>
        <v>PLACA DE OBRA EM CHAPA DE ACO GALVANIZADO</v>
      </c>
      <c r="D1332" s="31" t="str">
        <f>VLOOKUP(A1332,'[3]Planilha Orçamentária'!A:K,4,0)</f>
        <v xml:space="preserve">M2    </v>
      </c>
      <c r="E1332" s="30"/>
      <c r="F1332" s="34" t="s">
        <v>1606</v>
      </c>
      <c r="G1332" s="34" t="s">
        <v>1607</v>
      </c>
      <c r="H1332" s="34"/>
      <c r="I1332" s="34" t="s">
        <v>1608</v>
      </c>
      <c r="J1332" s="45">
        <f>ROUND(SUM(J1334:J1334),2)</f>
        <v>8</v>
      </c>
    </row>
    <row r="1333" spans="1:10">
      <c r="A1333" s="59"/>
      <c r="B1333" s="42"/>
      <c r="C1333" s="202"/>
      <c r="D1333" s="203"/>
      <c r="E1333" s="202"/>
      <c r="F1333" s="32"/>
      <c r="G1333" s="32"/>
      <c r="H1333" s="32"/>
      <c r="I1333" s="32"/>
      <c r="J1333" s="45"/>
    </row>
    <row r="1334" spans="1:10">
      <c r="A1334" s="59"/>
      <c r="B1334" s="27"/>
      <c r="C1334" s="204"/>
      <c r="D1334" s="205"/>
      <c r="E1334" s="206"/>
      <c r="F1334" s="35">
        <v>2</v>
      </c>
      <c r="G1334" s="35">
        <v>4</v>
      </c>
      <c r="H1334" s="207"/>
      <c r="I1334" s="35">
        <v>1</v>
      </c>
      <c r="J1334" s="58">
        <f>ROUND(PRODUCT(E1334:I1334),2)</f>
        <v>8</v>
      </c>
    </row>
    <row r="1335" spans="1:10">
      <c r="A1335" s="515"/>
      <c r="B1335" s="516"/>
      <c r="C1335" s="516"/>
      <c r="D1335" s="516"/>
      <c r="E1335" s="516"/>
      <c r="F1335" s="516"/>
      <c r="G1335" s="516"/>
      <c r="H1335" s="516"/>
      <c r="I1335" s="516"/>
      <c r="J1335" s="517"/>
    </row>
    <row r="1336" spans="1:10" ht="25.5">
      <c r="A1336" s="59" t="str">
        <f>'[3]Planilha Orçamentária'!A339</f>
        <v>1.6.1.2</v>
      </c>
      <c r="B1336" s="29" t="str">
        <f>VLOOKUP(A1336,'[3]Planilha Orçamentária'!A:K,2,0)</f>
        <v>COMP-07440249</v>
      </c>
      <c r="C1336" s="30" t="str">
        <f>VLOOKUP(A1336,'[3]Planilha Orçamentária'!A:K,3,0)</f>
        <v>BANHEIRO QUÍMICO, COM LOCAÇÃO, TRANSPORTE E LIMPEZA</v>
      </c>
      <c r="D1336" s="31" t="str">
        <f>VLOOKUP(A1336,'[3]Planilha Orçamentária'!A:K,4,0)</f>
        <v>MÊS</v>
      </c>
      <c r="E1336" s="30"/>
      <c r="F1336" s="32"/>
      <c r="G1336" s="32"/>
      <c r="H1336" s="32"/>
      <c r="I1336" s="32"/>
      <c r="J1336" s="33">
        <f>ROUND(SUM(J1338:J1338),2)</f>
        <v>3</v>
      </c>
    </row>
    <row r="1337" spans="1:10" ht="25.5">
      <c r="A1337" s="59"/>
      <c r="B1337" s="29"/>
      <c r="C1337" s="30"/>
      <c r="D1337" s="31"/>
      <c r="E1337" s="30"/>
      <c r="F1337" s="32"/>
      <c r="G1337" s="32"/>
      <c r="H1337" s="32"/>
      <c r="I1337" s="34" t="s">
        <v>1609</v>
      </c>
      <c r="J1337" s="33"/>
    </row>
    <row r="1338" spans="1:10">
      <c r="A1338" s="59"/>
      <c r="B1338" s="27"/>
      <c r="C1338" s="208"/>
      <c r="D1338" s="209"/>
      <c r="E1338" s="75"/>
      <c r="F1338" s="75"/>
      <c r="G1338" s="207"/>
      <c r="H1338" s="207"/>
      <c r="I1338" s="143">
        <v>3</v>
      </c>
      <c r="J1338" s="36">
        <f>ROUND(PRODUCT(E1338:I1338),2)</f>
        <v>3</v>
      </c>
    </row>
    <row r="1339" spans="1:10">
      <c r="A1339" s="59"/>
      <c r="B1339" s="27"/>
      <c r="C1339" s="208"/>
      <c r="D1339" s="209"/>
      <c r="E1339" s="75"/>
      <c r="F1339" s="75"/>
      <c r="G1339" s="207"/>
      <c r="H1339" s="207"/>
      <c r="I1339" s="143"/>
      <c r="J1339" s="36"/>
    </row>
    <row r="1340" spans="1:10">
      <c r="A1340" s="19" t="str">
        <f>'[3]Planilha Orçamentária'!A340</f>
        <v>1.6.2</v>
      </c>
      <c r="B1340" s="20"/>
      <c r="C1340" s="21" t="str">
        <f>VLOOKUP(A1340,'[3]Planilha Orçamentária'!A:K,3,0)</f>
        <v>ADMINISTRAÇÃO LOCAL</v>
      </c>
      <c r="D1340" s="21"/>
      <c r="E1340" s="39"/>
      <c r="F1340" s="40"/>
      <c r="G1340" s="40"/>
      <c r="H1340" s="40"/>
      <c r="I1340" s="40"/>
      <c r="J1340" s="41"/>
    </row>
    <row r="1341" spans="1:10" ht="25.5">
      <c r="A1341" s="28" t="str">
        <f>'[3]Planilha Orçamentária'!A341</f>
        <v>1.6.2.1</v>
      </c>
      <c r="B1341" s="42">
        <f>VLOOKUP(A1341,'[3]Planilha Orçamentária'!A:K,2,0)</f>
        <v>93565</v>
      </c>
      <c r="C1341" s="30" t="str">
        <f>VLOOKUP(A1341,'[3]Planilha Orçamentária'!A:K,3,0)</f>
        <v>ENGENHEIRO CIVIL DE OBRA JUNIOR COM ENCARGOS COMPLEMENTARES</v>
      </c>
      <c r="D1341" s="31" t="str">
        <f>VLOOKUP(A1341,'[3]Planilha Orçamentária'!A:K,4,0)</f>
        <v>MES</v>
      </c>
      <c r="E1341" s="43"/>
      <c r="F1341" s="44"/>
      <c r="G1341" s="44"/>
      <c r="H1341" s="44"/>
      <c r="I1341" s="44"/>
      <c r="J1341" s="45">
        <f>ROUND(SUM(J1343),2)</f>
        <v>0.38</v>
      </c>
    </row>
    <row r="1342" spans="1:10" ht="14.25">
      <c r="A1342" s="28"/>
      <c r="B1342" s="42"/>
      <c r="C1342" s="210"/>
      <c r="D1342" s="31"/>
      <c r="E1342" s="43"/>
      <c r="F1342" s="57"/>
      <c r="G1342" s="57"/>
      <c r="H1342" s="57"/>
      <c r="I1342" s="57"/>
      <c r="J1342" s="45"/>
    </row>
    <row r="1343" spans="1:10" ht="14.25">
      <c r="A1343" s="53"/>
      <c r="B1343" s="54"/>
      <c r="C1343" s="210" t="s">
        <v>1810</v>
      </c>
      <c r="D1343" s="211"/>
      <c r="E1343" s="57">
        <f>22/176</f>
        <v>0.125</v>
      </c>
      <c r="F1343" s="57"/>
      <c r="G1343" s="57"/>
      <c r="H1343" s="57"/>
      <c r="I1343" s="57">
        <f>I1338</f>
        <v>3</v>
      </c>
      <c r="J1343" s="58">
        <f>ROUND(PRODUCT(E1343:I1343),2)</f>
        <v>0.38</v>
      </c>
    </row>
    <row r="1344" spans="1:10" ht="14.25">
      <c r="A1344" s="53"/>
      <c r="B1344" s="54"/>
      <c r="C1344" s="210" t="s">
        <v>1684</v>
      </c>
      <c r="D1344" s="211"/>
      <c r="E1344" s="57"/>
      <c r="F1344" s="57"/>
      <c r="G1344" s="57"/>
      <c r="H1344" s="57"/>
      <c r="I1344" s="57"/>
      <c r="J1344" s="212"/>
    </row>
    <row r="1345" spans="1:10" ht="14.25">
      <c r="A1345" s="53"/>
      <c r="B1345" s="54"/>
      <c r="C1345" s="210" t="s">
        <v>1612</v>
      </c>
      <c r="D1345" s="213"/>
      <c r="E1345" s="214"/>
      <c r="F1345" s="143"/>
      <c r="G1345" s="207"/>
      <c r="H1345" s="207"/>
      <c r="I1345" s="135"/>
      <c r="J1345" s="215"/>
    </row>
    <row r="1346" spans="1:10">
      <c r="A1346" s="496"/>
      <c r="B1346" s="496"/>
      <c r="C1346" s="496"/>
      <c r="D1346" s="496"/>
      <c r="E1346" s="496"/>
      <c r="F1346" s="496"/>
      <c r="G1346" s="496"/>
      <c r="H1346" s="496"/>
      <c r="I1346" s="496"/>
      <c r="J1346" s="496"/>
    </row>
    <row r="1347" spans="1:10" ht="25.5">
      <c r="A1347" s="28" t="str">
        <f>'[3]Planilha Orçamentária'!A342</f>
        <v>1.6.2.2</v>
      </c>
      <c r="B1347" s="42">
        <f>VLOOKUP(A1347,'[3]Planilha Orçamentária'!A:K,2,0)</f>
        <v>93572</v>
      </c>
      <c r="C1347" s="30" t="str">
        <f>VLOOKUP(A1347,'[3]Planilha Orçamentária'!A:K,3,0)</f>
        <v>ENCARREGADO GERAL DE OBRAS COM ENCARGOS COMPLEMENTARES</v>
      </c>
      <c r="D1347" s="31" t="str">
        <f>VLOOKUP(A1347,'[3]Planilha Orçamentária'!A:K,4,0)</f>
        <v>MES</v>
      </c>
      <c r="E1347" s="43"/>
      <c r="F1347" s="44"/>
      <c r="G1347" s="44"/>
      <c r="H1347" s="44"/>
      <c r="I1347" s="44"/>
      <c r="J1347" s="45">
        <f>ROUND(SUM(J1349),2)</f>
        <v>1.1299999999999999</v>
      </c>
    </row>
    <row r="1348" spans="1:10" ht="14.25">
      <c r="A1348" s="28"/>
      <c r="B1348" s="42"/>
      <c r="C1348" s="210"/>
      <c r="D1348" s="31"/>
      <c r="E1348" s="43"/>
      <c r="F1348" s="57"/>
      <c r="G1348" s="57"/>
      <c r="H1348" s="57"/>
      <c r="I1348" s="57"/>
      <c r="J1348" s="45"/>
    </row>
    <row r="1349" spans="1:10" ht="14.25">
      <c r="A1349" s="53"/>
      <c r="B1349" s="54"/>
      <c r="C1349" s="210" t="s">
        <v>1859</v>
      </c>
      <c r="D1349" s="211"/>
      <c r="E1349" s="57">
        <f>66/176</f>
        <v>0.375</v>
      </c>
      <c r="F1349" s="57"/>
      <c r="G1349" s="57"/>
      <c r="H1349" s="57"/>
      <c r="I1349" s="57">
        <f>I1338</f>
        <v>3</v>
      </c>
      <c r="J1349" s="58">
        <f>ROUND(PRODUCT(E1349:I1349),2)</f>
        <v>1.1299999999999999</v>
      </c>
    </row>
    <row r="1350" spans="1:10" ht="14.25">
      <c r="A1350" s="53"/>
      <c r="B1350" s="54"/>
      <c r="C1350" s="210" t="s">
        <v>1812</v>
      </c>
      <c r="D1350" s="211"/>
      <c r="E1350" s="57"/>
      <c r="F1350" s="57"/>
      <c r="G1350" s="57"/>
      <c r="H1350" s="57"/>
      <c r="I1350" s="57"/>
      <c r="J1350" s="212"/>
    </row>
    <row r="1351" spans="1:10" ht="14.25">
      <c r="A1351" s="53"/>
      <c r="B1351" s="54"/>
      <c r="C1351" s="210" t="s">
        <v>1612</v>
      </c>
      <c r="D1351" s="213"/>
      <c r="E1351" s="214"/>
      <c r="F1351" s="143"/>
      <c r="G1351" s="207"/>
      <c r="H1351" s="207"/>
      <c r="I1351" s="135"/>
      <c r="J1351" s="215"/>
    </row>
    <row r="1352" spans="1:10">
      <c r="A1352" s="496"/>
      <c r="B1352" s="496"/>
      <c r="C1352" s="496"/>
      <c r="D1352" s="496"/>
      <c r="E1352" s="496"/>
      <c r="F1352" s="496"/>
      <c r="G1352" s="496"/>
      <c r="H1352" s="496"/>
      <c r="I1352" s="496"/>
      <c r="J1352" s="496"/>
    </row>
    <row r="1353" spans="1:10">
      <c r="A1353" s="19" t="str">
        <f>'[3]Planilha Orçamentária'!A343</f>
        <v>1.6.3</v>
      </c>
      <c r="B1353" s="20"/>
      <c r="C1353" s="21" t="str">
        <f>VLOOKUP(A1353,'[3]Planilha Orçamentária'!A:K,3,0)</f>
        <v>SERVIÇOS PRELIMINARES</v>
      </c>
      <c r="D1353" s="22"/>
      <c r="E1353" s="23"/>
      <c r="F1353" s="24"/>
      <c r="G1353" s="24"/>
      <c r="H1353" s="24"/>
      <c r="I1353" s="25"/>
      <c r="J1353" s="26"/>
    </row>
    <row r="1354" spans="1:10">
      <c r="A1354" s="60" t="str">
        <f>'[3]Planilha Orçamentária'!A344</f>
        <v>1.6.3.1</v>
      </c>
      <c r="B1354" s="61">
        <f>VLOOKUP(A1354,'[3]Planilha Orçamentária'!A:K,2,0)</f>
        <v>99064</v>
      </c>
      <c r="C1354" s="62" t="str">
        <f>VLOOKUP(A1354,'[3]Planilha Orçamentária'!A:K,3,0)</f>
        <v>LOCAÇÃO DE PAVIMENTAÇÃO. AF_10/2018</v>
      </c>
      <c r="D1354" s="63" t="str">
        <f>VLOOKUP(A1354,'[3]Planilha Orçamentária'!A:K,4,0)</f>
        <v>M</v>
      </c>
      <c r="E1354" s="62"/>
      <c r="F1354" s="57"/>
      <c r="G1354" s="71"/>
      <c r="H1354" s="71"/>
      <c r="I1354" s="71"/>
      <c r="J1354" s="78">
        <f>ROUND(SUM(J1356:J1357),2)</f>
        <v>394.19</v>
      </c>
    </row>
    <row r="1355" spans="1:10">
      <c r="A1355" s="66"/>
      <c r="B1355" s="67"/>
      <c r="C1355" s="62"/>
      <c r="D1355" s="63"/>
      <c r="E1355" s="62"/>
      <c r="F1355" s="34" t="s">
        <v>1606</v>
      </c>
      <c r="G1355" s="71"/>
      <c r="H1355" s="71"/>
      <c r="I1355" s="71"/>
      <c r="J1355" s="78"/>
    </row>
    <row r="1356" spans="1:10">
      <c r="A1356" s="94"/>
      <c r="B1356" s="94"/>
      <c r="C1356" s="109" t="s">
        <v>1860</v>
      </c>
      <c r="D1356" s="96"/>
      <c r="E1356" s="82"/>
      <c r="F1356" s="57">
        <f>[3]PARÂMETROS!B846</f>
        <v>394.19</v>
      </c>
      <c r="G1356" s="82"/>
      <c r="H1356" s="82"/>
      <c r="I1356" s="82"/>
      <c r="J1356" s="120">
        <f>ROUND(PRODUCT(E1356:I1356),2)</f>
        <v>394.19</v>
      </c>
    </row>
    <row r="1357" spans="1:10">
      <c r="A1357" s="496"/>
      <c r="B1357" s="496"/>
      <c r="C1357" s="496"/>
      <c r="D1357" s="496"/>
      <c r="E1357" s="496"/>
      <c r="F1357" s="496"/>
      <c r="G1357" s="496"/>
      <c r="H1357" s="496"/>
      <c r="I1357" s="496"/>
      <c r="J1357" s="496"/>
    </row>
    <row r="1358" spans="1:10" ht="25.5">
      <c r="A1358" s="60" t="str">
        <f>'[3]Planilha Orçamentária'!A345</f>
        <v>1.6.3.2</v>
      </c>
      <c r="B1358" s="77" t="str">
        <f>VLOOKUP(A1358,'[3]Planilha Orçamentária'!A:K,2,0)</f>
        <v>CP-97636-91696385</v>
      </c>
      <c r="C1358" s="62" t="str">
        <f>VLOOKUP(A1358,'[3]Planilha Orçamentária'!A:K,3,0)</f>
        <v>DEMOLIÇÃO DE PAVIMENTOS DIVERSOS, DE FORMA MECANIZADA, SEM REAPROVEITAMENTO.</v>
      </c>
      <c r="D1358" s="63" t="str">
        <f>VLOOKUP(A1358,'[3]Planilha Orçamentária'!A:K,4,0)</f>
        <v>M2</v>
      </c>
      <c r="E1358" s="62"/>
      <c r="F1358" s="64"/>
      <c r="G1358" s="64"/>
      <c r="H1358" s="64"/>
      <c r="I1358" s="64"/>
      <c r="J1358" s="78">
        <f>ROUND(SUM(J1360),2)</f>
        <v>109.34</v>
      </c>
    </row>
    <row r="1359" spans="1:10">
      <c r="A1359" s="27"/>
      <c r="B1359" s="27"/>
      <c r="C1359" s="311" t="s">
        <v>1861</v>
      </c>
      <c r="D1359" s="27"/>
      <c r="E1359" s="27"/>
      <c r="F1359" s="27"/>
      <c r="G1359" s="27"/>
      <c r="H1359" s="27" t="s">
        <v>1619</v>
      </c>
      <c r="I1359" s="34" t="s">
        <v>1620</v>
      </c>
      <c r="J1359" s="27"/>
    </row>
    <row r="1360" spans="1:10" ht="25.5">
      <c r="A1360" s="27"/>
      <c r="B1360" s="27"/>
      <c r="C1360" s="81" t="s">
        <v>1862</v>
      </c>
      <c r="D1360" s="27"/>
      <c r="E1360" s="27"/>
      <c r="F1360" s="27"/>
      <c r="G1360" s="27"/>
      <c r="H1360" s="27">
        <v>0.05</v>
      </c>
      <c r="I1360" s="82">
        <v>2186.79</v>
      </c>
      <c r="J1360" s="36">
        <f>ROUND(PRODUCT(E1360:I1360),2)</f>
        <v>109.34</v>
      </c>
    </row>
    <row r="1361" spans="1:10">
      <c r="A1361" s="501"/>
      <c r="B1361" s="502"/>
      <c r="C1361" s="502"/>
      <c r="D1361" s="502"/>
      <c r="E1361" s="502"/>
      <c r="F1361" s="502"/>
      <c r="G1361" s="502"/>
      <c r="H1361" s="502"/>
      <c r="I1361" s="502"/>
      <c r="J1361" s="503"/>
    </row>
    <row r="1362" spans="1:10" ht="51">
      <c r="A1362" s="60" t="str">
        <f>'[3]Planilha Orçamentária'!A346</f>
        <v>1.6.3.3</v>
      </c>
      <c r="B1362" s="77" t="str">
        <f>VLOOKUP(A1362,'[3]Planilha Orçamentária'!A:K,2,0)</f>
        <v>COMP-35145154</v>
      </c>
      <c r="C1362" s="62" t="str">
        <f>VLOOKUP(A1362,'[3]Planilha Orçamentária'!A:K,3,0)</f>
        <v>CARGA E DESCARGA MECANICA DE SOLO UTILIZANDO CAMINHAO BASCULANTE 14,0M3/36T E PA CARREGADEIRA SOBRE PNEUS 128 HP, CAPACIDADE DA CAÇAMBA 1,7 A 2,8 M3, PESO OPERACIONAL 11632 KH</v>
      </c>
      <c r="D1362" s="63" t="str">
        <f>VLOOKUP(A1362,'[3]Planilha Orçamentária'!A:K,4,0)</f>
        <v>M3</v>
      </c>
      <c r="E1362" s="62"/>
      <c r="F1362" s="64"/>
      <c r="G1362" s="64"/>
      <c r="H1362" s="64"/>
      <c r="I1362" s="64"/>
      <c r="J1362" s="78">
        <f>ROUND(SUM(J1364),2)</f>
        <v>136.68</v>
      </c>
    </row>
    <row r="1363" spans="1:10">
      <c r="A1363" s="27"/>
      <c r="B1363" s="27"/>
      <c r="C1363" s="311" t="s">
        <v>1861</v>
      </c>
      <c r="D1363" s="27"/>
      <c r="E1363" s="27" t="s">
        <v>1622</v>
      </c>
      <c r="F1363" s="27"/>
      <c r="G1363" s="27"/>
      <c r="H1363" s="27"/>
      <c r="I1363" s="34" t="s">
        <v>1623</v>
      </c>
      <c r="J1363" s="27"/>
    </row>
    <row r="1364" spans="1:10">
      <c r="A1364" s="27"/>
      <c r="B1364" s="27"/>
      <c r="C1364" s="311" t="s">
        <v>1863</v>
      </c>
      <c r="D1364" s="27"/>
      <c r="E1364" s="27">
        <v>1.25</v>
      </c>
      <c r="F1364" s="27"/>
      <c r="G1364" s="27"/>
      <c r="H1364" s="27"/>
      <c r="I1364" s="82">
        <f>J1358</f>
        <v>109.34</v>
      </c>
      <c r="J1364" s="36">
        <f>ROUND(PRODUCT(E1364:I1364),2)</f>
        <v>136.68</v>
      </c>
    </row>
    <row r="1365" spans="1:10">
      <c r="A1365" s="501"/>
      <c r="B1365" s="502"/>
      <c r="C1365" s="502"/>
      <c r="D1365" s="502"/>
      <c r="E1365" s="502"/>
      <c r="F1365" s="502"/>
      <c r="G1365" s="502"/>
      <c r="H1365" s="502"/>
      <c r="I1365" s="502"/>
      <c r="J1365" s="503"/>
    </row>
    <row r="1366" spans="1:10" ht="38.25">
      <c r="A1366" s="60" t="str">
        <f>'[3]Planilha Orçamentária'!A347</f>
        <v>1.6.3.4</v>
      </c>
      <c r="B1366" s="77">
        <f>VLOOKUP(A1366,'[3]Planilha Orçamentária'!A:K,2,0)</f>
        <v>95876</v>
      </c>
      <c r="C1366" s="62" t="str">
        <f>VLOOKUP(A1366,'[3]Planilha Orçamentária'!A:K,3,0)</f>
        <v>TRANSPORTE COM CAMINHÃO BASCULANTE DE 14 M³, EM VIA URBANA PAVIMENTADA, DMT ATÉ 30 KM (UNIDADE: M3XKM). AF_07/2020</v>
      </c>
      <c r="D1366" s="63" t="str">
        <f>VLOOKUP(A1366,'[3]Planilha Orçamentária'!A:K,4,0)</f>
        <v>M3XKM</v>
      </c>
      <c r="E1366" s="62"/>
      <c r="F1366" s="64"/>
      <c r="G1366" s="64"/>
      <c r="H1366" s="64"/>
      <c r="I1366" s="64"/>
      <c r="J1366" s="78">
        <f>ROUND(SUM(J1368),2)</f>
        <v>273.36</v>
      </c>
    </row>
    <row r="1367" spans="1:10" ht="25.5">
      <c r="A1367" s="27"/>
      <c r="B1367" s="27"/>
      <c r="C1367" s="90" t="s">
        <v>1864</v>
      </c>
      <c r="D1367" s="219"/>
      <c r="E1367" s="91" t="s">
        <v>1627</v>
      </c>
      <c r="F1367" s="27"/>
      <c r="G1367" s="27"/>
      <c r="H1367" s="27"/>
      <c r="I1367" s="34" t="s">
        <v>1644</v>
      </c>
      <c r="J1367" s="27"/>
    </row>
    <row r="1368" spans="1:10">
      <c r="A1368" s="27"/>
      <c r="B1368" s="27"/>
      <c r="C1368" s="73" t="s">
        <v>1865</v>
      </c>
      <c r="D1368" s="96"/>
      <c r="E1368" s="81">
        <v>2</v>
      </c>
      <c r="F1368" s="27"/>
      <c r="G1368" s="27"/>
      <c r="H1368" s="27"/>
      <c r="I1368" s="82">
        <f>J1362</f>
        <v>136.68</v>
      </c>
      <c r="J1368" s="36">
        <f>ROUND(PRODUCT(E1368:I1368),2)</f>
        <v>273.36</v>
      </c>
    </row>
    <row r="1369" spans="1:10">
      <c r="A1369" s="501"/>
      <c r="B1369" s="502"/>
      <c r="C1369" s="502"/>
      <c r="D1369" s="502"/>
      <c r="E1369" s="502"/>
      <c r="F1369" s="502"/>
      <c r="G1369" s="502"/>
      <c r="H1369" s="502"/>
      <c r="I1369" s="502"/>
      <c r="J1369" s="503"/>
    </row>
    <row r="1370" spans="1:10">
      <c r="A1370" s="19" t="str">
        <f>'[3]Planilha Orçamentária'!A348</f>
        <v>1.6.4</v>
      </c>
      <c r="B1370" s="20"/>
      <c r="C1370" s="21" t="str">
        <f>VLOOKUP(A1370,'[3]Planilha Orçamentária'!A:K,3,0)</f>
        <v>TERRAPLENAGEM</v>
      </c>
      <c r="D1370" s="22"/>
      <c r="E1370" s="23"/>
      <c r="F1370" s="24"/>
      <c r="G1370" s="24"/>
      <c r="H1370" s="24"/>
      <c r="I1370" s="25"/>
      <c r="J1370" s="270"/>
    </row>
    <row r="1371" spans="1:10" ht="38.25">
      <c r="A1371" s="28" t="str">
        <f>'[3]Planilha Orçamentária'!A349</f>
        <v>1.6.4.1</v>
      </c>
      <c r="B1371" s="42" t="str">
        <f>VLOOKUP(A1371,'[3]Planilha Orçamentária'!A:K,2,0)</f>
        <v>CP-74205/001-17324935</v>
      </c>
      <c r="C1371" s="30" t="str">
        <f>VLOOKUP(A1371,'[3]Planilha Orçamentária'!A:K,3,0)</f>
        <v>ESCAVAÇÃO MECÂNICA DE MATERIAL 1A. CATEGORIA, PROVENIENTE DE CORTE DE SUBLEITO (C/TRATOR ESTEIRAS  160HP)</v>
      </c>
      <c r="D1371" s="31" t="str">
        <f>VLOOKUP(A1371,'[3]Planilha Orçamentária'!A:K,4,0)</f>
        <v>M3</v>
      </c>
      <c r="E1371" s="30"/>
      <c r="F1371" s="32"/>
      <c r="G1371" s="32"/>
      <c r="H1371" s="32"/>
      <c r="I1371" s="32"/>
      <c r="J1371" s="45">
        <f>ROUND(SUM(J1373:J1373),2)</f>
        <v>827.2</v>
      </c>
    </row>
    <row r="1372" spans="1:10">
      <c r="A1372" s="28"/>
      <c r="B1372" s="42"/>
      <c r="C1372" s="86" t="s">
        <v>1866</v>
      </c>
      <c r="D1372" s="31"/>
      <c r="E1372" s="30"/>
      <c r="F1372" s="32"/>
      <c r="G1372" s="32"/>
      <c r="H1372" s="32"/>
      <c r="I1372" s="34" t="s">
        <v>1623</v>
      </c>
      <c r="J1372" s="45"/>
    </row>
    <row r="1373" spans="1:10">
      <c r="A1373" s="94"/>
      <c r="B1373" s="95"/>
      <c r="C1373" s="73" t="s">
        <v>1729</v>
      </c>
      <c r="D1373" s="96"/>
      <c r="E1373" s="82"/>
      <c r="F1373" s="82"/>
      <c r="G1373" s="82"/>
      <c r="H1373" s="82"/>
      <c r="I1373" s="82">
        <f>[3]PARÂMETROS!G848</f>
        <v>827.2</v>
      </c>
      <c r="J1373" s="97">
        <f>ROUND(PRODUCT(E1373:I1373),2)</f>
        <v>827.2</v>
      </c>
    </row>
    <row r="1374" spans="1:10">
      <c r="A1374" s="513"/>
      <c r="B1374" s="513"/>
      <c r="C1374" s="513"/>
      <c r="D1374" s="513"/>
      <c r="E1374" s="513"/>
      <c r="F1374" s="513"/>
      <c r="G1374" s="513"/>
      <c r="H1374" s="513"/>
      <c r="I1374" s="513"/>
      <c r="J1374" s="513"/>
    </row>
    <row r="1375" spans="1:10" ht="51">
      <c r="A1375" s="99" t="str">
        <f>'[3]Planilha Orçamentária'!A350</f>
        <v>1.6.4.2</v>
      </c>
      <c r="B1375" s="48" t="str">
        <f>VLOOKUP(A1375,'[3]Planilha Orçamentária'!A:K,2,0)</f>
        <v>COMP-35145154</v>
      </c>
      <c r="C1375" s="100" t="str">
        <f>VLOOKUP(A1375,'[3]Planilha Orçamentária'!A:K,3,0)</f>
        <v>CARGA E DESCARGA MECANICA DE SOLO UTILIZANDO CAMINHAO BASCULANTE 14,0M3/36T E PA CARREGADEIRA SOBRE PNEUS 128 HP, CAPACIDADE DA CAÇAMBA 1,7 A 2,8 M3, PESO OPERACIONAL 11632 KH</v>
      </c>
      <c r="D1375" s="101" t="str">
        <f>VLOOKUP(A1375,'[3]Planilha Orçamentária'!A:K,4,0)</f>
        <v>M3</v>
      </c>
      <c r="E1375" s="100"/>
      <c r="F1375" s="102"/>
      <c r="G1375" s="102"/>
      <c r="H1375" s="102"/>
      <c r="I1375" s="102"/>
      <c r="J1375" s="45">
        <f>ROUND(SUM(J1377:J1377),2)</f>
        <v>1033.04</v>
      </c>
    </row>
    <row r="1376" spans="1:10">
      <c r="A1376" s="99"/>
      <c r="B1376" s="48"/>
      <c r="C1376" s="73" t="s">
        <v>1631</v>
      </c>
      <c r="D1376" s="101"/>
      <c r="E1376" s="105" t="s">
        <v>1622</v>
      </c>
      <c r="F1376" s="106"/>
      <c r="G1376" s="106"/>
      <c r="H1376" s="106"/>
      <c r="I1376" s="106" t="s">
        <v>1623</v>
      </c>
      <c r="J1376" s="103"/>
    </row>
    <row r="1377" spans="1:10">
      <c r="A1377" s="99"/>
      <c r="B1377" s="48"/>
      <c r="C1377" s="73" t="s">
        <v>1632</v>
      </c>
      <c r="D1377" s="96"/>
      <c r="E1377" s="82">
        <v>1.25</v>
      </c>
      <c r="F1377" s="35"/>
      <c r="G1377" s="35"/>
      <c r="H1377" s="35"/>
      <c r="I1377" s="35">
        <f>[3]PARÂMETROS!G849</f>
        <v>826.43000000000006</v>
      </c>
      <c r="J1377" s="97">
        <f>ROUND(PRODUCT(E1377:I1377),2)</f>
        <v>1033.04</v>
      </c>
    </row>
    <row r="1378" spans="1:10">
      <c r="A1378" s="513"/>
      <c r="B1378" s="513"/>
      <c r="C1378" s="513"/>
      <c r="D1378" s="513"/>
      <c r="E1378" s="513"/>
      <c r="F1378" s="513"/>
      <c r="G1378" s="513"/>
      <c r="H1378" s="513"/>
      <c r="I1378" s="513"/>
      <c r="J1378" s="513"/>
    </row>
    <row r="1379" spans="1:10" ht="38.25">
      <c r="A1379" s="216" t="str">
        <f>'[3]Planilha Orçamentária'!A351</f>
        <v>1.6.4.3</v>
      </c>
      <c r="B1379" s="217">
        <f>VLOOKUP(A1379,'[3]Planilha Orçamentária'!A:K,2,0)</f>
        <v>95876</v>
      </c>
      <c r="C1379" s="218" t="str">
        <f>VLOOKUP(A1379,'[3]Planilha Orçamentária'!A:K,3,0)</f>
        <v>TRANSPORTE COM CAMINHÃO BASCULANTE DE 14 M³, EM VIA URBANA PAVIMENTADA, DMT ATÉ 30 KM (UNIDADE: M3XKM). AF_07/2020</v>
      </c>
      <c r="D1379" s="219" t="str">
        <f>VLOOKUP(A1379,'[3]Planilha Orçamentária'!A:K,4,0)</f>
        <v>M3XKM</v>
      </c>
      <c r="E1379" s="218"/>
      <c r="F1379" s="64"/>
      <c r="G1379" s="64"/>
      <c r="H1379" s="64"/>
      <c r="I1379" s="64"/>
      <c r="J1379" s="33">
        <f>ROUND(SUM(J1381:J1381),2)</f>
        <v>2066.08</v>
      </c>
    </row>
    <row r="1380" spans="1:10">
      <c r="A1380" s="216"/>
      <c r="B1380" s="217"/>
      <c r="C1380" s="90" t="s">
        <v>1864</v>
      </c>
      <c r="D1380" s="219"/>
      <c r="E1380" s="91" t="s">
        <v>1627</v>
      </c>
      <c r="F1380" s="64"/>
      <c r="G1380" s="64"/>
      <c r="H1380" s="80"/>
      <c r="I1380" s="80" t="s">
        <v>1623</v>
      </c>
      <c r="J1380" s="78"/>
    </row>
    <row r="1381" spans="1:10">
      <c r="A1381" s="216"/>
      <c r="B1381" s="217"/>
      <c r="C1381" s="73" t="s">
        <v>1865</v>
      </c>
      <c r="D1381" s="96"/>
      <c r="E1381" s="81">
        <v>2</v>
      </c>
      <c r="F1381" s="271"/>
      <c r="G1381" s="271"/>
      <c r="H1381" s="271"/>
      <c r="I1381" s="225">
        <f>J1375</f>
        <v>1033.04</v>
      </c>
      <c r="J1381" s="226">
        <f>ROUND(PRODUCT(E1381:I1381),2)</f>
        <v>2066.08</v>
      </c>
    </row>
    <row r="1382" spans="1:10">
      <c r="A1382" s="498"/>
      <c r="B1382" s="499"/>
      <c r="C1382" s="499"/>
      <c r="D1382" s="499"/>
      <c r="E1382" s="499"/>
      <c r="F1382" s="499"/>
      <c r="G1382" s="499"/>
      <c r="H1382" s="499"/>
      <c r="I1382" s="499"/>
      <c r="J1382" s="500"/>
    </row>
    <row r="1383" spans="1:10" ht="38.25">
      <c r="A1383" s="28" t="str">
        <f>'[3]Planilha Orçamentária'!A352</f>
        <v>1.6.4.4</v>
      </c>
      <c r="B1383" s="42">
        <f>VLOOKUP(A1383,'[3]Planilha Orçamentária'!A:K,2,0)</f>
        <v>96385</v>
      </c>
      <c r="C1383" s="30" t="str">
        <f>VLOOKUP(A1383,'[3]Planilha Orçamentária'!A:K,3,0)</f>
        <v>EXECUÇÃO E COMPACTAÇÃO DE ATERRO COM SOLO PREDOMINANTEMENTE ARGILOSO - EXCLUSIVE SOLO, ESCAVAÇÃO, CARGA E TRANSPORTE. AF_11/2019</v>
      </c>
      <c r="D1383" s="31" t="str">
        <f>VLOOKUP(A1383,'[3]Planilha Orçamentária'!A:K,4,0)</f>
        <v>M3</v>
      </c>
      <c r="E1383" s="30"/>
      <c r="F1383" s="32"/>
      <c r="G1383" s="32"/>
      <c r="H1383" s="32"/>
      <c r="I1383" s="32"/>
      <c r="J1383" s="45">
        <f>ROUND(SUM(J1385:J1385),2)</f>
        <v>0.77</v>
      </c>
    </row>
    <row r="1384" spans="1:10">
      <c r="A1384" s="28"/>
      <c r="B1384" s="42"/>
      <c r="C1384" s="86" t="s">
        <v>1866</v>
      </c>
      <c r="D1384" s="31"/>
      <c r="E1384" s="30"/>
      <c r="F1384" s="32"/>
      <c r="G1384" s="32"/>
      <c r="H1384" s="32"/>
      <c r="I1384" s="34" t="s">
        <v>1623</v>
      </c>
      <c r="J1384" s="45"/>
    </row>
    <row r="1385" spans="1:10">
      <c r="A1385" s="94"/>
      <c r="B1385" s="95"/>
      <c r="C1385" s="73" t="s">
        <v>1729</v>
      </c>
      <c r="D1385" s="96"/>
      <c r="E1385" s="82"/>
      <c r="F1385" s="82"/>
      <c r="G1385" s="82"/>
      <c r="H1385" s="82"/>
      <c r="I1385" s="82">
        <f>[3]PARÂMETROS!G851</f>
        <v>0.77</v>
      </c>
      <c r="J1385" s="97">
        <f>ROUND(PRODUCT(E1385:I1385),2)</f>
        <v>0.77</v>
      </c>
    </row>
    <row r="1386" spans="1:10">
      <c r="A1386" s="513"/>
      <c r="B1386" s="513"/>
      <c r="C1386" s="513"/>
      <c r="D1386" s="513"/>
      <c r="E1386" s="513"/>
      <c r="F1386" s="513"/>
      <c r="G1386" s="513"/>
      <c r="H1386" s="513"/>
      <c r="I1386" s="513"/>
      <c r="J1386" s="513"/>
    </row>
    <row r="1387" spans="1:10">
      <c r="A1387" s="19" t="str">
        <f>'[3]Planilha Orçamentária'!A353</f>
        <v>1.6.5</v>
      </c>
      <c r="B1387" s="20"/>
      <c r="C1387" s="21" t="str">
        <f>VLOOKUP(A1387,'[3]Planilha Orçamentária'!A:K,3,0)</f>
        <v>PAVIMENTAÇÃO</v>
      </c>
      <c r="D1387" s="22"/>
      <c r="E1387" s="23"/>
      <c r="F1387" s="24"/>
      <c r="G1387" s="24"/>
      <c r="H1387" s="24"/>
      <c r="I1387" s="25"/>
      <c r="J1387" s="41"/>
    </row>
    <row r="1388" spans="1:10" ht="25.5">
      <c r="A1388" s="66" t="str">
        <f>'[3]Planilha Orçamentária'!A354</f>
        <v>1.6.5.1</v>
      </c>
      <c r="B1388" s="67">
        <f>VLOOKUP(A1388,'[3]Planilha Orçamentária'!A:K,2,0)</f>
        <v>100576</v>
      </c>
      <c r="C1388" s="68" t="str">
        <f>VLOOKUP(A1388,'[3]Planilha Orçamentária'!A:K,3,0)</f>
        <v>REGULARIZAÇÃO E COMPACTAÇÃO DE SUBLEITO DE SOLO  PREDOMINANTEMENTE ARGILOSO. AF_11/2019</v>
      </c>
      <c r="D1388" s="69" t="str">
        <f>VLOOKUP(A1388,'[3]Planilha Orçamentária'!A:K,4,0)</f>
        <v>M2</v>
      </c>
      <c r="E1388" s="68"/>
      <c r="F1388" s="71"/>
      <c r="G1388" s="71"/>
      <c r="H1388" s="71"/>
      <c r="I1388" s="71"/>
      <c r="J1388" s="78">
        <f>ROUND(SUM(J1390:J1391),2)</f>
        <v>2181.41</v>
      </c>
    </row>
    <row r="1389" spans="1:10">
      <c r="A1389" s="60"/>
      <c r="B1389" s="77"/>
      <c r="C1389" s="79" t="s">
        <v>1867</v>
      </c>
      <c r="D1389" s="63"/>
      <c r="E1389" s="62"/>
      <c r="F1389" s="80"/>
      <c r="G1389" s="80"/>
      <c r="H1389" s="64"/>
      <c r="I1389" s="87" t="s">
        <v>1620</v>
      </c>
      <c r="J1389" s="78"/>
    </row>
    <row r="1390" spans="1:10">
      <c r="A1390" s="60"/>
      <c r="B1390" s="77"/>
      <c r="C1390" s="109" t="s">
        <v>1635</v>
      </c>
      <c r="D1390" s="63"/>
      <c r="E1390" s="62"/>
      <c r="F1390" s="80"/>
      <c r="G1390" s="80"/>
      <c r="H1390" s="64"/>
      <c r="I1390" s="111">
        <v>1687.4</v>
      </c>
      <c r="J1390" s="97">
        <f t="shared" ref="J1390:J1391" si="132">ROUND(PRODUCT(E1390:I1390),2)</f>
        <v>1687.4</v>
      </c>
    </row>
    <row r="1391" spans="1:10" ht="15">
      <c r="A1391" s="112"/>
      <c r="B1391" s="113"/>
      <c r="C1391" s="114" t="s">
        <v>1636</v>
      </c>
      <c r="D1391" s="115"/>
      <c r="E1391" s="116"/>
      <c r="F1391" s="117"/>
      <c r="G1391" s="116"/>
      <c r="H1391" s="116"/>
      <c r="I1391" s="118">
        <v>494.01</v>
      </c>
      <c r="J1391" s="119">
        <f t="shared" si="132"/>
        <v>494.01</v>
      </c>
    </row>
    <row r="1392" spans="1:10">
      <c r="A1392" s="520"/>
      <c r="B1392" s="521"/>
      <c r="C1392" s="521"/>
      <c r="D1392" s="521"/>
      <c r="E1392" s="521"/>
      <c r="F1392" s="521"/>
      <c r="G1392" s="521"/>
      <c r="H1392" s="521"/>
      <c r="I1392" s="521"/>
      <c r="J1392" s="522"/>
    </row>
    <row r="1393" spans="1:10" ht="38.25">
      <c r="A1393" s="66" t="str">
        <f>'[3]Planilha Orçamentária'!A355</f>
        <v>1.6.5.2</v>
      </c>
      <c r="B1393" s="67" t="str">
        <f>VLOOKUP(A1393,'[3]Planilha Orçamentária'!A:K,2,0)</f>
        <v>COMP-28881239</v>
      </c>
      <c r="C1393" s="68" t="str">
        <f>VLOOKUP(A1393,'[3]Planilha Orçamentária'!A:K,3,0)</f>
        <v>Base ou sub-base de macadame hidráulico com brita comercial - EXCLUSIVE MATERIAL, CARGA E TRANSPORTE - NÃO DESONERADO</v>
      </c>
      <c r="D1393" s="69" t="str">
        <f>VLOOKUP(A1393,'[3]Planilha Orçamentária'!A:K,4,0)</f>
        <v>M3</v>
      </c>
      <c r="E1393" s="68"/>
      <c r="F1393" s="71"/>
      <c r="G1393" s="71"/>
      <c r="H1393" s="71"/>
      <c r="I1393" s="71"/>
      <c r="J1393" s="78">
        <f>ROUND(SUM(J1395:J1396),2)</f>
        <v>327.20999999999998</v>
      </c>
    </row>
    <row r="1394" spans="1:10">
      <c r="A1394" s="60"/>
      <c r="B1394" s="77"/>
      <c r="C1394" s="79" t="s">
        <v>1867</v>
      </c>
      <c r="D1394" s="63"/>
      <c r="E1394" s="62"/>
      <c r="F1394" s="80"/>
      <c r="G1394" s="80"/>
      <c r="H1394" s="80" t="s">
        <v>1619</v>
      </c>
      <c r="I1394" s="87" t="s">
        <v>1620</v>
      </c>
      <c r="J1394" s="78"/>
    </row>
    <row r="1395" spans="1:10">
      <c r="A1395" s="60"/>
      <c r="B1395" s="77"/>
      <c r="C1395" s="109" t="s">
        <v>1635</v>
      </c>
      <c r="D1395" s="63"/>
      <c r="E1395" s="62"/>
      <c r="F1395" s="80"/>
      <c r="G1395" s="80"/>
      <c r="H1395" s="80">
        <v>0.15</v>
      </c>
      <c r="I1395" s="111">
        <f>J1390</f>
        <v>1687.4</v>
      </c>
      <c r="J1395" s="97">
        <f t="shared" ref="J1395:J1396" si="133">ROUND(PRODUCT(E1395:I1395),2)</f>
        <v>253.11</v>
      </c>
    </row>
    <row r="1396" spans="1:10" ht="15">
      <c r="A1396" s="112"/>
      <c r="B1396" s="113"/>
      <c r="C1396" s="114" t="s">
        <v>1636</v>
      </c>
      <c r="D1396" s="115"/>
      <c r="E1396" s="116"/>
      <c r="F1396" s="117"/>
      <c r="G1396" s="116"/>
      <c r="H1396" s="80">
        <v>0.15</v>
      </c>
      <c r="I1396" s="118">
        <f>J1391</f>
        <v>494.01</v>
      </c>
      <c r="J1396" s="119">
        <f t="shared" si="133"/>
        <v>74.099999999999994</v>
      </c>
    </row>
    <row r="1397" spans="1:10">
      <c r="A1397" s="520"/>
      <c r="B1397" s="521"/>
      <c r="C1397" s="521"/>
      <c r="D1397" s="521"/>
      <c r="E1397" s="521"/>
      <c r="F1397" s="521"/>
      <c r="G1397" s="521"/>
      <c r="H1397" s="521"/>
      <c r="I1397" s="521"/>
      <c r="J1397" s="522"/>
    </row>
    <row r="1398" spans="1:10" ht="38.25">
      <c r="A1398" s="66" t="str">
        <f>'[3]Planilha Orçamentária'!A356</f>
        <v>1.6.5.3</v>
      </c>
      <c r="B1398" s="67" t="str">
        <f>VLOOKUP(A1398,'[3]Planilha Orçamentária'!A:K,2,0)</f>
        <v>CP-96396-26507981</v>
      </c>
      <c r="C1398" s="68" t="str">
        <f>VLOOKUP(A1398,'[3]Planilha Orçamentária'!A:K,3,0)</f>
        <v>EXECUÇÃO E COMPACTAÇÃO DE BASE E OU SUB BASE PARA PAVIMENTAÇÃO DE BRITA GRADUADA SIMPLES - EXCLUSIVE MATERIAL, CARGA E TRANSPORTE</v>
      </c>
      <c r="D1398" s="69" t="str">
        <f>VLOOKUP(A1398,'[3]Planilha Orçamentária'!A:K,4,0)</f>
        <v>M3</v>
      </c>
      <c r="E1398" s="68"/>
      <c r="F1398" s="71"/>
      <c r="G1398" s="71"/>
      <c r="H1398" s="71"/>
      <c r="I1398" s="71"/>
      <c r="J1398" s="78">
        <f>ROUND(SUM(J1400:J1401),2)</f>
        <v>327.20999999999998</v>
      </c>
    </row>
    <row r="1399" spans="1:10">
      <c r="A1399" s="60"/>
      <c r="B1399" s="77"/>
      <c r="C1399" s="79" t="s">
        <v>1867</v>
      </c>
      <c r="D1399" s="63"/>
      <c r="E1399" s="62"/>
      <c r="F1399" s="80"/>
      <c r="G1399" s="80"/>
      <c r="H1399" s="80" t="s">
        <v>1619</v>
      </c>
      <c r="I1399" s="87" t="s">
        <v>1620</v>
      </c>
      <c r="J1399" s="78"/>
    </row>
    <row r="1400" spans="1:10">
      <c r="A1400" s="60"/>
      <c r="B1400" s="77"/>
      <c r="C1400" s="109" t="s">
        <v>1635</v>
      </c>
      <c r="D1400" s="63"/>
      <c r="E1400" s="62"/>
      <c r="F1400" s="80"/>
      <c r="G1400" s="80"/>
      <c r="H1400" s="80">
        <v>0.15</v>
      </c>
      <c r="I1400" s="111">
        <f>J1390</f>
        <v>1687.4</v>
      </c>
      <c r="J1400" s="97">
        <f t="shared" ref="J1400:J1401" si="134">ROUND(PRODUCT(E1400:I1400),2)</f>
        <v>253.11</v>
      </c>
    </row>
    <row r="1401" spans="1:10" ht="15">
      <c r="A1401" s="112"/>
      <c r="B1401" s="113"/>
      <c r="C1401" s="114" t="s">
        <v>1636</v>
      </c>
      <c r="D1401" s="115"/>
      <c r="E1401" s="116"/>
      <c r="F1401" s="117"/>
      <c r="G1401" s="116"/>
      <c r="H1401" s="80">
        <v>0.15</v>
      </c>
      <c r="I1401" s="118">
        <f>J1391</f>
        <v>494.01</v>
      </c>
      <c r="J1401" s="119">
        <f t="shared" si="134"/>
        <v>74.099999999999994</v>
      </c>
    </row>
    <row r="1402" spans="1:10">
      <c r="A1402" s="520"/>
      <c r="B1402" s="521"/>
      <c r="C1402" s="521"/>
      <c r="D1402" s="521"/>
      <c r="E1402" s="521"/>
      <c r="F1402" s="521"/>
      <c r="G1402" s="521"/>
      <c r="H1402" s="521"/>
      <c r="I1402" s="521"/>
      <c r="J1402" s="522"/>
    </row>
    <row r="1403" spans="1:10" ht="51">
      <c r="A1403" s="28" t="str">
        <f>'[3]Planilha Orçamentária'!A357</f>
        <v>1.6.5.4</v>
      </c>
      <c r="B1403" s="29" t="str">
        <f>VLOOKUP(A1403,'[3]Planilha Orçamentária'!A:K,2,0)</f>
        <v>COMP-35145154</v>
      </c>
      <c r="C1403" s="30" t="str">
        <f>VLOOKUP(A1403,'[3]Planilha Orçamentária'!A:K,3,0)</f>
        <v>CARGA E DESCARGA MECANICA DE SOLO UTILIZANDO CAMINHAO BASCULANTE 14,0M3/36T E PA CARREGADEIRA SOBRE PNEUS 128 HP, CAPACIDADE DA CAÇAMBA 1,7 A 2,8 M3, PESO OPERACIONAL 11632 KH</v>
      </c>
      <c r="D1403" s="31" t="str">
        <f>VLOOKUP(A1403,'[3]Planilha Orçamentária'!A:K,4,0)</f>
        <v>M3</v>
      </c>
      <c r="E1403" s="30"/>
      <c r="F1403" s="32"/>
      <c r="G1403" s="32"/>
      <c r="H1403" s="32"/>
      <c r="I1403" s="32"/>
      <c r="J1403" s="33">
        <f>ROUND(SUM(J1405:J1405),2)</f>
        <v>818.03</v>
      </c>
    </row>
    <row r="1404" spans="1:10" ht="25.5">
      <c r="A1404" s="28"/>
      <c r="B1404" s="29"/>
      <c r="C1404" s="62"/>
      <c r="D1404" s="63"/>
      <c r="E1404" s="127" t="s">
        <v>1622</v>
      </c>
      <c r="F1404" s="34"/>
      <c r="G1404" s="32"/>
      <c r="H1404" s="32"/>
      <c r="I1404" s="135" t="s">
        <v>1734</v>
      </c>
      <c r="J1404" s="33"/>
    </row>
    <row r="1405" spans="1:10" ht="14.25">
      <c r="A1405" s="28"/>
      <c r="B1405" s="29"/>
      <c r="C1405" s="131" t="s">
        <v>1642</v>
      </c>
      <c r="D1405" s="96"/>
      <c r="E1405" s="34">
        <v>1.25</v>
      </c>
      <c r="F1405" s="140"/>
      <c r="G1405" s="129"/>
      <c r="H1405" s="129"/>
      <c r="I1405" s="141">
        <f>J1398+J1393</f>
        <v>654.41999999999996</v>
      </c>
      <c r="J1405" s="253">
        <f t="shared" ref="J1405" si="135">ROUND(PRODUCT(E1405:I1405),2)</f>
        <v>818.03</v>
      </c>
    </row>
    <row r="1406" spans="1:10">
      <c r="A1406" s="513"/>
      <c r="B1406" s="513"/>
      <c r="C1406" s="513"/>
      <c r="D1406" s="513"/>
      <c r="E1406" s="513"/>
      <c r="F1406" s="513"/>
      <c r="G1406" s="513"/>
      <c r="H1406" s="513"/>
      <c r="I1406" s="513"/>
      <c r="J1406" s="513"/>
    </row>
    <row r="1407" spans="1:10" ht="25.5">
      <c r="A1407" s="28" t="str">
        <f>'[3]Planilha Orçamentária'!A358</f>
        <v>1.6.5.5</v>
      </c>
      <c r="B1407" s="29" t="str">
        <f>VLOOKUP(A1407,'[3]Planilha Orçamentária'!A:K,2,0)</f>
        <v>COMP-83526730</v>
      </c>
      <c r="C1407" s="30" t="str">
        <f>VLOOKUP(A1407,'[3]Planilha Orçamentária'!A:K,3,0)</f>
        <v>TRANSPORTE COMERCIAL DE BRITA</v>
      </c>
      <c r="D1407" s="31" t="str">
        <f>VLOOKUP(A1407,'[3]Planilha Orçamentária'!A:K,4,0)</f>
        <v>M3XKM</v>
      </c>
      <c r="E1407" s="30"/>
      <c r="F1407" s="32"/>
      <c r="G1407" s="32"/>
      <c r="H1407" s="32"/>
      <c r="I1407" s="32"/>
      <c r="J1407" s="33">
        <f>ROUND(SUM(J1409:J1409),2)</f>
        <v>6217.03</v>
      </c>
    </row>
    <row r="1408" spans="1:10">
      <c r="A1408" s="28"/>
      <c r="B1408" s="29"/>
      <c r="C1408" s="79" t="s">
        <v>1868</v>
      </c>
      <c r="D1408" s="31"/>
      <c r="E1408" s="86" t="s">
        <v>1627</v>
      </c>
      <c r="F1408" s="34"/>
      <c r="G1408" s="34"/>
      <c r="H1408" s="34"/>
      <c r="I1408" s="34" t="s">
        <v>1623</v>
      </c>
      <c r="J1408" s="33"/>
    </row>
    <row r="1409" spans="1:10" ht="14.25">
      <c r="A1409" s="28"/>
      <c r="B1409" s="29"/>
      <c r="C1409" s="126" t="s">
        <v>1869</v>
      </c>
      <c r="D1409" s="94"/>
      <c r="E1409" s="141">
        <v>7.6</v>
      </c>
      <c r="F1409" s="134"/>
      <c r="G1409" s="94"/>
      <c r="H1409" s="94"/>
      <c r="I1409" s="136">
        <f>J1403</f>
        <v>818.03</v>
      </c>
      <c r="J1409" s="253">
        <f t="shared" ref="J1409" si="136">ROUND(PRODUCT(E1409:I1409),2)</f>
        <v>6217.03</v>
      </c>
    </row>
    <row r="1410" spans="1:10">
      <c r="A1410" s="513"/>
      <c r="B1410" s="513"/>
      <c r="C1410" s="513"/>
      <c r="D1410" s="513"/>
      <c r="E1410" s="513"/>
      <c r="F1410" s="513"/>
      <c r="G1410" s="513"/>
      <c r="H1410" s="513"/>
      <c r="I1410" s="513"/>
      <c r="J1410" s="513"/>
    </row>
    <row r="1411" spans="1:10" ht="51">
      <c r="A1411" s="99" t="str">
        <f>'[3]Planilha Orçamentária'!A359</f>
        <v>1.6.5.6</v>
      </c>
      <c r="B1411" s="48" t="str">
        <f>VLOOKUP(A1411,'[3]Planilha Orçamentária'!A:K,2,0)</f>
        <v>CP-92399-27762594</v>
      </c>
      <c r="C1411" s="100" t="str">
        <f>VLOOKUP(A1411,'[3]Planilha Orçamentária'!A:K,3,0)</f>
        <v>EXECUÇÃO DE VIA EM PISO INTERTRAVADO, COM BLOCO RETANGULAR COR NATURAL/COLORIDO DE 20 X 10 CM, ESPESSURA 8 CM - (SEM O MATERIAL BLOQUETE/PISO INTERTRAVADO)</v>
      </c>
      <c r="D1411" s="101" t="str">
        <f>VLOOKUP(A1411,'[3]Planilha Orçamentária'!A:K,4,0)</f>
        <v>M2</v>
      </c>
      <c r="E1411" s="34"/>
      <c r="F1411" s="34"/>
      <c r="G1411" s="64"/>
      <c r="H1411" s="34"/>
      <c r="I1411" s="87"/>
      <c r="J1411" s="33">
        <f>ROUND(SUM(J1412:J1414),2)</f>
        <v>2181.41</v>
      </c>
    </row>
    <row r="1412" spans="1:10">
      <c r="A1412" s="94"/>
      <c r="B1412" s="133"/>
      <c r="C1412" s="79" t="s">
        <v>1867</v>
      </c>
      <c r="D1412" s="96"/>
      <c r="E1412" s="82"/>
      <c r="F1412" s="34"/>
      <c r="G1412" s="82"/>
      <c r="H1412" s="82"/>
      <c r="I1412" s="82" t="s">
        <v>1620</v>
      </c>
      <c r="J1412" s="120"/>
    </row>
    <row r="1413" spans="1:10" ht="28.5">
      <c r="A1413" s="94"/>
      <c r="B1413" s="133"/>
      <c r="C1413" s="126" t="s">
        <v>1646</v>
      </c>
      <c r="D1413" s="96"/>
      <c r="E1413" s="82"/>
      <c r="F1413" s="34"/>
      <c r="G1413" s="82"/>
      <c r="H1413" s="82"/>
      <c r="I1413" s="82">
        <f>[3]PARÂMETROS!F868</f>
        <v>1687.4</v>
      </c>
      <c r="J1413" s="120">
        <f>ROUND(PRODUCT(E1413:I1413),2)</f>
        <v>1687.4</v>
      </c>
    </row>
    <row r="1414" spans="1:10" ht="28.5">
      <c r="A1414" s="94"/>
      <c r="B1414" s="133"/>
      <c r="C1414" s="126" t="s">
        <v>1647</v>
      </c>
      <c r="D1414" s="96"/>
      <c r="E1414" s="82"/>
      <c r="F1414" s="34"/>
      <c r="G1414" s="82"/>
      <c r="H1414" s="82"/>
      <c r="I1414" s="82">
        <f>[3]PARÂMETROS!F869</f>
        <v>494.01</v>
      </c>
      <c r="J1414" s="120">
        <f>ROUND(PRODUCT(E1414:I1414),2)</f>
        <v>494.01</v>
      </c>
    </row>
    <row r="1415" spans="1:10">
      <c r="A1415" s="497"/>
      <c r="B1415" s="497"/>
      <c r="C1415" s="497"/>
      <c r="D1415" s="497"/>
      <c r="E1415" s="497"/>
      <c r="F1415" s="497"/>
      <c r="G1415" s="497"/>
      <c r="H1415" s="497"/>
      <c r="I1415" s="497"/>
      <c r="J1415" s="497"/>
    </row>
    <row r="1416" spans="1:10" ht="63.75">
      <c r="A1416" s="99" t="str">
        <f>'[3]Planilha Orçamentária'!A360</f>
        <v>1.6.5.7</v>
      </c>
      <c r="B1416" s="48">
        <f>VLOOKUP(A1416,'[3]Planilha Orçamentária'!A:K,2,0)</f>
        <v>94273</v>
      </c>
      <c r="C1416" s="100" t="str">
        <f>VLOOKUP(A1416,'[3]Planilha Orçamentária'!A:K,3,0)</f>
        <v>ASSENTAMENTO DE GUIA (MEIO-FIO) EM TRECHO RETO, CONFECCIONADA EM CONCRETO PRÉ-FABRICADO, DIMENSÕES 100X15X13X30 CM (COMPRIMENTO X BASE INFERIOR X BASE SUPERIOR X ALTURA), PARA VIAS URBANAS (USO VIÁRIO). AF_06/2016</v>
      </c>
      <c r="D1416" s="101" t="str">
        <f>VLOOKUP(A1416,'[3]Planilha Orçamentária'!A:K,4,0)</f>
        <v>M</v>
      </c>
      <c r="E1416" s="100"/>
      <c r="F1416" s="102"/>
      <c r="G1416" s="102"/>
      <c r="H1416" s="102"/>
      <c r="I1416" s="102"/>
      <c r="J1416" s="33">
        <f>ROUND(SUM(J1417:J1419),2)</f>
        <v>616.29999999999995</v>
      </c>
    </row>
    <row r="1417" spans="1:10">
      <c r="A1417" s="94"/>
      <c r="B1417" s="128"/>
      <c r="C1417" s="79" t="s">
        <v>1867</v>
      </c>
      <c r="D1417" s="96"/>
      <c r="E1417" s="82"/>
      <c r="F1417" s="34" t="s">
        <v>1606</v>
      </c>
      <c r="G1417" s="82"/>
      <c r="H1417" s="82"/>
      <c r="I1417" s="82"/>
      <c r="J1417" s="120"/>
    </row>
    <row r="1418" spans="1:10" ht="25.5">
      <c r="A1418" s="94"/>
      <c r="B1418" s="128"/>
      <c r="C1418" s="145" t="s">
        <v>1790</v>
      </c>
      <c r="D1418" s="96"/>
      <c r="E1418" s="82"/>
      <c r="F1418" s="34">
        <f>[3]PARÂMETROS!B861</f>
        <v>584.79</v>
      </c>
      <c r="G1418" s="82"/>
      <c r="H1418" s="82"/>
      <c r="I1418" s="82"/>
      <c r="J1418" s="120">
        <f t="shared" ref="J1418:J1419" si="137">ROUND(PRODUCT(E1418:I1418),2)</f>
        <v>584.79</v>
      </c>
    </row>
    <row r="1419" spans="1:10">
      <c r="A1419" s="94"/>
      <c r="B1419" s="128"/>
      <c r="C1419" s="144" t="s">
        <v>1791</v>
      </c>
      <c r="D1419" s="96"/>
      <c r="E1419" s="82"/>
      <c r="F1419" s="34">
        <f>[3]PARÂMETROS!B862</f>
        <v>31.51</v>
      </c>
      <c r="G1419" s="82"/>
      <c r="H1419" s="82"/>
      <c r="I1419" s="82"/>
      <c r="J1419" s="120">
        <f t="shared" si="137"/>
        <v>31.51</v>
      </c>
    </row>
    <row r="1420" spans="1:10">
      <c r="A1420" s="498"/>
      <c r="B1420" s="499"/>
      <c r="C1420" s="499"/>
      <c r="D1420" s="499"/>
      <c r="E1420" s="499"/>
      <c r="F1420" s="499"/>
      <c r="G1420" s="499"/>
      <c r="H1420" s="499"/>
      <c r="I1420" s="499"/>
      <c r="J1420" s="500"/>
    </row>
    <row r="1421" spans="1:10">
      <c r="A1421" s="19" t="str">
        <f>'[3]Planilha Orçamentária'!A361</f>
        <v>1.6.6</v>
      </c>
      <c r="B1421" s="20"/>
      <c r="C1421" s="21" t="str">
        <f>VLOOKUP(A1421,'[3]Planilha Orçamentária'!A:K,3,0)</f>
        <v>DRENAGEM</v>
      </c>
      <c r="D1421" s="22"/>
      <c r="E1421" s="23"/>
      <c r="F1421" s="24"/>
      <c r="G1421" s="24"/>
      <c r="H1421" s="24"/>
      <c r="I1421" s="25"/>
      <c r="J1421" s="41"/>
    </row>
    <row r="1422" spans="1:10" ht="25.5">
      <c r="A1422" s="112" t="str">
        <f>'[3]Planilha Orçamentária'!A362</f>
        <v>1.6.6.1</v>
      </c>
      <c r="B1422" s="146">
        <f>VLOOKUP(A1422,'[3]Planilha Orçamentária'!A:K,2,0)</f>
        <v>93358</v>
      </c>
      <c r="C1422" s="147" t="str">
        <f>VLOOKUP(A1422,'[3]Planilha Orçamentária'!A:K,3,0)</f>
        <v>ESCAVAÇÃO MANUAL DE VALA COM PROFUNDIDADE MENOR OU IGUAL A 1,30 M. AF_02/2021</v>
      </c>
      <c r="D1422" s="148" t="str">
        <f>VLOOKUP(A1422,'[3]Planilha Orçamentária'!A:K,4,0)</f>
        <v>M3</v>
      </c>
      <c r="E1422" s="149"/>
      <c r="F1422" s="150"/>
      <c r="G1422" s="150"/>
      <c r="H1422" s="150"/>
      <c r="I1422" s="150"/>
      <c r="J1422" s="151">
        <f>ROUND(SUM(J1423:J1425),2)</f>
        <v>12.65</v>
      </c>
    </row>
    <row r="1423" spans="1:10">
      <c r="A1423" s="152"/>
      <c r="B1423" s="153"/>
      <c r="C1423" s="154" t="s">
        <v>1870</v>
      </c>
      <c r="D1423" s="31"/>
      <c r="E1423" s="155"/>
      <c r="F1423" s="156" t="s">
        <v>1606</v>
      </c>
      <c r="G1423" s="156" t="s">
        <v>1607</v>
      </c>
      <c r="H1423" s="156" t="s">
        <v>1663</v>
      </c>
      <c r="I1423" s="155"/>
      <c r="J1423" s="157"/>
    </row>
    <row r="1424" spans="1:10" ht="28.5">
      <c r="A1424" s="152"/>
      <c r="B1424" s="153"/>
      <c r="C1424" s="131" t="s">
        <v>1664</v>
      </c>
      <c r="D1424" s="158"/>
      <c r="E1424" s="159"/>
      <c r="F1424" s="156">
        <v>395.29</v>
      </c>
      <c r="G1424" s="156">
        <v>0.4</v>
      </c>
      <c r="H1424" s="156">
        <f>0.16-0.08</f>
        <v>0.08</v>
      </c>
      <c r="I1424" s="160"/>
      <c r="J1424" s="58">
        <f>ROUND(PRODUCT(E1424:I1424),2)</f>
        <v>12.65</v>
      </c>
    </row>
    <row r="1425" spans="1:10">
      <c r="A1425" s="509"/>
      <c r="B1425" s="510"/>
      <c r="C1425" s="510"/>
      <c r="D1425" s="510"/>
      <c r="E1425" s="510"/>
      <c r="F1425" s="510"/>
      <c r="G1425" s="510"/>
      <c r="H1425" s="510"/>
      <c r="I1425" s="510"/>
      <c r="J1425" s="510"/>
    </row>
    <row r="1426" spans="1:10" ht="38.25">
      <c r="A1426" s="112" t="str">
        <f>'[3]Planilha Orçamentária'!A363</f>
        <v>1.6.6.2</v>
      </c>
      <c r="B1426" s="146">
        <f>VLOOKUP(A1426,'[3]Planilha Orçamentária'!A:K,2,0)</f>
        <v>94974</v>
      </c>
      <c r="C1426" s="147" t="str">
        <f>VLOOKUP(A1426,'[3]Planilha Orçamentária'!A:K,3,0)</f>
        <v>CONCRETO MAGRO PARA LASTRO, TRAÇO 1:4,5:4,5 (EM MASSA SECA DE CIMENTO/ AREIA MÉDIA/ BRITA 1) - PREPARO MANUAL. AF_05/2021</v>
      </c>
      <c r="D1426" s="148" t="str">
        <f>VLOOKUP(A1426,'[3]Planilha Orçamentária'!A:K,4,0)</f>
        <v>M3</v>
      </c>
      <c r="E1426" s="149"/>
      <c r="F1426" s="150"/>
      <c r="G1426" s="150"/>
      <c r="H1426" s="150"/>
      <c r="I1426" s="150"/>
      <c r="J1426" s="151">
        <f>ROUND(SUM(J1427:J1429),2)</f>
        <v>7.91</v>
      </c>
    </row>
    <row r="1427" spans="1:10">
      <c r="A1427" s="152"/>
      <c r="B1427" s="153"/>
      <c r="C1427" s="154" t="s">
        <v>1870</v>
      </c>
      <c r="D1427" s="31"/>
      <c r="E1427" s="155"/>
      <c r="F1427" s="156" t="s">
        <v>1606</v>
      </c>
      <c r="G1427" s="156" t="s">
        <v>1607</v>
      </c>
      <c r="H1427" s="156" t="s">
        <v>1663</v>
      </c>
      <c r="I1427" s="155"/>
      <c r="J1427" s="157"/>
    </row>
    <row r="1428" spans="1:10" ht="14.25">
      <c r="A1428" s="152"/>
      <c r="B1428" s="153"/>
      <c r="C1428" s="163" t="s">
        <v>1665</v>
      </c>
      <c r="D1428" s="164"/>
      <c r="E1428" s="164"/>
      <c r="F1428" s="156">
        <f>F1424</f>
        <v>395.29</v>
      </c>
      <c r="G1428" s="156">
        <v>0.4</v>
      </c>
      <c r="H1428" s="156">
        <v>0.05</v>
      </c>
      <c r="I1428" s="160"/>
      <c r="J1428" s="58">
        <f>ROUND(PRODUCT(E1428:I1428),2)</f>
        <v>7.91</v>
      </c>
    </row>
    <row r="1429" spans="1:10">
      <c r="A1429" s="509"/>
      <c r="B1429" s="510"/>
      <c r="C1429" s="510"/>
      <c r="D1429" s="510"/>
      <c r="E1429" s="510"/>
      <c r="F1429" s="510"/>
      <c r="G1429" s="510"/>
      <c r="H1429" s="510"/>
      <c r="I1429" s="510"/>
      <c r="J1429" s="510"/>
    </row>
    <row r="1430" spans="1:10" ht="38.25">
      <c r="A1430" s="112" t="str">
        <f>'[3]Planilha Orçamentária'!A364</f>
        <v>1.6.6.3</v>
      </c>
      <c r="B1430" s="146">
        <f>VLOOKUP(A1430,'[3]Planilha Orçamentária'!A:K,2,0)</f>
        <v>94971</v>
      </c>
      <c r="C1430" s="147" t="str">
        <f>VLOOKUP(A1430,'[3]Planilha Orçamentária'!A:K,3,0)</f>
        <v>CONCRETO FCK = 25MPA, TRAÇO 1:2,3:2,7 (EM MASSA SECA DE CIMENTO/ AREIA MÉDIA/ BRITA 1) - PREPARO MECÂNICO COM BETONEIRA 600 L. AF_05/2021</v>
      </c>
      <c r="D1430" s="148" t="str">
        <f>VLOOKUP(A1430,'[3]Planilha Orçamentária'!A:K,4,0)</f>
        <v>M3</v>
      </c>
      <c r="E1430" s="149"/>
      <c r="F1430" s="150"/>
      <c r="G1430" s="150"/>
      <c r="H1430" s="150"/>
      <c r="I1430" s="150"/>
      <c r="J1430" s="151">
        <f>ROUND(SUM(J1431:J1433),2)</f>
        <v>12.65</v>
      </c>
    </row>
    <row r="1431" spans="1:10">
      <c r="A1431" s="152"/>
      <c r="B1431" s="153"/>
      <c r="C1431" s="154" t="s">
        <v>1870</v>
      </c>
      <c r="D1431" s="31"/>
      <c r="E1431" s="155"/>
      <c r="F1431" s="156" t="s">
        <v>1606</v>
      </c>
      <c r="G1431" s="156" t="s">
        <v>1607</v>
      </c>
      <c r="H1431" s="156" t="s">
        <v>1663</v>
      </c>
      <c r="I1431" s="155"/>
      <c r="J1431" s="157"/>
    </row>
    <row r="1432" spans="1:10" ht="28.5">
      <c r="A1432" s="152"/>
      <c r="B1432" s="153"/>
      <c r="C1432" s="126" t="s">
        <v>1666</v>
      </c>
      <c r="D1432" s="164"/>
      <c r="E1432" s="164"/>
      <c r="F1432" s="156">
        <f>F1424</f>
        <v>395.29</v>
      </c>
      <c r="G1432" s="156">
        <v>0.4</v>
      </c>
      <c r="H1432" s="156">
        <f>0.16-0.08</f>
        <v>0.08</v>
      </c>
      <c r="I1432" s="160"/>
      <c r="J1432" s="58">
        <f>ROUND(PRODUCT(E1432:I1432),2)</f>
        <v>12.65</v>
      </c>
    </row>
    <row r="1433" spans="1:10">
      <c r="A1433" s="509"/>
      <c r="B1433" s="510"/>
      <c r="C1433" s="510"/>
      <c r="D1433" s="510"/>
      <c r="E1433" s="510"/>
      <c r="F1433" s="510"/>
      <c r="G1433" s="510"/>
      <c r="H1433" s="510"/>
      <c r="I1433" s="510"/>
      <c r="J1433" s="510"/>
    </row>
    <row r="1434" spans="1:10" ht="25.5">
      <c r="A1434" s="112" t="str">
        <f>'[3]Planilha Orçamentária'!A365</f>
        <v>1.6.6.4</v>
      </c>
      <c r="B1434" s="146" t="str">
        <f>VLOOKUP(A1434,'[3]Planilha Orçamentária'!A:K,2,0)</f>
        <v>CP-74157/004-48264518</v>
      </c>
      <c r="C1434" s="147" t="str">
        <f>VLOOKUP(A1434,'[3]Planilha Orçamentária'!A:K,3,0)</f>
        <v>LANCAMENTO/APLICACAO MANUAL DE CONCRETO EM FUNDACOES (concreto magro)</v>
      </c>
      <c r="D1434" s="148" t="str">
        <f>VLOOKUP(A1434,'[3]Planilha Orçamentária'!A:K,4,0)</f>
        <v>M3</v>
      </c>
      <c r="E1434" s="149"/>
      <c r="F1434" s="150"/>
      <c r="G1434" s="150"/>
      <c r="H1434" s="150"/>
      <c r="I1434" s="150"/>
      <c r="J1434" s="151">
        <f>ROUND(SUM(J1435:J1437),2)</f>
        <v>20.56</v>
      </c>
    </row>
    <row r="1435" spans="1:10">
      <c r="A1435" s="152"/>
      <c r="B1435" s="153"/>
      <c r="C1435" s="154" t="s">
        <v>1870</v>
      </c>
      <c r="D1435" s="31"/>
      <c r="E1435" s="155"/>
      <c r="F1435" s="156"/>
      <c r="G1435" s="156"/>
      <c r="H1435" s="156"/>
      <c r="I1435" s="155"/>
      <c r="J1435" s="157"/>
    </row>
    <row r="1436" spans="1:10">
      <c r="A1436" s="152"/>
      <c r="B1436" s="153"/>
      <c r="C1436" s="165" t="s">
        <v>1871</v>
      </c>
      <c r="D1436" s="164"/>
      <c r="E1436" s="164"/>
      <c r="F1436" s="156"/>
      <c r="G1436" s="156"/>
      <c r="H1436" s="156"/>
      <c r="I1436" s="160">
        <f>J1430+J1426</f>
        <v>20.560000000000002</v>
      </c>
      <c r="J1436" s="58">
        <f>ROUND(PRODUCT(E1436:I1436),2)</f>
        <v>20.56</v>
      </c>
    </row>
    <row r="1437" spans="1:10">
      <c r="A1437" s="509"/>
      <c r="B1437" s="510"/>
      <c r="C1437" s="510"/>
      <c r="D1437" s="510"/>
      <c r="E1437" s="510"/>
      <c r="F1437" s="510"/>
      <c r="G1437" s="510"/>
      <c r="H1437" s="510"/>
      <c r="I1437" s="510"/>
      <c r="J1437" s="510"/>
    </row>
    <row r="1438" spans="1:10" ht="38.25">
      <c r="A1438" s="112" t="str">
        <f>'[3]Planilha Orçamentária'!A366</f>
        <v>1.6.6.5</v>
      </c>
      <c r="B1438" s="146" t="str">
        <f>VLOOKUP(A1438,'[3]Planilha Orçamentária'!A:K,2,0)</f>
        <v>CP-S03639-45770834</v>
      </c>
      <c r="C1438" s="147" t="str">
        <f>VLOOKUP(A1438,'[3]Planilha Orçamentária'!A:K,3,0)</f>
        <v>Fornecimento e instalação de tela aço soldada nervurada CA-60, Q-283, malha 10x10cm, ferro 6.02mm (4,48 kg/m2), painel 2,45x6,0m, Telcon ou similar</v>
      </c>
      <c r="D1438" s="148" t="str">
        <f>VLOOKUP(A1438,'[3]Planilha Orçamentária'!A:K,4,0)</f>
        <v>M2</v>
      </c>
      <c r="E1438" s="149"/>
      <c r="F1438" s="150"/>
      <c r="G1438" s="150"/>
      <c r="H1438" s="150"/>
      <c r="I1438" s="150"/>
      <c r="J1438" s="151">
        <f>ROUND(SUM(J1439:J1441),2)</f>
        <v>158.12</v>
      </c>
    </row>
    <row r="1439" spans="1:10">
      <c r="A1439" s="152"/>
      <c r="B1439" s="153"/>
      <c r="C1439" s="154" t="s">
        <v>1870</v>
      </c>
      <c r="D1439" s="31"/>
      <c r="E1439" s="155"/>
      <c r="F1439" s="156" t="s">
        <v>1606</v>
      </c>
      <c r="G1439" s="156" t="s">
        <v>1607</v>
      </c>
      <c r="H1439" s="156"/>
      <c r="I1439" s="155"/>
      <c r="J1439" s="157"/>
    </row>
    <row r="1440" spans="1:10" ht="14.25">
      <c r="A1440" s="152"/>
      <c r="B1440" s="153"/>
      <c r="C1440" s="126" t="s">
        <v>1668</v>
      </c>
      <c r="D1440" s="96"/>
      <c r="E1440" s="82"/>
      <c r="F1440" s="156">
        <f>F1424</f>
        <v>395.29</v>
      </c>
      <c r="G1440" s="156">
        <v>0.4</v>
      </c>
      <c r="H1440" s="156"/>
      <c r="I1440" s="160"/>
      <c r="J1440" s="58">
        <f>ROUND(PRODUCT(E1440:I1440),2)</f>
        <v>158.12</v>
      </c>
    </row>
    <row r="1441" spans="1:10">
      <c r="A1441" s="509"/>
      <c r="B1441" s="510"/>
      <c r="C1441" s="510"/>
      <c r="D1441" s="510"/>
      <c r="E1441" s="510"/>
      <c r="F1441" s="510"/>
      <c r="G1441" s="510"/>
      <c r="H1441" s="510"/>
      <c r="I1441" s="510"/>
      <c r="J1441" s="510"/>
    </row>
    <row r="1442" spans="1:10">
      <c r="A1442" s="19" t="str">
        <f>'[3]Planilha Orçamentária'!A367</f>
        <v>1.6.7</v>
      </c>
      <c r="B1442" s="20"/>
      <c r="C1442" s="21" t="str">
        <f>VLOOKUP(A1442,'[3]Planilha Orçamentária'!A:K,3,0)</f>
        <v>SINALIZAÇÃO</v>
      </c>
      <c r="D1442" s="22"/>
      <c r="E1442" s="23"/>
      <c r="F1442" s="24"/>
      <c r="G1442" s="24"/>
      <c r="H1442" s="24"/>
      <c r="I1442" s="25"/>
      <c r="J1442" s="41"/>
    </row>
    <row r="1443" spans="1:10" ht="25.5">
      <c r="A1443" s="28" t="str">
        <f>'[3]Planilha Orçamentária'!A368</f>
        <v>1.6.7.1</v>
      </c>
      <c r="B1443" s="42">
        <f>VLOOKUP(A1443,'[3]Planilha Orçamentária'!A:K,2,0)</f>
        <v>5213421</v>
      </c>
      <c r="C1443" s="166" t="str">
        <f>VLOOKUP(A1443,'[3]Planilha Orçamentária'!A:K,3,0)</f>
        <v>Confecção de placa em aço nº 16 galvanizado, com película tipo I + IV</v>
      </c>
      <c r="D1443" s="31" t="str">
        <f>VLOOKUP(A1443,'[3]Planilha Orçamentária'!A:K,4,0)</f>
        <v xml:space="preserve">M2    </v>
      </c>
      <c r="E1443" s="30"/>
      <c r="F1443" s="32"/>
      <c r="G1443" s="32"/>
      <c r="H1443" s="32"/>
      <c r="I1443" s="32"/>
      <c r="J1443" s="45">
        <f>ROUND(SUM(J1444:J1446),2)</f>
        <v>2.25</v>
      </c>
    </row>
    <row r="1444" spans="1:10" ht="25.5">
      <c r="A1444" s="54"/>
      <c r="B1444" s="54"/>
      <c r="C1444" s="142" t="s">
        <v>1872</v>
      </c>
      <c r="D1444" s="174"/>
      <c r="E1444" s="175"/>
      <c r="F1444" s="35"/>
      <c r="G1444" s="35"/>
      <c r="H1444" s="82" t="s">
        <v>1620</v>
      </c>
      <c r="I1444" s="171" t="s">
        <v>1608</v>
      </c>
      <c r="J1444" s="58"/>
    </row>
    <row r="1445" spans="1:10">
      <c r="A1445" s="176"/>
      <c r="B1445" s="176"/>
      <c r="C1445" s="142" t="s">
        <v>1671</v>
      </c>
      <c r="D1445" s="174"/>
      <c r="E1445" s="35"/>
      <c r="F1445" s="35"/>
      <c r="G1445" s="35"/>
      <c r="H1445" s="35">
        <v>0.2</v>
      </c>
      <c r="I1445" s="82">
        <v>5</v>
      </c>
      <c r="J1445" s="58">
        <f>ROUND(PRODUCT(E1445:I1445),2)</f>
        <v>1</v>
      </c>
    </row>
    <row r="1446" spans="1:10">
      <c r="A1446" s="176"/>
      <c r="B1446" s="176"/>
      <c r="C1446" s="177" t="s">
        <v>1672</v>
      </c>
      <c r="D1446" s="158"/>
      <c r="E1446" s="116"/>
      <c r="F1446" s="116"/>
      <c r="G1446" s="116"/>
      <c r="H1446" s="116">
        <f>0.5*0.5</f>
        <v>0.25</v>
      </c>
      <c r="I1446" s="82">
        <v>5</v>
      </c>
      <c r="J1446" s="58">
        <f t="shared" ref="J1446" si="138">ROUND(PRODUCT(E1446:I1446),2)</f>
        <v>1.25</v>
      </c>
    </row>
    <row r="1447" spans="1:10">
      <c r="A1447" s="507"/>
      <c r="B1447" s="507"/>
      <c r="C1447" s="507"/>
      <c r="D1447" s="507"/>
      <c r="E1447" s="507"/>
      <c r="F1447" s="507"/>
      <c r="G1447" s="507"/>
      <c r="H1447" s="507"/>
      <c r="I1447" s="507"/>
      <c r="J1447" s="508"/>
    </row>
    <row r="1448" spans="1:10" ht="38.25">
      <c r="A1448" s="28" t="str">
        <f>'[3]Planilha Orçamentária'!A369</f>
        <v>1.6.7.2</v>
      </c>
      <c r="B1448" s="42">
        <f>VLOOKUP(A1448,'[3]Planilha Orçamentária'!A:K,2,0)</f>
        <v>5216111</v>
      </c>
      <c r="C1448" s="166" t="str">
        <f>VLOOKUP(A1448,'[3]Planilha Orçamentária'!A:K,3,0)</f>
        <v>FORNECIMENTO E IMPLANTAÇÃO DE SUPORTE E TRAVESSA PARA PLACA DE SINALIZAÇÃO EM MADEIRA DE LEI TRATADA 8 X 8 CM</v>
      </c>
      <c r="D1448" s="31" t="str">
        <f>VLOOKUP(A1448,'[3]Planilha Orçamentária'!A:K,4,0)</f>
        <v>UND</v>
      </c>
      <c r="E1448" s="30"/>
      <c r="F1448" s="32"/>
      <c r="G1448" s="32"/>
      <c r="H1448" s="32"/>
      <c r="I1448" s="32"/>
      <c r="J1448" s="45">
        <f>ROUND(SUM(J1450:J1450),2)</f>
        <v>5</v>
      </c>
    </row>
    <row r="1449" spans="1:10">
      <c r="A1449" s="112"/>
      <c r="B1449" s="146"/>
      <c r="C1449" s="142" t="s">
        <v>1872</v>
      </c>
      <c r="D1449" s="31"/>
      <c r="E1449" s="30"/>
      <c r="F1449" s="32"/>
      <c r="G1449" s="32"/>
      <c r="H1449" s="32"/>
      <c r="I1449" s="34" t="s">
        <v>1125</v>
      </c>
      <c r="J1449" s="151"/>
    </row>
    <row r="1450" spans="1:10">
      <c r="A1450" s="176"/>
      <c r="B1450" s="176"/>
      <c r="C1450" s="142" t="s">
        <v>1676</v>
      </c>
      <c r="D1450" s="174"/>
      <c r="E1450" s="175"/>
      <c r="F1450" s="35"/>
      <c r="G1450" s="35"/>
      <c r="H1450" s="82"/>
      <c r="I1450" s="82">
        <v>5</v>
      </c>
      <c r="J1450" s="188">
        <f>ROUND(PRODUCT(E1450:I1450),2)</f>
        <v>5</v>
      </c>
    </row>
    <row r="1451" spans="1:10">
      <c r="A1451" s="506"/>
      <c r="B1451" s="507"/>
      <c r="C1451" s="507"/>
      <c r="D1451" s="507"/>
      <c r="E1451" s="507"/>
      <c r="F1451" s="507"/>
      <c r="G1451" s="507"/>
      <c r="H1451" s="507"/>
      <c r="I1451" s="507"/>
      <c r="J1451" s="508"/>
    </row>
    <row r="1452" spans="1:10" ht="25.5">
      <c r="A1452" s="112" t="str">
        <f>'[3]Planilha Orçamentária'!A370</f>
        <v>1.6.7.3</v>
      </c>
      <c r="B1452" s="146" t="str">
        <f>VLOOKUP(A1452,'[3]Planilha Orçamentária'!A:K,2,0)</f>
        <v>COMP-58084869</v>
      </c>
      <c r="C1452" s="147" t="str">
        <f>VLOOKUP(A1452,'[3]Planilha Orçamentária'!A:K,3,0)</f>
        <v>PLACA ESMALTADA PARA IDENTIFICAÇÃO NR DE RUA, DIMENSÕES 45X25CM</v>
      </c>
      <c r="D1452" s="148" t="str">
        <f>VLOOKUP(A1452,'[3]Planilha Orçamentária'!A:K,4,0)</f>
        <v>UND</v>
      </c>
      <c r="E1452" s="149"/>
      <c r="F1452" s="150"/>
      <c r="G1452" s="150"/>
      <c r="H1452" s="150"/>
      <c r="I1452" s="150"/>
      <c r="J1452" s="151">
        <f>ROUND(SUM(J1453:J1454),2)</f>
        <v>3</v>
      </c>
    </row>
    <row r="1453" spans="1:10">
      <c r="A1453" s="28"/>
      <c r="B1453" s="29"/>
      <c r="C1453" s="142" t="s">
        <v>1872</v>
      </c>
      <c r="D1453" s="31"/>
      <c r="E1453" s="30"/>
      <c r="F1453" s="32"/>
      <c r="G1453" s="32"/>
      <c r="H1453" s="32"/>
      <c r="I1453" s="34" t="s">
        <v>1125</v>
      </c>
      <c r="J1453" s="33"/>
    </row>
    <row r="1454" spans="1:10">
      <c r="A1454" s="28"/>
      <c r="B1454" s="29"/>
      <c r="C1454" s="142" t="s">
        <v>1676</v>
      </c>
      <c r="D1454" s="31"/>
      <c r="E1454" s="30"/>
      <c r="F1454" s="32"/>
      <c r="G1454" s="32"/>
      <c r="H1454" s="32"/>
      <c r="I1454" s="82">
        <v>3</v>
      </c>
      <c r="J1454" s="188">
        <f>ROUND(PRODUCT(E1454:I1454),2)</f>
        <v>3</v>
      </c>
    </row>
    <row r="1455" spans="1:10">
      <c r="A1455" s="511"/>
      <c r="B1455" s="512"/>
      <c r="C1455" s="512"/>
      <c r="D1455" s="512"/>
      <c r="E1455" s="512"/>
      <c r="F1455" s="512"/>
      <c r="G1455" s="512"/>
      <c r="H1455" s="512"/>
      <c r="I1455" s="512"/>
      <c r="J1455" s="512"/>
    </row>
    <row r="1456" spans="1:10" ht="38.25">
      <c r="A1456" s="60" t="str">
        <f>'[3]Planilha Orçamentária'!A371</f>
        <v>1.6.7.4</v>
      </c>
      <c r="B1456" s="61" t="str">
        <f>VLOOKUP(A1456,'[3]Planilha Orçamentária'!A:K,2,0)</f>
        <v>CP-72947-21572945</v>
      </c>
      <c r="C1456" s="190" t="str">
        <f>VLOOKUP(A1456,'[3]Planilha Orçamentária'!A:K,3,0)</f>
        <v>SINALIZACAO HORIZONTAL COM TINTA RETRORREFLETIVA A BASE DE RESINA ACRILICA COM MICROESFERAS DE VIDRO</v>
      </c>
      <c r="D1456" s="63" t="str">
        <f>VLOOKUP(A1456,'[3]Planilha Orçamentária'!A:K,4,0)</f>
        <v>M2</v>
      </c>
      <c r="E1456" s="62"/>
      <c r="F1456" s="64"/>
      <c r="G1456" s="64"/>
      <c r="H1456" s="64"/>
      <c r="I1456" s="64"/>
      <c r="J1456" s="78">
        <f>ROUND(SUM(J1458:J1458),2)</f>
        <v>6.84</v>
      </c>
    </row>
    <row r="1457" spans="1:10">
      <c r="A1457" s="66"/>
      <c r="B1457" s="67"/>
      <c r="C1457" s="142" t="s">
        <v>1872</v>
      </c>
      <c r="D1457" s="63"/>
      <c r="E1457" s="62"/>
      <c r="F1457" s="80"/>
      <c r="G1457" s="64"/>
      <c r="H1457" s="64"/>
      <c r="I1457" s="34" t="s">
        <v>1620</v>
      </c>
      <c r="J1457" s="78"/>
    </row>
    <row r="1458" spans="1:10">
      <c r="A1458" s="176"/>
      <c r="B1458" s="176"/>
      <c r="C1458" s="142" t="s">
        <v>1676</v>
      </c>
      <c r="D1458" s="191"/>
      <c r="E1458" s="192"/>
      <c r="F1458" s="82"/>
      <c r="G1458" s="82"/>
      <c r="H1458" s="82"/>
      <c r="I1458" s="82">
        <v>6.84</v>
      </c>
      <c r="J1458" s="36">
        <f>ROUND(PRODUCT(E1458:I1458),2)</f>
        <v>6.84</v>
      </c>
    </row>
    <row r="1459" spans="1:10">
      <c r="A1459" s="507"/>
      <c r="B1459" s="507"/>
      <c r="C1459" s="507"/>
      <c r="D1459" s="507"/>
      <c r="E1459" s="507"/>
      <c r="F1459" s="507"/>
      <c r="G1459" s="507"/>
      <c r="H1459" s="507"/>
      <c r="I1459" s="507"/>
      <c r="J1459" s="508"/>
    </row>
    <row r="1460" spans="1:10">
      <c r="A1460" s="19" t="str">
        <f>'[3]Planilha Orçamentária'!A372</f>
        <v>1.6.8</v>
      </c>
      <c r="B1460" s="20"/>
      <c r="C1460" s="21" t="str">
        <f>VLOOKUP(A1460,'[3]Planilha Orçamentária'!A:K,3,0)</f>
        <v>MATERIAIS</v>
      </c>
      <c r="D1460" s="21"/>
      <c r="E1460" s="39"/>
      <c r="F1460" s="40"/>
      <c r="G1460" s="40"/>
      <c r="H1460" s="40"/>
      <c r="I1460" s="40"/>
      <c r="J1460" s="41"/>
    </row>
    <row r="1461" spans="1:10" ht="51">
      <c r="A1461" s="60" t="str">
        <f>'[3]Planilha Orçamentária'!A373</f>
        <v>1.6.8.1</v>
      </c>
      <c r="B1461" s="61">
        <f>VLOOKUP(A1461,'[3]Planilha Orçamentária'!A:K,2,0)</f>
        <v>10775</v>
      </c>
      <c r="C1461" s="62" t="str">
        <f>VLOOKUP(A1461,'[3]Planilha Orçamentária'!A:K,3,0)</f>
        <v xml:space="preserve">LOCACAO DE CONTAINER 2,30 X 6,00 M, ALT. 2,50 M, COM 1 SANITARIO, PARA ESCRITORIO, COMPLETO, SEM DIVISORIAS INTERNAS (NAO INCLUI MOBILIZACAO/DESMOBILIZACAO)                                                                                                                                                                                                                                                                                                                                              </v>
      </c>
      <c r="D1461" s="63" t="str">
        <f>VLOOKUP(A1461,'[3]Planilha Orçamentária'!A:K,4,0)</f>
        <v xml:space="preserve">MES   </v>
      </c>
      <c r="E1461" s="62"/>
      <c r="F1461" s="64"/>
      <c r="G1461" s="64"/>
      <c r="H1461" s="64"/>
      <c r="I1461" s="64"/>
      <c r="J1461" s="65">
        <f>ROUND(SUM(J1463:J1463),2)</f>
        <v>3</v>
      </c>
    </row>
    <row r="1462" spans="1:10" ht="25.5">
      <c r="A1462" s="66"/>
      <c r="B1462" s="67"/>
      <c r="C1462" s="68"/>
      <c r="D1462" s="69"/>
      <c r="E1462" s="68"/>
      <c r="F1462" s="70"/>
      <c r="G1462" s="71"/>
      <c r="H1462" s="71"/>
      <c r="I1462" s="34" t="s">
        <v>1609</v>
      </c>
      <c r="J1462" s="72"/>
    </row>
    <row r="1463" spans="1:10">
      <c r="A1463" s="27"/>
      <c r="B1463" s="27"/>
      <c r="C1463" s="73"/>
      <c r="D1463" s="74"/>
      <c r="E1463" s="35"/>
      <c r="F1463" s="75"/>
      <c r="G1463" s="35"/>
      <c r="H1463" s="35"/>
      <c r="I1463" s="35">
        <f>I1338</f>
        <v>3</v>
      </c>
      <c r="J1463" s="36">
        <f>ROUND(PRODUCT(E1463:I1463),2)</f>
        <v>3</v>
      </c>
    </row>
    <row r="1464" spans="1:10">
      <c r="A1464" s="496"/>
      <c r="B1464" s="496"/>
      <c r="C1464" s="496"/>
      <c r="D1464" s="496"/>
      <c r="E1464" s="496"/>
      <c r="F1464" s="496"/>
      <c r="G1464" s="496"/>
      <c r="H1464" s="496"/>
      <c r="I1464" s="496"/>
      <c r="J1464" s="496"/>
    </row>
    <row r="1465" spans="1:10" ht="38.25">
      <c r="A1465" s="60" t="str">
        <f>'[3]Planilha Orçamentária'!A374</f>
        <v>1.6.8.2</v>
      </c>
      <c r="B1465" s="61">
        <f>VLOOKUP(A1465,'[3]Planilha Orçamentária'!A:K,2,0)</f>
        <v>10776</v>
      </c>
      <c r="C1465" s="62" t="str">
        <f>VLOOKUP(A1465,'[3]Planilha Orçamentária'!A:K,3,0)</f>
        <v xml:space="preserve">LOCACAO DE CONTAINER 2,30 X 6,00 M, ALT. 2,50 M, PARA ESCRITORIO, SEM DIVISORIAS INTERNAS E SEM SANITARIO (NAO INCLUI MOBILIZACAO/DESMOBILIZACAO)                                                                                                                                                                                                                                                                                                                                                         </v>
      </c>
      <c r="D1465" s="63" t="str">
        <f>VLOOKUP(A1465,'[3]Planilha Orçamentária'!A:K,4,0)</f>
        <v xml:space="preserve">MES   </v>
      </c>
      <c r="E1465" s="62"/>
      <c r="F1465" s="64"/>
      <c r="G1465" s="64"/>
      <c r="H1465" s="64"/>
      <c r="I1465" s="64"/>
      <c r="J1465" s="65">
        <f>ROUND(SUM(J1467:J1467),2)</f>
        <v>3</v>
      </c>
    </row>
    <row r="1466" spans="1:10" ht="25.5">
      <c r="A1466" s="66"/>
      <c r="B1466" s="67"/>
      <c r="C1466" s="68"/>
      <c r="D1466" s="69"/>
      <c r="E1466" s="68"/>
      <c r="F1466" s="70"/>
      <c r="G1466" s="71"/>
      <c r="H1466" s="71"/>
      <c r="I1466" s="34" t="s">
        <v>1609</v>
      </c>
      <c r="J1466" s="72"/>
    </row>
    <row r="1467" spans="1:10">
      <c r="A1467" s="27"/>
      <c r="B1467" s="27"/>
      <c r="C1467" s="73"/>
      <c r="D1467" s="74"/>
      <c r="E1467" s="35"/>
      <c r="F1467" s="75"/>
      <c r="G1467" s="35"/>
      <c r="H1467" s="35"/>
      <c r="I1467" s="35">
        <f>I1463</f>
        <v>3</v>
      </c>
      <c r="J1467" s="36">
        <f>ROUND(PRODUCT(E1467:I1467),2)</f>
        <v>3</v>
      </c>
    </row>
    <row r="1468" spans="1:10">
      <c r="A1468" s="496"/>
      <c r="B1468" s="496"/>
      <c r="C1468" s="496"/>
      <c r="D1468" s="496"/>
      <c r="E1468" s="496"/>
      <c r="F1468" s="496"/>
      <c r="G1468" s="496"/>
      <c r="H1468" s="496"/>
      <c r="I1468" s="496"/>
      <c r="J1468" s="496"/>
    </row>
    <row r="1469" spans="1:10" ht="63.75">
      <c r="A1469" s="99" t="str">
        <f>'[3]Planilha Orçamentária'!A375</f>
        <v>1.6.8.3</v>
      </c>
      <c r="B1469" s="48">
        <f>VLOOKUP(A1469,'[3]Planilha Orçamentária'!A:K,2,0)</f>
        <v>36170</v>
      </c>
      <c r="C1469" s="100" t="str">
        <f>VLOOKUP(A1469,'[3]Planilha Orçamentária'!A:K,3,0)</f>
        <v xml:space="preserve">BLOQUETE/PISO INTERTRAVADO DE CONCRETO - MODELO ONDA/16 FACES/RETANGULAR/TIJOLINHO/PAVER/HOLANDES/PARALELEPIPEDO, *22 CM X 11* CM, E = 8 CM, RESISTENCIA DE 35 MPA (NBR 9781), COR NATURAL                                                                                                                                                                                                                                                                                                                </v>
      </c>
      <c r="D1469" s="101" t="str">
        <f>VLOOKUP(A1469,'[3]Planilha Orçamentária'!A:K,4,0)</f>
        <v xml:space="preserve">M2    </v>
      </c>
      <c r="E1469" s="100"/>
      <c r="F1469" s="102"/>
      <c r="G1469" s="102"/>
      <c r="H1469" s="102"/>
      <c r="I1469" s="102"/>
      <c r="J1469" s="193">
        <f>ROUND(SUM(J1470:J1471),2)</f>
        <v>1709.5</v>
      </c>
    </row>
    <row r="1470" spans="1:10">
      <c r="A1470" s="94"/>
      <c r="B1470" s="128"/>
      <c r="C1470" s="79" t="s">
        <v>1867</v>
      </c>
      <c r="D1470" s="96"/>
      <c r="E1470" s="34" t="s">
        <v>837</v>
      </c>
      <c r="F1470" s="34"/>
      <c r="G1470" s="82"/>
      <c r="H1470" s="82"/>
      <c r="I1470" s="82" t="s">
        <v>1620</v>
      </c>
      <c r="J1470" s="120"/>
    </row>
    <row r="1471" spans="1:10">
      <c r="A1471" s="94"/>
      <c r="B1471" s="128"/>
      <c r="C1471" s="194" t="s">
        <v>1677</v>
      </c>
      <c r="D1471" s="53"/>
      <c r="E1471" s="94">
        <v>1.0130999999999999</v>
      </c>
      <c r="F1471" s="34"/>
      <c r="G1471" s="82"/>
      <c r="H1471" s="82"/>
      <c r="I1471" s="82">
        <f>J1413</f>
        <v>1687.4</v>
      </c>
      <c r="J1471" s="120">
        <f>ROUND(PRODUCT(E1471:I1471),2)</f>
        <v>1709.5</v>
      </c>
    </row>
    <row r="1472" spans="1:10">
      <c r="A1472" s="497"/>
      <c r="B1472" s="497"/>
      <c r="C1472" s="497"/>
      <c r="D1472" s="497"/>
      <c r="E1472" s="497"/>
      <c r="F1472" s="497"/>
      <c r="G1472" s="497"/>
      <c r="H1472" s="497"/>
      <c r="I1472" s="497"/>
      <c r="J1472" s="497"/>
    </row>
    <row r="1473" spans="1:10" ht="63.75">
      <c r="A1473" s="99" t="str">
        <f>'[3]Planilha Orçamentária'!A376</f>
        <v>1.6.8.4</v>
      </c>
      <c r="B1473" s="48">
        <f>VLOOKUP(A1473,'[3]Planilha Orçamentária'!A:K,2,0)</f>
        <v>36154</v>
      </c>
      <c r="C1473" s="100" t="str">
        <f>VLOOKUP(A1473,'[3]Planilha Orçamentária'!A:K,3,0)</f>
        <v xml:space="preserve">BLOQUETE/PISO INTERTRAVADO DE CONCRETO - MODELO ONDA/16 FACES/RETANGULAR/TIJOLINHO/PAVER/HOLANDES/PARALELEPIPEDO, 20 CM X 10 CM, E = 8 CM, RESISTENCIA DE 35 MPA (NBR 9781), COLORIDO                                                                                                                                                                                                                                                                                                                     </v>
      </c>
      <c r="D1473" s="101" t="str">
        <f>VLOOKUP(A1473,'[3]Planilha Orçamentária'!A:K,4,0)</f>
        <v xml:space="preserve">M2    </v>
      </c>
      <c r="E1473" s="100"/>
      <c r="F1473" s="102"/>
      <c r="G1473" s="102"/>
      <c r="H1473" s="102"/>
      <c r="I1473" s="102"/>
      <c r="J1473" s="33">
        <f>ROUND(SUM(J1474:J1476),2)</f>
        <v>500.48</v>
      </c>
    </row>
    <row r="1474" spans="1:10">
      <c r="A1474" s="94"/>
      <c r="B1474" s="128"/>
      <c r="C1474" s="79" t="s">
        <v>1867</v>
      </c>
      <c r="D1474" s="96"/>
      <c r="E1474" s="34" t="s">
        <v>837</v>
      </c>
      <c r="F1474" s="34"/>
      <c r="G1474" s="82"/>
      <c r="H1474" s="82"/>
      <c r="I1474" s="82" t="s">
        <v>1620</v>
      </c>
      <c r="J1474" s="120"/>
    </row>
    <row r="1475" spans="1:10">
      <c r="A1475" s="94"/>
      <c r="B1475" s="128"/>
      <c r="C1475" s="194" t="s">
        <v>1677</v>
      </c>
      <c r="D1475" s="53"/>
      <c r="E1475" s="94">
        <v>1.0130999999999999</v>
      </c>
      <c r="F1475" s="34"/>
      <c r="G1475" s="82"/>
      <c r="H1475" s="82"/>
      <c r="I1475" s="82">
        <f>J1414</f>
        <v>494.01</v>
      </c>
      <c r="J1475" s="120">
        <f t="shared" ref="J1475" si="139">ROUND(PRODUCT(E1475:I1475),2)</f>
        <v>500.48</v>
      </c>
    </row>
    <row r="1476" spans="1:10">
      <c r="A1476" s="94"/>
      <c r="B1476" s="128"/>
      <c r="C1476" s="145"/>
      <c r="D1476" s="96"/>
      <c r="E1476" s="82"/>
      <c r="F1476" s="34"/>
      <c r="G1476" s="82"/>
      <c r="H1476" s="82"/>
      <c r="I1476" s="82"/>
      <c r="J1476" s="120"/>
    </row>
    <row r="1477" spans="1:10">
      <c r="A1477" s="99" t="str">
        <f>'[3]Planilha Orçamentária'!A377</f>
        <v>1.6.8.5</v>
      </c>
      <c r="B1477" s="48" t="str">
        <f>VLOOKUP(A1477,'[3]Planilha Orçamentária'!A:K,2,0)</f>
        <v>INS-185032</v>
      </c>
      <c r="C1477" s="100" t="str">
        <f>VLOOKUP(A1477,'[3]Planilha Orçamentária'!A:K,3,0)</f>
        <v>BRITA GRADUADA SIMPLES (BGS)</v>
      </c>
      <c r="D1477" s="101" t="str">
        <f>VLOOKUP(A1477,'[3]Planilha Orçamentária'!A:K,4,0)</f>
        <v>M3</v>
      </c>
      <c r="E1477" s="100"/>
      <c r="F1477" s="102"/>
      <c r="G1477" s="102"/>
      <c r="H1477" s="102"/>
      <c r="I1477" s="102"/>
      <c r="J1477" s="33">
        <f>ROUND(SUM(J1478:J1479),2)</f>
        <v>327.20999999999998</v>
      </c>
    </row>
    <row r="1478" spans="1:10">
      <c r="A1478" s="94"/>
      <c r="B1478" s="94"/>
      <c r="C1478" s="195" t="s">
        <v>1867</v>
      </c>
      <c r="D1478" s="94"/>
      <c r="E1478" s="34" t="s">
        <v>837</v>
      </c>
      <c r="F1478" s="94"/>
      <c r="G1478" s="94"/>
      <c r="H1478" s="94"/>
      <c r="I1478" s="94" t="s">
        <v>1623</v>
      </c>
      <c r="J1478" s="94"/>
    </row>
    <row r="1479" spans="1:10">
      <c r="A1479" s="94"/>
      <c r="B1479" s="94"/>
      <c r="C1479" s="194" t="s">
        <v>1680</v>
      </c>
      <c r="D1479" s="53"/>
      <c r="E1479" s="198">
        <v>1</v>
      </c>
      <c r="F1479" s="94"/>
      <c r="G1479" s="94"/>
      <c r="H1479" s="94"/>
      <c r="I1479" s="196">
        <f>J1398</f>
        <v>327.20999999999998</v>
      </c>
      <c r="J1479" s="120">
        <f t="shared" ref="J1479" si="140">ROUND(PRODUCT(E1479:I1479),2)</f>
        <v>327.20999999999998</v>
      </c>
    </row>
    <row r="1480" spans="1:10">
      <c r="A1480" s="95"/>
      <c r="B1480" s="137"/>
      <c r="C1480" s="137"/>
      <c r="D1480" s="137"/>
      <c r="E1480" s="137"/>
      <c r="F1480" s="137"/>
      <c r="G1480" s="137"/>
      <c r="H1480" s="137"/>
      <c r="I1480" s="137"/>
      <c r="J1480" s="137"/>
    </row>
    <row r="1481" spans="1:10">
      <c r="A1481" s="99" t="str">
        <f>'[3]Planilha Orçamentária'!A378</f>
        <v>1.6.8.6</v>
      </c>
      <c r="B1481" s="48" t="str">
        <f>VLOOKUP(A1481,'[3]Planilha Orçamentária'!A:K,2,0)</f>
        <v>M0808</v>
      </c>
      <c r="C1481" s="100" t="str">
        <f>VLOOKUP(A1481,'[3]Planilha Orçamentária'!A:K,3,0)</f>
        <v>Brita 4</v>
      </c>
      <c r="D1481" s="101" t="str">
        <f>VLOOKUP(A1481,'[3]Planilha Orçamentária'!A:K,4,0)</f>
        <v>M3</v>
      </c>
      <c r="E1481" s="100"/>
      <c r="F1481" s="102"/>
      <c r="G1481" s="102"/>
      <c r="H1481" s="102"/>
      <c r="I1481" s="102"/>
      <c r="J1481" s="33">
        <f>ROUND(SUM(J1482:J1483),2)</f>
        <v>412.28</v>
      </c>
    </row>
    <row r="1482" spans="1:10">
      <c r="A1482" s="94"/>
      <c r="B1482" s="94"/>
      <c r="C1482" s="199"/>
      <c r="D1482" s="53"/>
      <c r="E1482" s="53" t="s">
        <v>1678</v>
      </c>
      <c r="F1482" s="94"/>
      <c r="G1482" s="94"/>
      <c r="H1482" s="94"/>
      <c r="I1482" s="94" t="s">
        <v>1623</v>
      </c>
      <c r="J1482" s="94"/>
    </row>
    <row r="1483" spans="1:10" ht="15">
      <c r="A1483" s="94"/>
      <c r="B1483" s="94"/>
      <c r="C1483" s="109" t="s">
        <v>1681</v>
      </c>
      <c r="D1483" s="53"/>
      <c r="E1483" s="200">
        <v>1.26</v>
      </c>
      <c r="F1483" s="94"/>
      <c r="G1483" s="94"/>
      <c r="H1483" s="94"/>
      <c r="I1483" s="196">
        <f>J1393</f>
        <v>327.20999999999998</v>
      </c>
      <c r="J1483" s="120">
        <f t="shared" ref="J1483" si="141">ROUND(PRODUCT(E1483:I1483),2)</f>
        <v>412.28</v>
      </c>
    </row>
    <row r="1484" spans="1:10">
      <c r="A1484" s="95"/>
      <c r="B1484" s="137"/>
      <c r="C1484" s="137"/>
      <c r="D1484" s="137"/>
      <c r="E1484" s="137"/>
      <c r="F1484" s="137"/>
      <c r="G1484" s="137"/>
      <c r="H1484" s="137"/>
      <c r="I1484" s="137"/>
      <c r="J1484" s="137"/>
    </row>
    <row r="1485" spans="1:10">
      <c r="A1485" s="99" t="str">
        <f>'[3]Planilha Orçamentária'!A379</f>
        <v>1.6.8.7</v>
      </c>
      <c r="B1485" s="48" t="str">
        <f>VLOOKUP(A1485,'[3]Planilha Orçamentária'!A:K,2,0)</f>
        <v>M1135</v>
      </c>
      <c r="C1485" s="100" t="str">
        <f>VLOOKUP(A1485,'[3]Planilha Orçamentária'!A:K,3,0)</f>
        <v>Pó de pedra</v>
      </c>
      <c r="D1485" s="101" t="str">
        <f>VLOOKUP(A1485,'[3]Planilha Orçamentária'!A:K,4,0)</f>
        <v>M3</v>
      </c>
      <c r="E1485" s="100"/>
      <c r="F1485" s="102"/>
      <c r="G1485" s="102"/>
      <c r="H1485" s="102"/>
      <c r="I1485" s="102"/>
      <c r="J1485" s="33">
        <f>ROUND(SUM(J1486:J1487),2)</f>
        <v>45.81</v>
      </c>
    </row>
    <row r="1486" spans="1:10">
      <c r="A1486" s="94"/>
      <c r="B1486" s="94"/>
      <c r="C1486" s="199"/>
      <c r="D1486" s="53"/>
      <c r="E1486" s="53" t="s">
        <v>1678</v>
      </c>
      <c r="F1486" s="94"/>
      <c r="G1486" s="94"/>
      <c r="H1486" s="94"/>
      <c r="I1486" s="94" t="s">
        <v>1623</v>
      </c>
      <c r="J1486" s="94"/>
    </row>
    <row r="1487" spans="1:10">
      <c r="A1487" s="94"/>
      <c r="B1487" s="94"/>
      <c r="C1487" s="109" t="s">
        <v>1681</v>
      </c>
      <c r="D1487" s="53"/>
      <c r="E1487" s="53">
        <v>0.14000000000000001</v>
      </c>
      <c r="F1487" s="94"/>
      <c r="G1487" s="94"/>
      <c r="H1487" s="94"/>
      <c r="I1487" s="196">
        <f>I1483</f>
        <v>327.20999999999998</v>
      </c>
      <c r="J1487" s="120">
        <f t="shared" ref="J1487" si="142">ROUND(PRODUCT(E1487:I1487),2)</f>
        <v>45.81</v>
      </c>
    </row>
    <row r="1488" spans="1:10">
      <c r="A1488" s="95"/>
      <c r="B1488" s="137"/>
      <c r="C1488" s="137"/>
      <c r="D1488" s="137"/>
      <c r="E1488" s="137"/>
      <c r="F1488" s="137"/>
      <c r="G1488" s="137"/>
      <c r="H1488" s="137"/>
      <c r="I1488" s="137"/>
      <c r="J1488" s="137"/>
    </row>
    <row r="1489" spans="1:10">
      <c r="A1489" s="201" t="str">
        <f>'[3]Planilha Orçamentária'!A380</f>
        <v>1.7</v>
      </c>
      <c r="B1489" s="504" t="str">
        <f>VLOOKUP(A1489,'[3]Planilha Orçamentária'!A:K,3,0)</f>
        <v>RUA VALMIRO PAULO DA SILVA - BARRA DE JANGADA</v>
      </c>
      <c r="C1489" s="505"/>
      <c r="D1489" s="505"/>
      <c r="E1489" s="505"/>
      <c r="F1489" s="505"/>
      <c r="G1489" s="505"/>
      <c r="H1489" s="505"/>
      <c r="I1489" s="505"/>
      <c r="J1489" s="505"/>
    </row>
    <row r="1490" spans="1:10">
      <c r="A1490" s="19" t="str">
        <f>'[3]Planilha Orçamentária'!A381</f>
        <v>1.7.1</v>
      </c>
      <c r="B1490" s="20"/>
      <c r="C1490" s="21" t="str">
        <f>VLOOKUP(A1490,'[3]Planilha Orçamentária'!A:K,3,0)</f>
        <v>INSTALAÇÕES PROVISÓRIAS</v>
      </c>
      <c r="D1490" s="22"/>
      <c r="E1490" s="23"/>
      <c r="F1490" s="24"/>
      <c r="G1490" s="24"/>
      <c r="H1490" s="24"/>
      <c r="I1490" s="25"/>
      <c r="J1490" s="26"/>
    </row>
    <row r="1491" spans="1:10" ht="25.5">
      <c r="A1491" s="59" t="str">
        <f>'[3]Planilha Orçamentária'!A382</f>
        <v>1.7.1.1</v>
      </c>
      <c r="B1491" s="42" t="str">
        <f>VLOOKUP(A1491,'[3]Planilha Orçamentária'!A:K,2,0)</f>
        <v>CP-74209/001-15055090</v>
      </c>
      <c r="C1491" s="30" t="str">
        <f>VLOOKUP(A1491,'[3]Planilha Orçamentária'!A:K,3,0)</f>
        <v>PLACA DE OBRA EM CHAPA DE ACO GALVANIZADO</v>
      </c>
      <c r="D1491" s="31" t="str">
        <f>VLOOKUP(A1491,'[3]Planilha Orçamentária'!A:K,4,0)</f>
        <v xml:space="preserve">M2    </v>
      </c>
      <c r="E1491" s="30"/>
      <c r="F1491" s="34" t="s">
        <v>1606</v>
      </c>
      <c r="G1491" s="34" t="s">
        <v>1607</v>
      </c>
      <c r="H1491" s="34"/>
      <c r="I1491" s="34" t="s">
        <v>1608</v>
      </c>
      <c r="J1491" s="45">
        <f>ROUND(SUM(J1493:J1493),2)</f>
        <v>8</v>
      </c>
    </row>
    <row r="1492" spans="1:10">
      <c r="A1492" s="59"/>
      <c r="B1492" s="42"/>
      <c r="C1492" s="202"/>
      <c r="D1492" s="203"/>
      <c r="E1492" s="202"/>
      <c r="F1492" s="32"/>
      <c r="G1492" s="32"/>
      <c r="H1492" s="32"/>
      <c r="I1492" s="32"/>
      <c r="J1492" s="45"/>
    </row>
    <row r="1493" spans="1:10">
      <c r="A1493" s="59"/>
      <c r="B1493" s="27"/>
      <c r="C1493" s="204"/>
      <c r="D1493" s="205"/>
      <c r="E1493" s="206"/>
      <c r="F1493" s="35">
        <v>2</v>
      </c>
      <c r="G1493" s="35">
        <v>4</v>
      </c>
      <c r="H1493" s="207"/>
      <c r="I1493" s="35">
        <v>1</v>
      </c>
      <c r="J1493" s="58">
        <f>ROUND(PRODUCT(E1493:I1493),2)</f>
        <v>8</v>
      </c>
    </row>
    <row r="1494" spans="1:10">
      <c r="A1494" s="515"/>
      <c r="B1494" s="516"/>
      <c r="C1494" s="516"/>
      <c r="D1494" s="516"/>
      <c r="E1494" s="516"/>
      <c r="F1494" s="516"/>
      <c r="G1494" s="516"/>
      <c r="H1494" s="516"/>
      <c r="I1494" s="516"/>
      <c r="J1494" s="517"/>
    </row>
    <row r="1495" spans="1:10" ht="25.5">
      <c r="A1495" s="59" t="str">
        <f>'[3]Planilha Orçamentária'!A383</f>
        <v>1.7.1.2</v>
      </c>
      <c r="B1495" s="29" t="str">
        <f>VLOOKUP(A1495,'[3]Planilha Orçamentária'!A:K,2,0)</f>
        <v>COMP-07440249</v>
      </c>
      <c r="C1495" s="30" t="str">
        <f>VLOOKUP(A1495,'[3]Planilha Orçamentária'!A:K,3,0)</f>
        <v>BANHEIRO QUÍMICO, COM LOCAÇÃO, TRANSPORTE E LIMPEZA</v>
      </c>
      <c r="D1495" s="31" t="str">
        <f>VLOOKUP(A1495,'[3]Planilha Orçamentária'!A:K,4,0)</f>
        <v>MÊS</v>
      </c>
      <c r="E1495" s="30"/>
      <c r="F1495" s="32"/>
      <c r="G1495" s="32"/>
      <c r="H1495" s="32"/>
      <c r="I1495" s="32"/>
      <c r="J1495" s="33">
        <f>ROUND(SUM(J1497:J1497),2)</f>
        <v>3</v>
      </c>
    </row>
    <row r="1496" spans="1:10" ht="25.5">
      <c r="A1496" s="59"/>
      <c r="B1496" s="29"/>
      <c r="C1496" s="30"/>
      <c r="D1496" s="31"/>
      <c r="E1496" s="30"/>
      <c r="F1496" s="32"/>
      <c r="G1496" s="32"/>
      <c r="H1496" s="32"/>
      <c r="I1496" s="34" t="s">
        <v>1609</v>
      </c>
      <c r="J1496" s="33"/>
    </row>
    <row r="1497" spans="1:10">
      <c r="A1497" s="59"/>
      <c r="B1497" s="27"/>
      <c r="C1497" s="208"/>
      <c r="D1497" s="209"/>
      <c r="E1497" s="75"/>
      <c r="F1497" s="75"/>
      <c r="G1497" s="207"/>
      <c r="H1497" s="207"/>
      <c r="I1497" s="143">
        <v>3</v>
      </c>
      <c r="J1497" s="36">
        <f>ROUND(PRODUCT(E1497:I1497),2)</f>
        <v>3</v>
      </c>
    </row>
    <row r="1498" spans="1:10">
      <c r="A1498" s="59"/>
      <c r="B1498" s="27"/>
      <c r="C1498" s="208"/>
      <c r="D1498" s="209"/>
      <c r="E1498" s="75"/>
      <c r="F1498" s="75"/>
      <c r="G1498" s="207"/>
      <c r="H1498" s="207"/>
      <c r="I1498" s="143"/>
      <c r="J1498" s="36"/>
    </row>
    <row r="1499" spans="1:10">
      <c r="A1499" s="19" t="str">
        <f>'[3]Planilha Orçamentária'!A384</f>
        <v>1.7.2</v>
      </c>
      <c r="B1499" s="20"/>
      <c r="C1499" s="21" t="str">
        <f>VLOOKUP(A1499,'[3]Planilha Orçamentária'!A:K,3,0)</f>
        <v>ADMINISTRAÇÃO LOCAL</v>
      </c>
      <c r="D1499" s="21"/>
      <c r="E1499" s="39"/>
      <c r="F1499" s="40"/>
      <c r="G1499" s="40"/>
      <c r="H1499" s="40"/>
      <c r="I1499" s="40"/>
      <c r="J1499" s="41"/>
    </row>
    <row r="1500" spans="1:10" ht="25.5">
      <c r="A1500" s="28" t="str">
        <f>'[3]Planilha Orçamentária'!A385</f>
        <v>1.7.2.1</v>
      </c>
      <c r="B1500" s="42">
        <f>VLOOKUP(A1500,'[3]Planilha Orçamentária'!A:K,2,0)</f>
        <v>93565</v>
      </c>
      <c r="C1500" s="30" t="str">
        <f>VLOOKUP(A1500,'[3]Planilha Orçamentária'!A:K,3,0)</f>
        <v>ENGENHEIRO CIVIL DE OBRA JUNIOR COM ENCARGOS COMPLEMENTARES</v>
      </c>
      <c r="D1500" s="31" t="str">
        <f>VLOOKUP(A1500,'[3]Planilha Orçamentária'!A:K,4,0)</f>
        <v>MES</v>
      </c>
      <c r="E1500" s="43"/>
      <c r="F1500" s="44"/>
      <c r="G1500" s="44"/>
      <c r="H1500" s="44"/>
      <c r="I1500" s="44"/>
      <c r="J1500" s="45">
        <f>ROUND(SUM(J1502),2)</f>
        <v>0.38</v>
      </c>
    </row>
    <row r="1501" spans="1:10" ht="14.25">
      <c r="A1501" s="28"/>
      <c r="B1501" s="42"/>
      <c r="C1501" s="210"/>
      <c r="D1501" s="31"/>
      <c r="E1501" s="43"/>
      <c r="F1501" s="57"/>
      <c r="G1501" s="57"/>
      <c r="H1501" s="57"/>
      <c r="I1501" s="57"/>
      <c r="J1501" s="45"/>
    </row>
    <row r="1502" spans="1:10" ht="14.25">
      <c r="A1502" s="53"/>
      <c r="B1502" s="54"/>
      <c r="C1502" s="210" t="s">
        <v>1810</v>
      </c>
      <c r="D1502" s="211"/>
      <c r="E1502" s="57">
        <f>22/176</f>
        <v>0.125</v>
      </c>
      <c r="F1502" s="57"/>
      <c r="G1502" s="57"/>
      <c r="H1502" s="57"/>
      <c r="I1502" s="57">
        <f>I1497</f>
        <v>3</v>
      </c>
      <c r="J1502" s="58">
        <f>ROUND(PRODUCT(E1502:I1502),2)</f>
        <v>0.38</v>
      </c>
    </row>
    <row r="1503" spans="1:10" ht="14.25">
      <c r="A1503" s="53"/>
      <c r="B1503" s="54"/>
      <c r="C1503" s="210" t="s">
        <v>1684</v>
      </c>
      <c r="D1503" s="211"/>
      <c r="E1503" s="57"/>
      <c r="F1503" s="57"/>
      <c r="G1503" s="57"/>
      <c r="H1503" s="57"/>
      <c r="I1503" s="57"/>
      <c r="J1503" s="212"/>
    </row>
    <row r="1504" spans="1:10" ht="14.25">
      <c r="A1504" s="53"/>
      <c r="B1504" s="54"/>
      <c r="C1504" s="210" t="s">
        <v>1612</v>
      </c>
      <c r="D1504" s="213"/>
      <c r="E1504" s="214"/>
      <c r="F1504" s="143"/>
      <c r="G1504" s="207"/>
      <c r="H1504" s="207"/>
      <c r="I1504" s="135"/>
      <c r="J1504" s="215"/>
    </row>
    <row r="1505" spans="1:10">
      <c r="A1505" s="496"/>
      <c r="B1505" s="496"/>
      <c r="C1505" s="496"/>
      <c r="D1505" s="496"/>
      <c r="E1505" s="496"/>
      <c r="F1505" s="496"/>
      <c r="G1505" s="496"/>
      <c r="H1505" s="496"/>
      <c r="I1505" s="496"/>
      <c r="J1505" s="496"/>
    </row>
    <row r="1506" spans="1:10" ht="25.5">
      <c r="A1506" s="28" t="str">
        <f>'[3]Planilha Orçamentária'!A386</f>
        <v>1.7.2.2</v>
      </c>
      <c r="B1506" s="42">
        <f>VLOOKUP(A1506,'[3]Planilha Orçamentária'!A:K,2,0)</f>
        <v>93572</v>
      </c>
      <c r="C1506" s="30" t="str">
        <f>VLOOKUP(A1506,'[3]Planilha Orçamentária'!A:K,3,0)</f>
        <v>ENCARREGADO GERAL DE OBRAS COM ENCARGOS COMPLEMENTARES</v>
      </c>
      <c r="D1506" s="31" t="str">
        <f>VLOOKUP(A1506,'[3]Planilha Orçamentária'!A:K,4,0)</f>
        <v>MES</v>
      </c>
      <c r="E1506" s="43"/>
      <c r="F1506" s="44"/>
      <c r="G1506" s="44"/>
      <c r="H1506" s="44"/>
      <c r="I1506" s="44"/>
      <c r="J1506" s="45">
        <f>ROUND(SUM(J1508),2)</f>
        <v>1.5</v>
      </c>
    </row>
    <row r="1507" spans="1:10" ht="14.25">
      <c r="A1507" s="28"/>
      <c r="B1507" s="42"/>
      <c r="C1507" s="210"/>
      <c r="D1507" s="31"/>
      <c r="E1507" s="43"/>
      <c r="F1507" s="57"/>
      <c r="G1507" s="57"/>
      <c r="H1507" s="57"/>
      <c r="I1507" s="57"/>
      <c r="J1507" s="45"/>
    </row>
    <row r="1508" spans="1:10" ht="14.25">
      <c r="A1508" s="53"/>
      <c r="B1508" s="54"/>
      <c r="C1508" s="210" t="s">
        <v>1613</v>
      </c>
      <c r="D1508" s="211"/>
      <c r="E1508" s="57">
        <f>88/176</f>
        <v>0.5</v>
      </c>
      <c r="F1508" s="57"/>
      <c r="G1508" s="57"/>
      <c r="H1508" s="57"/>
      <c r="I1508" s="57">
        <f>I1497</f>
        <v>3</v>
      </c>
      <c r="J1508" s="58">
        <f>ROUND(PRODUCT(E1508:I1508),2)</f>
        <v>1.5</v>
      </c>
    </row>
    <row r="1509" spans="1:10" ht="14.25">
      <c r="A1509" s="53"/>
      <c r="B1509" s="54"/>
      <c r="C1509" s="210" t="s">
        <v>1614</v>
      </c>
      <c r="D1509" s="211"/>
      <c r="E1509" s="57"/>
      <c r="F1509" s="57"/>
      <c r="G1509" s="57"/>
      <c r="H1509" s="57"/>
      <c r="I1509" s="57"/>
      <c r="J1509" s="212"/>
    </row>
    <row r="1510" spans="1:10" ht="14.25">
      <c r="A1510" s="53"/>
      <c r="B1510" s="54"/>
      <c r="C1510" s="210" t="s">
        <v>1612</v>
      </c>
      <c r="D1510" s="213"/>
      <c r="E1510" s="214"/>
      <c r="F1510" s="143"/>
      <c r="G1510" s="207"/>
      <c r="H1510" s="207"/>
      <c r="I1510" s="135"/>
      <c r="J1510" s="215"/>
    </row>
    <row r="1511" spans="1:10">
      <c r="A1511" s="496"/>
      <c r="B1511" s="496"/>
      <c r="C1511" s="496"/>
      <c r="D1511" s="496"/>
      <c r="E1511" s="496"/>
      <c r="F1511" s="496"/>
      <c r="G1511" s="496"/>
      <c r="H1511" s="496"/>
      <c r="I1511" s="496"/>
      <c r="J1511" s="496"/>
    </row>
    <row r="1512" spans="1:10">
      <c r="A1512" s="19" t="str">
        <f>'[3]Planilha Orçamentária'!A387</f>
        <v>1.7.3</v>
      </c>
      <c r="B1512" s="20"/>
      <c r="C1512" s="21" t="str">
        <f>VLOOKUP(A1512,'[3]Planilha Orçamentária'!A:K,3,0)</f>
        <v>SERVIÇOS PRELIMINARES</v>
      </c>
      <c r="D1512" s="22"/>
      <c r="E1512" s="23"/>
      <c r="F1512" s="24"/>
      <c r="G1512" s="24"/>
      <c r="H1512" s="24"/>
      <c r="I1512" s="25"/>
      <c r="J1512" s="26"/>
    </row>
    <row r="1513" spans="1:10">
      <c r="A1513" s="60" t="str">
        <f>'[3]Planilha Orçamentária'!A388</f>
        <v>1.7.3.1</v>
      </c>
      <c r="B1513" s="61">
        <f>VLOOKUP(A1513,'[3]Planilha Orçamentária'!A:K,2,0)</f>
        <v>99064</v>
      </c>
      <c r="C1513" s="62" t="str">
        <f>VLOOKUP(A1513,'[3]Planilha Orçamentária'!A:K,3,0)</f>
        <v>LOCAÇÃO DE PAVIMENTAÇÃO. AF_10/2018</v>
      </c>
      <c r="D1513" s="63" t="str">
        <f>VLOOKUP(A1513,'[3]Planilha Orçamentária'!A:K,4,0)</f>
        <v>M</v>
      </c>
      <c r="E1513" s="62"/>
      <c r="F1513" s="57"/>
      <c r="G1513" s="71"/>
      <c r="H1513" s="71"/>
      <c r="I1513" s="71"/>
      <c r="J1513" s="78">
        <f>ROUND(SUM(J1515:J1516),2)</f>
        <v>386.41</v>
      </c>
    </row>
    <row r="1514" spans="1:10">
      <c r="A1514" s="66"/>
      <c r="B1514" s="67"/>
      <c r="C1514" s="62"/>
      <c r="D1514" s="63"/>
      <c r="E1514" s="62"/>
      <c r="F1514" s="34" t="s">
        <v>1606</v>
      </c>
      <c r="G1514" s="71"/>
      <c r="H1514" s="71"/>
      <c r="I1514" s="71"/>
      <c r="J1514" s="78"/>
    </row>
    <row r="1515" spans="1:10">
      <c r="A1515" s="94"/>
      <c r="B1515" s="94"/>
      <c r="C1515" s="109" t="s">
        <v>1873</v>
      </c>
      <c r="D1515" s="96"/>
      <c r="E1515" s="82"/>
      <c r="F1515" s="57">
        <f>(13*20)+(2.74)+(123.67)</f>
        <v>386.41</v>
      </c>
      <c r="G1515" s="82"/>
      <c r="H1515" s="82"/>
      <c r="I1515" s="82"/>
      <c r="J1515" s="120">
        <f>ROUND(PRODUCT(E1515:I1515),2)</f>
        <v>386.41</v>
      </c>
    </row>
    <row r="1516" spans="1:10">
      <c r="A1516" s="496"/>
      <c r="B1516" s="496"/>
      <c r="C1516" s="496"/>
      <c r="D1516" s="496"/>
      <c r="E1516" s="496"/>
      <c r="F1516" s="496"/>
      <c r="G1516" s="496"/>
      <c r="H1516" s="496"/>
      <c r="I1516" s="496"/>
      <c r="J1516" s="496"/>
    </row>
    <row r="1517" spans="1:10" ht="25.5">
      <c r="A1517" s="60" t="str">
        <f>'[3]Planilha Orçamentária'!A389</f>
        <v>1.7.3.2</v>
      </c>
      <c r="B1517" s="77" t="str">
        <f>VLOOKUP(A1517,'[3]Planilha Orçamentária'!A:K,2,0)</f>
        <v>COMP-17562084</v>
      </c>
      <c r="C1517" s="62" t="str">
        <f>VLOOKUP(A1517,'[3]Planilha Orçamentária'!A:K,3,0)</f>
        <v>DEMOLIÇÃO MANUAL DE CONCRETO SIMPLES</v>
      </c>
      <c r="D1517" s="63" t="str">
        <f>VLOOKUP(A1517,'[3]Planilha Orçamentária'!A:K,4,0)</f>
        <v>M3</v>
      </c>
      <c r="E1517" s="62"/>
      <c r="F1517" s="64"/>
      <c r="G1517" s="64"/>
      <c r="H1517" s="64"/>
      <c r="I1517" s="64"/>
      <c r="J1517" s="78">
        <f>ROUND(SUM(J1519),2)</f>
        <v>11.59</v>
      </c>
    </row>
    <row r="1518" spans="1:10">
      <c r="A1518" s="60"/>
      <c r="B1518" s="77"/>
      <c r="C1518" s="79" t="s">
        <v>1874</v>
      </c>
      <c r="D1518" s="63"/>
      <c r="E1518" s="62"/>
      <c r="F1518" s="80"/>
      <c r="G1518" s="80"/>
      <c r="H1518" s="80" t="s">
        <v>1619</v>
      </c>
      <c r="I1518" s="34" t="s">
        <v>1620</v>
      </c>
      <c r="J1518" s="78"/>
    </row>
    <row r="1519" spans="1:10" ht="25.5">
      <c r="A1519" s="60"/>
      <c r="B1519" s="77"/>
      <c r="C1519" s="81" t="s">
        <v>1875</v>
      </c>
      <c r="D1519" s="63"/>
      <c r="E1519" s="62"/>
      <c r="F1519" s="82"/>
      <c r="G1519" s="82"/>
      <c r="H1519" s="82">
        <v>7.0000000000000007E-2</v>
      </c>
      <c r="I1519" s="82">
        <v>165.62</v>
      </c>
      <c r="J1519" s="36">
        <f>ROUND(PRODUCT(E1519:I1519),2)</f>
        <v>11.59</v>
      </c>
    </row>
    <row r="1520" spans="1:10">
      <c r="A1520" s="518"/>
      <c r="B1520" s="519"/>
      <c r="C1520" s="519"/>
      <c r="D1520" s="519"/>
      <c r="E1520" s="519"/>
      <c r="F1520" s="519"/>
      <c r="G1520" s="519"/>
      <c r="H1520" s="519"/>
      <c r="I1520" s="519"/>
      <c r="J1520" s="523"/>
    </row>
    <row r="1521" spans="1:10" ht="51">
      <c r="A1521" s="60" t="str">
        <f>'[3]Planilha Orçamentária'!A390</f>
        <v>1.7.3.3</v>
      </c>
      <c r="B1521" s="77" t="str">
        <f>VLOOKUP(A1521,'[3]Planilha Orçamentária'!A:K,2,0)</f>
        <v>COMP-35145154</v>
      </c>
      <c r="C1521" s="62" t="str">
        <f>VLOOKUP(A1521,'[3]Planilha Orçamentária'!A:K,3,0)</f>
        <v>CARGA E DESCARGA MECANICA DE SOLO UTILIZANDO CAMINHAO BASCULANTE 14,0M3/36T E PA CARREGADEIRA SOBRE PNEUS 128 HP, CAPACIDADE DA CAÇAMBA 1,7 A 2,8 M3, PESO OPERACIONAL 11632 KH</v>
      </c>
      <c r="D1521" s="63" t="str">
        <f>VLOOKUP(A1521,'[3]Planilha Orçamentária'!A:K,4,0)</f>
        <v>M3</v>
      </c>
      <c r="E1521" s="62"/>
      <c r="F1521" s="64"/>
      <c r="G1521" s="64"/>
      <c r="H1521" s="64"/>
      <c r="I1521" s="64"/>
      <c r="J1521" s="78">
        <f>ROUND(SUM(J1523:J1523),2)</f>
        <v>14.49</v>
      </c>
    </row>
    <row r="1522" spans="1:10">
      <c r="A1522" s="60"/>
      <c r="B1522" s="77"/>
      <c r="C1522" s="79" t="s">
        <v>1874</v>
      </c>
      <c r="D1522" s="69"/>
      <c r="E1522" s="81" t="s">
        <v>1622</v>
      </c>
      <c r="F1522" s="71"/>
      <c r="G1522" s="71"/>
      <c r="H1522" s="71"/>
      <c r="I1522" s="80" t="s">
        <v>1623</v>
      </c>
      <c r="J1522" s="78"/>
    </row>
    <row r="1523" spans="1:10">
      <c r="A1523" s="60"/>
      <c r="B1523" s="77"/>
      <c r="C1523" s="86" t="s">
        <v>1624</v>
      </c>
      <c r="D1523" s="69"/>
      <c r="E1523" s="81">
        <v>1.25</v>
      </c>
      <c r="F1523" s="71"/>
      <c r="G1523" s="71"/>
      <c r="H1523" s="71"/>
      <c r="I1523" s="87">
        <f>J1517</f>
        <v>11.59</v>
      </c>
      <c r="J1523" s="36">
        <f>ROUND(PRODUCT(E1523:I1523),2)</f>
        <v>14.49</v>
      </c>
    </row>
    <row r="1524" spans="1:10">
      <c r="A1524" s="518"/>
      <c r="B1524" s="519"/>
      <c r="C1524" s="519"/>
      <c r="D1524" s="519"/>
      <c r="E1524" s="519"/>
      <c r="F1524" s="519"/>
      <c r="G1524" s="519"/>
      <c r="H1524" s="519"/>
      <c r="I1524" s="519"/>
      <c r="J1524" s="523"/>
    </row>
    <row r="1525" spans="1:10" ht="38.25">
      <c r="A1525" s="60" t="str">
        <f>'[3]Planilha Orçamentária'!A391</f>
        <v>1.7.3.4</v>
      </c>
      <c r="B1525" s="77">
        <f>VLOOKUP(A1525,'[3]Planilha Orçamentária'!A:K,2,0)</f>
        <v>95876</v>
      </c>
      <c r="C1525" s="62" t="str">
        <f>VLOOKUP(A1525,'[3]Planilha Orçamentária'!A:K,3,0)</f>
        <v>TRANSPORTE COM CAMINHÃO BASCULANTE DE 14 M³, EM VIA URBANA PAVIMENTADA, DMT ATÉ 30 KM (UNIDADE: M3XKM). AF_07/2020</v>
      </c>
      <c r="D1525" s="63" t="str">
        <f>VLOOKUP(A1525,'[3]Planilha Orçamentária'!A:K,4,0)</f>
        <v>M3XKM</v>
      </c>
      <c r="E1525" s="62"/>
      <c r="F1525" s="64"/>
      <c r="G1525" s="64"/>
      <c r="H1525" s="64"/>
      <c r="I1525" s="64"/>
      <c r="J1525" s="78">
        <f>ROUND(SUM(J1527),2)</f>
        <v>134.76</v>
      </c>
    </row>
    <row r="1526" spans="1:10">
      <c r="A1526" s="60"/>
      <c r="B1526" s="77"/>
      <c r="C1526" s="90" t="s">
        <v>1876</v>
      </c>
      <c r="D1526" s="219"/>
      <c r="E1526" s="91" t="s">
        <v>1627</v>
      </c>
      <c r="F1526" s="27"/>
      <c r="G1526" s="27"/>
      <c r="H1526" s="27"/>
      <c r="I1526" s="27" t="s">
        <v>1623</v>
      </c>
      <c r="J1526" s="78"/>
    </row>
    <row r="1527" spans="1:10">
      <c r="A1527" s="60"/>
      <c r="B1527" s="77"/>
      <c r="C1527" s="73" t="s">
        <v>1877</v>
      </c>
      <c r="D1527" s="96"/>
      <c r="E1527" s="81">
        <v>9.3000000000000007</v>
      </c>
      <c r="F1527" s="81"/>
      <c r="G1527" s="81"/>
      <c r="H1527" s="81"/>
      <c r="I1527" s="92">
        <f>J1521</f>
        <v>14.49</v>
      </c>
      <c r="J1527" s="36">
        <f>ROUND(PRODUCT(E1527:I1527),2)</f>
        <v>134.76</v>
      </c>
    </row>
    <row r="1528" spans="1:10">
      <c r="A1528" s="518"/>
      <c r="B1528" s="519"/>
      <c r="C1528" s="519"/>
      <c r="D1528" s="519"/>
      <c r="E1528" s="519"/>
      <c r="F1528" s="519"/>
      <c r="G1528" s="519"/>
      <c r="H1528" s="519"/>
      <c r="I1528" s="519"/>
      <c r="J1528" s="523"/>
    </row>
    <row r="1529" spans="1:10">
      <c r="A1529" s="19" t="str">
        <f>'[3]Planilha Orçamentária'!A392</f>
        <v>1.7.4</v>
      </c>
      <c r="B1529" s="20"/>
      <c r="C1529" s="21" t="str">
        <f>VLOOKUP(A1529,'[3]Planilha Orçamentária'!A:K,3,0)</f>
        <v>TERRAPLENAGEM</v>
      </c>
      <c r="D1529" s="22"/>
      <c r="E1529" s="23"/>
      <c r="F1529" s="24"/>
      <c r="G1529" s="24"/>
      <c r="H1529" s="24"/>
      <c r="I1529" s="25"/>
      <c r="J1529" s="270"/>
    </row>
    <row r="1530" spans="1:10" ht="38.25">
      <c r="A1530" s="28" t="str">
        <f>'[3]Planilha Orçamentária'!A393</f>
        <v>1.7.4.1</v>
      </c>
      <c r="B1530" s="42" t="str">
        <f>VLOOKUP(A1530,'[3]Planilha Orçamentária'!A:K,2,0)</f>
        <v>CP-74205/001-17324935</v>
      </c>
      <c r="C1530" s="30" t="str">
        <f>VLOOKUP(A1530,'[3]Planilha Orçamentária'!A:K,3,0)</f>
        <v>ESCAVAÇÃO MECÂNICA DE MATERIAL 1A. CATEGORIA, PROVENIENTE DE CORTE DE SUBLEITO (C/TRATOR ESTEIRAS  160HP)</v>
      </c>
      <c r="D1530" s="31" t="str">
        <f>VLOOKUP(A1530,'[3]Planilha Orçamentária'!A:K,4,0)</f>
        <v>M3</v>
      </c>
      <c r="E1530" s="30"/>
      <c r="F1530" s="32"/>
      <c r="G1530" s="32"/>
      <c r="H1530" s="32"/>
      <c r="I1530" s="32"/>
      <c r="J1530" s="45">
        <f>ROUND(SUM(J1532:J1532),2)</f>
        <v>382.45</v>
      </c>
    </row>
    <row r="1531" spans="1:10">
      <c r="A1531" s="28"/>
      <c r="B1531" s="42"/>
      <c r="C1531" s="86" t="s">
        <v>1878</v>
      </c>
      <c r="D1531" s="31"/>
      <c r="E1531" s="30"/>
      <c r="F1531" s="32"/>
      <c r="G1531" s="32"/>
      <c r="H1531" s="32"/>
      <c r="I1531" s="34" t="s">
        <v>1623</v>
      </c>
      <c r="J1531" s="45"/>
    </row>
    <row r="1532" spans="1:10">
      <c r="A1532" s="94"/>
      <c r="B1532" s="95"/>
      <c r="C1532" s="73" t="s">
        <v>1729</v>
      </c>
      <c r="D1532" s="96"/>
      <c r="E1532" s="82"/>
      <c r="F1532" s="82"/>
      <c r="G1532" s="82"/>
      <c r="H1532" s="82"/>
      <c r="I1532" s="82">
        <v>382.45</v>
      </c>
      <c r="J1532" s="97">
        <f>ROUND(PRODUCT(E1532:I1532),2)</f>
        <v>382.45</v>
      </c>
    </row>
    <row r="1533" spans="1:10">
      <c r="A1533" s="513"/>
      <c r="B1533" s="513"/>
      <c r="C1533" s="513"/>
      <c r="D1533" s="513"/>
      <c r="E1533" s="513"/>
      <c r="F1533" s="513"/>
      <c r="G1533" s="513"/>
      <c r="H1533" s="513"/>
      <c r="I1533" s="513"/>
      <c r="J1533" s="513"/>
    </row>
    <row r="1534" spans="1:10" ht="51">
      <c r="A1534" s="99" t="str">
        <f>'[3]Planilha Orçamentária'!A394</f>
        <v>1.7.4.2</v>
      </c>
      <c r="B1534" s="48" t="str">
        <f>VLOOKUP(A1534,'[3]Planilha Orçamentária'!A:K,2,0)</f>
        <v>COMP-35145154</v>
      </c>
      <c r="C1534" s="100" t="str">
        <f>VLOOKUP(A1534,'[3]Planilha Orçamentária'!A:K,3,0)</f>
        <v>CARGA E DESCARGA MECANICA DE SOLO UTILIZANDO CAMINHAO BASCULANTE 14,0M3/36T E PA CARREGADEIRA SOBRE PNEUS 128 HP, CAPACIDADE DA CAÇAMBA 1,7 A 2,8 M3, PESO OPERACIONAL 11632 KH</v>
      </c>
      <c r="D1534" s="101" t="str">
        <f>VLOOKUP(A1534,'[3]Planilha Orçamentária'!A:K,4,0)</f>
        <v>M3</v>
      </c>
      <c r="E1534" s="100"/>
      <c r="F1534" s="102"/>
      <c r="G1534" s="102"/>
      <c r="H1534" s="102"/>
      <c r="I1534" s="102"/>
      <c r="J1534" s="45">
        <f>ROUND(SUM(J1536:J1536),2)</f>
        <v>453.44</v>
      </c>
    </row>
    <row r="1535" spans="1:10">
      <c r="A1535" s="99"/>
      <c r="B1535" s="48"/>
      <c r="C1535" s="73" t="s">
        <v>1631</v>
      </c>
      <c r="D1535" s="101"/>
      <c r="E1535" s="105" t="s">
        <v>1622</v>
      </c>
      <c r="F1535" s="106"/>
      <c r="G1535" s="106"/>
      <c r="H1535" s="106"/>
      <c r="I1535" s="106" t="s">
        <v>1623</v>
      </c>
      <c r="J1535" s="103"/>
    </row>
    <row r="1536" spans="1:10">
      <c r="A1536" s="99"/>
      <c r="B1536" s="48"/>
      <c r="C1536" s="73" t="s">
        <v>1632</v>
      </c>
      <c r="D1536" s="96"/>
      <c r="E1536" s="82">
        <v>1.25</v>
      </c>
      <c r="F1536" s="35"/>
      <c r="G1536" s="35"/>
      <c r="H1536" s="35"/>
      <c r="I1536" s="35">
        <f>J1530-J1542</f>
        <v>362.75</v>
      </c>
      <c r="J1536" s="97">
        <f>ROUND(PRODUCT(E1536:I1536),2)</f>
        <v>453.44</v>
      </c>
    </row>
    <row r="1537" spans="1:10">
      <c r="A1537" s="513"/>
      <c r="B1537" s="513"/>
      <c r="C1537" s="513"/>
      <c r="D1537" s="513"/>
      <c r="E1537" s="513"/>
      <c r="F1537" s="513"/>
      <c r="G1537" s="513"/>
      <c r="H1537" s="513"/>
      <c r="I1537" s="513"/>
      <c r="J1537" s="513"/>
    </row>
    <row r="1538" spans="1:10" ht="38.25">
      <c r="A1538" s="216" t="str">
        <f>'[3]Planilha Orçamentária'!A395</f>
        <v>1.7.4.3</v>
      </c>
      <c r="B1538" s="217">
        <f>VLOOKUP(A1538,'[3]Planilha Orçamentária'!A:K,2,0)</f>
        <v>95876</v>
      </c>
      <c r="C1538" s="218" t="str">
        <f>VLOOKUP(A1538,'[3]Planilha Orçamentária'!A:K,3,0)</f>
        <v>TRANSPORTE COM CAMINHÃO BASCULANTE DE 14 M³, EM VIA URBANA PAVIMENTADA, DMT ATÉ 30 KM (UNIDADE: M3XKM). AF_07/2020</v>
      </c>
      <c r="D1538" s="219" t="str">
        <f>VLOOKUP(A1538,'[3]Planilha Orçamentária'!A:K,4,0)</f>
        <v>M3XKM</v>
      </c>
      <c r="E1538" s="218"/>
      <c r="F1538" s="64"/>
      <c r="G1538" s="64"/>
      <c r="H1538" s="64"/>
      <c r="I1538" s="64"/>
      <c r="J1538" s="33">
        <f>ROUND(SUM(J1540:J1540),2)</f>
        <v>4216.99</v>
      </c>
    </row>
    <row r="1539" spans="1:10">
      <c r="A1539" s="216"/>
      <c r="B1539" s="217"/>
      <c r="C1539" s="90" t="s">
        <v>1876</v>
      </c>
      <c r="D1539" s="219"/>
      <c r="E1539" s="91" t="s">
        <v>1627</v>
      </c>
      <c r="F1539" s="64"/>
      <c r="G1539" s="64"/>
      <c r="H1539" s="80"/>
      <c r="I1539" s="80" t="s">
        <v>1623</v>
      </c>
      <c r="J1539" s="78"/>
    </row>
    <row r="1540" spans="1:10">
      <c r="A1540" s="216"/>
      <c r="B1540" s="217"/>
      <c r="C1540" s="73" t="s">
        <v>1877</v>
      </c>
      <c r="D1540" s="96"/>
      <c r="E1540" s="81">
        <v>9.3000000000000007</v>
      </c>
      <c r="F1540" s="271"/>
      <c r="G1540" s="271"/>
      <c r="H1540" s="271"/>
      <c r="I1540" s="225">
        <f>J1534</f>
        <v>453.44</v>
      </c>
      <c r="J1540" s="226">
        <f>ROUND(PRODUCT(E1540:I1540),2)</f>
        <v>4216.99</v>
      </c>
    </row>
    <row r="1541" spans="1:10">
      <c r="A1541" s="498"/>
      <c r="B1541" s="499"/>
      <c r="C1541" s="499"/>
      <c r="D1541" s="499"/>
      <c r="E1541" s="499"/>
      <c r="F1541" s="499"/>
      <c r="G1541" s="499"/>
      <c r="H1541" s="499"/>
      <c r="I1541" s="499"/>
      <c r="J1541" s="500"/>
    </row>
    <row r="1542" spans="1:10" ht="38.25">
      <c r="A1542" s="28" t="str">
        <f>'[3]Planilha Orçamentária'!A396</f>
        <v>1.7.4.4</v>
      </c>
      <c r="B1542" s="42">
        <f>VLOOKUP(A1542,'[3]Planilha Orçamentária'!A:K,2,0)</f>
        <v>96385</v>
      </c>
      <c r="C1542" s="30" t="str">
        <f>VLOOKUP(A1542,'[3]Planilha Orçamentária'!A:K,3,0)</f>
        <v>EXECUÇÃO E COMPACTAÇÃO DE ATERRO COM SOLO PREDOMINANTEMENTE ARGILOSO - EXCLUSIVE SOLO, ESCAVAÇÃO, CARGA E TRANSPORTE. AF_11/2019</v>
      </c>
      <c r="D1542" s="31" t="str">
        <f>VLOOKUP(A1542,'[3]Planilha Orçamentária'!A:K,4,0)</f>
        <v>M3</v>
      </c>
      <c r="E1542" s="30"/>
      <c r="F1542" s="32"/>
      <c r="G1542" s="32"/>
      <c r="H1542" s="32"/>
      <c r="I1542" s="32"/>
      <c r="J1542" s="45">
        <f>ROUND(SUM(J1544:J1544),2)</f>
        <v>19.7</v>
      </c>
    </row>
    <row r="1543" spans="1:10">
      <c r="A1543" s="28"/>
      <c r="B1543" s="42"/>
      <c r="C1543" s="86" t="s">
        <v>1878</v>
      </c>
      <c r="D1543" s="31"/>
      <c r="E1543" s="30"/>
      <c r="F1543" s="32"/>
      <c r="G1543" s="32"/>
      <c r="H1543" s="32"/>
      <c r="I1543" s="34" t="s">
        <v>1623</v>
      </c>
      <c r="J1543" s="45"/>
    </row>
    <row r="1544" spans="1:10">
      <c r="A1544" s="94"/>
      <c r="B1544" s="95"/>
      <c r="C1544" s="73" t="s">
        <v>1729</v>
      </c>
      <c r="D1544" s="96"/>
      <c r="E1544" s="82"/>
      <c r="F1544" s="82"/>
      <c r="G1544" s="82"/>
      <c r="H1544" s="82"/>
      <c r="I1544" s="82">
        <v>19.7</v>
      </c>
      <c r="J1544" s="97">
        <f>ROUND(PRODUCT(E1544:I1544),2)</f>
        <v>19.7</v>
      </c>
    </row>
    <row r="1545" spans="1:10">
      <c r="A1545" s="513"/>
      <c r="B1545" s="513"/>
      <c r="C1545" s="513"/>
      <c r="D1545" s="513"/>
      <c r="E1545" s="513"/>
      <c r="F1545" s="513"/>
      <c r="G1545" s="513"/>
      <c r="H1545" s="513"/>
      <c r="I1545" s="513"/>
      <c r="J1545" s="513"/>
    </row>
    <row r="1546" spans="1:10">
      <c r="A1546" s="19" t="str">
        <f>'[3]Planilha Orçamentária'!A397</f>
        <v>1.7.5</v>
      </c>
      <c r="B1546" s="20"/>
      <c r="C1546" s="21" t="str">
        <f>VLOOKUP(A1546,'[3]Planilha Orçamentária'!A:K,3,0)</f>
        <v>PAVIMENTAÇÃO</v>
      </c>
      <c r="D1546" s="22"/>
      <c r="E1546" s="23"/>
      <c r="F1546" s="24"/>
      <c r="G1546" s="24"/>
      <c r="H1546" s="24"/>
      <c r="I1546" s="25"/>
      <c r="J1546" s="41"/>
    </row>
    <row r="1547" spans="1:10" ht="25.5">
      <c r="A1547" s="66" t="str">
        <f>'[3]Planilha Orçamentária'!A398</f>
        <v>1.7.5.1</v>
      </c>
      <c r="B1547" s="67">
        <f>VLOOKUP(A1547,'[3]Planilha Orçamentária'!A:K,2,0)</f>
        <v>100576</v>
      </c>
      <c r="C1547" s="68" t="str">
        <f>VLOOKUP(A1547,'[3]Planilha Orçamentária'!A:K,3,0)</f>
        <v>REGULARIZAÇÃO E COMPACTAÇÃO DE SUBLEITO DE SOLO  PREDOMINANTEMENTE ARGILOSO. AF_11/2019</v>
      </c>
      <c r="D1547" s="69" t="str">
        <f>VLOOKUP(A1547,'[3]Planilha Orçamentária'!A:K,4,0)</f>
        <v>M2</v>
      </c>
      <c r="E1547" s="68"/>
      <c r="F1547" s="71"/>
      <c r="G1547" s="71"/>
      <c r="H1547" s="71"/>
      <c r="I1547" s="71"/>
      <c r="J1547" s="78">
        <f>ROUND(SUM(J1549:J1550),2)</f>
        <v>2706</v>
      </c>
    </row>
    <row r="1548" spans="1:10">
      <c r="A1548" s="60"/>
      <c r="B1548" s="77"/>
      <c r="C1548" s="79" t="s">
        <v>1879</v>
      </c>
      <c r="D1548" s="63"/>
      <c r="E1548" s="62"/>
      <c r="F1548" s="80"/>
      <c r="G1548" s="80"/>
      <c r="H1548" s="64"/>
      <c r="I1548" s="87" t="s">
        <v>1620</v>
      </c>
      <c r="J1548" s="78"/>
    </row>
    <row r="1549" spans="1:10">
      <c r="A1549" s="60"/>
      <c r="B1549" s="77"/>
      <c r="C1549" s="109" t="s">
        <v>1635</v>
      </c>
      <c r="D1549" s="63"/>
      <c r="E1549" s="62"/>
      <c r="F1549" s="80"/>
      <c r="G1549" s="80"/>
      <c r="H1549" s="64"/>
      <c r="I1549" s="111">
        <v>1773</v>
      </c>
      <c r="J1549" s="97">
        <f t="shared" ref="J1549:J1550" si="143">ROUND(PRODUCT(E1549:I1549),2)</f>
        <v>1773</v>
      </c>
    </row>
    <row r="1550" spans="1:10" ht="15">
      <c r="A1550" s="112"/>
      <c r="B1550" s="113"/>
      <c r="C1550" s="114" t="s">
        <v>1636</v>
      </c>
      <c r="D1550" s="115"/>
      <c r="E1550" s="116"/>
      <c r="F1550" s="117"/>
      <c r="G1550" s="116"/>
      <c r="H1550" s="116"/>
      <c r="I1550" s="118">
        <v>933</v>
      </c>
      <c r="J1550" s="119">
        <f t="shared" si="143"/>
        <v>933</v>
      </c>
    </row>
    <row r="1551" spans="1:10">
      <c r="A1551" s="520"/>
      <c r="B1551" s="521"/>
      <c r="C1551" s="521"/>
      <c r="D1551" s="521"/>
      <c r="E1551" s="521"/>
      <c r="F1551" s="521"/>
      <c r="G1551" s="521"/>
      <c r="H1551" s="521"/>
      <c r="I1551" s="521"/>
      <c r="J1551" s="522"/>
    </row>
    <row r="1552" spans="1:10" ht="38.25">
      <c r="A1552" s="66" t="str">
        <f>'[3]Planilha Orçamentária'!A399</f>
        <v>1.7.5.2</v>
      </c>
      <c r="B1552" s="67" t="str">
        <f>VLOOKUP(A1552,'[3]Planilha Orçamentária'!A:K,2,0)</f>
        <v>CP-96396-26507981</v>
      </c>
      <c r="C1552" s="68" t="str">
        <f>VLOOKUP(A1552,'[3]Planilha Orçamentária'!A:K,3,0)</f>
        <v>EXECUÇÃO E COMPACTAÇÃO DE BASE E OU SUB BASE PARA PAVIMENTAÇÃO DE BRITA GRADUADA SIMPLES - EXCLUSIVE MATERIAL, CARGA E TRANSPORTE</v>
      </c>
      <c r="D1552" s="69" t="str">
        <f>VLOOKUP(A1552,'[3]Planilha Orçamentária'!A:K,4,0)</f>
        <v>M3</v>
      </c>
      <c r="E1552" s="68"/>
      <c r="F1552" s="71"/>
      <c r="G1552" s="71"/>
      <c r="H1552" s="71"/>
      <c r="I1552" s="71"/>
      <c r="J1552" s="78">
        <f>ROUND(SUM(J1554:J1558),2)</f>
        <v>345.15</v>
      </c>
    </row>
    <row r="1553" spans="1:10">
      <c r="A1553" s="60"/>
      <c r="B1553" s="77"/>
      <c r="C1553" s="79" t="s">
        <v>1879</v>
      </c>
      <c r="D1553" s="63"/>
      <c r="E1553" s="62"/>
      <c r="F1553" s="80"/>
      <c r="G1553" s="80"/>
      <c r="H1553" s="87" t="s">
        <v>1619</v>
      </c>
      <c r="I1553" s="87" t="s">
        <v>1620</v>
      </c>
      <c r="J1553" s="78"/>
    </row>
    <row r="1554" spans="1:10">
      <c r="A1554" s="60"/>
      <c r="B1554" s="77"/>
      <c r="C1554" s="109" t="s">
        <v>1635</v>
      </c>
      <c r="D1554" s="63"/>
      <c r="E1554" s="62"/>
      <c r="F1554" s="80"/>
      <c r="G1554" s="80"/>
      <c r="H1554" s="87">
        <v>0.15</v>
      </c>
      <c r="I1554" s="87">
        <f>J1549</f>
        <v>1773</v>
      </c>
      <c r="J1554" s="97">
        <f t="shared" ref="J1554:J1558" si="144">ROUND(PRODUCT(E1554:I1554),2)</f>
        <v>265.95</v>
      </c>
    </row>
    <row r="1555" spans="1:10" ht="15">
      <c r="A1555" s="112"/>
      <c r="B1555" s="113"/>
      <c r="C1555" s="114" t="s">
        <v>1636</v>
      </c>
      <c r="D1555" s="115"/>
      <c r="E1555" s="116"/>
      <c r="F1555" s="117"/>
      <c r="G1555" s="116"/>
      <c r="H1555" s="89">
        <v>0.15</v>
      </c>
      <c r="I1555" s="89">
        <f>J1550</f>
        <v>933</v>
      </c>
      <c r="J1555" s="119">
        <f t="shared" si="144"/>
        <v>139.94999999999999</v>
      </c>
    </row>
    <row r="1556" spans="1:10">
      <c r="A1556" s="28"/>
      <c r="B1556" s="29"/>
      <c r="C1556" s="109"/>
      <c r="D1556" s="28"/>
      <c r="E1556" s="87"/>
      <c r="F1556" s="87" t="s">
        <v>1606</v>
      </c>
      <c r="G1556" s="87" t="s">
        <v>1607</v>
      </c>
      <c r="H1556" s="87" t="s">
        <v>1619</v>
      </c>
      <c r="I1556" s="87"/>
      <c r="J1556" s="120"/>
    </row>
    <row r="1557" spans="1:10">
      <c r="A1557" s="28"/>
      <c r="B1557" s="29"/>
      <c r="C1557" s="109" t="s">
        <v>1733</v>
      </c>
      <c r="D1557" s="28"/>
      <c r="E1557" s="87">
        <v>-1</v>
      </c>
      <c r="F1557" s="87">
        <v>5.15</v>
      </c>
      <c r="G1557" s="87">
        <v>1</v>
      </c>
      <c r="H1557" s="87">
        <v>0.15</v>
      </c>
      <c r="I1557" s="87"/>
      <c r="J1557" s="120">
        <f t="shared" si="144"/>
        <v>-0.77</v>
      </c>
    </row>
    <row r="1558" spans="1:10">
      <c r="A1558" s="28"/>
      <c r="B1558" s="29"/>
      <c r="C1558" s="109" t="s">
        <v>1880</v>
      </c>
      <c r="D1558" s="28"/>
      <c r="E1558" s="87">
        <v>-1</v>
      </c>
      <c r="F1558" s="87">
        <v>399.88</v>
      </c>
      <c r="G1558" s="87">
        <v>1</v>
      </c>
      <c r="H1558" s="87">
        <v>0.15</v>
      </c>
      <c r="I1558" s="87"/>
      <c r="J1558" s="120">
        <f t="shared" si="144"/>
        <v>-59.98</v>
      </c>
    </row>
    <row r="1559" spans="1:10">
      <c r="A1559" s="520"/>
      <c r="B1559" s="521"/>
      <c r="C1559" s="521"/>
      <c r="D1559" s="521"/>
      <c r="E1559" s="521"/>
      <c r="F1559" s="521"/>
      <c r="G1559" s="521"/>
      <c r="H1559" s="521"/>
      <c r="I1559" s="521"/>
      <c r="J1559" s="522"/>
    </row>
    <row r="1560" spans="1:10" ht="51">
      <c r="A1560" s="28" t="str">
        <f>'[3]Planilha Orçamentária'!A400</f>
        <v>1.7.5.3</v>
      </c>
      <c r="B1560" s="29" t="str">
        <f>VLOOKUP(A1560,'[3]Planilha Orçamentária'!A:K,2,0)</f>
        <v>COMP-35145154</v>
      </c>
      <c r="C1560" s="30" t="str">
        <f>VLOOKUP(A1560,'[3]Planilha Orçamentária'!A:K,3,0)</f>
        <v>CARGA E DESCARGA MECANICA DE SOLO UTILIZANDO CAMINHAO BASCULANTE 14,0M3/36T E PA CARREGADEIRA SOBRE PNEUS 128 HP, CAPACIDADE DA CAÇAMBA 1,7 A 2,8 M3, PESO OPERACIONAL 11632 KH</v>
      </c>
      <c r="D1560" s="31" t="str">
        <f>VLOOKUP(A1560,'[3]Planilha Orçamentária'!A:K,4,0)</f>
        <v>M3</v>
      </c>
      <c r="E1560" s="30"/>
      <c r="F1560" s="32"/>
      <c r="G1560" s="32"/>
      <c r="H1560" s="32"/>
      <c r="I1560" s="32"/>
      <c r="J1560" s="33">
        <f>ROUND(SUM(J1562:J1562),2)</f>
        <v>431.44</v>
      </c>
    </row>
    <row r="1561" spans="1:10">
      <c r="A1561" s="28"/>
      <c r="B1561" s="29"/>
      <c r="C1561" s="62"/>
      <c r="D1561" s="63"/>
      <c r="E1561" s="127" t="s">
        <v>1622</v>
      </c>
      <c r="F1561" s="34"/>
      <c r="G1561" s="32"/>
      <c r="H1561" s="32"/>
      <c r="I1561" s="135" t="s">
        <v>1623</v>
      </c>
      <c r="J1561" s="33"/>
    </row>
    <row r="1562" spans="1:10" ht="14.25">
      <c r="A1562" s="28"/>
      <c r="B1562" s="29"/>
      <c r="C1562" s="131" t="s">
        <v>1642</v>
      </c>
      <c r="D1562" s="96"/>
      <c r="E1562" s="34">
        <v>1.25</v>
      </c>
      <c r="F1562" s="140"/>
      <c r="G1562" s="129"/>
      <c r="H1562" s="129"/>
      <c r="I1562" s="141">
        <f>J1552</f>
        <v>345.15</v>
      </c>
      <c r="J1562" s="253">
        <f t="shared" ref="J1562" si="145">ROUND(PRODUCT(E1562:I1562),2)</f>
        <v>431.44</v>
      </c>
    </row>
    <row r="1563" spans="1:10">
      <c r="A1563" s="513"/>
      <c r="B1563" s="513"/>
      <c r="C1563" s="513"/>
      <c r="D1563" s="513"/>
      <c r="E1563" s="513"/>
      <c r="F1563" s="513"/>
      <c r="G1563" s="513"/>
      <c r="H1563" s="513"/>
      <c r="I1563" s="513"/>
      <c r="J1563" s="513"/>
    </row>
    <row r="1564" spans="1:10" ht="25.5">
      <c r="A1564" s="28" t="str">
        <f>'[3]Planilha Orçamentária'!A401</f>
        <v>1.7.5.4</v>
      </c>
      <c r="B1564" s="29" t="str">
        <f>VLOOKUP(A1564,'[3]Planilha Orçamentária'!A:K,2,0)</f>
        <v>COMP-83526730</v>
      </c>
      <c r="C1564" s="30" t="str">
        <f>VLOOKUP(A1564,'[3]Planilha Orçamentária'!A:K,3,0)</f>
        <v>TRANSPORTE COMERCIAL DE BRITA</v>
      </c>
      <c r="D1564" s="31" t="str">
        <f>VLOOKUP(A1564,'[3]Planilha Orçamentária'!A:K,4,0)</f>
        <v>M3XKM</v>
      </c>
      <c r="E1564" s="30"/>
      <c r="F1564" s="32"/>
      <c r="G1564" s="32"/>
      <c r="H1564" s="32"/>
      <c r="I1564" s="32"/>
      <c r="J1564" s="33">
        <f>ROUND(SUM(J1566:J1566),2)</f>
        <v>6299.02</v>
      </c>
    </row>
    <row r="1565" spans="1:10">
      <c r="A1565" s="28"/>
      <c r="B1565" s="29"/>
      <c r="C1565" s="79" t="s">
        <v>1881</v>
      </c>
      <c r="D1565" s="31"/>
      <c r="E1565" s="86" t="s">
        <v>1627</v>
      </c>
      <c r="F1565" s="34"/>
      <c r="G1565" s="34"/>
      <c r="H1565" s="34"/>
      <c r="I1565" s="34" t="s">
        <v>1623</v>
      </c>
      <c r="J1565" s="33"/>
    </row>
    <row r="1566" spans="1:10" ht="14.25">
      <c r="A1566" s="28"/>
      <c r="B1566" s="29"/>
      <c r="C1566" s="126" t="s">
        <v>1882</v>
      </c>
      <c r="D1566" s="94"/>
      <c r="E1566" s="141">
        <v>14.6</v>
      </c>
      <c r="F1566" s="134"/>
      <c r="G1566" s="94"/>
      <c r="H1566" s="94"/>
      <c r="I1566" s="136">
        <f>J1560</f>
        <v>431.44</v>
      </c>
      <c r="J1566" s="253">
        <f t="shared" ref="J1566" si="146">ROUND(PRODUCT(E1566:I1566),2)</f>
        <v>6299.02</v>
      </c>
    </row>
    <row r="1567" spans="1:10">
      <c r="A1567" s="513"/>
      <c r="B1567" s="513"/>
      <c r="C1567" s="513"/>
      <c r="D1567" s="513"/>
      <c r="E1567" s="513"/>
      <c r="F1567" s="513"/>
      <c r="G1567" s="513"/>
      <c r="H1567" s="513"/>
      <c r="I1567" s="513"/>
      <c r="J1567" s="513"/>
    </row>
    <row r="1568" spans="1:10" ht="51">
      <c r="A1568" s="99" t="str">
        <f>'[3]Planilha Orçamentária'!A402</f>
        <v>1.7.5.5</v>
      </c>
      <c r="B1568" s="48" t="str">
        <f>VLOOKUP(A1568,'[3]Planilha Orçamentária'!A:K,2,0)</f>
        <v>CP-92399-27762594</v>
      </c>
      <c r="C1568" s="100" t="str">
        <f>VLOOKUP(A1568,'[3]Planilha Orçamentária'!A:K,3,0)</f>
        <v>EXECUÇÃO DE VIA EM PISO INTERTRAVADO, COM BLOCO RETANGULAR COR NATURAL/COLORIDO DE 20 X 10 CM, ESPESSURA 8 CM - (SEM O MATERIAL BLOQUETE/PISO INTERTRAVADO)</v>
      </c>
      <c r="D1568" s="101" t="str">
        <f>VLOOKUP(A1568,'[3]Planilha Orçamentária'!A:K,4,0)</f>
        <v>M2</v>
      </c>
      <c r="E1568" s="34"/>
      <c r="F1568" s="34"/>
      <c r="G1568" s="64"/>
      <c r="H1568" s="34"/>
      <c r="I1568" s="87"/>
      <c r="J1568" s="33">
        <f>ROUND(SUM(J1569:J1574),2)</f>
        <v>2300.9699999999998</v>
      </c>
    </row>
    <row r="1569" spans="1:10">
      <c r="A1569" s="94"/>
      <c r="B1569" s="133"/>
      <c r="C1569" s="79" t="s">
        <v>1879</v>
      </c>
      <c r="D1569" s="96"/>
      <c r="E1569" s="82"/>
      <c r="F1569" s="34"/>
      <c r="G1569" s="82"/>
      <c r="H1569" s="82"/>
      <c r="I1569" s="82" t="s">
        <v>1620</v>
      </c>
      <c r="J1569" s="120"/>
    </row>
    <row r="1570" spans="1:10" ht="28.5">
      <c r="A1570" s="94"/>
      <c r="B1570" s="133"/>
      <c r="C1570" s="126" t="s">
        <v>1646</v>
      </c>
      <c r="D1570" s="96"/>
      <c r="E1570" s="82"/>
      <c r="F1570" s="34"/>
      <c r="G1570" s="82"/>
      <c r="H1570" s="82"/>
      <c r="I1570" s="82">
        <f>J1549</f>
        <v>1773</v>
      </c>
      <c r="J1570" s="120">
        <f>ROUND(PRODUCT(E1570:I1570),2)</f>
        <v>1773</v>
      </c>
    </row>
    <row r="1571" spans="1:10">
      <c r="A1571" s="94"/>
      <c r="B1571" s="133"/>
      <c r="C1571" s="109"/>
      <c r="D1571" s="28"/>
      <c r="E1571" s="87"/>
      <c r="F1571" s="87" t="s">
        <v>1606</v>
      </c>
      <c r="G1571" s="87" t="s">
        <v>1607</v>
      </c>
      <c r="H1571" s="82"/>
      <c r="I1571" s="82"/>
      <c r="J1571" s="120"/>
    </row>
    <row r="1572" spans="1:10">
      <c r="A1572" s="94"/>
      <c r="B1572" s="133"/>
      <c r="C1572" s="109" t="s">
        <v>1733</v>
      </c>
      <c r="D1572" s="28"/>
      <c r="E1572" s="87">
        <v>-1</v>
      </c>
      <c r="F1572" s="87">
        <f>F1557</f>
        <v>5.15</v>
      </c>
      <c r="G1572" s="87">
        <v>1</v>
      </c>
      <c r="H1572" s="82"/>
      <c r="I1572" s="82"/>
      <c r="J1572" s="120">
        <f t="shared" ref="J1572:J1573" si="147">ROUND(PRODUCT(E1572:I1572),2)</f>
        <v>-5.15</v>
      </c>
    </row>
    <row r="1573" spans="1:10">
      <c r="A1573" s="94"/>
      <c r="B1573" s="133"/>
      <c r="C1573" s="109" t="s">
        <v>1880</v>
      </c>
      <c r="D1573" s="28"/>
      <c r="E1573" s="87">
        <v>-1</v>
      </c>
      <c r="F1573" s="87">
        <f>F1558</f>
        <v>399.88</v>
      </c>
      <c r="G1573" s="87">
        <v>1</v>
      </c>
      <c r="H1573" s="82"/>
      <c r="I1573" s="82"/>
      <c r="J1573" s="120">
        <f t="shared" si="147"/>
        <v>-399.88</v>
      </c>
    </row>
    <row r="1574" spans="1:10" ht="28.5">
      <c r="A1574" s="94"/>
      <c r="B1574" s="133"/>
      <c r="C1574" s="126" t="s">
        <v>1647</v>
      </c>
      <c r="D1574" s="96"/>
      <c r="E1574" s="82"/>
      <c r="F1574" s="34"/>
      <c r="G1574" s="82"/>
      <c r="H1574" s="82"/>
      <c r="I1574" s="82">
        <f>J1550</f>
        <v>933</v>
      </c>
      <c r="J1574" s="120">
        <f>ROUND(PRODUCT(E1574:I1574),2)</f>
        <v>933</v>
      </c>
    </row>
    <row r="1575" spans="1:10">
      <c r="A1575" s="497"/>
      <c r="B1575" s="497"/>
      <c r="C1575" s="497"/>
      <c r="D1575" s="497"/>
      <c r="E1575" s="497"/>
      <c r="F1575" s="497"/>
      <c r="G1575" s="497"/>
      <c r="H1575" s="497"/>
      <c r="I1575" s="497"/>
      <c r="J1575" s="497"/>
    </row>
    <row r="1576" spans="1:10" ht="63.75">
      <c r="A1576" s="99" t="str">
        <f>'[3]Planilha Orçamentária'!A403</f>
        <v>1.7.5.6</v>
      </c>
      <c r="B1576" s="48">
        <f>VLOOKUP(A1576,'[3]Planilha Orçamentária'!A:K,2,0)</f>
        <v>94273</v>
      </c>
      <c r="C1576" s="100" t="str">
        <f>VLOOKUP(A1576,'[3]Planilha Orçamentária'!A:K,3,0)</f>
        <v>ASSENTAMENTO DE GUIA (MEIO-FIO) EM TRECHO RETO, CONFECCIONADA EM CONCRETO PRÉ-FABRICADO, DIMENSÕES 100X15X13X30 CM (COMPRIMENTO X BASE INFERIOR X BASE SUPERIOR X ALTURA), PARA VIAS URBANAS (USO VIÁRIO). AF_06/2016</v>
      </c>
      <c r="D1576" s="101" t="str">
        <f>VLOOKUP(A1576,'[3]Planilha Orçamentária'!A:K,4,0)</f>
        <v>M</v>
      </c>
      <c r="E1576" s="100"/>
      <c r="F1576" s="102"/>
      <c r="G1576" s="102"/>
      <c r="H1576" s="102"/>
      <c r="I1576" s="102"/>
      <c r="J1576" s="33">
        <f>ROUND(SUM(J1577:J1579),2)</f>
        <v>800.89</v>
      </c>
    </row>
    <row r="1577" spans="1:10">
      <c r="A1577" s="94"/>
      <c r="B1577" s="128"/>
      <c r="C1577" s="79" t="s">
        <v>1879</v>
      </c>
      <c r="D1577" s="96"/>
      <c r="E1577" s="82"/>
      <c r="F1577" s="34" t="s">
        <v>1606</v>
      </c>
      <c r="G1577" s="82"/>
      <c r="H1577" s="82"/>
      <c r="I1577" s="82"/>
      <c r="J1577" s="120"/>
    </row>
    <row r="1578" spans="1:10" ht="25.5">
      <c r="A1578" s="94"/>
      <c r="B1578" s="128"/>
      <c r="C1578" s="145" t="s">
        <v>1790</v>
      </c>
      <c r="D1578" s="96"/>
      <c r="E1578" s="82"/>
      <c r="F1578" s="34">
        <v>767.11</v>
      </c>
      <c r="G1578" s="82"/>
      <c r="H1578" s="82"/>
      <c r="I1578" s="82"/>
      <c r="J1578" s="120">
        <f t="shared" ref="J1578:J1579" si="148">ROUND(PRODUCT(E1578:I1578),2)</f>
        <v>767.11</v>
      </c>
    </row>
    <row r="1579" spans="1:10">
      <c r="A1579" s="94"/>
      <c r="B1579" s="128"/>
      <c r="C1579" s="144" t="s">
        <v>1791</v>
      </c>
      <c r="D1579" s="96"/>
      <c r="E1579" s="82"/>
      <c r="F1579" s="34">
        <v>33.78</v>
      </c>
      <c r="G1579" s="82"/>
      <c r="H1579" s="82"/>
      <c r="I1579" s="82"/>
      <c r="J1579" s="120">
        <f t="shared" si="148"/>
        <v>33.78</v>
      </c>
    </row>
    <row r="1580" spans="1:10">
      <c r="A1580" s="498"/>
      <c r="B1580" s="499"/>
      <c r="C1580" s="499"/>
      <c r="D1580" s="499"/>
      <c r="E1580" s="499"/>
      <c r="F1580" s="499"/>
      <c r="G1580" s="499"/>
      <c r="H1580" s="499"/>
      <c r="I1580" s="499"/>
      <c r="J1580" s="500"/>
    </row>
    <row r="1581" spans="1:10">
      <c r="A1581" s="19" t="str">
        <f>'[3]Planilha Orçamentária'!A404</f>
        <v>1.7.6</v>
      </c>
      <c r="B1581" s="20"/>
      <c r="C1581" s="21" t="str">
        <f>VLOOKUP(A1581,'[3]Planilha Orçamentária'!A:K,3,0)</f>
        <v>DRENAGEM</v>
      </c>
      <c r="D1581" s="21"/>
      <c r="E1581" s="39"/>
      <c r="F1581" s="40"/>
      <c r="G1581" s="40"/>
      <c r="H1581" s="40"/>
      <c r="I1581" s="40"/>
      <c r="J1581" s="41"/>
    </row>
    <row r="1582" spans="1:10" ht="38.25">
      <c r="A1582" s="28" t="str">
        <f>'[3]Planilha Orçamentária'!A405</f>
        <v>1.7.6.1</v>
      </c>
      <c r="B1582" s="42">
        <f>VLOOKUP(A1582,'[3]Planilha Orçamentária'!A:K,2,0)</f>
        <v>94971</v>
      </c>
      <c r="C1582" s="166" t="str">
        <f>VLOOKUP(A1582,'[3]Planilha Orçamentária'!A:K,3,0)</f>
        <v>CONCRETO FCK = 25MPA, TRAÇO 1:2,3:2,7 (EM MASSA SECA DE CIMENTO/ AREIA MÉDIA/ BRITA 1) - PREPARO MECÂNICO COM BETONEIRA 600 L. AF_05/2021</v>
      </c>
      <c r="D1582" s="31" t="str">
        <f>VLOOKUP(A1582,'[3]Planilha Orçamentária'!A:K,4,0)</f>
        <v>M3</v>
      </c>
      <c r="E1582" s="30"/>
      <c r="F1582" s="32"/>
      <c r="G1582" s="32"/>
      <c r="H1582" s="32"/>
      <c r="I1582" s="32"/>
      <c r="J1582" s="45">
        <f>ROUND(SUM(J1583:J1589),2)</f>
        <v>51.61</v>
      </c>
    </row>
    <row r="1583" spans="1:10">
      <c r="A1583" s="27"/>
      <c r="B1583" s="27"/>
      <c r="C1583" s="79" t="s">
        <v>1883</v>
      </c>
      <c r="D1583" s="27"/>
      <c r="E1583" s="27"/>
      <c r="F1583" s="27"/>
      <c r="G1583" s="27"/>
      <c r="H1583" s="27"/>
      <c r="I1583" s="27"/>
      <c r="J1583" s="27"/>
    </row>
    <row r="1584" spans="1:10" ht="28.5">
      <c r="A1584" s="94"/>
      <c r="B1584" s="94"/>
      <c r="C1584" s="131" t="s">
        <v>1755</v>
      </c>
      <c r="D1584" s="27"/>
      <c r="E1584" s="27"/>
      <c r="F1584" s="27" t="s">
        <v>1708</v>
      </c>
      <c r="G1584" s="27" t="s">
        <v>1607</v>
      </c>
      <c r="H1584" s="27" t="s">
        <v>1663</v>
      </c>
      <c r="I1584" s="301"/>
      <c r="J1584" s="312"/>
    </row>
    <row r="1585" spans="1:11" ht="14.25">
      <c r="A1585" s="94"/>
      <c r="B1585" s="94"/>
      <c r="C1585" s="255" t="s">
        <v>1756</v>
      </c>
      <c r="D1585" s="27"/>
      <c r="E1585" s="27"/>
      <c r="F1585" s="301">
        <v>5.15</v>
      </c>
      <c r="G1585" s="184">
        <v>1</v>
      </c>
      <c r="H1585" s="27">
        <v>0.15</v>
      </c>
      <c r="I1585" s="301"/>
      <c r="J1585" s="36">
        <f t="shared" ref="J1585:J1589" si="149">ROUND(PRODUCT(E1585:I1585),2)</f>
        <v>0.77</v>
      </c>
    </row>
    <row r="1586" spans="1:11" ht="28.5">
      <c r="A1586" s="94"/>
      <c r="B1586" s="94"/>
      <c r="C1586" s="255" t="s">
        <v>1757</v>
      </c>
      <c r="D1586" s="27"/>
      <c r="E1586" s="27">
        <v>-1</v>
      </c>
      <c r="F1586" s="302">
        <v>1.8800000000000001E-2</v>
      </c>
      <c r="G1586" s="57">
        <f>F1585</f>
        <v>5.15</v>
      </c>
      <c r="H1586" s="57">
        <v>0.15</v>
      </c>
      <c r="I1586" s="57">
        <v>8</v>
      </c>
      <c r="J1586" s="36">
        <f t="shared" si="149"/>
        <v>-0.12</v>
      </c>
    </row>
    <row r="1587" spans="1:11" ht="14.25">
      <c r="A1587" s="94"/>
      <c r="B1587" s="94"/>
      <c r="C1587" s="255"/>
      <c r="D1587" s="27"/>
      <c r="E1587" s="27"/>
      <c r="F1587" s="27" t="s">
        <v>1708</v>
      </c>
      <c r="G1587" s="27" t="s">
        <v>1607</v>
      </c>
      <c r="H1587" s="27" t="s">
        <v>1663</v>
      </c>
      <c r="I1587" s="57"/>
      <c r="J1587" s="36"/>
    </row>
    <row r="1588" spans="1:11" ht="14.25">
      <c r="A1588" s="94"/>
      <c r="B1588" s="94"/>
      <c r="C1588" s="131" t="s">
        <v>1884</v>
      </c>
      <c r="D1588" s="27"/>
      <c r="E1588" s="27"/>
      <c r="F1588" s="301">
        <v>399.88</v>
      </c>
      <c r="G1588" s="184">
        <v>1</v>
      </c>
      <c r="H1588" s="27">
        <v>0.15</v>
      </c>
      <c r="I1588" s="57"/>
      <c r="J1588" s="36">
        <f t="shared" si="149"/>
        <v>59.98</v>
      </c>
    </row>
    <row r="1589" spans="1:11" ht="28.5">
      <c r="A1589" s="94"/>
      <c r="B1589" s="94"/>
      <c r="C1589" s="255" t="s">
        <v>1757</v>
      </c>
      <c r="D1589" s="27"/>
      <c r="E1589" s="27">
        <v>-1</v>
      </c>
      <c r="F1589" s="302">
        <v>1.8800000000000001E-2</v>
      </c>
      <c r="G1589" s="57">
        <f>F1588</f>
        <v>399.88</v>
      </c>
      <c r="H1589" s="57">
        <v>0.15</v>
      </c>
      <c r="I1589" s="57">
        <v>8</v>
      </c>
      <c r="J1589" s="36">
        <f t="shared" si="149"/>
        <v>-9.02</v>
      </c>
    </row>
    <row r="1590" spans="1:11">
      <c r="A1590" s="501"/>
      <c r="B1590" s="502"/>
      <c r="C1590" s="502"/>
      <c r="D1590" s="502"/>
      <c r="E1590" s="502"/>
      <c r="F1590" s="502"/>
      <c r="G1590" s="502"/>
      <c r="H1590" s="502"/>
      <c r="I1590" s="502"/>
      <c r="J1590" s="503"/>
    </row>
    <row r="1591" spans="1:11" ht="63.75">
      <c r="A1591" s="28" t="str">
        <f>'[3]Planilha Orçamentária'!A406</f>
        <v>1.7.6.2</v>
      </c>
      <c r="B1591" s="42">
        <f>VLOOKUP(A1591,'[3]Planilha Orçamentária'!A:K,2,0)</f>
        <v>90091</v>
      </c>
      <c r="C1591" s="166" t="str">
        <f>VLOOKUP(A1591,'[3]Planilha Orçamentária'!A:K,3,0)</f>
        <v>ESCAVAÇÃO MECANIZADA DE VALA COM PROF. ATÉ 1,5 M (MÉDIA MONTANTE E JUSANTE/UMA COMPOSIÇÃO POR TRECHO), ESCAVADEIRA (0,8 M3), LARG. DE 1,5 M A 2,5 M, EM SOLO DE 1A CATEGORIA, LOCAIS COM BAIXO NÍVEL DE INTERFERÊNCIA. AF_02/2021</v>
      </c>
      <c r="D1591" s="31" t="str">
        <f>VLOOKUP(A1591,'[3]Planilha Orçamentária'!A:K,4,0)</f>
        <v>M3</v>
      </c>
      <c r="E1591" s="30"/>
      <c r="F1591" s="32"/>
      <c r="G1591" s="32"/>
      <c r="H1591" s="32"/>
      <c r="I1591" s="32"/>
      <c r="J1591" s="45">
        <f>ROUND(SUM(J1592:J1596),2)</f>
        <v>3.05</v>
      </c>
    </row>
    <row r="1592" spans="1:11">
      <c r="A1592" s="27"/>
      <c r="B1592" s="27"/>
      <c r="C1592" s="79" t="s">
        <v>1883</v>
      </c>
      <c r="D1592" s="27"/>
      <c r="E1592" s="27"/>
      <c r="F1592" s="27"/>
      <c r="G1592" s="27"/>
      <c r="H1592" s="27"/>
      <c r="I1592" s="27"/>
      <c r="J1592" s="27"/>
    </row>
    <row r="1593" spans="1:11" ht="14.25">
      <c r="A1593" s="27"/>
      <c r="B1593" s="27"/>
      <c r="C1593" s="126" t="s">
        <v>1766</v>
      </c>
      <c r="D1593" s="63"/>
      <c r="E1593" s="62"/>
      <c r="F1593" s="80" t="s">
        <v>1606</v>
      </c>
      <c r="G1593" s="80" t="s">
        <v>1607</v>
      </c>
      <c r="H1593" s="80" t="s">
        <v>1836</v>
      </c>
      <c r="I1593" s="27"/>
      <c r="J1593" s="27"/>
    </row>
    <row r="1594" spans="1:11" ht="42.75">
      <c r="A1594" s="27"/>
      <c r="B1594" s="27"/>
      <c r="C1594" s="281" t="s">
        <v>1746</v>
      </c>
      <c r="D1594" s="63"/>
      <c r="E1594" s="62"/>
      <c r="F1594" s="134">
        <f>F1585</f>
        <v>5.15</v>
      </c>
      <c r="G1594" s="134">
        <f>1+0.6</f>
        <v>1.6</v>
      </c>
      <c r="H1594" s="134">
        <f>0.65-0.28</f>
        <v>0.37</v>
      </c>
      <c r="I1594" s="27"/>
      <c r="J1594" s="36">
        <f t="shared" ref="J1594" si="150">ROUND(PRODUCT(E1594:I1594),2)</f>
        <v>3.05</v>
      </c>
      <c r="K1594" s="7" t="s">
        <v>1885</v>
      </c>
    </row>
    <row r="1595" spans="1:11">
      <c r="A1595" s="27"/>
      <c r="B1595" s="27"/>
      <c r="C1595" s="283"/>
      <c r="D1595" s="191"/>
      <c r="E1595" s="156"/>
      <c r="F1595" s="284"/>
      <c r="G1595" s="284"/>
      <c r="H1595" s="156"/>
      <c r="I1595" s="27"/>
      <c r="J1595" s="36"/>
    </row>
    <row r="1596" spans="1:11">
      <c r="A1596" s="501"/>
      <c r="B1596" s="502"/>
      <c r="C1596" s="502"/>
      <c r="D1596" s="502"/>
      <c r="E1596" s="502"/>
      <c r="F1596" s="502"/>
      <c r="G1596" s="502"/>
      <c r="H1596" s="502"/>
      <c r="I1596" s="502"/>
      <c r="J1596" s="503"/>
    </row>
    <row r="1597" spans="1:11" ht="63.75">
      <c r="A1597" s="28" t="str">
        <f>'[3]Planilha Orçamentária'!A407</f>
        <v>1.7.6.3</v>
      </c>
      <c r="B1597" s="42">
        <f>VLOOKUP(A1597,'[3]Planilha Orçamentária'!A:K,2,0)</f>
        <v>93367</v>
      </c>
      <c r="C1597" s="166" t="str">
        <f>VLOOKUP(A1597,'[3]Planilha Orçamentária'!A:K,3,0)</f>
        <v>REATERRO MECANIZADO DE VALA COM ESCAVADEIRA HIDRÁULICA (CAPACIDADE DA CAÇAMBA: 0,8 M³ / POTÊNCIA: 111 HP), LARGURA DE 1,5 A 2,5 M, PROFUNDIDADE ATÉ 1,5 M, COM SOLO DE 1ª CATEGORIA EM LOCAIS COM BAIXO NÍVEL DE INTERFERÊNCIA. AF_04/2016</v>
      </c>
      <c r="D1597" s="31" t="str">
        <f>VLOOKUP(A1597,'[3]Planilha Orçamentária'!A:K,4,0)</f>
        <v>M3</v>
      </c>
      <c r="E1597" s="30"/>
      <c r="F1597" s="32"/>
      <c r="G1597" s="32"/>
      <c r="H1597" s="32"/>
      <c r="I1597" s="32"/>
      <c r="J1597" s="45">
        <f>ROUND(SUM(J1598:J1602),2)</f>
        <v>1.1399999999999999</v>
      </c>
    </row>
    <row r="1598" spans="1:11">
      <c r="A1598" s="27"/>
      <c r="B1598" s="27"/>
      <c r="C1598" s="79" t="s">
        <v>1883</v>
      </c>
      <c r="D1598" s="164"/>
      <c r="E1598" s="164"/>
      <c r="F1598" s="164"/>
      <c r="G1598" s="164"/>
      <c r="H1598" s="164"/>
      <c r="I1598" s="164"/>
      <c r="J1598" s="27"/>
    </row>
    <row r="1599" spans="1:11" ht="25.5">
      <c r="A1599" s="27"/>
      <c r="B1599" s="27"/>
      <c r="C1599" s="321" t="s">
        <v>1886</v>
      </c>
      <c r="D1599" s="164"/>
      <c r="E1599" s="164"/>
      <c r="F1599" s="164"/>
      <c r="G1599" s="164"/>
      <c r="H1599" s="164"/>
      <c r="I1599" s="164"/>
      <c r="J1599" s="27"/>
    </row>
    <row r="1600" spans="1:11" ht="15">
      <c r="A1600" s="27"/>
      <c r="B1600" s="27"/>
      <c r="C1600" s="288" t="s">
        <v>1748</v>
      </c>
      <c r="D1600" s="164"/>
      <c r="E1600" s="164"/>
      <c r="F1600" s="330"/>
      <c r="G1600" s="330"/>
      <c r="H1600" s="330"/>
      <c r="I1600" s="156">
        <f>J1591</f>
        <v>3.05</v>
      </c>
      <c r="J1600" s="36">
        <f t="shared" ref="J1600:J1601" si="151">ROUND(PRODUCT(E1600:I1600),2)</f>
        <v>3.05</v>
      </c>
    </row>
    <row r="1601" spans="1:10" ht="25.5">
      <c r="A1601" s="27"/>
      <c r="B1601" s="27"/>
      <c r="C1601" s="288" t="s">
        <v>1749</v>
      </c>
      <c r="D1601" s="231"/>
      <c r="E1601" s="231">
        <v>-1</v>
      </c>
      <c r="F1601" s="289">
        <f>F1594</f>
        <v>5.15</v>
      </c>
      <c r="G1601" s="27">
        <v>1</v>
      </c>
      <c r="H1601" s="290">
        <f>H1594</f>
        <v>0.37</v>
      </c>
      <c r="I1601" s="330"/>
      <c r="J1601" s="36">
        <f t="shared" si="151"/>
        <v>-1.91</v>
      </c>
    </row>
    <row r="1602" spans="1:10">
      <c r="A1602" s="501"/>
      <c r="B1602" s="502"/>
      <c r="C1602" s="502"/>
      <c r="D1602" s="502"/>
      <c r="E1602" s="502"/>
      <c r="F1602" s="502"/>
      <c r="G1602" s="502"/>
      <c r="H1602" s="502"/>
      <c r="I1602" s="502"/>
      <c r="J1602" s="503"/>
    </row>
    <row r="1603" spans="1:10" ht="51">
      <c r="A1603" s="28" t="str">
        <f>'[3]Planilha Orçamentária'!A408</f>
        <v>1.7.6.4</v>
      </c>
      <c r="B1603" s="42" t="str">
        <f>VLOOKUP(A1603,'[3]Planilha Orçamentária'!A:K,2,0)</f>
        <v>COMP-35145154</v>
      </c>
      <c r="C1603" s="166" t="str">
        <f>VLOOKUP(A1603,'[3]Planilha Orçamentária'!A:K,3,0)</f>
        <v>CARGA E DESCARGA MECANICA DE SOLO UTILIZANDO CAMINHAO BASCULANTE 14,0M3/36T E PA CARREGADEIRA SOBRE PNEUS 128 HP, CAPACIDADE DA CAÇAMBA 1,7 A 2,8 M3, PESO OPERACIONAL 11632 KH</v>
      </c>
      <c r="D1603" s="31" t="str">
        <f>VLOOKUP(A1603,'[3]Planilha Orçamentária'!A:K,4,0)</f>
        <v>M3</v>
      </c>
      <c r="E1603" s="30"/>
      <c r="F1603" s="32"/>
      <c r="G1603" s="32"/>
      <c r="H1603" s="32"/>
      <c r="I1603" s="32"/>
      <c r="J1603" s="45">
        <f>ROUND(SUM(J1604:J1606),2)</f>
        <v>2.39</v>
      </c>
    </row>
    <row r="1604" spans="1:10" ht="25.5">
      <c r="A1604" s="27"/>
      <c r="B1604" s="27"/>
      <c r="C1604" s="79"/>
      <c r="D1604" s="63"/>
      <c r="E1604" s="79" t="s">
        <v>1622</v>
      </c>
      <c r="F1604" s="80"/>
      <c r="G1604" s="80"/>
      <c r="H1604" s="80"/>
      <c r="I1604" s="80" t="s">
        <v>1750</v>
      </c>
      <c r="J1604" s="27"/>
    </row>
    <row r="1605" spans="1:10" ht="14.25">
      <c r="A1605" s="27"/>
      <c r="B1605" s="27"/>
      <c r="C1605" s="291" t="s">
        <v>1751</v>
      </c>
      <c r="D1605" s="292"/>
      <c r="E1605" s="156">
        <v>1.25</v>
      </c>
      <c r="F1605" s="82"/>
      <c r="G1605" s="293"/>
      <c r="H1605" s="293"/>
      <c r="I1605" s="293">
        <f>J1591-J1597</f>
        <v>1.91</v>
      </c>
      <c r="J1605" s="36">
        <f t="shared" ref="J1605" si="152">ROUND(PRODUCT(E1605:I1605),2)</f>
        <v>2.39</v>
      </c>
    </row>
    <row r="1606" spans="1:10">
      <c r="A1606" s="501"/>
      <c r="B1606" s="502"/>
      <c r="C1606" s="502"/>
      <c r="D1606" s="502"/>
      <c r="E1606" s="502"/>
      <c r="F1606" s="502"/>
      <c r="G1606" s="502"/>
      <c r="H1606" s="502"/>
      <c r="I1606" s="502"/>
      <c r="J1606" s="503"/>
    </row>
    <row r="1607" spans="1:10" ht="38.25">
      <c r="A1607" s="28" t="str">
        <f>'[3]Planilha Orçamentária'!A409</f>
        <v>1.7.6.5</v>
      </c>
      <c r="B1607" s="42">
        <f>VLOOKUP(A1607,'[3]Planilha Orçamentária'!A:K,2,0)</f>
        <v>95876</v>
      </c>
      <c r="C1607" s="166" t="str">
        <f>VLOOKUP(A1607,'[3]Planilha Orçamentária'!A:K,3,0)</f>
        <v>TRANSPORTE COM CAMINHÃO BASCULANTE DE 14 M³, EM VIA URBANA PAVIMENTADA, DMT ATÉ 30 KM (UNIDADE: M3XKM). AF_07/2020</v>
      </c>
      <c r="D1607" s="31" t="str">
        <f>VLOOKUP(A1607,'[3]Planilha Orçamentária'!A:K,4,0)</f>
        <v>M3XKM</v>
      </c>
      <c r="E1607" s="30"/>
      <c r="F1607" s="32"/>
      <c r="G1607" s="32"/>
      <c r="H1607" s="32"/>
      <c r="I1607" s="32"/>
      <c r="J1607" s="45">
        <f>ROUND(SUM(J1608:J1610),2)</f>
        <v>22.23</v>
      </c>
    </row>
    <row r="1608" spans="1:10">
      <c r="A1608" s="27"/>
      <c r="B1608" s="27"/>
      <c r="C1608" s="90" t="s">
        <v>1876</v>
      </c>
      <c r="D1608" s="219"/>
      <c r="E1608" s="91" t="s">
        <v>1627</v>
      </c>
      <c r="F1608" s="164"/>
      <c r="G1608" s="164"/>
      <c r="H1608" s="164"/>
      <c r="I1608" s="164" t="s">
        <v>1623</v>
      </c>
      <c r="J1608" s="27"/>
    </row>
    <row r="1609" spans="1:10">
      <c r="A1609" s="27"/>
      <c r="B1609" s="27"/>
      <c r="C1609" s="73" t="s">
        <v>1877</v>
      </c>
      <c r="D1609" s="96"/>
      <c r="E1609" s="81">
        <v>9.3000000000000007</v>
      </c>
      <c r="F1609" s="164"/>
      <c r="G1609" s="164"/>
      <c r="H1609" s="164"/>
      <c r="I1609" s="295">
        <f>J1603</f>
        <v>2.39</v>
      </c>
      <c r="J1609" s="36">
        <f t="shared" ref="J1609" si="153">ROUND(PRODUCT(E1609:I1609),2)</f>
        <v>22.23</v>
      </c>
    </row>
    <row r="1610" spans="1:10">
      <c r="A1610" s="501"/>
      <c r="B1610" s="502"/>
      <c r="C1610" s="502"/>
      <c r="D1610" s="502"/>
      <c r="E1610" s="502"/>
      <c r="F1610" s="502"/>
      <c r="G1610" s="502"/>
      <c r="H1610" s="502"/>
      <c r="I1610" s="502"/>
      <c r="J1610" s="503"/>
    </row>
    <row r="1611" spans="1:10" ht="38.25">
      <c r="A1611" s="99" t="str">
        <f>'[3]Planilha Orçamentária'!A410</f>
        <v>1.7.6.6</v>
      </c>
      <c r="B1611" s="48">
        <f>VLOOKUP(A1611,'[3]Planilha Orçamentária'!A:K,2,0)</f>
        <v>94974</v>
      </c>
      <c r="C1611" s="331" t="str">
        <f>VLOOKUP(A1611,'[3]Planilha Orçamentária'!A:K,3,0)</f>
        <v>CONCRETO MAGRO PARA LASTRO, TRAÇO 1:4,5:4,5 (EM MASSA SECA DE CIMENTO/ AREIA MÉDIA/ BRITA 1) - PREPARO MANUAL. AF_05/2021</v>
      </c>
      <c r="D1611" s="101" t="str">
        <f>VLOOKUP(A1611,'[3]Planilha Orçamentária'!A:K,4,0)</f>
        <v>M3</v>
      </c>
      <c r="E1611" s="100"/>
      <c r="F1611" s="102"/>
      <c r="G1611" s="102"/>
      <c r="H1611" s="102"/>
      <c r="I1611" s="102"/>
      <c r="J1611" s="103">
        <f>ROUND(SUM(J1612:J1614),2)</f>
        <v>0.52</v>
      </c>
    </row>
    <row r="1612" spans="1:10">
      <c r="A1612" s="27"/>
      <c r="B1612" s="27"/>
      <c r="C1612" s="79" t="s">
        <v>1883</v>
      </c>
      <c r="D1612" s="31"/>
      <c r="E1612" s="30"/>
      <c r="F1612" s="80" t="s">
        <v>1606</v>
      </c>
      <c r="G1612" s="80" t="s">
        <v>1607</v>
      </c>
      <c r="H1612" s="80" t="s">
        <v>1619</v>
      </c>
      <c r="I1612" s="27"/>
      <c r="J1612" s="27"/>
    </row>
    <row r="1613" spans="1:10" ht="14.25">
      <c r="A1613" s="27"/>
      <c r="B1613" s="27"/>
      <c r="C1613" s="297" t="s">
        <v>1754</v>
      </c>
      <c r="D1613" s="27"/>
      <c r="E1613" s="27"/>
      <c r="F1613" s="298">
        <f>F1585</f>
        <v>5.15</v>
      </c>
      <c r="G1613" s="184">
        <v>1</v>
      </c>
      <c r="H1613" s="27">
        <v>0.1</v>
      </c>
      <c r="I1613" s="27"/>
      <c r="J1613" s="36">
        <f t="shared" ref="J1613" si="154">ROUND(PRODUCT(E1613:I1613),2)</f>
        <v>0.52</v>
      </c>
    </row>
    <row r="1614" spans="1:10">
      <c r="A1614" s="501"/>
      <c r="B1614" s="502"/>
      <c r="C1614" s="502"/>
      <c r="D1614" s="502"/>
      <c r="E1614" s="502"/>
      <c r="F1614" s="502"/>
      <c r="G1614" s="502"/>
      <c r="H1614" s="502"/>
      <c r="I1614" s="502"/>
      <c r="J1614" s="503"/>
    </row>
    <row r="1615" spans="1:10" ht="38.25">
      <c r="A1615" s="28" t="str">
        <f>'[3]Planilha Orçamentária'!A411</f>
        <v>1.7.6.7</v>
      </c>
      <c r="B1615" s="42">
        <f>VLOOKUP(A1615,'[3]Planilha Orçamentária'!A:K,2,0)</f>
        <v>92771</v>
      </c>
      <c r="C1615" s="166" t="str">
        <f>VLOOKUP(A1615,'[3]Planilha Orçamentária'!A:K,3,0)</f>
        <v>ARMAÇÃO DE LAJE DE ESTRUTURA CONVENCIONAL DE CONCRETO ARMADO UTILIZANDO AÇO CA-50 DE 10,0 MM - MONTAGEM. AF_06/2022</v>
      </c>
      <c r="D1615" s="31" t="str">
        <f>VLOOKUP(A1615,'[3]Planilha Orçamentária'!A:K,4,0)</f>
        <v>KG</v>
      </c>
      <c r="E1615" s="30"/>
      <c r="F1615" s="32"/>
      <c r="G1615" s="32"/>
      <c r="H1615" s="32"/>
      <c r="I1615" s="32"/>
      <c r="J1615" s="45">
        <f>ROUND(SUM(J1616:J1618),2)</f>
        <v>3357.7</v>
      </c>
    </row>
    <row r="1616" spans="1:10">
      <c r="A1616" s="27"/>
      <c r="B1616" s="27"/>
      <c r="C1616" s="79" t="s">
        <v>1883</v>
      </c>
      <c r="D1616" s="191"/>
      <c r="E1616" s="156"/>
      <c r="F1616" s="295" t="s">
        <v>1758</v>
      </c>
      <c r="G1616" s="295"/>
      <c r="H1616" s="295"/>
      <c r="I1616" s="295" t="s">
        <v>328</v>
      </c>
      <c r="J1616" s="27"/>
    </row>
    <row r="1617" spans="1:10" ht="28.5">
      <c r="A1617" s="27"/>
      <c r="B1617" s="27"/>
      <c r="C1617" s="131" t="s">
        <v>1760</v>
      </c>
      <c r="D1617" s="31"/>
      <c r="E1617" s="30"/>
      <c r="F1617" s="295">
        <f>F1585+F1588</f>
        <v>405.03</v>
      </c>
      <c r="G1617" s="295"/>
      <c r="H1617" s="295"/>
      <c r="I1617" s="295">
        <v>8.2899999999999991</v>
      </c>
      <c r="J1617" s="36">
        <f t="shared" ref="J1617" si="155">ROUND(PRODUCT(E1617:I1617),2)</f>
        <v>3357.7</v>
      </c>
    </row>
    <row r="1618" spans="1:10">
      <c r="A1618" s="501"/>
      <c r="B1618" s="502"/>
      <c r="C1618" s="502"/>
      <c r="D1618" s="502"/>
      <c r="E1618" s="502"/>
      <c r="F1618" s="502"/>
      <c r="G1618" s="502"/>
      <c r="H1618" s="502"/>
      <c r="I1618" s="502"/>
      <c r="J1618" s="503"/>
    </row>
    <row r="1619" spans="1:10" ht="51">
      <c r="A1619" s="28" t="str">
        <f>'[3]Planilha Orçamentária'!A412</f>
        <v>1.7.6.8</v>
      </c>
      <c r="B1619" s="42" t="str">
        <f>VLOOKUP(A1619,'[3]Planilha Orçamentária'!A:K,2,0)</f>
        <v>CP-92268-29291149</v>
      </c>
      <c r="C1619" s="166" t="str">
        <f>VLOOKUP(A1619,'[3]Planilha Orçamentária'!A:K,3,0)</f>
        <v>FABRICAÇÃO DE FÔRMA PARA LAJES, EM CHAPA DE MADEIRA COMPENSADA PLASTIFICADA, E = 18 MM - EXCLUINDO O PAINEL DE MADEIRA COMPENSADA PLASTIFICADA DE 2200 x 1100 MM, E = *17* MM</v>
      </c>
      <c r="D1619" s="31" t="str">
        <f>VLOOKUP(A1619,'[3]Planilha Orçamentária'!A:K,4,0)</f>
        <v>M2</v>
      </c>
      <c r="E1619" s="30"/>
      <c r="F1619" s="32"/>
      <c r="G1619" s="32"/>
      <c r="H1619" s="32"/>
      <c r="I1619" s="32"/>
      <c r="J1619" s="45">
        <f>ROUND(SUM(J1620:J1622),2)</f>
        <v>243.02</v>
      </c>
    </row>
    <row r="1620" spans="1:10">
      <c r="A1620" s="27"/>
      <c r="B1620" s="27"/>
      <c r="C1620" s="79" t="s">
        <v>1883</v>
      </c>
      <c r="D1620" s="191"/>
      <c r="E1620" s="156"/>
      <c r="F1620" s="156" t="s">
        <v>1802</v>
      </c>
      <c r="G1620" s="156" t="s">
        <v>1619</v>
      </c>
      <c r="H1620" s="156" t="s">
        <v>1803</v>
      </c>
      <c r="I1620" s="27"/>
      <c r="J1620" s="27"/>
    </row>
    <row r="1621" spans="1:10" ht="28.5">
      <c r="A1621" s="27"/>
      <c r="B1621" s="27"/>
      <c r="C1621" s="255" t="s">
        <v>1762</v>
      </c>
      <c r="D1621" s="96"/>
      <c r="E1621" s="82"/>
      <c r="F1621" s="57">
        <f>1*4</f>
        <v>4</v>
      </c>
      <c r="G1621" s="57">
        <v>0.15</v>
      </c>
      <c r="H1621" s="57">
        <f>F1617</f>
        <v>405.03</v>
      </c>
      <c r="I1621" s="27"/>
      <c r="J1621" s="36">
        <f t="shared" ref="J1621" si="156">ROUND(PRODUCT(E1621:I1621),2)</f>
        <v>243.02</v>
      </c>
    </row>
    <row r="1622" spans="1:10">
      <c r="A1622" s="501"/>
      <c r="B1622" s="502"/>
      <c r="C1622" s="502"/>
      <c r="D1622" s="502"/>
      <c r="E1622" s="502"/>
      <c r="F1622" s="502"/>
      <c r="G1622" s="502"/>
      <c r="H1622" s="502"/>
      <c r="I1622" s="502"/>
      <c r="J1622" s="503"/>
    </row>
    <row r="1623" spans="1:10" ht="51">
      <c r="A1623" s="28" t="str">
        <f>'[3]Planilha Orçamentária'!A413</f>
        <v>1.7.6.9</v>
      </c>
      <c r="B1623" s="42">
        <f>VLOOKUP(A1623,'[3]Planilha Orçamentária'!A:K,2,0)</f>
        <v>103320</v>
      </c>
      <c r="C1623" s="166" t="str">
        <f>VLOOKUP(A1623,'[3]Planilha Orçamentária'!A:K,3,0)</f>
        <v>ALVENARIA DE VEDAÇÃO DE BLOCOS VAZADOS DE CONCRETO DE 19X19X39 CM (ESPESSURA 19 CM) E ARGAMASSA DE ASSENTAMENTO COM PREPARO EM BETONEIRA. AF_12/2021</v>
      </c>
      <c r="D1623" s="31" t="str">
        <f>VLOOKUP(A1623,'[3]Planilha Orçamentária'!A:K,4,0)</f>
        <v>M2</v>
      </c>
      <c r="E1623" s="30"/>
      <c r="F1623" s="32"/>
      <c r="G1623" s="32"/>
      <c r="H1623" s="32"/>
      <c r="I1623" s="32"/>
      <c r="J1623" s="45">
        <f>ROUND(SUM(J1624:J1626),2)</f>
        <v>4.04</v>
      </c>
    </row>
    <row r="1624" spans="1:10">
      <c r="A1624" s="27"/>
      <c r="B1624" s="27"/>
      <c r="C1624" s="79" t="s">
        <v>1883</v>
      </c>
      <c r="D1624" s="96"/>
      <c r="E1624" s="82"/>
      <c r="F1624" s="57" t="s">
        <v>1606</v>
      </c>
      <c r="G1624" s="57"/>
      <c r="H1624" s="57" t="s">
        <v>1663</v>
      </c>
      <c r="I1624" s="313" t="s">
        <v>1763</v>
      </c>
      <c r="J1624" s="27"/>
    </row>
    <row r="1625" spans="1:10" ht="14.25">
      <c r="A1625" s="27"/>
      <c r="B1625" s="27"/>
      <c r="C1625" s="255" t="s">
        <v>1764</v>
      </c>
      <c r="D1625" s="96"/>
      <c r="E1625" s="82"/>
      <c r="F1625" s="57">
        <v>5.05</v>
      </c>
      <c r="G1625" s="57"/>
      <c r="H1625" s="57">
        <v>0.4</v>
      </c>
      <c r="I1625" s="57">
        <v>2</v>
      </c>
      <c r="J1625" s="36">
        <f t="shared" ref="J1625" si="157">ROUND(PRODUCT(E1625:I1625),2)</f>
        <v>4.04</v>
      </c>
    </row>
    <row r="1626" spans="1:10">
      <c r="A1626" s="501"/>
      <c r="B1626" s="502"/>
      <c r="C1626" s="502"/>
      <c r="D1626" s="502"/>
      <c r="E1626" s="502"/>
      <c r="F1626" s="502"/>
      <c r="G1626" s="502"/>
      <c r="H1626" s="502"/>
      <c r="I1626" s="502"/>
      <c r="J1626" s="503"/>
    </row>
    <row r="1627" spans="1:10" ht="51">
      <c r="A1627" s="28" t="str">
        <f>'[3]Planilha Orçamentária'!A414</f>
        <v>1.7.6.10</v>
      </c>
      <c r="B1627" s="42">
        <f>VLOOKUP(A1627,'[3]Planilha Orçamentária'!A:K,2,0)</f>
        <v>87879</v>
      </c>
      <c r="C1627" s="166" t="str">
        <f>VLOOKUP(A1627,'[3]Planilha Orçamentária'!A:K,3,0)</f>
        <v>CHAPISCO APLICADO EM ALVENARIAS E ESTRUTURAS DE CONCRETO INTERNAS, COM COLHER DE PEDREIRO.  ARGAMASSA TRAÇO 1:3 COM PREPARO EM BETONEIRA 400L. AF_06/2014</v>
      </c>
      <c r="D1627" s="31" t="str">
        <f>VLOOKUP(A1627,'[3]Planilha Orçamentária'!A:K,4,0)</f>
        <v>M2</v>
      </c>
      <c r="E1627" s="30"/>
      <c r="F1627" s="32"/>
      <c r="G1627" s="32"/>
      <c r="H1627" s="32"/>
      <c r="I1627" s="32"/>
      <c r="J1627" s="45">
        <f>ROUND(SUM(J1628:J1630),2)</f>
        <v>4.04</v>
      </c>
    </row>
    <row r="1628" spans="1:10">
      <c r="A1628" s="27"/>
      <c r="B1628" s="27"/>
      <c r="C1628" s="79" t="s">
        <v>1883</v>
      </c>
      <c r="D1628" s="96"/>
      <c r="E1628" s="82"/>
      <c r="F1628" s="57"/>
      <c r="G1628" s="57"/>
      <c r="H1628" s="57"/>
      <c r="I1628" s="254"/>
      <c r="J1628" s="27"/>
    </row>
    <row r="1629" spans="1:10" ht="14.25">
      <c r="A1629" s="27"/>
      <c r="B1629" s="27"/>
      <c r="C1629" s="255" t="s">
        <v>1765</v>
      </c>
      <c r="D1629" s="96"/>
      <c r="E1629" s="82"/>
      <c r="F1629" s="57"/>
      <c r="G1629" s="57"/>
      <c r="H1629" s="57"/>
      <c r="I1629" s="314">
        <f>J1623</f>
        <v>4.04</v>
      </c>
      <c r="J1629" s="36">
        <f t="shared" ref="J1629" si="158">ROUND(PRODUCT(E1629:I1629),2)</f>
        <v>4.04</v>
      </c>
    </row>
    <row r="1630" spans="1:10">
      <c r="A1630" s="501"/>
      <c r="B1630" s="502"/>
      <c r="C1630" s="502"/>
      <c r="D1630" s="502"/>
      <c r="E1630" s="502"/>
      <c r="F1630" s="502"/>
      <c r="G1630" s="502"/>
      <c r="H1630" s="502"/>
      <c r="I1630" s="502"/>
      <c r="J1630" s="503"/>
    </row>
    <row r="1631" spans="1:10" ht="63.75">
      <c r="A1631" s="28" t="str">
        <f>'[3]Planilha Orçamentária'!A415</f>
        <v>1.7.6.11</v>
      </c>
      <c r="B1631" s="42">
        <f>VLOOKUP(A1631,'[3]Planilha Orçamentária'!A:K,2,0)</f>
        <v>87547</v>
      </c>
      <c r="C1631" s="166" t="str">
        <f>VLOOKUP(A1631,'[3]Planilha Orçamentária'!A:K,3,0)</f>
        <v>MASSA ÚNICA, PARA RECEBIMENTO DE PINTURA, EM ARGAMASSA TRAÇO 1:2:8, PREPARO MECÂNICO COM BETONEIRA 400L, APLICADA MANUALMENTE EM FACES INTERNAS DE PAREDES, ESPESSURA DE 10MM, COM EXECUÇÃO DE TALISCAS. AF_06/2014</v>
      </c>
      <c r="D1631" s="31" t="str">
        <f>VLOOKUP(A1631,'[3]Planilha Orçamentária'!A:K,4,0)</f>
        <v>M2</v>
      </c>
      <c r="E1631" s="30"/>
      <c r="F1631" s="32"/>
      <c r="G1631" s="32"/>
      <c r="H1631" s="32"/>
      <c r="I1631" s="32"/>
      <c r="J1631" s="45">
        <f>ROUND(SUM(J1632:J1634),2)</f>
        <v>4.04</v>
      </c>
    </row>
    <row r="1632" spans="1:10">
      <c r="A1632" s="27"/>
      <c r="B1632" s="27"/>
      <c r="C1632" s="79" t="s">
        <v>1883</v>
      </c>
      <c r="D1632" s="96"/>
      <c r="E1632" s="82"/>
      <c r="F1632" s="57"/>
      <c r="G1632" s="57"/>
      <c r="H1632" s="57"/>
      <c r="I1632" s="254"/>
      <c r="J1632" s="27"/>
    </row>
    <row r="1633" spans="1:10" ht="14.25">
      <c r="A1633" s="27"/>
      <c r="B1633" s="27"/>
      <c r="C1633" s="255" t="s">
        <v>1765</v>
      </c>
      <c r="D1633" s="96"/>
      <c r="E1633" s="82"/>
      <c r="F1633" s="57"/>
      <c r="G1633" s="57"/>
      <c r="H1633" s="57"/>
      <c r="I1633" s="314">
        <f>J1627</f>
        <v>4.04</v>
      </c>
      <c r="J1633" s="36">
        <f t="shared" ref="J1633" si="159">ROUND(PRODUCT(E1633:I1633),2)</f>
        <v>4.04</v>
      </c>
    </row>
    <row r="1634" spans="1:10">
      <c r="A1634" s="501"/>
      <c r="B1634" s="502"/>
      <c r="C1634" s="502"/>
      <c r="D1634" s="502"/>
      <c r="E1634" s="502"/>
      <c r="F1634" s="502"/>
      <c r="G1634" s="502"/>
      <c r="H1634" s="502"/>
      <c r="I1634" s="502"/>
      <c r="J1634" s="503"/>
    </row>
    <row r="1635" spans="1:10" ht="38.25">
      <c r="A1635" s="28" t="str">
        <f>'[3]Planilha Orçamentária'!A416</f>
        <v>1.7.6.12</v>
      </c>
      <c r="B1635" s="42">
        <f>VLOOKUP(A1635,'[3]Planilha Orçamentária'!A:K,2,0)</f>
        <v>94975</v>
      </c>
      <c r="C1635" s="166" t="str">
        <f>VLOOKUP(A1635,'[3]Planilha Orçamentária'!A:K,3,0)</f>
        <v>CONCRETO FCK = 15MPA, TRAÇO 1:3,4:3,5 (EM MASSA SECA DE CIMENTO/ AREIA MÉDIA/ BRITA 1) - PREPARO MANUAL. AF_05/2021</v>
      </c>
      <c r="D1635" s="31" t="str">
        <f>VLOOKUP(A1635,'[3]Planilha Orçamentária'!A:K,4,0)</f>
        <v>M3</v>
      </c>
      <c r="E1635" s="30"/>
      <c r="F1635" s="32"/>
      <c r="G1635" s="32"/>
      <c r="H1635" s="32"/>
      <c r="I1635" s="32"/>
      <c r="J1635" s="45">
        <f>ROUND(SUM(J1636:J1638),2)</f>
        <v>0.43</v>
      </c>
    </row>
    <row r="1636" spans="1:10" ht="28.5">
      <c r="A1636" s="27"/>
      <c r="B1636" s="27"/>
      <c r="C1636" s="131" t="s">
        <v>1766</v>
      </c>
      <c r="D1636" s="303"/>
      <c r="E1636" s="304" t="s">
        <v>1767</v>
      </c>
      <c r="F1636" s="304" t="s">
        <v>1768</v>
      </c>
      <c r="G1636" s="184"/>
      <c r="H1636" s="304" t="s">
        <v>1769</v>
      </c>
      <c r="I1636" s="27"/>
      <c r="J1636" s="27"/>
    </row>
    <row r="1637" spans="1:10" ht="28.5">
      <c r="A1637" s="27"/>
      <c r="B1637" s="27"/>
      <c r="C1637" s="255" t="s">
        <v>1770</v>
      </c>
      <c r="D1637" s="303"/>
      <c r="E1637" s="305">
        <f>0.294*0.14*0.19</f>
        <v>7.8203999999999999E-3</v>
      </c>
      <c r="F1637" s="184">
        <v>13.6</v>
      </c>
      <c r="G1637" s="306"/>
      <c r="H1637" s="57">
        <f>J1623</f>
        <v>4.04</v>
      </c>
      <c r="I1637" s="27"/>
      <c r="J1637" s="36">
        <f t="shared" ref="J1637" si="160">ROUND(PRODUCT(E1637:I1637),2)</f>
        <v>0.43</v>
      </c>
    </row>
    <row r="1638" spans="1:10">
      <c r="A1638" s="501"/>
      <c r="B1638" s="502"/>
      <c r="C1638" s="502"/>
      <c r="D1638" s="502"/>
      <c r="E1638" s="502"/>
      <c r="F1638" s="502"/>
      <c r="G1638" s="502"/>
      <c r="H1638" s="502"/>
      <c r="I1638" s="502"/>
      <c r="J1638" s="503"/>
    </row>
    <row r="1639" spans="1:10" ht="25.5">
      <c r="A1639" s="28" t="str">
        <f>'[3]Planilha Orçamentária'!A417</f>
        <v>1.7.6.13</v>
      </c>
      <c r="B1639" s="42" t="str">
        <f>VLOOKUP(A1639,'[3]Planilha Orçamentária'!A:K,2,0)</f>
        <v>CP-74157/004-48264518</v>
      </c>
      <c r="C1639" s="166" t="str">
        <f>VLOOKUP(A1639,'[3]Planilha Orçamentária'!A:K,3,0)</f>
        <v>LANCAMENTO/APLICACAO MANUAL DE CONCRETO EM FUNDACOES (concreto magro)</v>
      </c>
      <c r="D1639" s="31" t="str">
        <f>VLOOKUP(A1639,'[3]Planilha Orçamentária'!A:K,4,0)</f>
        <v>M3</v>
      </c>
      <c r="E1639" s="30"/>
      <c r="F1639" s="32"/>
      <c r="G1639" s="32"/>
      <c r="H1639" s="32"/>
      <c r="I1639" s="32"/>
      <c r="J1639" s="45">
        <f>ROUND(SUM(J1640:J1642),2)</f>
        <v>52.56</v>
      </c>
    </row>
    <row r="1640" spans="1:10">
      <c r="A1640" s="27"/>
      <c r="B1640" s="27"/>
      <c r="C1640" s="79" t="s">
        <v>1883</v>
      </c>
      <c r="D1640" s="96"/>
      <c r="E1640" s="82"/>
      <c r="F1640" s="57"/>
      <c r="G1640" s="57"/>
      <c r="H1640" s="57"/>
      <c r="I1640" s="254"/>
      <c r="J1640" s="27"/>
    </row>
    <row r="1641" spans="1:10" ht="14.25">
      <c r="A1641" s="27"/>
      <c r="B1641" s="27"/>
      <c r="C1641" s="255" t="s">
        <v>1887</v>
      </c>
      <c r="D1641" s="96"/>
      <c r="E1641" s="82"/>
      <c r="F1641" s="57"/>
      <c r="G1641" s="57"/>
      <c r="H1641" s="57"/>
      <c r="I1641" s="57">
        <f>J1635+J1611+J1582</f>
        <v>52.56</v>
      </c>
      <c r="J1641" s="36">
        <f t="shared" ref="J1641" si="161">ROUND(PRODUCT(E1641:I1641),2)</f>
        <v>52.56</v>
      </c>
    </row>
    <row r="1642" spans="1:10">
      <c r="A1642" s="501"/>
      <c r="B1642" s="502"/>
      <c r="C1642" s="502"/>
      <c r="D1642" s="502"/>
      <c r="E1642" s="502"/>
      <c r="F1642" s="502"/>
      <c r="G1642" s="502"/>
      <c r="H1642" s="502"/>
      <c r="I1642" s="502"/>
      <c r="J1642" s="503"/>
    </row>
    <row r="1643" spans="1:10">
      <c r="A1643" s="19" t="str">
        <f>'[3]Planilha Orçamentária'!A418</f>
        <v>1.7.7</v>
      </c>
      <c r="B1643" s="20"/>
      <c r="C1643" s="21" t="str">
        <f>VLOOKUP(A1643,'[3]Planilha Orçamentária'!A:K,3,0)</f>
        <v>SINALIZAÇÃO</v>
      </c>
      <c r="D1643" s="22"/>
      <c r="E1643" s="23"/>
      <c r="F1643" s="24"/>
      <c r="G1643" s="24"/>
      <c r="H1643" s="24"/>
      <c r="I1643" s="25"/>
      <c r="J1643" s="41"/>
    </row>
    <row r="1644" spans="1:10" ht="25.5">
      <c r="A1644" s="28" t="str">
        <f>'[3]Planilha Orçamentária'!A419</f>
        <v>1.7.7.1</v>
      </c>
      <c r="B1644" s="42">
        <f>VLOOKUP(A1644,'[3]Planilha Orçamentária'!A:K,2,0)</f>
        <v>5213421</v>
      </c>
      <c r="C1644" s="166" t="str">
        <f>VLOOKUP(A1644,'[3]Planilha Orçamentária'!A:K,3,0)</f>
        <v>Confecção de placa em aço nº 16 galvanizado, com película tipo I + IV</v>
      </c>
      <c r="D1644" s="31" t="str">
        <f>VLOOKUP(A1644,'[3]Planilha Orçamentária'!A:K,4,0)</f>
        <v xml:space="preserve">M2    </v>
      </c>
      <c r="E1644" s="30"/>
      <c r="F1644" s="32"/>
      <c r="G1644" s="32"/>
      <c r="H1644" s="32"/>
      <c r="I1644" s="32"/>
      <c r="J1644" s="45">
        <f>ROUND(SUM(J1645:J1647),2)</f>
        <v>2.7</v>
      </c>
    </row>
    <row r="1645" spans="1:10" ht="25.5">
      <c r="A1645" s="54"/>
      <c r="B1645" s="54"/>
      <c r="C1645" s="142" t="s">
        <v>1888</v>
      </c>
      <c r="D1645" s="174"/>
      <c r="E1645" s="175"/>
      <c r="F1645" s="35"/>
      <c r="G1645" s="35"/>
      <c r="H1645" s="82" t="s">
        <v>1620</v>
      </c>
      <c r="I1645" s="171" t="s">
        <v>1608</v>
      </c>
      <c r="J1645" s="58"/>
    </row>
    <row r="1646" spans="1:10">
      <c r="A1646" s="176"/>
      <c r="B1646" s="176"/>
      <c r="C1646" s="142" t="s">
        <v>1671</v>
      </c>
      <c r="D1646" s="174"/>
      <c r="E1646" s="35"/>
      <c r="F1646" s="35"/>
      <c r="G1646" s="35"/>
      <c r="H1646" s="35">
        <v>0.2</v>
      </c>
      <c r="I1646" s="82">
        <v>6</v>
      </c>
      <c r="J1646" s="58">
        <f>ROUND(PRODUCT(E1646:I1646),2)</f>
        <v>1.2</v>
      </c>
    </row>
    <row r="1647" spans="1:10">
      <c r="A1647" s="176"/>
      <c r="B1647" s="176"/>
      <c r="C1647" s="177" t="s">
        <v>1672</v>
      </c>
      <c r="D1647" s="158"/>
      <c r="E1647" s="116"/>
      <c r="F1647" s="116"/>
      <c r="G1647" s="116"/>
      <c r="H1647" s="116">
        <f>0.5*0.5</f>
        <v>0.25</v>
      </c>
      <c r="I1647" s="82">
        <v>6</v>
      </c>
      <c r="J1647" s="58">
        <f t="shared" ref="J1647" si="162">ROUND(PRODUCT(E1647:I1647),2)</f>
        <v>1.5</v>
      </c>
    </row>
    <row r="1648" spans="1:10">
      <c r="A1648" s="507"/>
      <c r="B1648" s="507"/>
      <c r="C1648" s="507"/>
      <c r="D1648" s="507"/>
      <c r="E1648" s="507"/>
      <c r="F1648" s="507"/>
      <c r="G1648" s="507"/>
      <c r="H1648" s="507"/>
      <c r="I1648" s="507"/>
      <c r="J1648" s="508"/>
    </row>
    <row r="1649" spans="1:10" ht="38.25">
      <c r="A1649" s="28" t="str">
        <f>'[3]Planilha Orçamentária'!A420</f>
        <v>1.7.7.2</v>
      </c>
      <c r="B1649" s="42">
        <f>VLOOKUP(A1649,'[3]Planilha Orçamentária'!A:K,2,0)</f>
        <v>5216111</v>
      </c>
      <c r="C1649" s="166" t="str">
        <f>VLOOKUP(A1649,'[3]Planilha Orçamentária'!A:K,3,0)</f>
        <v>FORNECIMENTO E IMPLANTAÇÃO DE SUPORTE E TRAVESSA PARA PLACA DE SINALIZAÇÃO EM MADEIRA DE LEI TRATADA 8 X 8 CM</v>
      </c>
      <c r="D1649" s="31" t="str">
        <f>VLOOKUP(A1649,'[3]Planilha Orçamentária'!A:K,4,0)</f>
        <v>UND</v>
      </c>
      <c r="E1649" s="30"/>
      <c r="F1649" s="32"/>
      <c r="G1649" s="32"/>
      <c r="H1649" s="32"/>
      <c r="I1649" s="32"/>
      <c r="J1649" s="45">
        <f>ROUND(SUM(J1651:J1651),2)</f>
        <v>6</v>
      </c>
    </row>
    <row r="1650" spans="1:10">
      <c r="A1650" s="112"/>
      <c r="B1650" s="146"/>
      <c r="C1650" s="142" t="s">
        <v>1888</v>
      </c>
      <c r="D1650" s="31"/>
      <c r="E1650" s="30"/>
      <c r="F1650" s="32"/>
      <c r="G1650" s="32"/>
      <c r="H1650" s="32"/>
      <c r="I1650" s="34" t="s">
        <v>1125</v>
      </c>
      <c r="J1650" s="151"/>
    </row>
    <row r="1651" spans="1:10">
      <c r="A1651" s="176"/>
      <c r="B1651" s="176"/>
      <c r="C1651" s="142" t="s">
        <v>1676</v>
      </c>
      <c r="D1651" s="174"/>
      <c r="E1651" s="175"/>
      <c r="F1651" s="35"/>
      <c r="G1651" s="35"/>
      <c r="H1651" s="82"/>
      <c r="I1651" s="82">
        <v>6</v>
      </c>
      <c r="J1651" s="188">
        <f>ROUND(PRODUCT(E1651:I1651),2)</f>
        <v>6</v>
      </c>
    </row>
    <row r="1652" spans="1:10">
      <c r="A1652" s="506"/>
      <c r="B1652" s="507"/>
      <c r="C1652" s="507"/>
      <c r="D1652" s="507"/>
      <c r="E1652" s="507"/>
      <c r="F1652" s="507"/>
      <c r="G1652" s="507"/>
      <c r="H1652" s="507"/>
      <c r="I1652" s="507"/>
      <c r="J1652" s="508"/>
    </row>
    <row r="1653" spans="1:10" ht="25.5">
      <c r="A1653" s="112" t="str">
        <f>'[3]Planilha Orçamentária'!A421</f>
        <v>1.7.7.3</v>
      </c>
      <c r="B1653" s="146" t="str">
        <f>VLOOKUP(A1653,'[3]Planilha Orçamentária'!A:K,2,0)</f>
        <v>COMP-58084869</v>
      </c>
      <c r="C1653" s="147" t="str">
        <f>VLOOKUP(A1653,'[3]Planilha Orçamentária'!A:K,3,0)</f>
        <v>PLACA ESMALTADA PARA IDENTIFICAÇÃO NR DE RUA, DIMENSÕES 45X25CM</v>
      </c>
      <c r="D1653" s="148" t="str">
        <f>VLOOKUP(A1653,'[3]Planilha Orçamentária'!A:K,4,0)</f>
        <v>UND</v>
      </c>
      <c r="E1653" s="149"/>
      <c r="F1653" s="150"/>
      <c r="G1653" s="150"/>
      <c r="H1653" s="150"/>
      <c r="I1653" s="150"/>
      <c r="J1653" s="151">
        <f>ROUND(SUM(J1654:J1655),2)</f>
        <v>5</v>
      </c>
    </row>
    <row r="1654" spans="1:10">
      <c r="A1654" s="28"/>
      <c r="B1654" s="29"/>
      <c r="C1654" s="142" t="s">
        <v>1888</v>
      </c>
      <c r="D1654" s="31"/>
      <c r="E1654" s="30"/>
      <c r="F1654" s="32"/>
      <c r="G1654" s="32"/>
      <c r="H1654" s="32"/>
      <c r="I1654" s="34" t="s">
        <v>1125</v>
      </c>
      <c r="J1654" s="33"/>
    </row>
    <row r="1655" spans="1:10">
      <c r="A1655" s="28"/>
      <c r="B1655" s="29"/>
      <c r="C1655" s="142" t="s">
        <v>1676</v>
      </c>
      <c r="D1655" s="31"/>
      <c r="E1655" s="30"/>
      <c r="F1655" s="32"/>
      <c r="G1655" s="32"/>
      <c r="H1655" s="32"/>
      <c r="I1655" s="82">
        <v>5</v>
      </c>
      <c r="J1655" s="188">
        <f>ROUND(PRODUCT(E1655:I1655),2)</f>
        <v>5</v>
      </c>
    </row>
    <row r="1656" spans="1:10">
      <c r="A1656" s="511"/>
      <c r="B1656" s="512"/>
      <c r="C1656" s="512"/>
      <c r="D1656" s="512"/>
      <c r="E1656" s="512"/>
      <c r="F1656" s="512"/>
      <c r="G1656" s="512"/>
      <c r="H1656" s="512"/>
      <c r="I1656" s="512"/>
      <c r="J1656" s="512"/>
    </row>
    <row r="1657" spans="1:10" ht="38.25">
      <c r="A1657" s="60" t="str">
        <f>'[3]Planilha Orçamentária'!A422</f>
        <v>1.7.7.4</v>
      </c>
      <c r="B1657" s="61" t="str">
        <f>VLOOKUP(A1657,'[3]Planilha Orçamentária'!A:K,2,0)</f>
        <v>CP-72947-21572945</v>
      </c>
      <c r="C1657" s="190" t="str">
        <f>VLOOKUP(A1657,'[3]Planilha Orçamentária'!A:K,3,0)</f>
        <v>SINALIZACAO HORIZONTAL COM TINTA RETRORREFLETIVA A BASE DE RESINA ACRILICA COM MICROESFERAS DE VIDRO</v>
      </c>
      <c r="D1657" s="63" t="str">
        <f>VLOOKUP(A1657,'[3]Planilha Orçamentária'!A:K,4,0)</f>
        <v>M2</v>
      </c>
      <c r="E1657" s="62"/>
      <c r="F1657" s="64"/>
      <c r="G1657" s="64"/>
      <c r="H1657" s="64"/>
      <c r="I1657" s="64"/>
      <c r="J1657" s="78">
        <f>ROUND(SUM(J1659:J1659),2)</f>
        <v>5.76</v>
      </c>
    </row>
    <row r="1658" spans="1:10">
      <c r="A1658" s="66"/>
      <c r="B1658" s="67"/>
      <c r="C1658" s="142" t="s">
        <v>1888</v>
      </c>
      <c r="D1658" s="63"/>
      <c r="E1658" s="62"/>
      <c r="F1658" s="80"/>
      <c r="G1658" s="64"/>
      <c r="H1658" s="64"/>
      <c r="I1658" s="34" t="s">
        <v>1620</v>
      </c>
      <c r="J1658" s="78"/>
    </row>
    <row r="1659" spans="1:10">
      <c r="A1659" s="176"/>
      <c r="B1659" s="176"/>
      <c r="C1659" s="142" t="s">
        <v>1676</v>
      </c>
      <c r="D1659" s="191"/>
      <c r="E1659" s="192"/>
      <c r="F1659" s="82"/>
      <c r="G1659" s="82"/>
      <c r="H1659" s="82"/>
      <c r="I1659" s="82">
        <v>5.76</v>
      </c>
      <c r="J1659" s="36">
        <f>ROUND(PRODUCT(E1659:I1659),2)</f>
        <v>5.76</v>
      </c>
    </row>
    <row r="1660" spans="1:10">
      <c r="A1660" s="507"/>
      <c r="B1660" s="507"/>
      <c r="C1660" s="507"/>
      <c r="D1660" s="507"/>
      <c r="E1660" s="507"/>
      <c r="F1660" s="507"/>
      <c r="G1660" s="507"/>
      <c r="H1660" s="507"/>
      <c r="I1660" s="507"/>
      <c r="J1660" s="508"/>
    </row>
    <row r="1661" spans="1:10">
      <c r="A1661" s="19" t="str">
        <f>'[3]Planilha Orçamentária'!A423</f>
        <v>1.7.8</v>
      </c>
      <c r="B1661" s="20"/>
      <c r="C1661" s="21" t="str">
        <f>VLOOKUP(A1661,'[3]Planilha Orçamentária'!A:K,3,0)</f>
        <v>MATERIAIS</v>
      </c>
      <c r="D1661" s="21"/>
      <c r="E1661" s="39"/>
      <c r="F1661" s="40"/>
      <c r="G1661" s="40"/>
      <c r="H1661" s="40"/>
      <c r="I1661" s="40"/>
      <c r="J1661" s="41"/>
    </row>
    <row r="1662" spans="1:10" ht="51">
      <c r="A1662" s="60" t="str">
        <f>'[3]Planilha Orçamentária'!A424</f>
        <v>1.7.8.1</v>
      </c>
      <c r="B1662" s="61">
        <f>VLOOKUP(A1662,'[3]Planilha Orçamentária'!A:K,2,0)</f>
        <v>10775</v>
      </c>
      <c r="C1662" s="62" t="str">
        <f>VLOOKUP(A1662,'[3]Planilha Orçamentária'!A:K,3,0)</f>
        <v xml:space="preserve">LOCACAO DE CONTAINER 2,30 X 6,00 M, ALT. 2,50 M, COM 1 SANITARIO, PARA ESCRITORIO, COMPLETO, SEM DIVISORIAS INTERNAS (NAO INCLUI MOBILIZACAO/DESMOBILIZACAO)                                                                                                                                                                                                                                                                                                                                              </v>
      </c>
      <c r="D1662" s="63" t="str">
        <f>VLOOKUP(A1662,'[3]Planilha Orçamentária'!A:K,4,0)</f>
        <v xml:space="preserve">MES   </v>
      </c>
      <c r="E1662" s="62"/>
      <c r="F1662" s="64"/>
      <c r="G1662" s="64"/>
      <c r="H1662" s="64"/>
      <c r="I1662" s="64"/>
      <c r="J1662" s="65">
        <f>ROUND(SUM(J1664:J1664),2)</f>
        <v>3</v>
      </c>
    </row>
    <row r="1663" spans="1:10" ht="25.5">
      <c r="A1663" s="66"/>
      <c r="B1663" s="67"/>
      <c r="C1663" s="68"/>
      <c r="D1663" s="69"/>
      <c r="E1663" s="68"/>
      <c r="F1663" s="70"/>
      <c r="G1663" s="71"/>
      <c r="H1663" s="71"/>
      <c r="I1663" s="34" t="s">
        <v>1609</v>
      </c>
      <c r="J1663" s="72"/>
    </row>
    <row r="1664" spans="1:10">
      <c r="A1664" s="27"/>
      <c r="B1664" s="27"/>
      <c r="C1664" s="73"/>
      <c r="D1664" s="74"/>
      <c r="E1664" s="35"/>
      <c r="F1664" s="75"/>
      <c r="G1664" s="35"/>
      <c r="H1664" s="35"/>
      <c r="I1664" s="35">
        <f>I1497</f>
        <v>3</v>
      </c>
      <c r="J1664" s="36">
        <f>ROUND(PRODUCT(E1664:I1664),2)</f>
        <v>3</v>
      </c>
    </row>
    <row r="1665" spans="1:10">
      <c r="A1665" s="496"/>
      <c r="B1665" s="496"/>
      <c r="C1665" s="496"/>
      <c r="D1665" s="496"/>
      <c r="E1665" s="496"/>
      <c r="F1665" s="496"/>
      <c r="G1665" s="496"/>
      <c r="H1665" s="496"/>
      <c r="I1665" s="496"/>
      <c r="J1665" s="496"/>
    </row>
    <row r="1666" spans="1:10" ht="38.25">
      <c r="A1666" s="60" t="str">
        <f>'[3]Planilha Orçamentária'!A425</f>
        <v>1.7.8.2</v>
      </c>
      <c r="B1666" s="61">
        <f>VLOOKUP(A1666,'[3]Planilha Orçamentária'!A:K,2,0)</f>
        <v>10776</v>
      </c>
      <c r="C1666" s="62" t="str">
        <f>VLOOKUP(A1666,'[3]Planilha Orçamentária'!A:K,3,0)</f>
        <v xml:space="preserve">LOCACAO DE CONTAINER 2,30 X 6,00 M, ALT. 2,50 M, PARA ESCRITORIO, SEM DIVISORIAS INTERNAS E SEM SANITARIO (NAO INCLUI MOBILIZACAO/DESMOBILIZACAO)                                                                                                                                                                                                                                                                                                                                                         </v>
      </c>
      <c r="D1666" s="63" t="str">
        <f>VLOOKUP(A1666,'[3]Planilha Orçamentária'!A:K,4,0)</f>
        <v xml:space="preserve">MES   </v>
      </c>
      <c r="E1666" s="62"/>
      <c r="F1666" s="64"/>
      <c r="G1666" s="64"/>
      <c r="H1666" s="64"/>
      <c r="I1666" s="64"/>
      <c r="J1666" s="65">
        <f>ROUND(SUM(J1668:J1668),2)</f>
        <v>3</v>
      </c>
    </row>
    <row r="1667" spans="1:10" ht="25.5">
      <c r="A1667" s="66"/>
      <c r="B1667" s="67"/>
      <c r="C1667" s="68"/>
      <c r="D1667" s="69"/>
      <c r="E1667" s="68"/>
      <c r="F1667" s="70"/>
      <c r="G1667" s="71"/>
      <c r="H1667" s="71"/>
      <c r="I1667" s="34" t="s">
        <v>1609</v>
      </c>
      <c r="J1667" s="72"/>
    </row>
    <row r="1668" spans="1:10">
      <c r="A1668" s="27"/>
      <c r="B1668" s="27"/>
      <c r="C1668" s="73"/>
      <c r="D1668" s="74"/>
      <c r="E1668" s="35"/>
      <c r="F1668" s="75"/>
      <c r="G1668" s="35"/>
      <c r="H1668" s="35"/>
      <c r="I1668" s="35">
        <f>I1664</f>
        <v>3</v>
      </c>
      <c r="J1668" s="36">
        <f>ROUND(PRODUCT(E1668:I1668),2)</f>
        <v>3</v>
      </c>
    </row>
    <row r="1669" spans="1:10">
      <c r="A1669" s="496"/>
      <c r="B1669" s="496"/>
      <c r="C1669" s="496"/>
      <c r="D1669" s="496"/>
      <c r="E1669" s="496"/>
      <c r="F1669" s="496"/>
      <c r="G1669" s="496"/>
      <c r="H1669" s="496"/>
      <c r="I1669" s="496"/>
      <c r="J1669" s="496"/>
    </row>
    <row r="1670" spans="1:10" ht="63.75">
      <c r="A1670" s="99" t="str">
        <f>'[3]Planilha Orçamentária'!A426</f>
        <v>1.7.8.3</v>
      </c>
      <c r="B1670" s="48">
        <f>VLOOKUP(A1670,'[3]Planilha Orçamentária'!A:K,2,0)</f>
        <v>36170</v>
      </c>
      <c r="C1670" s="100" t="str">
        <f>VLOOKUP(A1670,'[3]Planilha Orçamentária'!A:K,3,0)</f>
        <v xml:space="preserve">BLOQUETE/PISO INTERTRAVADO DE CONCRETO - MODELO ONDA/16 FACES/RETANGULAR/TIJOLINHO/PAVER/HOLANDES/PARALELEPIPEDO, *22 CM X 11* CM, E = 8 CM, RESISTENCIA DE 35 MPA (NBR 9781), COR NATURAL                                                                                                                                                                                                                                                                                                                </v>
      </c>
      <c r="D1670" s="101" t="str">
        <f>VLOOKUP(A1670,'[3]Planilha Orçamentária'!A:K,4,0)</f>
        <v xml:space="preserve">M2    </v>
      </c>
      <c r="E1670" s="100"/>
      <c r="F1670" s="102"/>
      <c r="G1670" s="102"/>
      <c r="H1670" s="102"/>
      <c r="I1670" s="102"/>
      <c r="J1670" s="193">
        <f>ROUND(SUM(J1671:J1672),2)</f>
        <v>1385.89</v>
      </c>
    </row>
    <row r="1671" spans="1:10">
      <c r="A1671" s="94"/>
      <c r="B1671" s="128"/>
      <c r="C1671" s="79" t="s">
        <v>1879</v>
      </c>
      <c r="D1671" s="96"/>
      <c r="E1671" s="34" t="s">
        <v>837</v>
      </c>
      <c r="F1671" s="34"/>
      <c r="G1671" s="82"/>
      <c r="H1671" s="82"/>
      <c r="I1671" s="82" t="s">
        <v>1620</v>
      </c>
      <c r="J1671" s="120"/>
    </row>
    <row r="1672" spans="1:10">
      <c r="A1672" s="94"/>
      <c r="B1672" s="128"/>
      <c r="C1672" s="194" t="s">
        <v>1677</v>
      </c>
      <c r="D1672" s="53"/>
      <c r="E1672" s="94">
        <v>1.0130999999999999</v>
      </c>
      <c r="F1672" s="34"/>
      <c r="G1672" s="82"/>
      <c r="H1672" s="82"/>
      <c r="I1672" s="82">
        <f>SUM(J1570:J1573)</f>
        <v>1367.9699999999998</v>
      </c>
      <c r="J1672" s="120">
        <f>ROUND(PRODUCT(E1672:I1672),2)</f>
        <v>1385.89</v>
      </c>
    </row>
    <row r="1673" spans="1:10">
      <c r="A1673" s="497"/>
      <c r="B1673" s="497"/>
      <c r="C1673" s="497"/>
      <c r="D1673" s="497"/>
      <c r="E1673" s="497"/>
      <c r="F1673" s="497"/>
      <c r="G1673" s="497"/>
      <c r="H1673" s="497"/>
      <c r="I1673" s="497"/>
      <c r="J1673" s="497"/>
    </row>
    <row r="1674" spans="1:10" ht="63.75">
      <c r="A1674" s="99" t="str">
        <f>'[3]Planilha Orçamentária'!A427</f>
        <v>1.7.8.4</v>
      </c>
      <c r="B1674" s="48">
        <f>VLOOKUP(A1674,'[3]Planilha Orçamentária'!A:K,2,0)</f>
        <v>36154</v>
      </c>
      <c r="C1674" s="100" t="str">
        <f>VLOOKUP(A1674,'[3]Planilha Orçamentária'!A:K,3,0)</f>
        <v xml:space="preserve">BLOQUETE/PISO INTERTRAVADO DE CONCRETO - MODELO ONDA/16 FACES/RETANGULAR/TIJOLINHO/PAVER/HOLANDES/PARALELEPIPEDO, 20 CM X 10 CM, E = 8 CM, RESISTENCIA DE 35 MPA (NBR 9781), COLORIDO                                                                                                                                                                                                                                                                                                                     </v>
      </c>
      <c r="D1674" s="101" t="str">
        <f>VLOOKUP(A1674,'[3]Planilha Orçamentária'!A:K,4,0)</f>
        <v xml:space="preserve">M2    </v>
      </c>
      <c r="E1674" s="100"/>
      <c r="F1674" s="102"/>
      <c r="G1674" s="102"/>
      <c r="H1674" s="102"/>
      <c r="I1674" s="102"/>
      <c r="J1674" s="33">
        <f>ROUND(SUM(J1675:J1677),2)</f>
        <v>945.22</v>
      </c>
    </row>
    <row r="1675" spans="1:10">
      <c r="A1675" s="94"/>
      <c r="B1675" s="128"/>
      <c r="C1675" s="79" t="s">
        <v>1879</v>
      </c>
      <c r="D1675" s="96"/>
      <c r="E1675" s="34" t="s">
        <v>837</v>
      </c>
      <c r="F1675" s="34"/>
      <c r="G1675" s="82"/>
      <c r="H1675" s="82"/>
      <c r="I1675" s="82" t="s">
        <v>1620</v>
      </c>
      <c r="J1675" s="120"/>
    </row>
    <row r="1676" spans="1:10">
      <c r="A1676" s="94"/>
      <c r="B1676" s="128"/>
      <c r="C1676" s="194" t="s">
        <v>1677</v>
      </c>
      <c r="D1676" s="53"/>
      <c r="E1676" s="94">
        <v>1.0130999999999999</v>
      </c>
      <c r="F1676" s="34"/>
      <c r="G1676" s="82"/>
      <c r="H1676" s="82"/>
      <c r="I1676" s="82">
        <f>J1574</f>
        <v>933</v>
      </c>
      <c r="J1676" s="120">
        <f t="shared" ref="J1676" si="163">ROUND(PRODUCT(E1676:I1676),2)</f>
        <v>945.22</v>
      </c>
    </row>
    <row r="1677" spans="1:10">
      <c r="A1677" s="94"/>
      <c r="B1677" s="128"/>
      <c r="C1677" s="145"/>
      <c r="D1677" s="96"/>
      <c r="E1677" s="82"/>
      <c r="F1677" s="34"/>
      <c r="G1677" s="82"/>
      <c r="H1677" s="82"/>
      <c r="I1677" s="82"/>
      <c r="J1677" s="120"/>
    </row>
    <row r="1678" spans="1:10">
      <c r="A1678" s="498"/>
      <c r="B1678" s="499"/>
      <c r="C1678" s="499"/>
      <c r="D1678" s="499"/>
      <c r="E1678" s="499"/>
      <c r="F1678" s="499"/>
      <c r="G1678" s="499"/>
      <c r="H1678" s="499"/>
      <c r="I1678" s="499"/>
      <c r="J1678" s="500"/>
    </row>
    <row r="1679" spans="1:10">
      <c r="A1679" s="99" t="str">
        <f>'[3]Planilha Orçamentária'!A428</f>
        <v>1.7.8.5</v>
      </c>
      <c r="B1679" s="48" t="str">
        <f>VLOOKUP(A1679,'[3]Planilha Orçamentária'!A:K,2,0)</f>
        <v>INS-185032</v>
      </c>
      <c r="C1679" s="100" t="str">
        <f>VLOOKUP(A1679,'[3]Planilha Orçamentária'!A:K,3,0)</f>
        <v>BRITA GRADUADA SIMPLES (BGS)</v>
      </c>
      <c r="D1679" s="101" t="str">
        <f>VLOOKUP(A1679,'[3]Planilha Orçamentária'!A:K,4,0)</f>
        <v>M3</v>
      </c>
      <c r="E1679" s="100"/>
      <c r="F1679" s="102"/>
      <c r="G1679" s="102"/>
      <c r="H1679" s="102"/>
      <c r="I1679" s="102"/>
      <c r="J1679" s="33">
        <f>ROUND(SUM(J1681:J1681),2)</f>
        <v>345.15</v>
      </c>
    </row>
    <row r="1680" spans="1:10">
      <c r="A1680" s="28"/>
      <c r="B1680" s="29"/>
      <c r="C1680" s="86"/>
      <c r="D1680" s="155"/>
      <c r="E1680" s="34" t="s">
        <v>837</v>
      </c>
      <c r="F1680" s="34"/>
      <c r="G1680" s="34"/>
      <c r="H1680" s="34"/>
      <c r="I1680" s="34" t="s">
        <v>1623</v>
      </c>
      <c r="J1680" s="33"/>
    </row>
    <row r="1681" spans="1:30">
      <c r="A1681" s="28"/>
      <c r="B1681" s="29"/>
      <c r="C1681" s="194" t="s">
        <v>1680</v>
      </c>
      <c r="D1681" s="53"/>
      <c r="E1681" s="198">
        <v>1</v>
      </c>
      <c r="F1681" s="34"/>
      <c r="G1681" s="34"/>
      <c r="H1681" s="34"/>
      <c r="I1681" s="332">
        <f>J1552</f>
        <v>345.15</v>
      </c>
      <c r="J1681" s="120">
        <f t="shared" ref="J1681" si="164">ROUND(PRODUCT(E1681:I1681),2)</f>
        <v>345.15</v>
      </c>
    </row>
    <row r="1682" spans="1:30">
      <c r="A1682" s="95"/>
      <c r="B1682" s="137"/>
      <c r="C1682" s="137"/>
      <c r="D1682" s="137"/>
      <c r="E1682" s="137"/>
      <c r="F1682" s="137"/>
      <c r="G1682" s="137"/>
      <c r="H1682" s="137"/>
      <c r="I1682" s="137"/>
      <c r="J1682" s="137"/>
    </row>
    <row r="1683" spans="1:30" ht="38.25">
      <c r="A1683" s="99" t="str">
        <f>'[3]Planilha Orçamentária'!A429</f>
        <v>1.7.8.6</v>
      </c>
      <c r="B1683" s="48">
        <f>VLOOKUP(A1683,'[3]Planilha Orçamentária'!A:K,2,0)</f>
        <v>1345</v>
      </c>
      <c r="C1683" s="100" t="str">
        <f>VLOOKUP(A1683,'[3]Planilha Orçamentária'!A:K,3,0)</f>
        <v xml:space="preserve">CHAPA/PAINEL DE MADEIRA COMPENSADA PLASTIFICADA (MADEIRITE PLASTIFICADO) PARA FORMA DE CONCRETO, DE 2200 x 1100 MM, E = *17* MM                                                                                                                                                                                                                                                                                                                                                                           </v>
      </c>
      <c r="D1683" s="101" t="str">
        <f>VLOOKUP(A1683,'[3]Planilha Orçamentária'!A:K,4,0)</f>
        <v xml:space="preserve">M2    </v>
      </c>
      <c r="E1683" s="100"/>
      <c r="F1683" s="102"/>
      <c r="G1683" s="102"/>
      <c r="H1683" s="102"/>
      <c r="I1683" s="102"/>
      <c r="J1683" s="33">
        <f>ROUND(SUM(J1685:J1685),2)</f>
        <v>255.17</v>
      </c>
    </row>
    <row r="1684" spans="1:30">
      <c r="A1684" s="28"/>
      <c r="B1684" s="29"/>
      <c r="C1684" s="86"/>
      <c r="D1684" s="155"/>
      <c r="E1684" s="34" t="s">
        <v>837</v>
      </c>
      <c r="F1684" s="34"/>
      <c r="G1684" s="34"/>
      <c r="H1684" s="34"/>
      <c r="I1684" s="34" t="s">
        <v>1620</v>
      </c>
      <c r="J1684" s="33"/>
    </row>
    <row r="1685" spans="1:30">
      <c r="A1685" s="28"/>
      <c r="B1685" s="29"/>
      <c r="C1685" s="194" t="s">
        <v>1775</v>
      </c>
      <c r="D1685" s="53"/>
      <c r="E1685" s="198">
        <v>1.05</v>
      </c>
      <c r="F1685" s="34"/>
      <c r="G1685" s="34"/>
      <c r="H1685" s="34"/>
      <c r="I1685" s="332">
        <f>J1619</f>
        <v>243.02</v>
      </c>
      <c r="J1685" s="120">
        <f t="shared" ref="J1685" si="165">ROUND(PRODUCT(E1685:I1685),2)</f>
        <v>255.17</v>
      </c>
    </row>
    <row r="1686" spans="1:30">
      <c r="A1686" s="95"/>
      <c r="B1686" s="137"/>
      <c r="C1686" s="137"/>
      <c r="D1686" s="137"/>
      <c r="E1686" s="137"/>
      <c r="F1686" s="137"/>
      <c r="G1686" s="137"/>
      <c r="H1686" s="137"/>
      <c r="I1686" s="137"/>
      <c r="J1686" s="137"/>
    </row>
    <row r="1687" spans="1:30" ht="12" customHeight="1">
      <c r="A1687" s="201" t="str">
        <f>'[3]Planilha Orçamentária'!A430</f>
        <v>1.8</v>
      </c>
      <c r="B1687" s="504" t="str">
        <f>VLOOKUP(A1687,'[3]Planilha Orçamentária'!A:K,3,0)</f>
        <v>RUA MOEDA DE BRONZE - JABOATÃO CENTRO</v>
      </c>
      <c r="C1687" s="505"/>
      <c r="D1687" s="505"/>
      <c r="E1687" s="505"/>
      <c r="F1687" s="505"/>
      <c r="G1687" s="505"/>
      <c r="H1687" s="505"/>
      <c r="I1687" s="505"/>
      <c r="J1687" s="505"/>
      <c r="U1687" s="53"/>
      <c r="V1687" s="53"/>
      <c r="W1687" s="53"/>
      <c r="X1687" s="53"/>
      <c r="Y1687" s="53"/>
      <c r="Z1687" s="53"/>
      <c r="AA1687" s="53"/>
      <c r="AB1687" s="53"/>
      <c r="AC1687" s="53"/>
      <c r="AD1687" s="53"/>
    </row>
    <row r="1688" spans="1:30" ht="12" customHeight="1">
      <c r="A1688" s="19" t="str">
        <f>'[3]Planilha Orçamentária'!A431</f>
        <v>1.8.1</v>
      </c>
      <c r="B1688" s="20"/>
      <c r="C1688" s="21" t="str">
        <f>VLOOKUP(A1688,'[3]Planilha Orçamentária'!A:K,3,0)</f>
        <v>INSTALAÇÕES PROVISÓRIAS</v>
      </c>
      <c r="D1688" s="22"/>
      <c r="E1688" s="23"/>
      <c r="F1688" s="24"/>
      <c r="G1688" s="24"/>
      <c r="H1688" s="24"/>
      <c r="I1688" s="25"/>
      <c r="J1688" s="26"/>
      <c r="U1688" s="53"/>
      <c r="V1688" s="53"/>
      <c r="W1688" s="53"/>
      <c r="X1688" s="53"/>
      <c r="Y1688" s="53"/>
      <c r="Z1688" s="53"/>
      <c r="AA1688" s="53"/>
      <c r="AB1688" s="53"/>
      <c r="AC1688" s="53"/>
      <c r="AD1688" s="53"/>
    </row>
    <row r="1689" spans="1:30" ht="12" customHeight="1">
      <c r="A1689" s="59" t="str">
        <f>'[3]Planilha Orçamentária'!A432</f>
        <v>1.8.1.1</v>
      </c>
      <c r="B1689" s="42" t="str">
        <f>VLOOKUP(A1689,'[3]Planilha Orçamentária'!A:K,2,0)</f>
        <v>CP-74209/001-15055090</v>
      </c>
      <c r="C1689" s="30" t="str">
        <f>VLOOKUP(A1689,'[3]Planilha Orçamentária'!A:K,3,0)</f>
        <v>PLACA DE OBRA EM CHAPA DE ACO GALVANIZADO</v>
      </c>
      <c r="D1689" s="31" t="str">
        <f>VLOOKUP(A1689,'[3]Planilha Orçamentária'!A:K,4,0)</f>
        <v xml:space="preserve">M2    </v>
      </c>
      <c r="E1689" s="30"/>
      <c r="F1689" s="34" t="s">
        <v>1606</v>
      </c>
      <c r="G1689" s="34" t="s">
        <v>1607</v>
      </c>
      <c r="H1689" s="34"/>
      <c r="I1689" s="34" t="s">
        <v>1608</v>
      </c>
      <c r="J1689" s="45">
        <f>ROUND(SUM(J1691:J1691),2)</f>
        <v>8</v>
      </c>
      <c r="U1689" s="53"/>
      <c r="V1689" s="53"/>
      <c r="W1689" s="53"/>
      <c r="X1689" s="53"/>
      <c r="Y1689" s="53"/>
      <c r="Z1689" s="53"/>
      <c r="AA1689" s="53"/>
      <c r="AB1689" s="53"/>
      <c r="AC1689" s="53"/>
      <c r="AD1689" s="53"/>
    </row>
    <row r="1690" spans="1:30" ht="12" customHeight="1">
      <c r="A1690" s="59"/>
      <c r="B1690" s="42"/>
      <c r="C1690" s="202"/>
      <c r="D1690" s="203"/>
      <c r="E1690" s="202"/>
      <c r="F1690" s="32"/>
      <c r="G1690" s="32"/>
      <c r="H1690" s="32"/>
      <c r="I1690" s="32"/>
      <c r="J1690" s="45"/>
      <c r="U1690" s="53"/>
      <c r="V1690" s="53"/>
      <c r="W1690" s="53"/>
      <c r="X1690" s="53"/>
      <c r="Y1690" s="53"/>
      <c r="Z1690" s="53"/>
      <c r="AA1690" s="53"/>
      <c r="AB1690" s="53"/>
      <c r="AC1690" s="53"/>
      <c r="AD1690" s="53"/>
    </row>
    <row r="1691" spans="1:30" ht="12" customHeight="1">
      <c r="A1691" s="59"/>
      <c r="B1691" s="27"/>
      <c r="C1691" s="204"/>
      <c r="D1691" s="205"/>
      <c r="E1691" s="206"/>
      <c r="F1691" s="35">
        <v>2</v>
      </c>
      <c r="G1691" s="35">
        <v>4</v>
      </c>
      <c r="H1691" s="207"/>
      <c r="I1691" s="35">
        <v>1</v>
      </c>
      <c r="J1691" s="58">
        <f>ROUND(PRODUCT(E1691:I1691),2)</f>
        <v>8</v>
      </c>
      <c r="U1691" s="53"/>
      <c r="V1691" s="53"/>
      <c r="W1691" s="53"/>
      <c r="X1691" s="53"/>
      <c r="Y1691" s="53"/>
      <c r="Z1691" s="53"/>
      <c r="AA1691" s="53"/>
      <c r="AB1691" s="53"/>
      <c r="AC1691" s="53"/>
      <c r="AD1691" s="53"/>
    </row>
    <row r="1692" spans="1:30" ht="12" customHeight="1">
      <c r="A1692" s="515"/>
      <c r="B1692" s="516"/>
      <c r="C1692" s="516"/>
      <c r="D1692" s="516"/>
      <c r="E1692" s="516"/>
      <c r="F1692" s="516"/>
      <c r="G1692" s="516"/>
      <c r="H1692" s="516"/>
      <c r="I1692" s="516"/>
      <c r="J1692" s="517"/>
      <c r="U1692" s="53"/>
      <c r="V1692" s="53"/>
      <c r="W1692" s="53"/>
      <c r="X1692" s="53"/>
      <c r="Y1692" s="53"/>
      <c r="Z1692" s="53"/>
      <c r="AA1692" s="53"/>
      <c r="AB1692" s="53"/>
      <c r="AC1692" s="53"/>
      <c r="AD1692" s="53"/>
    </row>
    <row r="1693" spans="1:30" ht="25.5">
      <c r="A1693" s="59" t="str">
        <f>'[3]Planilha Orçamentária'!A433</f>
        <v>1.8.1.2</v>
      </c>
      <c r="B1693" s="29" t="str">
        <f>VLOOKUP(A1693,'[3]Planilha Orçamentária'!A:K,2,0)</f>
        <v>COMP-07440249</v>
      </c>
      <c r="C1693" s="30" t="str">
        <f>VLOOKUP(A1693,'[3]Planilha Orçamentária'!A:K,3,0)</f>
        <v>BANHEIRO QUÍMICO, COM LOCAÇÃO, TRANSPORTE E LIMPEZA</v>
      </c>
      <c r="D1693" s="31" t="str">
        <f>VLOOKUP(A1693,'[3]Planilha Orçamentária'!A:K,4,0)</f>
        <v>MÊS</v>
      </c>
      <c r="E1693" s="30"/>
      <c r="F1693" s="32"/>
      <c r="G1693" s="32"/>
      <c r="H1693" s="32"/>
      <c r="I1693" s="32"/>
      <c r="J1693" s="33">
        <f>ROUND(SUM(J1695:J1695),2)</f>
        <v>4</v>
      </c>
      <c r="U1693" s="53"/>
      <c r="V1693" s="53"/>
      <c r="W1693" s="53"/>
      <c r="X1693" s="53"/>
      <c r="Y1693" s="53"/>
      <c r="Z1693" s="53"/>
      <c r="AA1693" s="53"/>
      <c r="AB1693" s="53"/>
      <c r="AC1693" s="53"/>
      <c r="AD1693" s="53"/>
    </row>
    <row r="1694" spans="1:30" ht="12" customHeight="1">
      <c r="A1694" s="59"/>
      <c r="B1694" s="29"/>
      <c r="C1694" s="30"/>
      <c r="D1694" s="31"/>
      <c r="E1694" s="30"/>
      <c r="F1694" s="32"/>
      <c r="G1694" s="32"/>
      <c r="H1694" s="32"/>
      <c r="I1694" s="34" t="s">
        <v>1609</v>
      </c>
      <c r="J1694" s="33"/>
      <c r="U1694" s="53"/>
      <c r="V1694" s="53"/>
      <c r="W1694" s="53"/>
      <c r="X1694" s="53"/>
      <c r="Y1694" s="53"/>
      <c r="Z1694" s="53"/>
      <c r="AA1694" s="53"/>
      <c r="AB1694" s="53"/>
      <c r="AC1694" s="53"/>
      <c r="AD1694" s="53"/>
    </row>
    <row r="1695" spans="1:30" ht="12" customHeight="1">
      <c r="A1695" s="59"/>
      <c r="B1695" s="27"/>
      <c r="C1695" s="208"/>
      <c r="D1695" s="209"/>
      <c r="E1695" s="75"/>
      <c r="F1695" s="75"/>
      <c r="G1695" s="207"/>
      <c r="H1695" s="207"/>
      <c r="I1695" s="143">
        <v>4</v>
      </c>
      <c r="J1695" s="36">
        <f>ROUND(PRODUCT(E1695:I1695),2)</f>
        <v>4</v>
      </c>
      <c r="U1695" s="53"/>
      <c r="V1695" s="53"/>
      <c r="W1695" s="53"/>
      <c r="X1695" s="53"/>
      <c r="Y1695" s="53"/>
      <c r="Z1695" s="53"/>
      <c r="AA1695" s="53"/>
      <c r="AB1695" s="53"/>
      <c r="AC1695" s="53"/>
      <c r="AD1695" s="53"/>
    </row>
    <row r="1696" spans="1:30" ht="12" customHeight="1">
      <c r="A1696" s="59"/>
      <c r="B1696" s="27"/>
      <c r="C1696" s="208"/>
      <c r="D1696" s="209"/>
      <c r="E1696" s="75"/>
      <c r="F1696" s="75"/>
      <c r="G1696" s="207"/>
      <c r="H1696" s="207"/>
      <c r="I1696" s="143"/>
      <c r="J1696" s="36"/>
      <c r="U1696" s="53"/>
      <c r="V1696" s="53"/>
      <c r="W1696" s="53"/>
      <c r="X1696" s="53"/>
      <c r="Y1696" s="53"/>
      <c r="Z1696" s="53"/>
      <c r="AA1696" s="53"/>
      <c r="AB1696" s="53"/>
      <c r="AC1696" s="53"/>
      <c r="AD1696" s="53"/>
    </row>
    <row r="1697" spans="1:30" ht="12" customHeight="1">
      <c r="A1697" s="19" t="str">
        <f>'[3]Planilha Orçamentária'!A434</f>
        <v>1.8.2</v>
      </c>
      <c r="B1697" s="20"/>
      <c r="C1697" s="21" t="str">
        <f>VLOOKUP(A1697,'[3]Planilha Orçamentária'!A:K,3,0)</f>
        <v>ADMINISTRAÇÃO LOCAL</v>
      </c>
      <c r="D1697" s="21"/>
      <c r="E1697" s="39"/>
      <c r="F1697" s="40"/>
      <c r="G1697" s="40"/>
      <c r="H1697" s="40"/>
      <c r="I1697" s="40"/>
      <c r="J1697" s="41"/>
      <c r="U1697" s="53"/>
      <c r="V1697" s="53"/>
      <c r="W1697" s="53"/>
      <c r="X1697" s="53"/>
      <c r="Y1697" s="53"/>
      <c r="Z1697" s="53"/>
      <c r="AA1697" s="53"/>
      <c r="AB1697" s="53"/>
      <c r="AC1697" s="53"/>
      <c r="AD1697" s="53"/>
    </row>
    <row r="1698" spans="1:30" ht="25.5">
      <c r="A1698" s="28" t="str">
        <f>'[3]Planilha Orçamentária'!A435</f>
        <v>1.8.2.1</v>
      </c>
      <c r="B1698" s="42">
        <f>VLOOKUP(A1698,'[3]Planilha Orçamentária'!A:K,2,0)</f>
        <v>93565</v>
      </c>
      <c r="C1698" s="30" t="str">
        <f>VLOOKUP(A1698,'[3]Planilha Orçamentária'!A:K,3,0)</f>
        <v>ENGENHEIRO CIVIL DE OBRA JUNIOR COM ENCARGOS COMPLEMENTARES</v>
      </c>
      <c r="D1698" s="31" t="str">
        <f>VLOOKUP(A1698,'[3]Planilha Orçamentária'!A:K,4,0)</f>
        <v>MES</v>
      </c>
      <c r="E1698" s="43"/>
      <c r="F1698" s="44"/>
      <c r="G1698" s="44"/>
      <c r="H1698" s="44"/>
      <c r="I1698" s="44"/>
      <c r="J1698" s="45">
        <f>ROUND(SUM(J1700),2)</f>
        <v>0.5</v>
      </c>
      <c r="U1698" s="53"/>
      <c r="V1698" s="53"/>
      <c r="W1698" s="53"/>
      <c r="X1698" s="53"/>
      <c r="Y1698" s="53"/>
      <c r="Z1698" s="53"/>
      <c r="AA1698" s="53"/>
      <c r="AB1698" s="53"/>
      <c r="AC1698" s="53"/>
      <c r="AD1698" s="53"/>
    </row>
    <row r="1699" spans="1:30" ht="12" customHeight="1">
      <c r="A1699" s="28"/>
      <c r="B1699" s="42"/>
      <c r="C1699" s="210"/>
      <c r="D1699" s="31"/>
      <c r="E1699" s="43"/>
      <c r="F1699" s="57"/>
      <c r="G1699" s="57"/>
      <c r="H1699" s="57"/>
      <c r="I1699" s="57"/>
      <c r="J1699" s="45"/>
      <c r="U1699" s="53"/>
      <c r="V1699" s="53"/>
      <c r="W1699" s="53"/>
      <c r="X1699" s="53"/>
      <c r="Y1699" s="53"/>
      <c r="Z1699" s="53"/>
      <c r="AA1699" s="53"/>
      <c r="AB1699" s="53"/>
      <c r="AC1699" s="53"/>
      <c r="AD1699" s="53"/>
    </row>
    <row r="1700" spans="1:30" ht="20.25" customHeight="1">
      <c r="A1700" s="53"/>
      <c r="B1700" s="54"/>
      <c r="C1700" s="210" t="s">
        <v>1889</v>
      </c>
      <c r="D1700" s="211"/>
      <c r="E1700" s="57">
        <f>22/176</f>
        <v>0.125</v>
      </c>
      <c r="F1700" s="57"/>
      <c r="G1700" s="57"/>
      <c r="H1700" s="57"/>
      <c r="I1700" s="57">
        <f>I1695</f>
        <v>4</v>
      </c>
      <c r="J1700" s="58">
        <f>ROUND(PRODUCT(E1700:I1700),2)</f>
        <v>0.5</v>
      </c>
      <c r="U1700" s="53"/>
      <c r="V1700" s="53"/>
      <c r="W1700" s="53"/>
      <c r="X1700" s="53"/>
      <c r="Y1700" s="53"/>
      <c r="Z1700" s="53"/>
      <c r="AA1700" s="53"/>
      <c r="AB1700" s="53"/>
      <c r="AC1700" s="53"/>
      <c r="AD1700" s="53"/>
    </row>
    <row r="1701" spans="1:30" ht="20.25" customHeight="1">
      <c r="A1701" s="53"/>
      <c r="B1701" s="54"/>
      <c r="C1701" s="210" t="s">
        <v>1684</v>
      </c>
      <c r="D1701" s="211"/>
      <c r="E1701" s="57"/>
      <c r="F1701" s="57"/>
      <c r="G1701" s="57"/>
      <c r="H1701" s="57"/>
      <c r="I1701" s="57"/>
      <c r="J1701" s="212"/>
      <c r="U1701" s="53"/>
      <c r="V1701" s="53"/>
      <c r="W1701" s="53"/>
      <c r="X1701" s="53"/>
      <c r="Y1701" s="53"/>
      <c r="Z1701" s="53"/>
      <c r="AA1701" s="53"/>
      <c r="AB1701" s="53"/>
      <c r="AC1701" s="53"/>
      <c r="AD1701" s="53"/>
    </row>
    <row r="1702" spans="1:30" ht="20.25" customHeight="1">
      <c r="A1702" s="53"/>
      <c r="B1702" s="54"/>
      <c r="C1702" s="210" t="s">
        <v>1612</v>
      </c>
      <c r="D1702" s="213"/>
      <c r="E1702" s="214"/>
      <c r="F1702" s="143"/>
      <c r="G1702" s="207"/>
      <c r="H1702" s="207"/>
      <c r="I1702" s="135"/>
      <c r="J1702" s="215"/>
      <c r="U1702" s="53"/>
      <c r="V1702" s="53"/>
      <c r="W1702" s="53"/>
      <c r="X1702" s="53"/>
      <c r="Y1702" s="53"/>
      <c r="Z1702" s="53"/>
      <c r="AA1702" s="53"/>
      <c r="AB1702" s="53"/>
      <c r="AC1702" s="53"/>
      <c r="AD1702" s="53"/>
    </row>
    <row r="1703" spans="1:30" ht="12" customHeight="1">
      <c r="A1703" s="496"/>
      <c r="B1703" s="496"/>
      <c r="C1703" s="496"/>
      <c r="D1703" s="496"/>
      <c r="E1703" s="496"/>
      <c r="F1703" s="496"/>
      <c r="G1703" s="496"/>
      <c r="H1703" s="496"/>
      <c r="I1703" s="496"/>
      <c r="J1703" s="496"/>
      <c r="U1703" s="53"/>
      <c r="V1703" s="53"/>
      <c r="W1703" s="53"/>
      <c r="X1703" s="53"/>
      <c r="Y1703" s="53"/>
      <c r="Z1703" s="53"/>
      <c r="AA1703" s="53"/>
      <c r="AB1703" s="53"/>
      <c r="AC1703" s="53"/>
      <c r="AD1703" s="53"/>
    </row>
    <row r="1704" spans="1:30" ht="25.5">
      <c r="A1704" s="28" t="str">
        <f>'[3]Planilha Orçamentária'!A436</f>
        <v>1.8.2.2</v>
      </c>
      <c r="B1704" s="42">
        <f>VLOOKUP(A1704,'[3]Planilha Orçamentária'!A:K,2,0)</f>
        <v>93572</v>
      </c>
      <c r="C1704" s="30" t="str">
        <f>VLOOKUP(A1704,'[3]Planilha Orçamentária'!A:K,3,0)</f>
        <v>ENCARREGADO GERAL DE OBRAS COM ENCARGOS COMPLEMENTARES</v>
      </c>
      <c r="D1704" s="31" t="str">
        <f>VLOOKUP(A1704,'[3]Planilha Orçamentária'!A:K,4,0)</f>
        <v>MES</v>
      </c>
      <c r="E1704" s="43"/>
      <c r="F1704" s="44"/>
      <c r="G1704" s="44"/>
      <c r="H1704" s="44"/>
      <c r="I1704" s="44"/>
      <c r="J1704" s="45">
        <f>ROUND(SUM(J1706),2)</f>
        <v>2</v>
      </c>
      <c r="U1704" s="53"/>
      <c r="V1704" s="53"/>
      <c r="W1704" s="53"/>
      <c r="X1704" s="53"/>
      <c r="Y1704" s="53"/>
      <c r="Z1704" s="53"/>
      <c r="AA1704" s="53"/>
      <c r="AB1704" s="53"/>
      <c r="AC1704" s="53"/>
      <c r="AD1704" s="53"/>
    </row>
    <row r="1705" spans="1:30" ht="12" customHeight="1">
      <c r="A1705" s="28"/>
      <c r="B1705" s="42"/>
      <c r="C1705" s="210"/>
      <c r="D1705" s="31"/>
      <c r="E1705" s="43"/>
      <c r="F1705" s="57"/>
      <c r="G1705" s="57"/>
      <c r="H1705" s="57"/>
      <c r="I1705" s="57"/>
      <c r="J1705" s="45"/>
      <c r="U1705" s="53"/>
      <c r="V1705" s="53"/>
      <c r="W1705" s="53"/>
      <c r="X1705" s="53"/>
      <c r="Y1705" s="53"/>
      <c r="Z1705" s="53"/>
      <c r="AA1705" s="53"/>
      <c r="AB1705" s="53"/>
      <c r="AC1705" s="53"/>
      <c r="AD1705" s="53"/>
    </row>
    <row r="1706" spans="1:30" ht="16.5" customHeight="1">
      <c r="A1706" s="53"/>
      <c r="B1706" s="54"/>
      <c r="C1706" s="210" t="s">
        <v>1890</v>
      </c>
      <c r="D1706" s="211"/>
      <c r="E1706" s="57">
        <f>88/176</f>
        <v>0.5</v>
      </c>
      <c r="F1706" s="57"/>
      <c r="G1706" s="57"/>
      <c r="H1706" s="57"/>
      <c r="I1706" s="57">
        <f>I1695</f>
        <v>4</v>
      </c>
      <c r="J1706" s="58">
        <f>ROUND(PRODUCT(E1706:I1706),2)</f>
        <v>2</v>
      </c>
      <c r="U1706" s="53"/>
      <c r="V1706" s="53"/>
      <c r="W1706" s="53"/>
      <c r="X1706" s="53"/>
      <c r="Y1706" s="53"/>
      <c r="Z1706" s="53"/>
      <c r="AA1706" s="53"/>
      <c r="AB1706" s="53"/>
      <c r="AC1706" s="53"/>
      <c r="AD1706" s="53"/>
    </row>
    <row r="1707" spans="1:30" ht="16.5" customHeight="1">
      <c r="A1707" s="53"/>
      <c r="B1707" s="54"/>
      <c r="C1707" s="210" t="s">
        <v>1614</v>
      </c>
      <c r="D1707" s="211"/>
      <c r="E1707" s="57"/>
      <c r="F1707" s="57"/>
      <c r="G1707" s="57"/>
      <c r="H1707" s="57"/>
      <c r="I1707" s="57"/>
      <c r="J1707" s="212"/>
      <c r="U1707" s="53"/>
      <c r="V1707" s="53"/>
      <c r="W1707" s="53"/>
      <c r="X1707" s="53"/>
      <c r="Y1707" s="53"/>
      <c r="Z1707" s="53"/>
      <c r="AA1707" s="53"/>
      <c r="AB1707" s="53"/>
      <c r="AC1707" s="53"/>
      <c r="AD1707" s="53"/>
    </row>
    <row r="1708" spans="1:30" ht="16.5" customHeight="1">
      <c r="A1708" s="53"/>
      <c r="B1708" s="54"/>
      <c r="C1708" s="210" t="s">
        <v>1612</v>
      </c>
      <c r="D1708" s="213"/>
      <c r="E1708" s="214"/>
      <c r="F1708" s="143"/>
      <c r="G1708" s="207"/>
      <c r="H1708" s="207"/>
      <c r="I1708" s="135"/>
      <c r="J1708" s="215"/>
      <c r="U1708" s="53"/>
      <c r="V1708" s="53"/>
      <c r="W1708" s="53"/>
      <c r="X1708" s="53"/>
      <c r="Y1708" s="53"/>
      <c r="Z1708" s="53"/>
      <c r="AA1708" s="53"/>
      <c r="AB1708" s="53"/>
      <c r="AC1708" s="53"/>
      <c r="AD1708" s="53"/>
    </row>
    <row r="1709" spans="1:30" ht="12" customHeight="1">
      <c r="A1709" s="496"/>
      <c r="B1709" s="496"/>
      <c r="C1709" s="496"/>
      <c r="D1709" s="496"/>
      <c r="E1709" s="496"/>
      <c r="F1709" s="496"/>
      <c r="G1709" s="496"/>
      <c r="H1709" s="496"/>
      <c r="I1709" s="496"/>
      <c r="J1709" s="496"/>
      <c r="U1709" s="53"/>
      <c r="V1709" s="53"/>
      <c r="W1709" s="53"/>
      <c r="X1709" s="53"/>
      <c r="Y1709" s="53"/>
      <c r="Z1709" s="53"/>
      <c r="AA1709" s="53"/>
      <c r="AB1709" s="53"/>
      <c r="AC1709" s="53"/>
      <c r="AD1709" s="53"/>
    </row>
    <row r="1710" spans="1:30" ht="12" customHeight="1">
      <c r="A1710" s="19" t="str">
        <f>'[3]Planilha Orçamentária'!A437</f>
        <v>1.8.3</v>
      </c>
      <c r="B1710" s="20"/>
      <c r="C1710" s="21" t="str">
        <f>VLOOKUP(A1710,'[3]Planilha Orçamentária'!A:K,3,0)</f>
        <v>SERVIÇOS PRELIMINARES</v>
      </c>
      <c r="D1710" s="22"/>
      <c r="E1710" s="23"/>
      <c r="F1710" s="24"/>
      <c r="G1710" s="24"/>
      <c r="H1710" s="24"/>
      <c r="I1710" s="25"/>
      <c r="J1710" s="26"/>
      <c r="U1710" s="53"/>
      <c r="V1710" s="53"/>
      <c r="W1710" s="53"/>
      <c r="X1710" s="53"/>
      <c r="Y1710" s="53"/>
      <c r="Z1710" s="53"/>
      <c r="AA1710" s="53"/>
      <c r="AB1710" s="53"/>
      <c r="AC1710" s="53"/>
      <c r="AD1710" s="53"/>
    </row>
    <row r="1711" spans="1:30" ht="12" customHeight="1">
      <c r="A1711" s="60" t="str">
        <f>'[3]Planilha Orçamentária'!A438</f>
        <v>1.8.3.1</v>
      </c>
      <c r="B1711" s="61">
        <f>VLOOKUP(A1711,'[3]Planilha Orçamentária'!A:K,2,0)</f>
        <v>99064</v>
      </c>
      <c r="C1711" s="62" t="str">
        <f>VLOOKUP(A1711,'[3]Planilha Orçamentária'!A:K,3,0)</f>
        <v>LOCAÇÃO DE PAVIMENTAÇÃO. AF_10/2018</v>
      </c>
      <c r="D1711" s="63" t="str">
        <f>VLOOKUP(A1711,'[3]Planilha Orçamentária'!A:K,4,0)</f>
        <v>M</v>
      </c>
      <c r="E1711" s="62"/>
      <c r="F1711" s="57"/>
      <c r="G1711" s="71"/>
      <c r="H1711" s="71"/>
      <c r="I1711" s="71"/>
      <c r="J1711" s="78">
        <f>ROUND(SUM(J1713:J1714),2)</f>
        <v>413.1</v>
      </c>
      <c r="U1711" s="53"/>
      <c r="V1711" s="53"/>
      <c r="W1711" s="53"/>
      <c r="X1711" s="53"/>
      <c r="Y1711" s="53"/>
      <c r="Z1711" s="53"/>
      <c r="AA1711" s="53"/>
      <c r="AB1711" s="53"/>
      <c r="AC1711" s="53"/>
      <c r="AD1711" s="53"/>
    </row>
    <row r="1712" spans="1:30" ht="12" customHeight="1">
      <c r="A1712" s="66"/>
      <c r="B1712" s="67"/>
      <c r="C1712" s="62"/>
      <c r="D1712" s="63"/>
      <c r="E1712" s="62"/>
      <c r="F1712" s="34" t="s">
        <v>1606</v>
      </c>
      <c r="G1712" s="71"/>
      <c r="H1712" s="71"/>
      <c r="I1712" s="71"/>
      <c r="J1712" s="78"/>
      <c r="U1712" s="53"/>
      <c r="V1712" s="53"/>
      <c r="W1712" s="53"/>
      <c r="X1712" s="53"/>
      <c r="Y1712" s="53"/>
      <c r="Z1712" s="53"/>
      <c r="AA1712" s="53"/>
      <c r="AB1712" s="53"/>
      <c r="AC1712" s="53"/>
      <c r="AD1712" s="53"/>
    </row>
    <row r="1713" spans="1:30" ht="12" customHeight="1">
      <c r="A1713" s="94"/>
      <c r="B1713" s="94"/>
      <c r="C1713" s="109" t="s">
        <v>1891</v>
      </c>
      <c r="D1713" s="96"/>
      <c r="E1713" s="82"/>
      <c r="F1713" s="57">
        <f>(20*20)+(13.1)</f>
        <v>413.1</v>
      </c>
      <c r="G1713" s="82"/>
      <c r="H1713" s="82"/>
      <c r="I1713" s="82"/>
      <c r="J1713" s="120">
        <f>ROUND(PRODUCT(E1713:I1713),2)</f>
        <v>413.1</v>
      </c>
      <c r="U1713" s="53"/>
      <c r="V1713" s="53"/>
      <c r="W1713" s="53"/>
      <c r="X1713" s="53"/>
      <c r="Y1713" s="53"/>
      <c r="Z1713" s="53"/>
      <c r="AA1713" s="53"/>
      <c r="AB1713" s="53"/>
      <c r="AC1713" s="53"/>
      <c r="AD1713" s="53"/>
    </row>
    <row r="1714" spans="1:30" ht="12" customHeight="1">
      <c r="A1714" s="496"/>
      <c r="B1714" s="496"/>
      <c r="C1714" s="496"/>
      <c r="D1714" s="496"/>
      <c r="E1714" s="496"/>
      <c r="F1714" s="496"/>
      <c r="G1714" s="496"/>
      <c r="H1714" s="496"/>
      <c r="I1714" s="496"/>
      <c r="J1714" s="496"/>
      <c r="U1714" s="53"/>
      <c r="V1714" s="53"/>
      <c r="W1714" s="53"/>
      <c r="X1714" s="53"/>
      <c r="Y1714" s="53"/>
      <c r="Z1714" s="53"/>
      <c r="AA1714" s="53"/>
      <c r="AB1714" s="53"/>
      <c r="AC1714" s="53"/>
      <c r="AD1714" s="53"/>
    </row>
    <row r="1715" spans="1:30" ht="25.5">
      <c r="A1715" s="60" t="str">
        <f>'[3]Planilha Orçamentária'!A439</f>
        <v>1.8.3.2</v>
      </c>
      <c r="B1715" s="77" t="str">
        <f>VLOOKUP(A1715,'[3]Planilha Orçamentária'!A:K,2,0)</f>
        <v>COMP-17562084</v>
      </c>
      <c r="C1715" s="62" t="str">
        <f>VLOOKUP(A1715,'[3]Planilha Orçamentária'!A:K,3,0)</f>
        <v>DEMOLIÇÃO MANUAL DE CONCRETO SIMPLES</v>
      </c>
      <c r="D1715" s="63" t="str">
        <f>VLOOKUP(A1715,'[3]Planilha Orçamentária'!A:K,4,0)</f>
        <v>M3</v>
      </c>
      <c r="E1715" s="62"/>
      <c r="F1715" s="64"/>
      <c r="G1715" s="64"/>
      <c r="H1715" s="64"/>
      <c r="I1715" s="64"/>
      <c r="J1715" s="78">
        <f>ROUND(SUM(J1717),2)</f>
        <v>9.02</v>
      </c>
      <c r="U1715" s="53"/>
      <c r="V1715" s="53"/>
      <c r="W1715" s="53"/>
      <c r="X1715" s="53"/>
      <c r="Y1715" s="53"/>
      <c r="Z1715" s="53"/>
      <c r="AA1715" s="53"/>
      <c r="AB1715" s="53"/>
      <c r="AC1715" s="53"/>
      <c r="AD1715" s="53"/>
    </row>
    <row r="1716" spans="1:30" ht="12" customHeight="1">
      <c r="A1716" s="27"/>
      <c r="B1716" s="27"/>
      <c r="C1716" s="311" t="s">
        <v>1892</v>
      </c>
      <c r="D1716" s="27"/>
      <c r="E1716" s="27"/>
      <c r="F1716" s="27"/>
      <c r="G1716" s="27"/>
      <c r="H1716" s="27" t="s">
        <v>1619</v>
      </c>
      <c r="I1716" s="27" t="s">
        <v>1620</v>
      </c>
      <c r="J1716" s="27"/>
      <c r="U1716" s="53"/>
      <c r="V1716" s="53"/>
      <c r="W1716" s="53"/>
      <c r="X1716" s="53"/>
      <c r="Y1716" s="53"/>
      <c r="Z1716" s="53"/>
      <c r="AA1716" s="53"/>
      <c r="AB1716" s="53"/>
      <c r="AC1716" s="53"/>
      <c r="AD1716" s="53"/>
    </row>
    <row r="1717" spans="1:30" ht="25.5">
      <c r="A1717" s="27"/>
      <c r="B1717" s="27"/>
      <c r="C1717" s="81" t="s">
        <v>1621</v>
      </c>
      <c r="D1717" s="27"/>
      <c r="E1717" s="27"/>
      <c r="F1717" s="82"/>
      <c r="G1717" s="82"/>
      <c r="H1717" s="82">
        <v>7.0000000000000007E-2</v>
      </c>
      <c r="I1717" s="82">
        <v>128.9</v>
      </c>
      <c r="J1717" s="36">
        <f>ROUND(PRODUCT(E1717:I1717),2)</f>
        <v>9.02</v>
      </c>
      <c r="U1717" s="53"/>
      <c r="V1717" s="53"/>
      <c r="W1717" s="53"/>
      <c r="X1717" s="53"/>
      <c r="Y1717" s="53"/>
      <c r="Z1717" s="53"/>
      <c r="AA1717" s="53"/>
      <c r="AB1717" s="53"/>
      <c r="AC1717" s="53"/>
      <c r="AD1717" s="53"/>
    </row>
    <row r="1718" spans="1:30" ht="12" customHeight="1">
      <c r="A1718" s="501"/>
      <c r="B1718" s="502"/>
      <c r="C1718" s="502"/>
      <c r="D1718" s="502"/>
      <c r="E1718" s="502"/>
      <c r="F1718" s="502"/>
      <c r="G1718" s="502"/>
      <c r="H1718" s="502"/>
      <c r="I1718" s="502"/>
      <c r="J1718" s="503"/>
      <c r="U1718" s="53"/>
      <c r="V1718" s="53"/>
      <c r="W1718" s="53"/>
      <c r="X1718" s="53"/>
      <c r="Y1718" s="53"/>
      <c r="Z1718" s="53"/>
      <c r="AA1718" s="53"/>
      <c r="AB1718" s="53"/>
      <c r="AC1718" s="53"/>
      <c r="AD1718" s="53"/>
    </row>
    <row r="1719" spans="1:30" ht="51">
      <c r="A1719" s="60" t="str">
        <f>'[3]Planilha Orçamentária'!A440</f>
        <v>1.8.3.3</v>
      </c>
      <c r="B1719" s="77" t="str">
        <f>VLOOKUP(A1719,'[3]Planilha Orçamentária'!A:K,2,0)</f>
        <v>COMP-35145154</v>
      </c>
      <c r="C1719" s="62" t="str">
        <f>VLOOKUP(A1719,'[3]Planilha Orçamentária'!A:K,3,0)</f>
        <v>CARGA E DESCARGA MECANICA DE SOLO UTILIZANDO CAMINHAO BASCULANTE 14,0M3/36T E PA CARREGADEIRA SOBRE PNEUS 128 HP, CAPACIDADE DA CAÇAMBA 1,7 A 2,8 M3, PESO OPERACIONAL 11632 KH</v>
      </c>
      <c r="D1719" s="63" t="str">
        <f>VLOOKUP(A1719,'[3]Planilha Orçamentária'!A:K,4,0)</f>
        <v>M3</v>
      </c>
      <c r="E1719" s="62"/>
      <c r="F1719" s="64"/>
      <c r="G1719" s="64"/>
      <c r="H1719" s="64"/>
      <c r="I1719" s="64"/>
      <c r="J1719" s="78">
        <f>ROUND(SUM(J1721),2)</f>
        <v>11.28</v>
      </c>
      <c r="U1719" s="53"/>
      <c r="V1719" s="53"/>
      <c r="W1719" s="53"/>
      <c r="X1719" s="53"/>
      <c r="Y1719" s="53"/>
      <c r="Z1719" s="53"/>
      <c r="AA1719" s="53"/>
      <c r="AB1719" s="53"/>
      <c r="AC1719" s="53"/>
      <c r="AD1719" s="53"/>
    </row>
    <row r="1720" spans="1:30" ht="12" customHeight="1">
      <c r="A1720" s="27"/>
      <c r="B1720" s="27"/>
      <c r="C1720" s="86"/>
      <c r="D1720" s="69"/>
      <c r="E1720" s="81" t="s">
        <v>1622</v>
      </c>
      <c r="F1720" s="71"/>
      <c r="G1720" s="71"/>
      <c r="H1720" s="71"/>
      <c r="I1720" s="80" t="s">
        <v>1623</v>
      </c>
      <c r="J1720" s="27"/>
      <c r="U1720" s="53"/>
      <c r="V1720" s="53"/>
      <c r="W1720" s="53"/>
      <c r="X1720" s="53"/>
      <c r="Y1720" s="53"/>
      <c r="Z1720" s="53"/>
      <c r="AA1720" s="53"/>
      <c r="AB1720" s="53"/>
      <c r="AC1720" s="53"/>
      <c r="AD1720" s="53"/>
    </row>
    <row r="1721" spans="1:30" ht="12" customHeight="1">
      <c r="A1721" s="27"/>
      <c r="B1721" s="27"/>
      <c r="C1721" s="86" t="s">
        <v>1624</v>
      </c>
      <c r="D1721" s="69"/>
      <c r="E1721" s="81">
        <v>1.25</v>
      </c>
      <c r="F1721" s="71"/>
      <c r="G1721" s="71"/>
      <c r="H1721" s="71"/>
      <c r="I1721" s="87">
        <f>J1715</f>
        <v>9.02</v>
      </c>
      <c r="J1721" s="36">
        <f>ROUND(PRODUCT(E1721:I1721),2)</f>
        <v>11.28</v>
      </c>
      <c r="U1721" s="53"/>
      <c r="V1721" s="53"/>
      <c r="W1721" s="53"/>
      <c r="X1721" s="53"/>
      <c r="Y1721" s="53"/>
      <c r="Z1721" s="53"/>
      <c r="AA1721" s="53"/>
      <c r="AB1721" s="53"/>
      <c r="AC1721" s="53"/>
      <c r="AD1721" s="53"/>
    </row>
    <row r="1722" spans="1:30" ht="12" customHeight="1">
      <c r="A1722" s="501"/>
      <c r="B1722" s="502"/>
      <c r="C1722" s="502"/>
      <c r="D1722" s="502"/>
      <c r="E1722" s="502"/>
      <c r="F1722" s="502"/>
      <c r="G1722" s="502"/>
      <c r="H1722" s="502"/>
      <c r="I1722" s="502"/>
      <c r="J1722" s="503"/>
      <c r="U1722" s="53"/>
      <c r="V1722" s="53"/>
      <c r="W1722" s="53"/>
      <c r="X1722" s="53"/>
      <c r="Y1722" s="53"/>
      <c r="Z1722" s="53"/>
      <c r="AA1722" s="53"/>
      <c r="AB1722" s="53"/>
      <c r="AC1722" s="53"/>
      <c r="AD1722" s="53"/>
    </row>
    <row r="1723" spans="1:30" ht="38.25">
      <c r="A1723" s="60" t="str">
        <f>'[3]Planilha Orçamentária'!A441</f>
        <v>1.8.3.4</v>
      </c>
      <c r="B1723" s="77">
        <f>VLOOKUP(A1723,'[3]Planilha Orçamentária'!A:K,2,0)</f>
        <v>95876</v>
      </c>
      <c r="C1723" s="62" t="str">
        <f>VLOOKUP(A1723,'[3]Planilha Orçamentária'!A:K,3,0)</f>
        <v>TRANSPORTE COM CAMINHÃO BASCULANTE DE 14 M³, EM VIA URBANA PAVIMENTADA, DMT ATÉ 30 KM (UNIDADE: M3XKM). AF_07/2020</v>
      </c>
      <c r="D1723" s="63" t="str">
        <f>VLOOKUP(A1723,'[3]Planilha Orçamentária'!A:K,4,0)</f>
        <v>M3XKM</v>
      </c>
      <c r="E1723" s="62"/>
      <c r="F1723" s="64"/>
      <c r="G1723" s="64"/>
      <c r="H1723" s="64"/>
      <c r="I1723" s="64"/>
      <c r="J1723" s="78">
        <f>ROUND(SUM(J1725),2)</f>
        <v>191.76</v>
      </c>
      <c r="U1723" s="53"/>
      <c r="V1723" s="53"/>
      <c r="W1723" s="53"/>
      <c r="X1723" s="53"/>
      <c r="Y1723" s="53"/>
      <c r="Z1723" s="53"/>
      <c r="AA1723" s="53"/>
      <c r="AB1723" s="53"/>
      <c r="AC1723" s="53"/>
      <c r="AD1723" s="53"/>
    </row>
    <row r="1724" spans="1:30" ht="12" customHeight="1">
      <c r="A1724" s="27"/>
      <c r="B1724" s="27"/>
      <c r="C1724" s="90" t="s">
        <v>1893</v>
      </c>
      <c r="D1724" s="27"/>
      <c r="E1724" s="27" t="s">
        <v>1627</v>
      </c>
      <c r="F1724" s="27"/>
      <c r="G1724" s="27"/>
      <c r="H1724" s="27"/>
      <c r="I1724" s="27" t="s">
        <v>1623</v>
      </c>
      <c r="J1724" s="27"/>
      <c r="U1724" s="53"/>
      <c r="V1724" s="53"/>
      <c r="W1724" s="53"/>
      <c r="X1724" s="53"/>
      <c r="Y1724" s="53"/>
      <c r="Z1724" s="53"/>
      <c r="AA1724" s="53"/>
      <c r="AB1724" s="53"/>
      <c r="AC1724" s="53"/>
      <c r="AD1724" s="53"/>
    </row>
    <row r="1725" spans="1:30" ht="12" customHeight="1">
      <c r="A1725" s="27"/>
      <c r="B1725" s="27"/>
      <c r="C1725" s="73" t="s">
        <v>1894</v>
      </c>
      <c r="D1725" s="27"/>
      <c r="E1725" s="81">
        <v>17</v>
      </c>
      <c r="F1725" s="81"/>
      <c r="G1725" s="81"/>
      <c r="H1725" s="81"/>
      <c r="I1725" s="92">
        <f>J1719</f>
        <v>11.28</v>
      </c>
      <c r="J1725" s="36">
        <f>ROUND(PRODUCT(E1725:I1725),2)</f>
        <v>191.76</v>
      </c>
      <c r="U1725" s="53"/>
      <c r="V1725" s="53"/>
      <c r="W1725" s="53"/>
      <c r="X1725" s="53"/>
      <c r="Y1725" s="53"/>
      <c r="Z1725" s="53"/>
      <c r="AA1725" s="53"/>
      <c r="AB1725" s="53"/>
      <c r="AC1725" s="53"/>
      <c r="AD1725" s="53"/>
    </row>
    <row r="1726" spans="1:30" ht="12" customHeight="1">
      <c r="A1726" s="501"/>
      <c r="B1726" s="502"/>
      <c r="C1726" s="502"/>
      <c r="D1726" s="502"/>
      <c r="E1726" s="502"/>
      <c r="F1726" s="502"/>
      <c r="G1726" s="502"/>
      <c r="H1726" s="502"/>
      <c r="I1726" s="502"/>
      <c r="J1726" s="503"/>
      <c r="U1726" s="53"/>
      <c r="V1726" s="53"/>
      <c r="W1726" s="53"/>
      <c r="X1726" s="53"/>
      <c r="Y1726" s="53"/>
      <c r="Z1726" s="53"/>
      <c r="AA1726" s="53"/>
      <c r="AB1726" s="53"/>
      <c r="AC1726" s="53"/>
      <c r="AD1726" s="53"/>
    </row>
    <row r="1727" spans="1:30" ht="12" customHeight="1">
      <c r="A1727" s="19" t="str">
        <f>'[3]Planilha Orçamentária'!A442</f>
        <v>1.8.4</v>
      </c>
      <c r="B1727" s="20"/>
      <c r="C1727" s="21" t="str">
        <f>VLOOKUP(A1727,'[3]Planilha Orçamentária'!A:K,3,0)</f>
        <v>TERRAPLENAGEM</v>
      </c>
      <c r="D1727" s="22"/>
      <c r="E1727" s="23"/>
      <c r="F1727" s="24"/>
      <c r="G1727" s="24"/>
      <c r="H1727" s="24"/>
      <c r="I1727" s="25"/>
      <c r="J1727" s="270"/>
      <c r="U1727" s="53"/>
      <c r="V1727" s="53"/>
      <c r="W1727" s="53"/>
      <c r="X1727" s="53"/>
      <c r="Y1727" s="53"/>
      <c r="Z1727" s="53"/>
      <c r="AA1727" s="53"/>
      <c r="AB1727" s="53"/>
      <c r="AC1727" s="53"/>
      <c r="AD1727" s="53"/>
    </row>
    <row r="1728" spans="1:30" ht="38.25">
      <c r="A1728" s="28" t="str">
        <f>'[3]Planilha Orçamentária'!A443</f>
        <v>1.8.4.1</v>
      </c>
      <c r="B1728" s="42" t="str">
        <f>VLOOKUP(A1728,'[3]Planilha Orçamentária'!A:K,2,0)</f>
        <v>CP-74205/001-17324935</v>
      </c>
      <c r="C1728" s="30" t="str">
        <f>VLOOKUP(A1728,'[3]Planilha Orçamentária'!A:K,3,0)</f>
        <v>ESCAVAÇÃO MECÂNICA DE MATERIAL 1A. CATEGORIA, PROVENIENTE DE CORTE DE SUBLEITO (C/TRATOR ESTEIRAS  160HP)</v>
      </c>
      <c r="D1728" s="31" t="str">
        <f>VLOOKUP(A1728,'[3]Planilha Orçamentária'!A:K,4,0)</f>
        <v>M3</v>
      </c>
      <c r="E1728" s="30"/>
      <c r="F1728" s="32"/>
      <c r="G1728" s="32"/>
      <c r="H1728" s="32"/>
      <c r="I1728" s="32"/>
      <c r="J1728" s="45">
        <f>ROUND(SUM(J1730:J1730),2)</f>
        <v>571.91999999999996</v>
      </c>
      <c r="U1728" s="53"/>
      <c r="V1728" s="53"/>
      <c r="W1728" s="53"/>
      <c r="X1728" s="53"/>
      <c r="Y1728" s="53"/>
      <c r="Z1728" s="53"/>
      <c r="AA1728" s="53"/>
      <c r="AB1728" s="53"/>
      <c r="AC1728" s="53"/>
      <c r="AD1728" s="53"/>
    </row>
    <row r="1729" spans="1:30" ht="12" customHeight="1">
      <c r="A1729" s="28"/>
      <c r="B1729" s="42"/>
      <c r="C1729" s="86" t="s">
        <v>1895</v>
      </c>
      <c r="D1729" s="31"/>
      <c r="E1729" s="30"/>
      <c r="F1729" s="32"/>
      <c r="G1729" s="32"/>
      <c r="H1729" s="32"/>
      <c r="I1729" s="34" t="s">
        <v>1623</v>
      </c>
      <c r="J1729" s="45"/>
      <c r="U1729" s="53"/>
      <c r="V1729" s="53"/>
      <c r="W1729" s="53"/>
      <c r="X1729" s="53"/>
      <c r="Y1729" s="53"/>
      <c r="Z1729" s="53"/>
      <c r="AA1729" s="53"/>
      <c r="AB1729" s="53"/>
      <c r="AC1729" s="53"/>
      <c r="AD1729" s="53"/>
    </row>
    <row r="1730" spans="1:30" ht="12" customHeight="1">
      <c r="A1730" s="94"/>
      <c r="B1730" s="95"/>
      <c r="C1730" s="73" t="s">
        <v>1729</v>
      </c>
      <c r="D1730" s="96"/>
      <c r="E1730" s="82"/>
      <c r="F1730" s="82"/>
      <c r="G1730" s="82"/>
      <c r="H1730" s="82"/>
      <c r="I1730" s="82">
        <v>571.91999999999996</v>
      </c>
      <c r="J1730" s="97">
        <f>ROUND(PRODUCT(E1730:I1730),2)</f>
        <v>571.91999999999996</v>
      </c>
      <c r="U1730" s="53"/>
      <c r="V1730" s="53"/>
      <c r="W1730" s="53"/>
      <c r="X1730" s="53"/>
      <c r="Y1730" s="53"/>
      <c r="Z1730" s="53"/>
      <c r="AA1730" s="53"/>
      <c r="AB1730" s="53"/>
      <c r="AC1730" s="53"/>
      <c r="AD1730" s="53"/>
    </row>
    <row r="1731" spans="1:30" ht="12" customHeight="1">
      <c r="A1731" s="513"/>
      <c r="B1731" s="513"/>
      <c r="C1731" s="513"/>
      <c r="D1731" s="513"/>
      <c r="E1731" s="513"/>
      <c r="F1731" s="513"/>
      <c r="G1731" s="513"/>
      <c r="H1731" s="513"/>
      <c r="I1731" s="513"/>
      <c r="J1731" s="513"/>
      <c r="U1731" s="53"/>
      <c r="V1731" s="53"/>
      <c r="W1731" s="53"/>
      <c r="X1731" s="53"/>
      <c r="Y1731" s="53"/>
      <c r="Z1731" s="53"/>
      <c r="AA1731" s="53"/>
      <c r="AB1731" s="53"/>
      <c r="AC1731" s="53"/>
      <c r="AD1731" s="53"/>
    </row>
    <row r="1732" spans="1:30" ht="51">
      <c r="A1732" s="99" t="str">
        <f>'[3]Planilha Orçamentária'!A444</f>
        <v>1.8.4.2</v>
      </c>
      <c r="B1732" s="48" t="str">
        <f>VLOOKUP(A1732,'[3]Planilha Orçamentária'!A:K,2,0)</f>
        <v>COMP-35145154</v>
      </c>
      <c r="C1732" s="100" t="str">
        <f>VLOOKUP(A1732,'[3]Planilha Orçamentária'!A:K,3,0)</f>
        <v>CARGA E DESCARGA MECANICA DE SOLO UTILIZANDO CAMINHAO BASCULANTE 14,0M3/36T E PA CARREGADEIRA SOBRE PNEUS 128 HP, CAPACIDADE DA CAÇAMBA 1,7 A 2,8 M3, PESO OPERACIONAL 11632 KH</v>
      </c>
      <c r="D1732" s="101" t="str">
        <f>VLOOKUP(A1732,'[3]Planilha Orçamentária'!A:K,4,0)</f>
        <v>M3</v>
      </c>
      <c r="E1732" s="100"/>
      <c r="F1732" s="102"/>
      <c r="G1732" s="102"/>
      <c r="H1732" s="102"/>
      <c r="I1732" s="102"/>
      <c r="J1732" s="45">
        <f>ROUND(SUM(J1734:J1734),2)</f>
        <v>689.78</v>
      </c>
      <c r="U1732" s="53"/>
      <c r="V1732" s="53"/>
      <c r="W1732" s="53"/>
      <c r="X1732" s="53"/>
      <c r="Y1732" s="53"/>
      <c r="Z1732" s="53"/>
      <c r="AA1732" s="53"/>
      <c r="AB1732" s="53"/>
      <c r="AC1732" s="53"/>
      <c r="AD1732" s="53"/>
    </row>
    <row r="1733" spans="1:30" ht="17.25" customHeight="1">
      <c r="A1733" s="99"/>
      <c r="B1733" s="48"/>
      <c r="C1733" s="73" t="s">
        <v>1631</v>
      </c>
      <c r="D1733" s="101"/>
      <c r="E1733" s="105" t="s">
        <v>1622</v>
      </c>
      <c r="F1733" s="106"/>
      <c r="G1733" s="106"/>
      <c r="H1733" s="106"/>
      <c r="I1733" s="106" t="s">
        <v>1623</v>
      </c>
      <c r="J1733" s="103"/>
      <c r="U1733" s="53"/>
      <c r="V1733" s="53"/>
      <c r="W1733" s="53"/>
      <c r="X1733" s="53"/>
      <c r="Y1733" s="53"/>
      <c r="Z1733" s="53"/>
      <c r="AA1733" s="53"/>
      <c r="AB1733" s="53"/>
      <c r="AC1733" s="53"/>
      <c r="AD1733" s="53"/>
    </row>
    <row r="1734" spans="1:30" ht="17.25" customHeight="1">
      <c r="A1734" s="99"/>
      <c r="B1734" s="48"/>
      <c r="C1734" s="73" t="s">
        <v>1632</v>
      </c>
      <c r="D1734" s="96"/>
      <c r="E1734" s="82">
        <v>1.25</v>
      </c>
      <c r="F1734" s="35"/>
      <c r="G1734" s="35"/>
      <c r="H1734" s="35"/>
      <c r="I1734" s="35">
        <f>J1728-J1740</f>
        <v>551.81999999999994</v>
      </c>
      <c r="J1734" s="97">
        <f>ROUND(PRODUCT(E1734:I1734),2)</f>
        <v>689.78</v>
      </c>
      <c r="U1734" s="53"/>
      <c r="V1734" s="53"/>
      <c r="W1734" s="53"/>
      <c r="X1734" s="53"/>
      <c r="Y1734" s="53"/>
      <c r="Z1734" s="53"/>
      <c r="AA1734" s="53"/>
      <c r="AB1734" s="53"/>
      <c r="AC1734" s="53"/>
      <c r="AD1734" s="53"/>
    </row>
    <row r="1735" spans="1:30" ht="12" customHeight="1">
      <c r="A1735" s="513"/>
      <c r="B1735" s="513"/>
      <c r="C1735" s="513"/>
      <c r="D1735" s="513"/>
      <c r="E1735" s="513"/>
      <c r="F1735" s="513"/>
      <c r="G1735" s="513"/>
      <c r="H1735" s="513"/>
      <c r="I1735" s="513"/>
      <c r="J1735" s="513"/>
      <c r="U1735" s="53"/>
      <c r="V1735" s="53"/>
      <c r="W1735" s="53"/>
      <c r="X1735" s="53"/>
      <c r="Y1735" s="53"/>
      <c r="Z1735" s="53"/>
      <c r="AA1735" s="53"/>
      <c r="AB1735" s="53"/>
      <c r="AC1735" s="53"/>
      <c r="AD1735" s="53"/>
    </row>
    <row r="1736" spans="1:30" ht="38.25">
      <c r="A1736" s="216" t="str">
        <f>'[3]Planilha Orçamentária'!A445</f>
        <v>1.8.4.3</v>
      </c>
      <c r="B1736" s="217">
        <f>VLOOKUP(A1736,'[3]Planilha Orçamentária'!A:K,2,0)</f>
        <v>95876</v>
      </c>
      <c r="C1736" s="218" t="str">
        <f>VLOOKUP(A1736,'[3]Planilha Orçamentária'!A:K,3,0)</f>
        <v>TRANSPORTE COM CAMINHÃO BASCULANTE DE 14 M³, EM VIA URBANA PAVIMENTADA, DMT ATÉ 30 KM (UNIDADE: M3XKM). AF_07/2020</v>
      </c>
      <c r="D1736" s="219" t="str">
        <f>VLOOKUP(A1736,'[3]Planilha Orçamentária'!A:K,4,0)</f>
        <v>M3XKM</v>
      </c>
      <c r="E1736" s="218"/>
      <c r="F1736" s="64"/>
      <c r="G1736" s="64"/>
      <c r="H1736" s="64"/>
      <c r="I1736" s="64"/>
      <c r="J1736" s="33">
        <f>ROUND(SUM(J1738:J1738),2)</f>
        <v>11726.26</v>
      </c>
      <c r="U1736" s="53"/>
      <c r="V1736" s="53"/>
      <c r="W1736" s="53"/>
      <c r="X1736" s="53"/>
      <c r="Y1736" s="53"/>
      <c r="Z1736" s="53"/>
      <c r="AA1736" s="53"/>
      <c r="AB1736" s="53"/>
      <c r="AC1736" s="53"/>
      <c r="AD1736" s="53"/>
    </row>
    <row r="1737" spans="1:30" ht="16.5" customHeight="1">
      <c r="A1737" s="216"/>
      <c r="B1737" s="217"/>
      <c r="C1737" s="90" t="s">
        <v>1893</v>
      </c>
      <c r="D1737" s="27"/>
      <c r="E1737" s="27" t="s">
        <v>1627</v>
      </c>
      <c r="F1737" s="64"/>
      <c r="G1737" s="64"/>
      <c r="H1737" s="80"/>
      <c r="I1737" s="80" t="s">
        <v>1623</v>
      </c>
      <c r="J1737" s="78"/>
      <c r="U1737" s="53"/>
      <c r="V1737" s="53"/>
      <c r="W1737" s="53"/>
      <c r="X1737" s="53"/>
      <c r="Y1737" s="53"/>
      <c r="Z1737" s="53"/>
      <c r="AA1737" s="53"/>
      <c r="AB1737" s="53"/>
      <c r="AC1737" s="53"/>
      <c r="AD1737" s="53"/>
    </row>
    <row r="1738" spans="1:30" ht="16.5" customHeight="1">
      <c r="A1738" s="216"/>
      <c r="B1738" s="217"/>
      <c r="C1738" s="73" t="s">
        <v>1896</v>
      </c>
      <c r="D1738" s="27"/>
      <c r="E1738" s="81">
        <v>17</v>
      </c>
      <c r="F1738" s="271"/>
      <c r="G1738" s="271"/>
      <c r="H1738" s="271"/>
      <c r="I1738" s="225">
        <f>J1732</f>
        <v>689.78</v>
      </c>
      <c r="J1738" s="226">
        <f>ROUND(PRODUCT(E1738:I1738),2)</f>
        <v>11726.26</v>
      </c>
      <c r="U1738" s="53"/>
      <c r="V1738" s="53"/>
      <c r="W1738" s="53"/>
      <c r="X1738" s="53"/>
      <c r="Y1738" s="53"/>
      <c r="Z1738" s="53"/>
      <c r="AA1738" s="53"/>
      <c r="AB1738" s="53"/>
      <c r="AC1738" s="53"/>
      <c r="AD1738" s="53"/>
    </row>
    <row r="1739" spans="1:30" ht="12" customHeight="1">
      <c r="A1739" s="498"/>
      <c r="B1739" s="499"/>
      <c r="C1739" s="499"/>
      <c r="D1739" s="499"/>
      <c r="E1739" s="499"/>
      <c r="F1739" s="499"/>
      <c r="G1739" s="499"/>
      <c r="H1739" s="499"/>
      <c r="I1739" s="499"/>
      <c r="J1739" s="500"/>
      <c r="U1739" s="53"/>
      <c r="V1739" s="53"/>
      <c r="W1739" s="53"/>
      <c r="X1739" s="53"/>
      <c r="Y1739" s="53"/>
      <c r="Z1739" s="53"/>
      <c r="AA1739" s="53"/>
      <c r="AB1739" s="53"/>
      <c r="AC1739" s="53"/>
      <c r="AD1739" s="53"/>
    </row>
    <row r="1740" spans="1:30" ht="38.25">
      <c r="A1740" s="28" t="str">
        <f>'[3]Planilha Orçamentária'!A446</f>
        <v>1.8.4.4</v>
      </c>
      <c r="B1740" s="42">
        <f>VLOOKUP(A1740,'[3]Planilha Orçamentária'!A:K,2,0)</f>
        <v>96385</v>
      </c>
      <c r="C1740" s="30" t="str">
        <f>VLOOKUP(A1740,'[3]Planilha Orçamentária'!A:K,3,0)</f>
        <v>EXECUÇÃO E COMPACTAÇÃO DE ATERRO COM SOLO PREDOMINANTEMENTE ARGILOSO - EXCLUSIVE SOLO, ESCAVAÇÃO, CARGA E TRANSPORTE. AF_11/2019</v>
      </c>
      <c r="D1740" s="31" t="str">
        <f>VLOOKUP(A1740,'[3]Planilha Orçamentária'!A:K,4,0)</f>
        <v>M3</v>
      </c>
      <c r="E1740" s="30"/>
      <c r="F1740" s="32"/>
      <c r="G1740" s="32"/>
      <c r="H1740" s="32"/>
      <c r="I1740" s="32"/>
      <c r="J1740" s="45">
        <f>ROUND(SUM(J1742:J1742),2)</f>
        <v>20.100000000000001</v>
      </c>
      <c r="U1740" s="53"/>
      <c r="V1740" s="53"/>
      <c r="W1740" s="53"/>
      <c r="X1740" s="53"/>
      <c r="Y1740" s="53"/>
      <c r="Z1740" s="53"/>
      <c r="AA1740" s="53"/>
      <c r="AB1740" s="53"/>
      <c r="AC1740" s="53"/>
      <c r="AD1740" s="53"/>
    </row>
    <row r="1741" spans="1:30" ht="12" customHeight="1">
      <c r="A1741" s="28"/>
      <c r="B1741" s="42"/>
      <c r="C1741" s="86" t="s">
        <v>1895</v>
      </c>
      <c r="D1741" s="31"/>
      <c r="E1741" s="30"/>
      <c r="F1741" s="32"/>
      <c r="G1741" s="32"/>
      <c r="H1741" s="32"/>
      <c r="I1741" s="34" t="s">
        <v>1623</v>
      </c>
      <c r="J1741" s="45"/>
      <c r="U1741" s="53"/>
      <c r="V1741" s="53"/>
      <c r="W1741" s="53"/>
      <c r="X1741" s="53"/>
      <c r="Y1741" s="53"/>
      <c r="Z1741" s="53"/>
      <c r="AA1741" s="53"/>
      <c r="AB1741" s="53"/>
      <c r="AC1741" s="53"/>
      <c r="AD1741" s="53"/>
    </row>
    <row r="1742" spans="1:30" ht="12" customHeight="1">
      <c r="A1742" s="94"/>
      <c r="B1742" s="95"/>
      <c r="C1742" s="73" t="s">
        <v>1729</v>
      </c>
      <c r="D1742" s="96"/>
      <c r="E1742" s="82"/>
      <c r="F1742" s="82"/>
      <c r="G1742" s="82"/>
      <c r="H1742" s="82"/>
      <c r="I1742" s="82">
        <v>20.100000000000001</v>
      </c>
      <c r="J1742" s="97">
        <f>ROUND(PRODUCT(E1742:I1742),2)</f>
        <v>20.100000000000001</v>
      </c>
      <c r="U1742" s="53"/>
      <c r="V1742" s="53"/>
      <c r="W1742" s="53"/>
      <c r="X1742" s="53"/>
      <c r="Y1742" s="53"/>
      <c r="Z1742" s="53"/>
      <c r="AA1742" s="53"/>
      <c r="AB1742" s="53"/>
      <c r="AC1742" s="53"/>
      <c r="AD1742" s="53"/>
    </row>
    <row r="1743" spans="1:30" ht="12" customHeight="1">
      <c r="A1743" s="513"/>
      <c r="B1743" s="513"/>
      <c r="C1743" s="513"/>
      <c r="D1743" s="513"/>
      <c r="E1743" s="513"/>
      <c r="F1743" s="513"/>
      <c r="G1743" s="513"/>
      <c r="H1743" s="513"/>
      <c r="I1743" s="513"/>
      <c r="J1743" s="513"/>
      <c r="U1743" s="53"/>
      <c r="V1743" s="53"/>
      <c r="W1743" s="53"/>
      <c r="X1743" s="53"/>
      <c r="Y1743" s="53"/>
      <c r="Z1743" s="53"/>
      <c r="AA1743" s="53"/>
      <c r="AB1743" s="53"/>
      <c r="AC1743" s="53"/>
      <c r="AD1743" s="53"/>
    </row>
    <row r="1744" spans="1:30" ht="12" customHeight="1">
      <c r="A1744" s="19" t="str">
        <f>'[3]Planilha Orçamentária'!A447</f>
        <v>1.8.5</v>
      </c>
      <c r="B1744" s="20"/>
      <c r="C1744" s="21" t="str">
        <f>VLOOKUP(A1744,'[3]Planilha Orçamentária'!A:K,3,0)</f>
        <v>PAVIMENTAÇÃO</v>
      </c>
      <c r="D1744" s="22"/>
      <c r="E1744" s="23"/>
      <c r="F1744" s="24"/>
      <c r="G1744" s="24"/>
      <c r="H1744" s="24"/>
      <c r="I1744" s="25"/>
      <c r="J1744" s="41"/>
      <c r="U1744" s="53"/>
      <c r="V1744" s="53"/>
      <c r="W1744" s="53"/>
      <c r="X1744" s="53"/>
      <c r="Y1744" s="53"/>
      <c r="Z1744" s="53"/>
      <c r="AA1744" s="53"/>
      <c r="AB1744" s="53"/>
      <c r="AC1744" s="53"/>
      <c r="AD1744" s="53"/>
    </row>
    <row r="1745" spans="1:30" ht="25.5">
      <c r="A1745" s="66" t="str">
        <f>'[3]Planilha Orçamentária'!A448</f>
        <v>1.8.5.1</v>
      </c>
      <c r="B1745" s="67">
        <f>VLOOKUP(A1745,'[3]Planilha Orçamentária'!A:K,2,0)</f>
        <v>100576</v>
      </c>
      <c r="C1745" s="68" t="str">
        <f>VLOOKUP(A1745,'[3]Planilha Orçamentária'!A:K,3,0)</f>
        <v>REGULARIZAÇÃO E COMPACTAÇÃO DE SUBLEITO DE SOLO  PREDOMINANTEMENTE ARGILOSO. AF_11/2019</v>
      </c>
      <c r="D1745" s="69" t="str">
        <f>VLOOKUP(A1745,'[3]Planilha Orçamentária'!A:K,4,0)</f>
        <v>M2</v>
      </c>
      <c r="E1745" s="68"/>
      <c r="F1745" s="71"/>
      <c r="G1745" s="71"/>
      <c r="H1745" s="71"/>
      <c r="I1745" s="71"/>
      <c r="J1745" s="78">
        <f>ROUND(SUM(J1747:J1748),2)</f>
        <v>2252.38</v>
      </c>
      <c r="U1745" s="53"/>
      <c r="V1745" s="53"/>
      <c r="W1745" s="53"/>
      <c r="X1745" s="53"/>
      <c r="Y1745" s="53"/>
      <c r="Z1745" s="53"/>
      <c r="AA1745" s="53"/>
      <c r="AB1745" s="53"/>
      <c r="AC1745" s="53"/>
      <c r="AD1745" s="53"/>
    </row>
    <row r="1746" spans="1:30" ht="12" customHeight="1">
      <c r="A1746" s="60"/>
      <c r="B1746" s="77"/>
      <c r="C1746" s="79" t="s">
        <v>1897</v>
      </c>
      <c r="D1746" s="63"/>
      <c r="E1746" s="62"/>
      <c r="F1746" s="80"/>
      <c r="G1746" s="80"/>
      <c r="H1746" s="64"/>
      <c r="I1746" s="87" t="s">
        <v>1620</v>
      </c>
      <c r="J1746" s="78"/>
      <c r="U1746" s="53"/>
      <c r="V1746" s="53"/>
      <c r="W1746" s="53"/>
      <c r="X1746" s="53"/>
      <c r="Y1746" s="53"/>
      <c r="Z1746" s="53"/>
      <c r="AA1746" s="53"/>
      <c r="AB1746" s="53"/>
      <c r="AC1746" s="53"/>
      <c r="AD1746" s="53"/>
    </row>
    <row r="1747" spans="1:30" ht="15" customHeight="1">
      <c r="A1747" s="60"/>
      <c r="B1747" s="77"/>
      <c r="C1747" s="109" t="s">
        <v>1635</v>
      </c>
      <c r="D1747" s="63"/>
      <c r="E1747" s="62"/>
      <c r="F1747" s="80"/>
      <c r="G1747" s="80"/>
      <c r="H1747" s="64"/>
      <c r="I1747" s="111">
        <v>1757.2</v>
      </c>
      <c r="J1747" s="97">
        <f t="shared" ref="J1747:J1748" si="166">ROUND(PRODUCT(E1747:I1747),2)</f>
        <v>1757.2</v>
      </c>
      <c r="U1747" s="53"/>
      <c r="V1747" s="53"/>
      <c r="W1747" s="53"/>
      <c r="X1747" s="53"/>
      <c r="Y1747" s="53"/>
      <c r="Z1747" s="53"/>
      <c r="AA1747" s="53"/>
      <c r="AB1747" s="53"/>
      <c r="AC1747" s="53"/>
      <c r="AD1747" s="53"/>
    </row>
    <row r="1748" spans="1:30" ht="15" customHeight="1">
      <c r="A1748" s="112"/>
      <c r="B1748" s="113"/>
      <c r="C1748" s="114" t="s">
        <v>1636</v>
      </c>
      <c r="D1748" s="115"/>
      <c r="E1748" s="116"/>
      <c r="F1748" s="117"/>
      <c r="G1748" s="116"/>
      <c r="H1748" s="116"/>
      <c r="I1748" s="118">
        <v>495.18</v>
      </c>
      <c r="J1748" s="119">
        <f t="shared" si="166"/>
        <v>495.18</v>
      </c>
      <c r="U1748" s="53"/>
      <c r="V1748" s="53"/>
      <c r="W1748" s="53"/>
      <c r="X1748" s="53"/>
      <c r="Y1748" s="53"/>
      <c r="Z1748" s="53"/>
      <c r="AA1748" s="53"/>
      <c r="AB1748" s="53"/>
      <c r="AC1748" s="53"/>
      <c r="AD1748" s="53"/>
    </row>
    <row r="1749" spans="1:30">
      <c r="A1749" s="520"/>
      <c r="B1749" s="521"/>
      <c r="C1749" s="521"/>
      <c r="D1749" s="521"/>
      <c r="E1749" s="521"/>
      <c r="F1749" s="521"/>
      <c r="G1749" s="521"/>
      <c r="H1749" s="521"/>
      <c r="I1749" s="521"/>
      <c r="J1749" s="522"/>
      <c r="U1749" s="53"/>
      <c r="V1749" s="53"/>
      <c r="W1749" s="53"/>
      <c r="X1749" s="53"/>
      <c r="Y1749" s="53"/>
      <c r="Z1749" s="53"/>
      <c r="AA1749" s="53"/>
      <c r="AB1749" s="53"/>
      <c r="AC1749" s="53"/>
      <c r="AD1749" s="53"/>
    </row>
    <row r="1750" spans="1:30" ht="38.25">
      <c r="A1750" s="60" t="str">
        <f>'[3]Planilha Orçamentária'!A449</f>
        <v>1.8.5.2</v>
      </c>
      <c r="B1750" s="61" t="str">
        <f>VLOOKUP(A1750,'[3]Planilha Orçamentária'!A:K,2,0)</f>
        <v>CP-96396-26507981</v>
      </c>
      <c r="C1750" s="62" t="str">
        <f>VLOOKUP(A1750,'[3]Planilha Orçamentária'!A:K,3,0)</f>
        <v>EXECUÇÃO E COMPACTAÇÃO DE BASE E OU SUB BASE PARA PAVIMENTAÇÃO DE BRITA GRADUADA SIMPLES - EXCLUSIVE MATERIAL, CARGA E TRANSPORTE</v>
      </c>
      <c r="D1750" s="63" t="str">
        <f>VLOOKUP(A1750,'[3]Planilha Orçamentária'!A:K,4,0)</f>
        <v>M3</v>
      </c>
      <c r="E1750" s="124"/>
      <c r="F1750" s="125"/>
      <c r="G1750" s="125"/>
      <c r="H1750" s="125"/>
      <c r="I1750" s="125"/>
      <c r="J1750" s="65">
        <f>ROUND(SUM(J1752:J1755),2)</f>
        <v>503.55</v>
      </c>
      <c r="U1750" s="53"/>
      <c r="V1750" s="53"/>
      <c r="W1750" s="53"/>
      <c r="X1750" s="53"/>
      <c r="Y1750" s="53"/>
      <c r="Z1750" s="53"/>
      <c r="AA1750" s="53"/>
      <c r="AB1750" s="53"/>
      <c r="AC1750" s="53"/>
      <c r="AD1750" s="53"/>
    </row>
    <row r="1751" spans="1:30" ht="12" customHeight="1">
      <c r="A1751" s="60"/>
      <c r="B1751" s="61"/>
      <c r="C1751" s="79" t="s">
        <v>1897</v>
      </c>
      <c r="D1751" s="63"/>
      <c r="E1751" s="127"/>
      <c r="F1751" s="127"/>
      <c r="G1751" s="127"/>
      <c r="H1751" s="88" t="s">
        <v>1619</v>
      </c>
      <c r="I1751" s="87" t="s">
        <v>1620</v>
      </c>
      <c r="J1751" s="65"/>
      <c r="U1751" s="53"/>
      <c r="V1751" s="53"/>
      <c r="W1751" s="53"/>
      <c r="X1751" s="53"/>
      <c r="Y1751" s="53"/>
      <c r="Z1751" s="53"/>
      <c r="AA1751" s="53"/>
      <c r="AB1751" s="53"/>
      <c r="AC1751" s="53"/>
      <c r="AD1751" s="53"/>
    </row>
    <row r="1752" spans="1:30">
      <c r="A1752" s="60"/>
      <c r="B1752" s="61"/>
      <c r="C1752" s="109" t="s">
        <v>1635</v>
      </c>
      <c r="D1752" s="63"/>
      <c r="E1752" s="127"/>
      <c r="F1752" s="127"/>
      <c r="G1752" s="127"/>
      <c r="H1752" s="88">
        <v>0.25</v>
      </c>
      <c r="I1752" s="111">
        <f>J1747</f>
        <v>1757.2</v>
      </c>
      <c r="J1752" s="97">
        <f t="shared" ref="J1752:J1755" si="167">ROUND(PRODUCT(E1752:I1752),2)</f>
        <v>439.3</v>
      </c>
      <c r="U1752" s="53"/>
      <c r="V1752" s="53"/>
      <c r="W1752" s="53"/>
      <c r="X1752" s="53"/>
      <c r="Y1752" s="53"/>
      <c r="Z1752" s="53"/>
      <c r="AA1752" s="53"/>
      <c r="AB1752" s="53"/>
      <c r="AC1752" s="53"/>
      <c r="AD1752" s="53"/>
    </row>
    <row r="1753" spans="1:30">
      <c r="A1753" s="60"/>
      <c r="B1753" s="61"/>
      <c r="C1753" s="109" t="s">
        <v>1636</v>
      </c>
      <c r="D1753" s="63"/>
      <c r="E1753" s="127"/>
      <c r="F1753" s="127"/>
      <c r="G1753" s="127"/>
      <c r="H1753" s="88">
        <v>0.25</v>
      </c>
      <c r="I1753" s="111">
        <f>J1748</f>
        <v>495.18</v>
      </c>
      <c r="J1753" s="97">
        <f t="shared" si="167"/>
        <v>123.8</v>
      </c>
      <c r="U1753" s="53"/>
      <c r="V1753" s="53"/>
      <c r="W1753" s="53"/>
      <c r="X1753" s="53"/>
      <c r="Y1753" s="53"/>
      <c r="Z1753" s="53"/>
      <c r="AA1753" s="53"/>
      <c r="AB1753" s="53"/>
      <c r="AC1753" s="53"/>
      <c r="AD1753" s="53"/>
    </row>
    <row r="1754" spans="1:30">
      <c r="A1754" s="60"/>
      <c r="B1754" s="61"/>
      <c r="C1754" s="109"/>
      <c r="D1754" s="63"/>
      <c r="E1754" s="127"/>
      <c r="F1754" s="127" t="s">
        <v>1606</v>
      </c>
      <c r="G1754" s="127" t="s">
        <v>1607</v>
      </c>
      <c r="H1754" s="88" t="s">
        <v>1619</v>
      </c>
      <c r="I1754" s="111"/>
      <c r="J1754" s="333"/>
      <c r="U1754" s="53"/>
      <c r="V1754" s="53"/>
      <c r="W1754" s="53"/>
      <c r="X1754" s="53"/>
      <c r="Y1754" s="53"/>
      <c r="Z1754" s="53"/>
      <c r="AA1754" s="53"/>
      <c r="AB1754" s="53"/>
      <c r="AC1754" s="53"/>
      <c r="AD1754" s="53"/>
    </row>
    <row r="1755" spans="1:30">
      <c r="A1755" s="60"/>
      <c r="B1755" s="61"/>
      <c r="C1755" s="109" t="s">
        <v>1733</v>
      </c>
      <c r="D1755" s="63"/>
      <c r="E1755" s="127">
        <v>-1</v>
      </c>
      <c r="F1755" s="127">
        <v>238.21</v>
      </c>
      <c r="G1755" s="127">
        <v>1</v>
      </c>
      <c r="H1755" s="88">
        <v>0.25</v>
      </c>
      <c r="I1755" s="111"/>
      <c r="J1755" s="97">
        <f t="shared" si="167"/>
        <v>-59.55</v>
      </c>
      <c r="U1755" s="53"/>
      <c r="V1755" s="53"/>
      <c r="W1755" s="53"/>
      <c r="X1755" s="53"/>
      <c r="Y1755" s="53"/>
      <c r="Z1755" s="53"/>
      <c r="AA1755" s="53"/>
      <c r="AB1755" s="53"/>
      <c r="AC1755" s="53"/>
      <c r="AD1755" s="53"/>
    </row>
    <row r="1756" spans="1:30" ht="12" customHeight="1">
      <c r="A1756" s="497"/>
      <c r="B1756" s="497"/>
      <c r="C1756" s="497"/>
      <c r="D1756" s="497"/>
      <c r="E1756" s="497"/>
      <c r="F1756" s="497"/>
      <c r="G1756" s="497"/>
      <c r="H1756" s="497"/>
      <c r="I1756" s="497"/>
      <c r="J1756" s="497"/>
      <c r="U1756" s="53"/>
      <c r="V1756" s="53"/>
      <c r="W1756" s="53"/>
      <c r="X1756" s="53"/>
      <c r="Y1756" s="53"/>
      <c r="Z1756" s="53"/>
      <c r="AA1756" s="53"/>
      <c r="AB1756" s="53"/>
      <c r="AC1756" s="53"/>
      <c r="AD1756" s="53"/>
    </row>
    <row r="1757" spans="1:30" ht="51">
      <c r="A1757" s="28" t="str">
        <f>'[3]Planilha Orçamentária'!A450</f>
        <v>1.8.5.3</v>
      </c>
      <c r="B1757" s="29" t="str">
        <f>VLOOKUP(A1757,'[3]Planilha Orçamentária'!A:K,2,0)</f>
        <v>COMP-35145154</v>
      </c>
      <c r="C1757" s="30" t="str">
        <f>VLOOKUP(A1757,'[3]Planilha Orçamentária'!A:K,3,0)</f>
        <v>CARGA E DESCARGA MECANICA DE SOLO UTILIZANDO CAMINHAO BASCULANTE 14,0M3/36T E PA CARREGADEIRA SOBRE PNEUS 128 HP, CAPACIDADE DA CAÇAMBA 1,7 A 2,8 M3, PESO OPERACIONAL 11632 KH</v>
      </c>
      <c r="D1757" s="31" t="str">
        <f>VLOOKUP(A1757,'[3]Planilha Orçamentária'!A:K,4,0)</f>
        <v>M3</v>
      </c>
      <c r="E1757" s="30"/>
      <c r="F1757" s="32"/>
      <c r="G1757" s="32"/>
      <c r="H1757" s="32"/>
      <c r="I1757" s="32"/>
      <c r="J1757" s="33">
        <f>ROUND(SUM(J1759:J1759),2)</f>
        <v>629.44000000000005</v>
      </c>
      <c r="U1757" s="53"/>
      <c r="V1757" s="53"/>
      <c r="W1757" s="53"/>
      <c r="X1757" s="53"/>
      <c r="Y1757" s="53"/>
      <c r="Z1757" s="53"/>
      <c r="AA1757" s="53"/>
      <c r="AB1757" s="53"/>
      <c r="AC1757" s="53"/>
      <c r="AD1757" s="53"/>
    </row>
    <row r="1758" spans="1:30">
      <c r="A1758" s="28"/>
      <c r="B1758" s="29"/>
      <c r="C1758" s="62"/>
      <c r="D1758" s="63"/>
      <c r="E1758" s="127" t="s">
        <v>1622</v>
      </c>
      <c r="F1758" s="34"/>
      <c r="G1758" s="32"/>
      <c r="H1758" s="32"/>
      <c r="I1758" s="135" t="s">
        <v>1623</v>
      </c>
      <c r="J1758" s="33"/>
      <c r="U1758" s="53"/>
      <c r="V1758" s="53"/>
      <c r="W1758" s="53"/>
      <c r="X1758" s="53"/>
      <c r="Y1758" s="53"/>
      <c r="Z1758" s="53"/>
      <c r="AA1758" s="53"/>
      <c r="AB1758" s="53"/>
      <c r="AC1758" s="53"/>
      <c r="AD1758" s="53"/>
    </row>
    <row r="1759" spans="1:30" ht="14.25">
      <c r="A1759" s="28"/>
      <c r="B1759" s="29"/>
      <c r="C1759" s="131" t="s">
        <v>1642</v>
      </c>
      <c r="D1759" s="96"/>
      <c r="E1759" s="34">
        <v>1.25</v>
      </c>
      <c r="F1759" s="140"/>
      <c r="G1759" s="129"/>
      <c r="H1759" s="129"/>
      <c r="I1759" s="141">
        <f>J1750</f>
        <v>503.55</v>
      </c>
      <c r="J1759" s="253">
        <f t="shared" ref="J1759" si="168">ROUND(PRODUCT(E1759:I1759),2)</f>
        <v>629.44000000000005</v>
      </c>
      <c r="U1759" s="53"/>
      <c r="V1759" s="53"/>
      <c r="W1759" s="53"/>
      <c r="X1759" s="53"/>
      <c r="Y1759" s="53"/>
      <c r="Z1759" s="53"/>
      <c r="AA1759" s="53"/>
      <c r="AB1759" s="53"/>
      <c r="AC1759" s="53"/>
      <c r="AD1759" s="53"/>
    </row>
    <row r="1760" spans="1:30">
      <c r="A1760" s="513"/>
      <c r="B1760" s="513"/>
      <c r="C1760" s="513"/>
      <c r="D1760" s="513"/>
      <c r="E1760" s="513"/>
      <c r="F1760" s="513"/>
      <c r="G1760" s="513"/>
      <c r="H1760" s="513"/>
      <c r="I1760" s="513"/>
      <c r="J1760" s="513"/>
      <c r="U1760" s="53"/>
      <c r="V1760" s="53"/>
      <c r="W1760" s="53"/>
      <c r="X1760" s="53"/>
      <c r="Y1760" s="53"/>
      <c r="Z1760" s="53"/>
      <c r="AA1760" s="53"/>
      <c r="AB1760" s="53"/>
      <c r="AC1760" s="53"/>
      <c r="AD1760" s="53"/>
    </row>
    <row r="1761" spans="1:30" ht="25.5">
      <c r="A1761" s="28" t="str">
        <f>'[3]Planilha Orçamentária'!A451</f>
        <v>1.8.5.4</v>
      </c>
      <c r="B1761" s="29" t="str">
        <f>VLOOKUP(A1761,'[3]Planilha Orçamentária'!A:K,2,0)</f>
        <v>COMP-83526730</v>
      </c>
      <c r="C1761" s="30" t="str">
        <f>VLOOKUP(A1761,'[3]Planilha Orçamentária'!A:K,3,0)</f>
        <v>TRANSPORTE COMERCIAL DE BRITA</v>
      </c>
      <c r="D1761" s="31" t="str">
        <f>VLOOKUP(A1761,'[3]Planilha Orçamentária'!A:K,4,0)</f>
        <v>M3XKM</v>
      </c>
      <c r="E1761" s="30"/>
      <c r="F1761" s="32"/>
      <c r="G1761" s="32"/>
      <c r="H1761" s="32"/>
      <c r="I1761" s="32"/>
      <c r="J1761" s="33">
        <f>ROUND(SUM(J1763:J1763),2)</f>
        <v>8497.44</v>
      </c>
      <c r="U1761" s="53"/>
      <c r="V1761" s="53"/>
      <c r="W1761" s="53"/>
      <c r="X1761" s="53"/>
      <c r="Y1761" s="53"/>
      <c r="Z1761" s="53"/>
      <c r="AA1761" s="53"/>
      <c r="AB1761" s="53"/>
      <c r="AC1761" s="53"/>
      <c r="AD1761" s="53"/>
    </row>
    <row r="1762" spans="1:30">
      <c r="A1762" s="28"/>
      <c r="B1762" s="29"/>
      <c r="C1762" s="79" t="s">
        <v>1898</v>
      </c>
      <c r="D1762" s="31"/>
      <c r="E1762" s="86" t="s">
        <v>1627</v>
      </c>
      <c r="F1762" s="34"/>
      <c r="G1762" s="34"/>
      <c r="H1762" s="34"/>
      <c r="I1762" s="34" t="s">
        <v>1623</v>
      </c>
      <c r="J1762" s="33"/>
      <c r="U1762" s="53"/>
      <c r="V1762" s="53"/>
      <c r="W1762" s="53"/>
      <c r="X1762" s="53"/>
      <c r="Y1762" s="53"/>
      <c r="Z1762" s="53"/>
      <c r="AA1762" s="53"/>
      <c r="AB1762" s="53"/>
      <c r="AC1762" s="53"/>
      <c r="AD1762" s="53"/>
    </row>
    <row r="1763" spans="1:30" ht="14.25">
      <c r="A1763" s="28"/>
      <c r="B1763" s="29"/>
      <c r="C1763" s="126" t="s">
        <v>1899</v>
      </c>
      <c r="D1763" s="94"/>
      <c r="E1763" s="141">
        <v>13.5</v>
      </c>
      <c r="F1763" s="134"/>
      <c r="G1763" s="94"/>
      <c r="H1763" s="94"/>
      <c r="I1763" s="136">
        <f>J1757</f>
        <v>629.44000000000005</v>
      </c>
      <c r="J1763" s="253">
        <f t="shared" ref="J1763" si="169">ROUND(PRODUCT(E1763:I1763),2)</f>
        <v>8497.44</v>
      </c>
      <c r="U1763" s="53"/>
      <c r="V1763" s="53"/>
      <c r="W1763" s="53"/>
      <c r="X1763" s="53"/>
      <c r="Y1763" s="53"/>
      <c r="Z1763" s="53"/>
      <c r="AA1763" s="53"/>
      <c r="AB1763" s="53"/>
      <c r="AC1763" s="53"/>
      <c r="AD1763" s="53"/>
    </row>
    <row r="1764" spans="1:30">
      <c r="A1764" s="513"/>
      <c r="B1764" s="513"/>
      <c r="C1764" s="513"/>
      <c r="D1764" s="513"/>
      <c r="E1764" s="513"/>
      <c r="F1764" s="513"/>
      <c r="G1764" s="513"/>
      <c r="H1764" s="513"/>
      <c r="I1764" s="513"/>
      <c r="J1764" s="513"/>
      <c r="U1764" s="53"/>
      <c r="V1764" s="53"/>
      <c r="W1764" s="53"/>
      <c r="X1764" s="53"/>
      <c r="Y1764" s="53"/>
      <c r="Z1764" s="53"/>
      <c r="AA1764" s="53"/>
      <c r="AB1764" s="53"/>
      <c r="AC1764" s="53"/>
      <c r="AD1764" s="53"/>
    </row>
    <row r="1765" spans="1:30" ht="51">
      <c r="A1765" s="99" t="str">
        <f>'[3]Planilha Orçamentária'!A452</f>
        <v>1.8.5.5</v>
      </c>
      <c r="B1765" s="48" t="str">
        <f>VLOOKUP(A1765,'[3]Planilha Orçamentária'!A:K,2,0)</f>
        <v>CP-92399-27762594</v>
      </c>
      <c r="C1765" s="100" t="str">
        <f>VLOOKUP(A1765,'[3]Planilha Orçamentária'!A:K,3,0)</f>
        <v>EXECUÇÃO DE VIA EM PISO INTERTRAVADO, COM BLOCO RETANGULAR COR NATURAL/COLORIDO DE 20 X 10 CM, ESPESSURA 8 CM - (SEM O MATERIAL BLOQUETE/PISO INTERTRAVADO)</v>
      </c>
      <c r="D1765" s="101" t="str">
        <f>VLOOKUP(A1765,'[3]Planilha Orçamentária'!A:K,4,0)</f>
        <v>M2</v>
      </c>
      <c r="E1765" s="34"/>
      <c r="F1765" s="34"/>
      <c r="G1765" s="64"/>
      <c r="H1765" s="34"/>
      <c r="I1765" s="87"/>
      <c r="J1765" s="33">
        <f>ROUND(SUM(J1766:J1770),2)</f>
        <v>2014.17</v>
      </c>
      <c r="U1765" s="53"/>
      <c r="V1765" s="53"/>
      <c r="W1765" s="53"/>
      <c r="X1765" s="53"/>
      <c r="Y1765" s="53"/>
      <c r="Z1765" s="53"/>
      <c r="AA1765" s="53"/>
      <c r="AB1765" s="53"/>
      <c r="AC1765" s="53"/>
      <c r="AD1765" s="53"/>
    </row>
    <row r="1766" spans="1:30" ht="12" customHeight="1">
      <c r="A1766" s="94"/>
      <c r="B1766" s="133"/>
      <c r="C1766" s="79" t="s">
        <v>1897</v>
      </c>
      <c r="D1766" s="96"/>
      <c r="E1766" s="82"/>
      <c r="F1766" s="34"/>
      <c r="G1766" s="82"/>
      <c r="H1766" s="82"/>
      <c r="I1766" s="82" t="s">
        <v>1620</v>
      </c>
      <c r="J1766" s="120"/>
      <c r="U1766" s="53"/>
      <c r="V1766" s="53"/>
      <c r="W1766" s="53"/>
      <c r="X1766" s="53"/>
      <c r="Y1766" s="53"/>
      <c r="Z1766" s="53"/>
      <c r="AA1766" s="53"/>
      <c r="AB1766" s="53"/>
      <c r="AC1766" s="53"/>
      <c r="AD1766" s="53"/>
    </row>
    <row r="1767" spans="1:30" ht="28.5">
      <c r="A1767" s="94"/>
      <c r="B1767" s="133"/>
      <c r="C1767" s="126" t="s">
        <v>1646</v>
      </c>
      <c r="D1767" s="96"/>
      <c r="E1767" s="82"/>
      <c r="F1767" s="34"/>
      <c r="G1767" s="82"/>
      <c r="H1767" s="82"/>
      <c r="I1767" s="111">
        <v>1757.2</v>
      </c>
      <c r="J1767" s="120">
        <f>ROUND(PRODUCT(E1767:I1767),2)</f>
        <v>1757.2</v>
      </c>
      <c r="U1767" s="53"/>
      <c r="V1767" s="53"/>
      <c r="W1767" s="53"/>
      <c r="X1767" s="53"/>
      <c r="Y1767" s="53"/>
      <c r="Z1767" s="53"/>
      <c r="AA1767" s="53"/>
      <c r="AB1767" s="53"/>
      <c r="AC1767" s="53"/>
      <c r="AD1767" s="53"/>
    </row>
    <row r="1768" spans="1:30">
      <c r="A1768" s="94"/>
      <c r="B1768" s="133"/>
      <c r="C1768" s="109"/>
      <c r="D1768" s="63"/>
      <c r="E1768" s="127"/>
      <c r="F1768" s="127" t="s">
        <v>1606</v>
      </c>
      <c r="G1768" s="127" t="s">
        <v>1607</v>
      </c>
      <c r="H1768" s="82"/>
      <c r="I1768" s="118"/>
      <c r="J1768" s="120"/>
      <c r="U1768" s="53"/>
      <c r="V1768" s="53"/>
      <c r="W1768" s="53"/>
      <c r="X1768" s="53"/>
      <c r="Y1768" s="53"/>
      <c r="Z1768" s="53"/>
      <c r="AA1768" s="53"/>
      <c r="AB1768" s="53"/>
      <c r="AC1768" s="53"/>
      <c r="AD1768" s="53"/>
    </row>
    <row r="1769" spans="1:30">
      <c r="A1769" s="94"/>
      <c r="B1769" s="133"/>
      <c r="C1769" s="109" t="s">
        <v>1733</v>
      </c>
      <c r="D1769" s="63"/>
      <c r="E1769" s="127">
        <v>-1</v>
      </c>
      <c r="F1769" s="127">
        <v>238.21</v>
      </c>
      <c r="G1769" s="127">
        <v>1</v>
      </c>
      <c r="H1769" s="82"/>
      <c r="I1769" s="118"/>
      <c r="J1769" s="120">
        <f>ROUND(PRODUCT(E1769:I1769),2)</f>
        <v>-238.21</v>
      </c>
      <c r="U1769" s="53"/>
      <c r="V1769" s="53"/>
      <c r="W1769" s="53"/>
      <c r="X1769" s="53"/>
      <c r="Y1769" s="53"/>
      <c r="Z1769" s="53"/>
      <c r="AA1769" s="53"/>
      <c r="AB1769" s="53"/>
      <c r="AC1769" s="53"/>
      <c r="AD1769" s="53"/>
    </row>
    <row r="1770" spans="1:30" ht="28.5">
      <c r="A1770" s="94"/>
      <c r="B1770" s="133"/>
      <c r="C1770" s="126" t="s">
        <v>1647</v>
      </c>
      <c r="D1770" s="96"/>
      <c r="E1770" s="82"/>
      <c r="F1770" s="34"/>
      <c r="G1770" s="82"/>
      <c r="H1770" s="82"/>
      <c r="I1770" s="118">
        <v>495.18</v>
      </c>
      <c r="J1770" s="120">
        <f>ROUND(PRODUCT(E1770:I1770),2)</f>
        <v>495.18</v>
      </c>
      <c r="U1770" s="53"/>
      <c r="V1770" s="53"/>
      <c r="W1770" s="53"/>
      <c r="X1770" s="53"/>
      <c r="Y1770" s="53"/>
      <c r="Z1770" s="53"/>
      <c r="AA1770" s="53"/>
      <c r="AB1770" s="53"/>
      <c r="AC1770" s="53"/>
      <c r="AD1770" s="53"/>
    </row>
    <row r="1771" spans="1:30" ht="12" customHeight="1">
      <c r="A1771" s="497"/>
      <c r="B1771" s="497"/>
      <c r="C1771" s="497"/>
      <c r="D1771" s="497"/>
      <c r="E1771" s="497"/>
      <c r="F1771" s="497"/>
      <c r="G1771" s="497"/>
      <c r="H1771" s="497"/>
      <c r="I1771" s="497"/>
      <c r="J1771" s="497"/>
      <c r="U1771" s="53"/>
      <c r="V1771" s="53"/>
      <c r="W1771" s="53"/>
      <c r="X1771" s="53"/>
      <c r="Y1771" s="53"/>
      <c r="Z1771" s="53"/>
      <c r="AA1771" s="53"/>
      <c r="AB1771" s="53"/>
      <c r="AC1771" s="53"/>
      <c r="AD1771" s="53"/>
    </row>
    <row r="1772" spans="1:30" ht="63.75">
      <c r="A1772" s="99" t="str">
        <f>'[3]Planilha Orçamentária'!A453</f>
        <v>1.8.5.6</v>
      </c>
      <c r="B1772" s="48">
        <f>VLOOKUP(A1772,'[3]Planilha Orçamentária'!A:K,2,0)</f>
        <v>94273</v>
      </c>
      <c r="C1772" s="100" t="str">
        <f>VLOOKUP(A1772,'[3]Planilha Orçamentária'!A:K,3,0)</f>
        <v>ASSENTAMENTO DE GUIA (MEIO-FIO) EM TRECHO RETO, CONFECCIONADA EM CONCRETO PRÉ-FABRICADO, DIMENSÕES 100X15X13X30 CM (COMPRIMENTO X BASE INFERIOR X BASE SUPERIOR X ALTURA), PARA VIAS URBANAS (USO VIÁRIO). AF_06/2016</v>
      </c>
      <c r="D1772" s="101" t="str">
        <f>VLOOKUP(A1772,'[3]Planilha Orçamentária'!A:K,4,0)</f>
        <v>M</v>
      </c>
      <c r="E1772" s="100"/>
      <c r="F1772" s="102"/>
      <c r="G1772" s="102"/>
      <c r="H1772" s="102"/>
      <c r="I1772" s="102"/>
      <c r="J1772" s="33">
        <f>ROUND(SUM(J1773:J1775),2)</f>
        <v>855.19</v>
      </c>
      <c r="U1772" s="53"/>
      <c r="V1772" s="53"/>
      <c r="W1772" s="53"/>
      <c r="X1772" s="53"/>
      <c r="Y1772" s="53"/>
      <c r="Z1772" s="53"/>
      <c r="AA1772" s="53"/>
      <c r="AB1772" s="53"/>
      <c r="AC1772" s="53"/>
      <c r="AD1772" s="53"/>
    </row>
    <row r="1773" spans="1:30" ht="15.75" customHeight="1">
      <c r="A1773" s="94"/>
      <c r="B1773" s="128"/>
      <c r="C1773" s="79" t="s">
        <v>1897</v>
      </c>
      <c r="D1773" s="96"/>
      <c r="E1773" s="82"/>
      <c r="F1773" s="34" t="s">
        <v>1606</v>
      </c>
      <c r="G1773" s="82"/>
      <c r="H1773" s="82"/>
      <c r="I1773" s="82"/>
      <c r="J1773" s="120"/>
      <c r="U1773" s="53"/>
      <c r="V1773" s="53"/>
      <c r="W1773" s="53"/>
      <c r="X1773" s="53"/>
      <c r="Y1773" s="53"/>
      <c r="Z1773" s="53"/>
      <c r="AA1773" s="53"/>
      <c r="AB1773" s="53"/>
      <c r="AC1773" s="53"/>
      <c r="AD1773" s="53"/>
    </row>
    <row r="1774" spans="1:30" ht="18" customHeight="1">
      <c r="A1774" s="94"/>
      <c r="B1774" s="128"/>
      <c r="C1774" s="144" t="s">
        <v>1656</v>
      </c>
      <c r="D1774" s="96"/>
      <c r="E1774" s="82"/>
      <c r="F1774" s="34">
        <f>846.22-F1779</f>
        <v>830.18000000000006</v>
      </c>
      <c r="G1774" s="32"/>
      <c r="H1774" s="32"/>
      <c r="I1774" s="135"/>
      <c r="J1774" s="120">
        <f t="shared" ref="J1774:J1775" si="170">ROUND(PRODUCT(E1774:I1774),2)</f>
        <v>830.18</v>
      </c>
      <c r="U1774" s="53"/>
      <c r="V1774" s="53"/>
      <c r="W1774" s="53"/>
      <c r="X1774" s="53"/>
      <c r="Y1774" s="53"/>
      <c r="Z1774" s="53"/>
      <c r="AA1774" s="53"/>
      <c r="AB1774" s="53"/>
      <c r="AC1774" s="53"/>
      <c r="AD1774" s="53"/>
    </row>
    <row r="1775" spans="1:30" ht="18" customHeight="1">
      <c r="A1775" s="94"/>
      <c r="B1775" s="128"/>
      <c r="C1775" s="145" t="s">
        <v>1657</v>
      </c>
      <c r="D1775" s="96"/>
      <c r="E1775" s="82"/>
      <c r="F1775" s="34">
        <v>25.01</v>
      </c>
      <c r="G1775" s="32"/>
      <c r="H1775" s="32"/>
      <c r="I1775" s="136"/>
      <c r="J1775" s="120">
        <f t="shared" si="170"/>
        <v>25.01</v>
      </c>
      <c r="U1775" s="53"/>
      <c r="V1775" s="53"/>
      <c r="W1775" s="53"/>
      <c r="X1775" s="53"/>
      <c r="Y1775" s="53"/>
      <c r="Z1775" s="53"/>
      <c r="AA1775" s="53"/>
      <c r="AB1775" s="53"/>
      <c r="AC1775" s="53"/>
      <c r="AD1775" s="53"/>
    </row>
    <row r="1776" spans="1:30" ht="12" customHeight="1">
      <c r="A1776" s="498"/>
      <c r="B1776" s="499"/>
      <c r="C1776" s="499"/>
      <c r="D1776" s="499"/>
      <c r="E1776" s="499"/>
      <c r="F1776" s="499"/>
      <c r="G1776" s="499"/>
      <c r="H1776" s="499"/>
      <c r="I1776" s="499"/>
      <c r="J1776" s="500"/>
      <c r="U1776" s="53"/>
      <c r="V1776" s="53"/>
      <c r="W1776" s="53"/>
      <c r="X1776" s="53"/>
      <c r="Y1776" s="53"/>
      <c r="Z1776" s="53"/>
      <c r="AA1776" s="53"/>
      <c r="AB1776" s="53"/>
      <c r="AC1776" s="53"/>
      <c r="AD1776" s="53"/>
    </row>
    <row r="1777" spans="1:30" ht="63.75">
      <c r="A1777" s="99" t="str">
        <f>'[3]Planilha Orçamentária'!A454</f>
        <v>1.8.5.7</v>
      </c>
      <c r="B1777" s="48">
        <f>VLOOKUP(A1777,'[3]Planilha Orçamentária'!A:K,2,0)</f>
        <v>94274</v>
      </c>
      <c r="C1777" s="100" t="str">
        <f>VLOOKUP(A1777,'[3]Planilha Orçamentária'!A:K,3,0)</f>
        <v>ASSENTAMENTO DE GUIA (MEIO-FIO) EM TRECHO CURVO, CONFECCIONADA EM CONCRETO PRÉ-FABRICADO, DIMENSÕES 100X15X13X30 CM (COMPRIMENTO X BASE INFERIOR X BASE SUPERIOR X ALTURA), PARA VIAS URBANAS (USO VIÁRIO). AF_06/2016</v>
      </c>
      <c r="D1777" s="101" t="str">
        <f>VLOOKUP(A1777,'[3]Planilha Orçamentária'!A:K,4,0)</f>
        <v>M</v>
      </c>
      <c r="E1777" s="100"/>
      <c r="F1777" s="102"/>
      <c r="G1777" s="102"/>
      <c r="H1777" s="102"/>
      <c r="I1777" s="102"/>
      <c r="J1777" s="33">
        <f>ROUND(SUM(J1778:J1779),2)</f>
        <v>16.04</v>
      </c>
      <c r="U1777" s="53"/>
      <c r="V1777" s="53"/>
      <c r="W1777" s="53"/>
      <c r="X1777" s="53"/>
      <c r="Y1777" s="53"/>
      <c r="Z1777" s="53"/>
      <c r="AA1777" s="53"/>
      <c r="AB1777" s="53"/>
      <c r="AC1777" s="53"/>
      <c r="AD1777" s="53"/>
    </row>
    <row r="1778" spans="1:30" ht="12" customHeight="1">
      <c r="A1778" s="94"/>
      <c r="B1778" s="128"/>
      <c r="C1778" s="79" t="s">
        <v>1897</v>
      </c>
      <c r="D1778" s="96"/>
      <c r="E1778" s="82"/>
      <c r="F1778" s="34" t="s">
        <v>1606</v>
      </c>
      <c r="G1778" s="82"/>
      <c r="H1778" s="82"/>
      <c r="I1778" s="82"/>
      <c r="J1778" s="120"/>
      <c r="U1778" s="53"/>
      <c r="V1778" s="53"/>
      <c r="W1778" s="53"/>
      <c r="X1778" s="53"/>
      <c r="Y1778" s="53"/>
      <c r="Z1778" s="53"/>
      <c r="AA1778" s="53"/>
      <c r="AB1778" s="53"/>
      <c r="AC1778" s="53"/>
      <c r="AD1778" s="53"/>
    </row>
    <row r="1779" spans="1:30" ht="16.5" customHeight="1">
      <c r="A1779" s="94"/>
      <c r="B1779" s="128"/>
      <c r="C1779" s="145" t="s">
        <v>1900</v>
      </c>
      <c r="D1779" s="96"/>
      <c r="E1779" s="82"/>
      <c r="F1779" s="34">
        <f>1.94+1.69+3.67+2.92+4.91+0.91</f>
        <v>16.04</v>
      </c>
      <c r="G1779" s="82"/>
      <c r="H1779" s="82"/>
      <c r="I1779" s="82"/>
      <c r="J1779" s="120">
        <f t="shared" ref="J1779" si="171">ROUND(PRODUCT(E1779:I1779),2)</f>
        <v>16.04</v>
      </c>
      <c r="U1779" s="53"/>
      <c r="V1779" s="53"/>
      <c r="W1779" s="53"/>
      <c r="X1779" s="53"/>
      <c r="Y1779" s="53"/>
      <c r="Z1779" s="53"/>
      <c r="AA1779" s="53"/>
      <c r="AB1779" s="53"/>
      <c r="AC1779" s="53"/>
      <c r="AD1779" s="53"/>
    </row>
    <row r="1780" spans="1:30" ht="12" customHeight="1">
      <c r="A1780" s="498"/>
      <c r="B1780" s="499"/>
      <c r="C1780" s="499"/>
      <c r="D1780" s="499"/>
      <c r="E1780" s="499"/>
      <c r="F1780" s="499"/>
      <c r="G1780" s="499"/>
      <c r="H1780" s="499"/>
      <c r="I1780" s="499"/>
      <c r="J1780" s="500"/>
      <c r="U1780" s="53"/>
      <c r="V1780" s="53"/>
      <c r="W1780" s="53"/>
      <c r="X1780" s="53"/>
      <c r="Y1780" s="53"/>
      <c r="Z1780" s="53"/>
      <c r="AA1780" s="53"/>
      <c r="AB1780" s="53"/>
      <c r="AC1780" s="53"/>
      <c r="AD1780" s="53"/>
    </row>
    <row r="1781" spans="1:30" ht="12" customHeight="1">
      <c r="A1781" s="19" t="str">
        <f>'[3]Planilha Orçamentária'!A455</f>
        <v>1.8.6</v>
      </c>
      <c r="B1781" s="20"/>
      <c r="C1781" s="21" t="str">
        <f>VLOOKUP(A1781,'[3]Planilha Orçamentária'!A:K,3,0)</f>
        <v>DRENAGEM</v>
      </c>
      <c r="D1781" s="22"/>
      <c r="E1781" s="23"/>
      <c r="F1781" s="24"/>
      <c r="G1781" s="24"/>
      <c r="H1781" s="24"/>
      <c r="I1781" s="25"/>
      <c r="J1781" s="41"/>
      <c r="U1781" s="53"/>
      <c r="V1781" s="53"/>
      <c r="W1781" s="53"/>
      <c r="X1781" s="53"/>
      <c r="Y1781" s="53"/>
      <c r="Z1781" s="53"/>
      <c r="AA1781" s="53"/>
      <c r="AB1781" s="53"/>
      <c r="AC1781" s="53"/>
      <c r="AD1781" s="53"/>
    </row>
    <row r="1782" spans="1:30" ht="25.5">
      <c r="A1782" s="28" t="str">
        <f>'[3]Planilha Orçamentária'!A456</f>
        <v>1.8.6.1</v>
      </c>
      <c r="B1782" s="42">
        <f>VLOOKUP(A1782,'[3]Planilha Orçamentária'!A:K,2,0)</f>
        <v>93358</v>
      </c>
      <c r="C1782" s="166" t="str">
        <f>VLOOKUP(A1782,'[3]Planilha Orçamentária'!A:K,3,0)</f>
        <v>ESCAVAÇÃO MANUAL DE VALA COM PROFUNDIDADE MENOR OU IGUAL A 1,30 M. AF_02/2021</v>
      </c>
      <c r="D1782" s="31" t="str">
        <f>VLOOKUP(A1782,'[3]Planilha Orçamentária'!A:K,4,0)</f>
        <v>M3</v>
      </c>
      <c r="E1782" s="30"/>
      <c r="F1782" s="32"/>
      <c r="G1782" s="32"/>
      <c r="H1782" s="32"/>
      <c r="I1782" s="32"/>
      <c r="J1782" s="45">
        <f>ROUND(SUM(J1783:J1785),2)</f>
        <v>6.02</v>
      </c>
      <c r="U1782" s="53"/>
      <c r="V1782" s="53"/>
      <c r="W1782" s="53"/>
      <c r="X1782" s="53"/>
      <c r="Y1782" s="53"/>
      <c r="Z1782" s="53"/>
      <c r="AA1782" s="53"/>
      <c r="AB1782" s="53"/>
      <c r="AC1782" s="53"/>
      <c r="AD1782" s="53"/>
    </row>
    <row r="1783" spans="1:30" ht="12" customHeight="1">
      <c r="A1783" s="27"/>
      <c r="B1783" s="27"/>
      <c r="C1783" s="79" t="s">
        <v>1901</v>
      </c>
      <c r="D1783" s="27"/>
      <c r="E1783" s="27"/>
      <c r="F1783" s="27" t="s">
        <v>1708</v>
      </c>
      <c r="G1783" s="27" t="s">
        <v>1607</v>
      </c>
      <c r="H1783" s="27" t="s">
        <v>1663</v>
      </c>
      <c r="I1783" s="27"/>
      <c r="J1783" s="27"/>
      <c r="U1783" s="53"/>
      <c r="V1783" s="53"/>
      <c r="W1783" s="53"/>
      <c r="X1783" s="53"/>
      <c r="Y1783" s="53"/>
      <c r="Z1783" s="53"/>
      <c r="AA1783" s="53"/>
      <c r="AB1783" s="53"/>
      <c r="AC1783" s="53"/>
      <c r="AD1783" s="53"/>
    </row>
    <row r="1784" spans="1:30" ht="16.5" customHeight="1">
      <c r="A1784" s="27"/>
      <c r="B1784" s="27"/>
      <c r="C1784" s="131" t="s">
        <v>1664</v>
      </c>
      <c r="D1784" s="158"/>
      <c r="E1784" s="159"/>
      <c r="F1784" s="156">
        <v>188.1</v>
      </c>
      <c r="G1784" s="156">
        <v>0.4</v>
      </c>
      <c r="H1784" s="156">
        <f>0.16-0.08</f>
        <v>0.08</v>
      </c>
      <c r="I1784" s="27"/>
      <c r="J1784" s="36">
        <f t="shared" ref="J1784" si="172">ROUND(PRODUCT(E1784:I1784),2)</f>
        <v>6.02</v>
      </c>
      <c r="U1784" s="53"/>
      <c r="V1784" s="53"/>
      <c r="W1784" s="53"/>
      <c r="X1784" s="53"/>
      <c r="Y1784" s="53"/>
      <c r="Z1784" s="53"/>
      <c r="AA1784" s="53"/>
      <c r="AB1784" s="53"/>
      <c r="AC1784" s="53"/>
      <c r="AD1784" s="53"/>
    </row>
    <row r="1785" spans="1:30" ht="12" customHeight="1">
      <c r="A1785" s="501"/>
      <c r="B1785" s="502"/>
      <c r="C1785" s="502"/>
      <c r="D1785" s="502"/>
      <c r="E1785" s="502"/>
      <c r="F1785" s="502"/>
      <c r="G1785" s="502"/>
      <c r="H1785" s="502"/>
      <c r="I1785" s="502"/>
      <c r="J1785" s="503"/>
      <c r="U1785" s="53"/>
      <c r="V1785" s="53"/>
      <c r="W1785" s="53"/>
      <c r="X1785" s="53"/>
      <c r="Y1785" s="53"/>
      <c r="Z1785" s="53"/>
      <c r="AA1785" s="53"/>
      <c r="AB1785" s="53"/>
      <c r="AC1785" s="53"/>
      <c r="AD1785" s="53"/>
    </row>
    <row r="1786" spans="1:30" ht="63.75">
      <c r="A1786" s="28" t="str">
        <f>'[3]Planilha Orçamentária'!A457</f>
        <v>1.8.6.2</v>
      </c>
      <c r="B1786" s="42">
        <f>VLOOKUP(A1786,'[3]Planilha Orçamentária'!A:K,2,0)</f>
        <v>90091</v>
      </c>
      <c r="C1786" s="166" t="str">
        <f>VLOOKUP(A1786,'[3]Planilha Orçamentária'!A:K,3,0)</f>
        <v>ESCAVAÇÃO MECANIZADA DE VALA COM PROF. ATÉ 1,5 M (MÉDIA MONTANTE E JUSANTE/UMA COMPOSIÇÃO POR TRECHO), ESCAVADEIRA (0,8 M3), LARG. DE 1,5 M A 2,5 M, EM SOLO DE 1A CATEGORIA, LOCAIS COM BAIXO NÍVEL DE INTERFERÊNCIA. AF_02/2021</v>
      </c>
      <c r="D1786" s="31" t="str">
        <f>VLOOKUP(A1786,'[3]Planilha Orçamentária'!A:K,4,0)</f>
        <v>M3</v>
      </c>
      <c r="E1786" s="30"/>
      <c r="F1786" s="32"/>
      <c r="G1786" s="32"/>
      <c r="H1786" s="32"/>
      <c r="I1786" s="32"/>
      <c r="J1786" s="45">
        <f>ROUND(SUM(J1787:J1791),2)</f>
        <v>83.79</v>
      </c>
      <c r="U1786" s="53"/>
      <c r="V1786" s="53"/>
      <c r="W1786" s="53"/>
      <c r="X1786" s="53"/>
      <c r="Y1786" s="53"/>
      <c r="Z1786" s="53"/>
      <c r="AA1786" s="53"/>
      <c r="AB1786" s="53"/>
      <c r="AC1786" s="53"/>
      <c r="AD1786" s="53"/>
    </row>
    <row r="1787" spans="1:30" ht="12" customHeight="1">
      <c r="A1787" s="27"/>
      <c r="B1787" s="27"/>
      <c r="C1787" s="79" t="s">
        <v>1901</v>
      </c>
      <c r="D1787" s="27"/>
      <c r="E1787" s="27"/>
      <c r="F1787" s="27" t="s">
        <v>1708</v>
      </c>
      <c r="G1787" s="27" t="s">
        <v>1607</v>
      </c>
      <c r="H1787" s="27" t="s">
        <v>1663</v>
      </c>
      <c r="I1787" s="27"/>
      <c r="J1787" s="27"/>
      <c r="U1787" s="53"/>
      <c r="V1787" s="53"/>
      <c r="W1787" s="53"/>
      <c r="X1787" s="53"/>
      <c r="Y1787" s="53"/>
      <c r="Z1787" s="53"/>
      <c r="AA1787" s="53"/>
      <c r="AB1787" s="53"/>
      <c r="AC1787" s="53"/>
      <c r="AD1787" s="53"/>
    </row>
    <row r="1788" spans="1:30" ht="42.75">
      <c r="A1788" s="27"/>
      <c r="B1788" s="27"/>
      <c r="C1788" s="281" t="s">
        <v>1746</v>
      </c>
      <c r="D1788" s="191"/>
      <c r="E1788" s="156"/>
      <c r="F1788" s="80">
        <v>238.21</v>
      </c>
      <c r="G1788" s="156">
        <f>1+0.6</f>
        <v>1.6</v>
      </c>
      <c r="H1788" s="156">
        <f>0.55-0.38</f>
        <v>0.17000000000000004</v>
      </c>
      <c r="I1788" s="27"/>
      <c r="J1788" s="36">
        <f t="shared" ref="J1788:J1790" si="173">ROUND(PRODUCT(E1788:I1788),2)</f>
        <v>64.790000000000006</v>
      </c>
      <c r="K1788" s="7" t="s">
        <v>1837</v>
      </c>
      <c r="U1788" s="53"/>
      <c r="V1788" s="53"/>
      <c r="W1788" s="53"/>
      <c r="X1788" s="53"/>
      <c r="Y1788" s="53"/>
      <c r="Z1788" s="53"/>
      <c r="AA1788" s="53"/>
      <c r="AB1788" s="53"/>
      <c r="AC1788" s="53"/>
      <c r="AD1788" s="53"/>
    </row>
    <row r="1789" spans="1:30" ht="14.25">
      <c r="A1789" s="27"/>
      <c r="B1789" s="27"/>
      <c r="C1789" s="126" t="s">
        <v>1902</v>
      </c>
      <c r="D1789" s="63"/>
      <c r="E1789" s="62"/>
      <c r="F1789" s="80" t="s">
        <v>1606</v>
      </c>
      <c r="G1789" s="80" t="s">
        <v>1607</v>
      </c>
      <c r="H1789" s="80" t="s">
        <v>1836</v>
      </c>
      <c r="I1789" s="80" t="s">
        <v>1660</v>
      </c>
      <c r="J1789" s="36"/>
      <c r="U1789" s="53"/>
      <c r="V1789" s="53"/>
      <c r="W1789" s="53"/>
      <c r="X1789" s="53"/>
      <c r="Y1789" s="53"/>
      <c r="Z1789" s="53"/>
      <c r="AA1789" s="53"/>
      <c r="AB1789" s="53"/>
      <c r="AC1789" s="53"/>
      <c r="AD1789" s="53"/>
    </row>
    <row r="1790" spans="1:30" ht="38.25">
      <c r="A1790" s="27"/>
      <c r="B1790" s="27"/>
      <c r="C1790" s="288" t="s">
        <v>1903</v>
      </c>
      <c r="D1790" s="63"/>
      <c r="E1790" s="62"/>
      <c r="F1790" s="134">
        <f>1.4+0.6</f>
        <v>2</v>
      </c>
      <c r="G1790" s="134">
        <f>1.4+0.6</f>
        <v>2</v>
      </c>
      <c r="H1790" s="134">
        <v>0.95</v>
      </c>
      <c r="I1790" s="134">
        <v>5</v>
      </c>
      <c r="J1790" s="36">
        <f t="shared" si="173"/>
        <v>19</v>
      </c>
      <c r="K1790" s="7" t="s">
        <v>1837</v>
      </c>
      <c r="U1790" s="53"/>
      <c r="V1790" s="53"/>
      <c r="W1790" s="53"/>
      <c r="X1790" s="53"/>
      <c r="Y1790" s="53"/>
      <c r="Z1790" s="53"/>
      <c r="AA1790" s="53"/>
      <c r="AB1790" s="53"/>
      <c r="AC1790" s="53"/>
      <c r="AD1790" s="53"/>
    </row>
    <row r="1791" spans="1:30" ht="12" customHeight="1">
      <c r="A1791" s="501"/>
      <c r="B1791" s="502"/>
      <c r="C1791" s="502"/>
      <c r="D1791" s="502"/>
      <c r="E1791" s="502"/>
      <c r="F1791" s="502"/>
      <c r="G1791" s="502"/>
      <c r="H1791" s="502"/>
      <c r="I1791" s="502"/>
      <c r="J1791" s="503"/>
      <c r="U1791" s="53"/>
      <c r="V1791" s="53"/>
      <c r="W1791" s="53"/>
      <c r="X1791" s="53"/>
      <c r="Y1791" s="53"/>
      <c r="Z1791" s="53"/>
      <c r="AA1791" s="53"/>
      <c r="AB1791" s="53"/>
      <c r="AC1791" s="53"/>
      <c r="AD1791" s="53"/>
    </row>
    <row r="1792" spans="1:30" ht="63.75">
      <c r="A1792" s="28" t="str">
        <f>'[3]Planilha Orçamentária'!A458</f>
        <v>1.8.6.3</v>
      </c>
      <c r="B1792" s="29">
        <f>VLOOKUP(A1792,'[3]Planilha Orçamentária'!A:K,2,0)</f>
        <v>90106</v>
      </c>
      <c r="C1792" s="166" t="str">
        <f>VLOOKUP(A1792,'[3]Planilha Orçamentária'!A:K,3,0)</f>
        <v>ESCAVAÇÃO MECANIZADA DE VALA COM PROFUNDIDADE ATÉ 1,5 M (MÉDIA MONTANTE E JUSANTE/UMA COMPOSIÇÃO POR TRECHO), RETROESCAV. (0,26 M3), LARGURA DE 0,8 M A 1,5 M, EM SOLO DE 1A CATEGORIA, LOCAIS COM BAIXO NÍVEL DE INTERFERÊNCIA. AF_02/2021</v>
      </c>
      <c r="D1792" s="31" t="str">
        <f>VLOOKUP(A1792,'[3]Planilha Orçamentária'!A:K,4,0)</f>
        <v>M3</v>
      </c>
      <c r="E1792" s="30"/>
      <c r="F1792" s="32"/>
      <c r="G1792" s="32"/>
      <c r="H1792" s="32"/>
      <c r="I1792" s="32"/>
      <c r="J1792" s="33">
        <f>ROUND(SUM(J1793:J1796),2)</f>
        <v>62.48</v>
      </c>
      <c r="U1792" s="53"/>
      <c r="V1792" s="53"/>
      <c r="W1792" s="53"/>
      <c r="X1792" s="53"/>
      <c r="Y1792" s="53"/>
      <c r="Z1792" s="53"/>
      <c r="AA1792" s="53"/>
      <c r="AB1792" s="53"/>
      <c r="AC1792" s="53"/>
      <c r="AD1792" s="53"/>
    </row>
    <row r="1793" spans="1:30">
      <c r="A1793" s="27"/>
      <c r="B1793" s="27"/>
      <c r="C1793" s="79" t="s">
        <v>1901</v>
      </c>
      <c r="D1793" s="27"/>
      <c r="E1793" s="27"/>
      <c r="F1793" s="27"/>
      <c r="G1793" s="27"/>
      <c r="H1793" s="27"/>
      <c r="I1793" s="27"/>
      <c r="J1793" s="27"/>
      <c r="U1793" s="53"/>
      <c r="V1793" s="53"/>
      <c r="W1793" s="53"/>
      <c r="X1793" s="53"/>
      <c r="Y1793" s="53"/>
      <c r="Z1793" s="53"/>
      <c r="AA1793" s="53"/>
      <c r="AB1793" s="53"/>
      <c r="AC1793" s="53"/>
      <c r="AD1793" s="53"/>
    </row>
    <row r="1794" spans="1:30" ht="14.25">
      <c r="A1794" s="27"/>
      <c r="B1794" s="27"/>
      <c r="C1794" s="131" t="s">
        <v>1904</v>
      </c>
      <c r="D1794" s="191"/>
      <c r="E1794" s="156"/>
      <c r="F1794" s="80" t="s">
        <v>1606</v>
      </c>
      <c r="G1794" s="80" t="s">
        <v>1607</v>
      </c>
      <c r="H1794" s="80" t="s">
        <v>1836</v>
      </c>
      <c r="I1794" s="27"/>
      <c r="J1794" s="27"/>
      <c r="U1794" s="53"/>
      <c r="V1794" s="53"/>
      <c r="W1794" s="53"/>
      <c r="X1794" s="53"/>
      <c r="Y1794" s="53"/>
      <c r="Z1794" s="53"/>
      <c r="AA1794" s="53"/>
      <c r="AB1794" s="53"/>
      <c r="AC1794" s="53"/>
      <c r="AD1794" s="53"/>
    </row>
    <row r="1795" spans="1:30" ht="28.5">
      <c r="A1795" s="27"/>
      <c r="B1795" s="27"/>
      <c r="C1795" s="281" t="s">
        <v>1905</v>
      </c>
      <c r="D1795" s="191"/>
      <c r="E1795" s="156"/>
      <c r="F1795" s="284">
        <v>73.08</v>
      </c>
      <c r="G1795" s="284">
        <f>0.6+0.3</f>
        <v>0.89999999999999991</v>
      </c>
      <c r="H1795" s="134">
        <v>0.95</v>
      </c>
      <c r="I1795" s="27"/>
      <c r="J1795" s="36">
        <f t="shared" ref="J1795" si="174">ROUND(PRODUCT(E1795:I1795),2)</f>
        <v>62.48</v>
      </c>
      <c r="K1795" s="7" t="s">
        <v>1906</v>
      </c>
      <c r="U1795" s="53"/>
      <c r="V1795" s="53"/>
      <c r="W1795" s="53"/>
      <c r="X1795" s="53"/>
      <c r="Y1795" s="53"/>
      <c r="Z1795" s="53"/>
      <c r="AA1795" s="53"/>
      <c r="AB1795" s="53"/>
      <c r="AC1795" s="53"/>
      <c r="AD1795" s="53"/>
    </row>
    <row r="1796" spans="1:30" ht="12" customHeight="1">
      <c r="A1796" s="238"/>
      <c r="B1796" s="239"/>
      <c r="C1796" s="239"/>
      <c r="D1796" s="239"/>
      <c r="E1796" s="239"/>
      <c r="F1796" s="239"/>
      <c r="G1796" s="239"/>
      <c r="H1796" s="239"/>
      <c r="I1796" s="239"/>
      <c r="J1796" s="334"/>
      <c r="U1796" s="53"/>
      <c r="V1796" s="53"/>
      <c r="W1796" s="53"/>
      <c r="X1796" s="53"/>
      <c r="Y1796" s="53"/>
      <c r="Z1796" s="53"/>
      <c r="AA1796" s="53"/>
      <c r="AB1796" s="53"/>
      <c r="AC1796" s="53"/>
      <c r="AD1796" s="53"/>
    </row>
    <row r="1797" spans="1:30" ht="63.75">
      <c r="A1797" s="28" t="str">
        <f>'[3]Planilha Orçamentária'!A459</f>
        <v>1.8.6.4</v>
      </c>
      <c r="B1797" s="42">
        <f>VLOOKUP(A1797,'[3]Planilha Orçamentária'!A:K,2,0)</f>
        <v>93367</v>
      </c>
      <c r="C1797" s="166" t="str">
        <f>VLOOKUP(A1797,'[3]Planilha Orçamentária'!A:K,3,0)</f>
        <v>REATERRO MECANIZADO DE VALA COM ESCAVADEIRA HIDRÁULICA (CAPACIDADE DA CAÇAMBA: 0,8 M³ / POTÊNCIA: 111 HP), LARGURA DE 1,5 A 2,5 M, PROFUNDIDADE ATÉ 1,5 M, COM SOLO DE 1ª CATEGORIA EM LOCAIS COM BAIXO NÍVEL DE INTERFERÊNCIA. AF_04/2016</v>
      </c>
      <c r="D1797" s="31" t="str">
        <f>VLOOKUP(A1797,'[3]Planilha Orçamentária'!A:K,4,0)</f>
        <v>M3</v>
      </c>
      <c r="E1797" s="30"/>
      <c r="F1797" s="32"/>
      <c r="G1797" s="32"/>
      <c r="H1797" s="32"/>
      <c r="I1797" s="32"/>
      <c r="J1797" s="45">
        <f>ROUND(SUM(J1798:J1804),2)</f>
        <v>33.979999999999997</v>
      </c>
      <c r="U1797" s="53"/>
      <c r="V1797" s="53"/>
      <c r="W1797" s="53"/>
      <c r="X1797" s="53"/>
      <c r="Y1797" s="53"/>
      <c r="Z1797" s="53"/>
      <c r="AA1797" s="53"/>
      <c r="AB1797" s="53"/>
      <c r="AC1797" s="53"/>
      <c r="AD1797" s="53"/>
    </row>
    <row r="1798" spans="1:30" ht="12" customHeight="1">
      <c r="A1798" s="27"/>
      <c r="B1798" s="27"/>
      <c r="C1798" s="79" t="s">
        <v>1901</v>
      </c>
      <c r="D1798" s="27"/>
      <c r="E1798" s="27"/>
      <c r="F1798" s="27"/>
      <c r="G1798" s="27"/>
      <c r="H1798" s="27"/>
      <c r="I1798" s="27"/>
      <c r="J1798" s="27"/>
      <c r="U1798" s="53"/>
      <c r="V1798" s="53"/>
      <c r="W1798" s="53"/>
      <c r="X1798" s="53"/>
      <c r="Y1798" s="53"/>
      <c r="Z1798" s="53"/>
      <c r="AA1798" s="53"/>
      <c r="AB1798" s="53"/>
      <c r="AC1798" s="53"/>
      <c r="AD1798" s="53"/>
    </row>
    <row r="1799" spans="1:30" ht="12" customHeight="1">
      <c r="A1799" s="27"/>
      <c r="B1799" s="27"/>
      <c r="C1799" s="80" t="s">
        <v>1748</v>
      </c>
      <c r="D1799" s="231"/>
      <c r="E1799" s="231"/>
      <c r="F1799" s="27"/>
      <c r="G1799" s="27"/>
      <c r="H1799" s="27"/>
      <c r="I1799" s="290">
        <f>J1788</f>
        <v>64.790000000000006</v>
      </c>
      <c r="J1799" s="36">
        <f t="shared" ref="J1799:J1803" si="175">ROUND(PRODUCT(E1799:I1799),2)</f>
        <v>64.790000000000006</v>
      </c>
      <c r="U1799" s="53"/>
      <c r="V1799" s="53"/>
      <c r="W1799" s="53"/>
      <c r="X1799" s="53"/>
      <c r="Y1799" s="53"/>
      <c r="Z1799" s="53"/>
      <c r="AA1799" s="53"/>
      <c r="AB1799" s="53"/>
      <c r="AC1799" s="53"/>
      <c r="AD1799" s="53"/>
    </row>
    <row r="1800" spans="1:30" ht="25.5">
      <c r="A1800" s="27"/>
      <c r="B1800" s="27"/>
      <c r="C1800" s="288" t="s">
        <v>1749</v>
      </c>
      <c r="D1800" s="231"/>
      <c r="E1800" s="231">
        <v>-1</v>
      </c>
      <c r="F1800" s="27">
        <f>F1788</f>
        <v>238.21</v>
      </c>
      <c r="G1800" s="27">
        <v>1</v>
      </c>
      <c r="H1800" s="290">
        <f>H1788</f>
        <v>0.17000000000000004</v>
      </c>
      <c r="I1800" s="290"/>
      <c r="J1800" s="36">
        <f t="shared" si="175"/>
        <v>-40.5</v>
      </c>
      <c r="U1800" s="53"/>
      <c r="V1800" s="53"/>
      <c r="W1800" s="53"/>
      <c r="X1800" s="53"/>
      <c r="Y1800" s="53"/>
      <c r="Z1800" s="53"/>
      <c r="AA1800" s="53"/>
      <c r="AB1800" s="53"/>
      <c r="AC1800" s="53"/>
      <c r="AD1800" s="53"/>
    </row>
    <row r="1801" spans="1:30" ht="25.5">
      <c r="A1801" s="37"/>
      <c r="B1801" s="38"/>
      <c r="C1801" s="321" t="s">
        <v>1907</v>
      </c>
      <c r="D1801" s="164"/>
      <c r="E1801" s="164"/>
      <c r="F1801" s="164"/>
      <c r="G1801" s="164"/>
      <c r="H1801" s="164"/>
      <c r="I1801" s="164"/>
      <c r="J1801" s="312"/>
      <c r="U1801" s="53"/>
      <c r="V1801" s="53"/>
      <c r="W1801" s="53"/>
      <c r="X1801" s="53"/>
      <c r="Y1801" s="53"/>
      <c r="Z1801" s="53"/>
      <c r="AA1801" s="53"/>
      <c r="AB1801" s="53"/>
      <c r="AC1801" s="53"/>
      <c r="AD1801" s="53"/>
    </row>
    <row r="1802" spans="1:30" ht="15">
      <c r="A1802" s="37"/>
      <c r="B1802" s="38"/>
      <c r="C1802" s="288" t="s">
        <v>1748</v>
      </c>
      <c r="D1802" s="164"/>
      <c r="E1802" s="164"/>
      <c r="F1802" s="330"/>
      <c r="G1802" s="330"/>
      <c r="H1802" s="330"/>
      <c r="I1802" s="156">
        <f>J1790</f>
        <v>19</v>
      </c>
      <c r="J1802" s="36">
        <f t="shared" si="175"/>
        <v>19</v>
      </c>
      <c r="U1802" s="53"/>
      <c r="V1802" s="53"/>
      <c r="W1802" s="53"/>
      <c r="X1802" s="53"/>
      <c r="Y1802" s="53"/>
      <c r="Z1802" s="53"/>
      <c r="AA1802" s="53"/>
      <c r="AB1802" s="53"/>
      <c r="AC1802" s="53"/>
      <c r="AD1802" s="53"/>
    </row>
    <row r="1803" spans="1:30" ht="25.5">
      <c r="A1803" s="37"/>
      <c r="B1803" s="38"/>
      <c r="C1803" s="288" t="s">
        <v>1908</v>
      </c>
      <c r="D1803" s="164"/>
      <c r="E1803" s="164">
        <v>-1</v>
      </c>
      <c r="F1803" s="330">
        <v>1.4</v>
      </c>
      <c r="G1803" s="330">
        <v>1.4</v>
      </c>
      <c r="H1803" s="330">
        <f>H1790</f>
        <v>0.95</v>
      </c>
      <c r="I1803" s="330">
        <f>I1790</f>
        <v>5</v>
      </c>
      <c r="J1803" s="36">
        <f t="shared" si="175"/>
        <v>-9.31</v>
      </c>
      <c r="U1803" s="53"/>
      <c r="V1803" s="53"/>
      <c r="W1803" s="53"/>
      <c r="X1803" s="53"/>
      <c r="Y1803" s="53"/>
      <c r="Z1803" s="53"/>
      <c r="AA1803" s="53"/>
      <c r="AB1803" s="53"/>
      <c r="AC1803" s="53"/>
      <c r="AD1803" s="53"/>
    </row>
    <row r="1804" spans="1:30" ht="12" customHeight="1">
      <c r="A1804" s="501"/>
      <c r="B1804" s="502"/>
      <c r="C1804" s="502"/>
      <c r="D1804" s="502"/>
      <c r="E1804" s="502"/>
      <c r="F1804" s="502"/>
      <c r="G1804" s="502"/>
      <c r="H1804" s="502"/>
      <c r="I1804" s="502"/>
      <c r="J1804" s="503"/>
      <c r="U1804" s="53"/>
      <c r="V1804" s="53"/>
      <c r="W1804" s="53"/>
      <c r="X1804" s="53"/>
      <c r="Y1804" s="53"/>
      <c r="Z1804" s="53"/>
      <c r="AA1804" s="53"/>
      <c r="AB1804" s="53"/>
      <c r="AC1804" s="53"/>
      <c r="AD1804" s="53"/>
    </row>
    <row r="1805" spans="1:30" ht="63.75">
      <c r="A1805" s="112" t="str">
        <f>'[3]Planilha Orçamentária'!A460</f>
        <v>1.8.6.5</v>
      </c>
      <c r="B1805" s="146">
        <f>VLOOKUP(A1805,'[3]Planilha Orçamentária'!A:K,2,0)</f>
        <v>93379</v>
      </c>
      <c r="C1805" s="147" t="str">
        <f>VLOOKUP(A1805,'[3]Planilha Orçamentária'!A:K,3,0)</f>
        <v>REATERRO MECANIZADO DE VALA COM RETROESCAVADEIRA (CAPACIDADE DA CAÇAMBA DA RETRO: 0,26 M³ / POTÊNCIA: 88 HP), LARGURA DE 0,8 A 1,5 M, PROFUNDIDADE ATÉ 1,5 M, COM SOLO DE 1ª CATEGORIA EM LOCAIS COM BAIXO NÍVEL DE INTERFERÊNCIA. AF_04/2016</v>
      </c>
      <c r="D1805" s="148" t="str">
        <f>VLOOKUP(A1805,'[3]Planilha Orçamentária'!A:K,4,0)</f>
        <v>M3</v>
      </c>
      <c r="E1805" s="149"/>
      <c r="F1805" s="150"/>
      <c r="G1805" s="150"/>
      <c r="H1805" s="150"/>
      <c r="I1805" s="150"/>
      <c r="J1805" s="151">
        <f>ROUND(SUM(J1806:J1808),2)</f>
        <v>41.82</v>
      </c>
      <c r="U1805" s="53"/>
      <c r="V1805" s="53"/>
      <c r="W1805" s="53"/>
      <c r="X1805" s="53"/>
      <c r="Y1805" s="53"/>
      <c r="Z1805" s="53"/>
      <c r="AA1805" s="53"/>
      <c r="AB1805" s="53"/>
      <c r="AC1805" s="53"/>
      <c r="AD1805" s="53"/>
    </row>
    <row r="1806" spans="1:30" ht="25.5">
      <c r="A1806" s="27"/>
      <c r="B1806" s="27"/>
      <c r="C1806" s="73" t="s">
        <v>1909</v>
      </c>
      <c r="D1806" s="152"/>
      <c r="E1806" s="152"/>
      <c r="F1806" s="152"/>
      <c r="G1806" s="152"/>
      <c r="H1806" s="152"/>
      <c r="I1806" s="152"/>
      <c r="J1806" s="27"/>
      <c r="U1806" s="53"/>
      <c r="V1806" s="53"/>
      <c r="W1806" s="53"/>
      <c r="X1806" s="53"/>
      <c r="Y1806" s="53"/>
      <c r="Z1806" s="53"/>
      <c r="AA1806" s="53"/>
      <c r="AB1806" s="53"/>
      <c r="AC1806" s="53"/>
      <c r="AD1806" s="53"/>
    </row>
    <row r="1807" spans="1:30">
      <c r="A1807" s="27"/>
      <c r="B1807" s="27"/>
      <c r="C1807" s="145" t="s">
        <v>1845</v>
      </c>
      <c r="D1807" s="152"/>
      <c r="E1807" s="156"/>
      <c r="F1807" s="156"/>
      <c r="G1807" s="156"/>
      <c r="H1807" s="156"/>
      <c r="I1807" s="156">
        <f>J1792</f>
        <v>62.48</v>
      </c>
      <c r="J1807" s="36">
        <f t="shared" ref="J1807:J1808" si="176">ROUND(PRODUCT(E1807:I1807),2)</f>
        <v>62.48</v>
      </c>
      <c r="U1807" s="53"/>
      <c r="V1807" s="53"/>
      <c r="W1807" s="53"/>
      <c r="X1807" s="53"/>
      <c r="Y1807" s="53"/>
      <c r="Z1807" s="53"/>
      <c r="AA1807" s="53"/>
      <c r="AB1807" s="53"/>
      <c r="AC1807" s="53"/>
      <c r="AD1807" s="53"/>
    </row>
    <row r="1808" spans="1:30" ht="25.5">
      <c r="A1808" s="27"/>
      <c r="B1808" s="27"/>
      <c r="C1808" s="145" t="s">
        <v>1910</v>
      </c>
      <c r="D1808" s="152"/>
      <c r="E1808" s="82">
        <v>-1</v>
      </c>
      <c r="F1808" s="82">
        <f>F1795</f>
        <v>73.08</v>
      </c>
      <c r="G1808" s="82"/>
      <c r="H1808" s="156"/>
      <c r="I1808" s="156">
        <f>PI()*(0.3^2)</f>
        <v>0.28274333882308139</v>
      </c>
      <c r="J1808" s="36">
        <f t="shared" si="176"/>
        <v>-20.66</v>
      </c>
      <c r="U1808" s="53"/>
      <c r="V1808" s="53"/>
      <c r="W1808" s="53"/>
      <c r="X1808" s="53"/>
      <c r="Y1808" s="53"/>
      <c r="Z1808" s="53"/>
      <c r="AA1808" s="53"/>
      <c r="AB1808" s="53"/>
      <c r="AC1808" s="53"/>
      <c r="AD1808" s="53"/>
    </row>
    <row r="1809" spans="1:30" ht="12" customHeight="1">
      <c r="A1809" s="27"/>
      <c r="B1809" s="27"/>
      <c r="C1809" s="27"/>
      <c r="D1809" s="27"/>
      <c r="E1809" s="27"/>
      <c r="F1809" s="27"/>
      <c r="G1809" s="27"/>
      <c r="H1809" s="27"/>
      <c r="I1809" s="27"/>
      <c r="J1809" s="27"/>
      <c r="U1809" s="53"/>
      <c r="V1809" s="53"/>
      <c r="W1809" s="53"/>
      <c r="X1809" s="53"/>
      <c r="Y1809" s="53"/>
      <c r="Z1809" s="53"/>
      <c r="AA1809" s="53"/>
      <c r="AB1809" s="53"/>
      <c r="AC1809" s="53"/>
      <c r="AD1809" s="53"/>
    </row>
    <row r="1810" spans="1:30" ht="12" customHeight="1">
      <c r="A1810" s="518"/>
      <c r="B1810" s="519"/>
      <c r="C1810" s="519"/>
      <c r="D1810" s="519"/>
      <c r="E1810" s="519"/>
      <c r="F1810" s="519"/>
      <c r="G1810" s="519"/>
      <c r="H1810" s="519"/>
      <c r="I1810" s="519"/>
      <c r="J1810" s="519"/>
      <c r="U1810" s="53"/>
      <c r="V1810" s="53"/>
      <c r="W1810" s="53"/>
      <c r="X1810" s="53"/>
      <c r="Y1810" s="53"/>
      <c r="Z1810" s="53"/>
      <c r="AA1810" s="53"/>
      <c r="AB1810" s="53"/>
      <c r="AC1810" s="53"/>
      <c r="AD1810" s="53"/>
    </row>
    <row r="1811" spans="1:30" ht="51">
      <c r="A1811" s="28" t="str">
        <f>'[3]Planilha Orçamentária'!A461</f>
        <v>1.8.6.6</v>
      </c>
      <c r="B1811" s="42" t="str">
        <f>VLOOKUP(A1811,'[3]Planilha Orçamentária'!A:K,2,0)</f>
        <v>COMP-35145154</v>
      </c>
      <c r="C1811" s="166" t="str">
        <f>VLOOKUP(A1811,'[3]Planilha Orçamentária'!A:K,3,0)</f>
        <v>CARGA E DESCARGA MECANICA DE SOLO UTILIZANDO CAMINHAO BASCULANTE 14,0M3/36T E PA CARREGADEIRA SOBRE PNEUS 128 HP, CAPACIDADE DA CAÇAMBA 1,7 A 2,8 M3, PESO OPERACIONAL 11632 KH</v>
      </c>
      <c r="D1811" s="31" t="str">
        <f>VLOOKUP(A1811,'[3]Planilha Orçamentária'!A:K,4,0)</f>
        <v>M3</v>
      </c>
      <c r="E1811" s="30"/>
      <c r="F1811" s="32"/>
      <c r="G1811" s="32"/>
      <c r="H1811" s="32"/>
      <c r="I1811" s="32"/>
      <c r="J1811" s="45">
        <f>ROUND(SUM(J1812:J1814),2)</f>
        <v>88.09</v>
      </c>
      <c r="U1811" s="53"/>
      <c r="V1811" s="53"/>
      <c r="W1811" s="53"/>
      <c r="X1811" s="53"/>
      <c r="Y1811" s="53"/>
      <c r="Z1811" s="53"/>
      <c r="AA1811" s="53"/>
      <c r="AB1811" s="53"/>
      <c r="AC1811" s="53"/>
      <c r="AD1811" s="53"/>
    </row>
    <row r="1812" spans="1:30" ht="25.5">
      <c r="A1812" s="27"/>
      <c r="B1812" s="27"/>
      <c r="C1812" s="79"/>
      <c r="D1812" s="63"/>
      <c r="E1812" s="79" t="s">
        <v>1622</v>
      </c>
      <c r="F1812" s="80"/>
      <c r="G1812" s="80"/>
      <c r="H1812" s="80"/>
      <c r="I1812" s="80" t="s">
        <v>1750</v>
      </c>
      <c r="J1812" s="27"/>
      <c r="U1812" s="53"/>
      <c r="V1812" s="53"/>
      <c r="W1812" s="53"/>
      <c r="X1812" s="53"/>
      <c r="Y1812" s="53"/>
      <c r="Z1812" s="53"/>
      <c r="AA1812" s="53"/>
      <c r="AB1812" s="53"/>
      <c r="AC1812" s="53"/>
      <c r="AD1812" s="53"/>
    </row>
    <row r="1813" spans="1:30" ht="14.25">
      <c r="A1813" s="27"/>
      <c r="B1813" s="27"/>
      <c r="C1813" s="291" t="s">
        <v>1751</v>
      </c>
      <c r="D1813" s="292"/>
      <c r="E1813" s="156">
        <v>1.25</v>
      </c>
      <c r="F1813" s="82"/>
      <c r="G1813" s="293"/>
      <c r="H1813" s="293"/>
      <c r="I1813" s="293">
        <f>(J1786+J1792)-(J1797+J1805)</f>
        <v>70.470000000000013</v>
      </c>
      <c r="J1813" s="36">
        <f t="shared" ref="J1813" si="177">ROUND(PRODUCT(E1813:I1813),2)</f>
        <v>88.09</v>
      </c>
      <c r="U1813" s="53"/>
      <c r="V1813" s="53"/>
      <c r="W1813" s="53"/>
      <c r="X1813" s="53"/>
      <c r="Y1813" s="53"/>
      <c r="Z1813" s="53"/>
      <c r="AA1813" s="53"/>
      <c r="AB1813" s="53"/>
      <c r="AC1813" s="53"/>
      <c r="AD1813" s="53"/>
    </row>
    <row r="1814" spans="1:30" ht="12" customHeight="1">
      <c r="A1814" s="501"/>
      <c r="B1814" s="502"/>
      <c r="C1814" s="502"/>
      <c r="D1814" s="502"/>
      <c r="E1814" s="502"/>
      <c r="F1814" s="502"/>
      <c r="G1814" s="502"/>
      <c r="H1814" s="502"/>
      <c r="I1814" s="502"/>
      <c r="J1814" s="503"/>
      <c r="U1814" s="53"/>
      <c r="V1814" s="53"/>
      <c r="W1814" s="53"/>
      <c r="X1814" s="53"/>
      <c r="Y1814" s="53"/>
      <c r="Z1814" s="53"/>
      <c r="AA1814" s="53"/>
      <c r="AB1814" s="53"/>
      <c r="AC1814" s="53"/>
      <c r="AD1814" s="53"/>
    </row>
    <row r="1815" spans="1:30" ht="38.25">
      <c r="A1815" s="28" t="str">
        <f>'[3]Planilha Orçamentária'!A462</f>
        <v>1.8.6.7</v>
      </c>
      <c r="B1815" s="42">
        <f>VLOOKUP(A1815,'[3]Planilha Orçamentária'!A:K,2,0)</f>
        <v>95876</v>
      </c>
      <c r="C1815" s="166" t="str">
        <f>VLOOKUP(A1815,'[3]Planilha Orçamentária'!A:K,3,0)</f>
        <v>TRANSPORTE COM CAMINHÃO BASCULANTE DE 14 M³, EM VIA URBANA PAVIMENTADA, DMT ATÉ 30 KM (UNIDADE: M3XKM). AF_07/2020</v>
      </c>
      <c r="D1815" s="31" t="str">
        <f>VLOOKUP(A1815,'[3]Planilha Orçamentária'!A:K,4,0)</f>
        <v>M3XKM</v>
      </c>
      <c r="E1815" s="30"/>
      <c r="F1815" s="32"/>
      <c r="G1815" s="32"/>
      <c r="H1815" s="32"/>
      <c r="I1815" s="32"/>
      <c r="J1815" s="45">
        <f>ROUND(SUM(J1816:J1818),2)</f>
        <v>1497.53</v>
      </c>
      <c r="U1815" s="53"/>
      <c r="V1815" s="53"/>
      <c r="W1815" s="53"/>
      <c r="X1815" s="53"/>
      <c r="Y1815" s="53"/>
      <c r="Z1815" s="53"/>
      <c r="AA1815" s="53"/>
      <c r="AB1815" s="53"/>
      <c r="AC1815" s="53"/>
      <c r="AD1815" s="53"/>
    </row>
    <row r="1816" spans="1:30" ht="12" customHeight="1">
      <c r="A1816" s="27"/>
      <c r="B1816" s="27"/>
      <c r="C1816" s="90" t="s">
        <v>1893</v>
      </c>
      <c r="D1816" s="27"/>
      <c r="E1816" s="27" t="s">
        <v>1627</v>
      </c>
      <c r="F1816" s="32"/>
      <c r="G1816" s="32"/>
      <c r="H1816" s="32"/>
      <c r="I1816" s="34" t="s">
        <v>1795</v>
      </c>
      <c r="J1816" s="27"/>
      <c r="U1816" s="53"/>
      <c r="V1816" s="53"/>
      <c r="W1816" s="53"/>
      <c r="X1816" s="53"/>
      <c r="Y1816" s="53"/>
      <c r="Z1816" s="53"/>
      <c r="AA1816" s="53"/>
      <c r="AB1816" s="53"/>
      <c r="AC1816" s="53"/>
      <c r="AD1816" s="53"/>
    </row>
    <row r="1817" spans="1:30" ht="12" customHeight="1">
      <c r="A1817" s="27"/>
      <c r="B1817" s="27"/>
      <c r="C1817" s="73" t="s">
        <v>1896</v>
      </c>
      <c r="D1817" s="27"/>
      <c r="E1817" s="81">
        <v>17</v>
      </c>
      <c r="F1817" s="35"/>
      <c r="G1817" s="82"/>
      <c r="H1817" s="82"/>
      <c r="I1817" s="82">
        <f>J1811</f>
        <v>88.09</v>
      </c>
      <c r="J1817" s="36">
        <f t="shared" ref="J1817" si="178">ROUND(PRODUCT(E1817:I1817),2)</f>
        <v>1497.53</v>
      </c>
      <c r="U1817" s="53"/>
      <c r="V1817" s="53"/>
      <c r="W1817" s="53"/>
      <c r="X1817" s="53"/>
      <c r="Y1817" s="53"/>
      <c r="Z1817" s="53"/>
      <c r="AA1817" s="53"/>
      <c r="AB1817" s="53"/>
      <c r="AC1817" s="53"/>
      <c r="AD1817" s="53"/>
    </row>
    <row r="1818" spans="1:30" ht="12" customHeight="1">
      <c r="A1818" s="501"/>
      <c r="B1818" s="502"/>
      <c r="C1818" s="502"/>
      <c r="D1818" s="502"/>
      <c r="E1818" s="502"/>
      <c r="F1818" s="502"/>
      <c r="G1818" s="502"/>
      <c r="H1818" s="502"/>
      <c r="I1818" s="502"/>
      <c r="J1818" s="503"/>
      <c r="U1818" s="53"/>
      <c r="V1818" s="53"/>
      <c r="W1818" s="53"/>
      <c r="X1818" s="53"/>
      <c r="Y1818" s="53"/>
      <c r="Z1818" s="53"/>
      <c r="AA1818" s="53"/>
      <c r="AB1818" s="53"/>
      <c r="AC1818" s="53"/>
      <c r="AD1818" s="53"/>
    </row>
    <row r="1819" spans="1:30" ht="38.25">
      <c r="A1819" s="28" t="str">
        <f>'[3]Planilha Orçamentária'!A463</f>
        <v>1.8.6.8</v>
      </c>
      <c r="B1819" s="42">
        <f>VLOOKUP(A1819,'[3]Planilha Orçamentária'!A:K,2,0)</f>
        <v>94971</v>
      </c>
      <c r="C1819" s="166" t="str">
        <f>VLOOKUP(A1819,'[3]Planilha Orçamentária'!A:K,3,0)</f>
        <v>CONCRETO FCK = 25MPA, TRAÇO 1:2,3:2,7 (EM MASSA SECA DE CIMENTO/ AREIA MÉDIA/ BRITA 1) - PREPARO MECÂNICO COM BETONEIRA 600 L. AF_05/2021</v>
      </c>
      <c r="D1819" s="31" t="str">
        <f>VLOOKUP(A1819,'[3]Planilha Orçamentária'!A:K,4,0)</f>
        <v>M3</v>
      </c>
      <c r="E1819" s="30"/>
      <c r="F1819" s="32"/>
      <c r="G1819" s="32"/>
      <c r="H1819" s="32"/>
      <c r="I1819" s="32"/>
      <c r="J1819" s="45">
        <f>ROUND(SUM(J1820:J1828),2)</f>
        <v>38.15</v>
      </c>
      <c r="U1819" s="53"/>
      <c r="V1819" s="53"/>
      <c r="W1819" s="53"/>
      <c r="X1819" s="53"/>
      <c r="Y1819" s="53"/>
      <c r="Z1819" s="53"/>
      <c r="AA1819" s="53"/>
      <c r="AB1819" s="53"/>
      <c r="AC1819" s="53"/>
      <c r="AD1819" s="53"/>
    </row>
    <row r="1820" spans="1:30" ht="12" customHeight="1">
      <c r="A1820" s="27"/>
      <c r="B1820" s="27"/>
      <c r="C1820" s="79" t="s">
        <v>1901</v>
      </c>
      <c r="D1820" s="27"/>
      <c r="E1820" s="27"/>
      <c r="F1820" s="27" t="s">
        <v>1708</v>
      </c>
      <c r="G1820" s="27" t="s">
        <v>1607</v>
      </c>
      <c r="H1820" s="27" t="s">
        <v>1663</v>
      </c>
      <c r="I1820" s="27"/>
      <c r="J1820" s="27"/>
      <c r="U1820" s="53"/>
      <c r="V1820" s="53"/>
      <c r="W1820" s="53"/>
      <c r="X1820" s="53"/>
      <c r="Y1820" s="53"/>
      <c r="Z1820" s="53"/>
      <c r="AA1820" s="53"/>
      <c r="AB1820" s="53"/>
      <c r="AC1820" s="53"/>
      <c r="AD1820" s="53"/>
    </row>
    <row r="1821" spans="1:30" ht="28.5">
      <c r="A1821" s="27"/>
      <c r="B1821" s="27"/>
      <c r="C1821" s="126" t="s">
        <v>1666</v>
      </c>
      <c r="D1821" s="164"/>
      <c r="E1821" s="164"/>
      <c r="F1821" s="156">
        <f>F1784</f>
        <v>188.1</v>
      </c>
      <c r="G1821" s="156">
        <v>0.4</v>
      </c>
      <c r="H1821" s="156">
        <f>0.16-0.08</f>
        <v>0.08</v>
      </c>
      <c r="I1821" s="27"/>
      <c r="J1821" s="36">
        <f t="shared" ref="J1821" si="179">ROUND(PRODUCT(E1821:I1821),2)</f>
        <v>6.02</v>
      </c>
      <c r="U1821" s="53"/>
      <c r="V1821" s="53"/>
      <c r="W1821" s="53"/>
      <c r="X1821" s="53"/>
      <c r="Y1821" s="53"/>
      <c r="Z1821" s="53"/>
      <c r="AA1821" s="53"/>
      <c r="AB1821" s="53"/>
      <c r="AC1821" s="53"/>
      <c r="AD1821" s="53"/>
    </row>
    <row r="1822" spans="1:30" ht="28.5">
      <c r="A1822" s="94"/>
      <c r="B1822" s="94"/>
      <c r="C1822" s="131" t="s">
        <v>1755</v>
      </c>
      <c r="D1822" s="27"/>
      <c r="E1822" s="27"/>
      <c r="F1822" s="301"/>
      <c r="G1822" s="184"/>
      <c r="H1822" s="27"/>
      <c r="I1822" s="301"/>
      <c r="J1822" s="312"/>
      <c r="U1822" s="53"/>
      <c r="V1822" s="53"/>
      <c r="W1822" s="53"/>
      <c r="X1822" s="53"/>
      <c r="Y1822" s="53"/>
      <c r="Z1822" s="53"/>
      <c r="AA1822" s="53"/>
      <c r="AB1822" s="53"/>
      <c r="AC1822" s="53"/>
      <c r="AD1822" s="53"/>
    </row>
    <row r="1823" spans="1:30" ht="14.25">
      <c r="A1823" s="94"/>
      <c r="B1823" s="94"/>
      <c r="C1823" s="255" t="s">
        <v>1756</v>
      </c>
      <c r="D1823" s="27"/>
      <c r="E1823" s="27"/>
      <c r="F1823" s="301">
        <f>F1788</f>
        <v>238.21</v>
      </c>
      <c r="G1823" s="184">
        <v>1</v>
      </c>
      <c r="H1823" s="27">
        <v>0.15</v>
      </c>
      <c r="I1823" s="301"/>
      <c r="J1823" s="36">
        <f t="shared" ref="J1823:J1828" si="180">ROUND(PRODUCT(E1823:I1823),2)</f>
        <v>35.729999999999997</v>
      </c>
      <c r="U1823" s="53"/>
      <c r="V1823" s="53"/>
      <c r="W1823" s="53"/>
      <c r="X1823" s="53"/>
      <c r="Y1823" s="53"/>
      <c r="Z1823" s="53"/>
      <c r="AA1823" s="53"/>
      <c r="AB1823" s="53"/>
      <c r="AC1823" s="53"/>
      <c r="AD1823" s="53"/>
    </row>
    <row r="1824" spans="1:30" ht="28.5">
      <c r="A1824" s="94"/>
      <c r="B1824" s="94"/>
      <c r="C1824" s="255" t="s">
        <v>1757</v>
      </c>
      <c r="D1824" s="27"/>
      <c r="E1824" s="27">
        <v>-1</v>
      </c>
      <c r="F1824" s="302">
        <v>1.8800000000000001E-2</v>
      </c>
      <c r="G1824" s="57">
        <f>F1823</f>
        <v>238.21</v>
      </c>
      <c r="H1824" s="57">
        <v>0.15</v>
      </c>
      <c r="I1824" s="57">
        <v>8</v>
      </c>
      <c r="J1824" s="36">
        <f t="shared" si="180"/>
        <v>-5.37</v>
      </c>
      <c r="U1824" s="53"/>
      <c r="V1824" s="53"/>
      <c r="W1824" s="53"/>
      <c r="X1824" s="53"/>
      <c r="Y1824" s="53"/>
      <c r="Z1824" s="53"/>
      <c r="AA1824" s="53"/>
      <c r="AB1824" s="53"/>
      <c r="AC1824" s="53"/>
      <c r="AD1824" s="53"/>
    </row>
    <row r="1825" spans="1:30" ht="25.5">
      <c r="A1825" s="94"/>
      <c r="B1825" s="94"/>
      <c r="C1825" s="255" t="s">
        <v>1911</v>
      </c>
      <c r="D1825" s="27"/>
      <c r="E1825" s="300" t="s">
        <v>1912</v>
      </c>
      <c r="F1825" s="94" t="s">
        <v>1606</v>
      </c>
      <c r="G1825" s="94" t="s">
        <v>1607</v>
      </c>
      <c r="H1825" s="94" t="s">
        <v>1619</v>
      </c>
      <c r="I1825" s="94" t="s">
        <v>1660</v>
      </c>
      <c r="J1825" s="36"/>
      <c r="U1825" s="53"/>
      <c r="V1825" s="53"/>
      <c r="W1825" s="53"/>
      <c r="X1825" s="53"/>
      <c r="Y1825" s="53"/>
      <c r="Z1825" s="53"/>
      <c r="AA1825" s="53"/>
      <c r="AB1825" s="53"/>
      <c r="AC1825" s="53"/>
      <c r="AD1825" s="53"/>
    </row>
    <row r="1826" spans="1:30" ht="14.25">
      <c r="A1826" s="94"/>
      <c r="B1826" s="94"/>
      <c r="C1826" s="131" t="s">
        <v>1913</v>
      </c>
      <c r="D1826" s="94"/>
      <c r="E1826" s="82">
        <v>2</v>
      </c>
      <c r="F1826" s="94">
        <v>0.7</v>
      </c>
      <c r="G1826" s="94">
        <v>1.4</v>
      </c>
      <c r="H1826" s="94">
        <v>0.2</v>
      </c>
      <c r="I1826" s="196">
        <f>I1838</f>
        <v>5</v>
      </c>
      <c r="J1826" s="36">
        <f t="shared" si="180"/>
        <v>1.96</v>
      </c>
      <c r="U1826" s="53"/>
      <c r="V1826" s="53"/>
      <c r="W1826" s="53"/>
      <c r="X1826" s="53"/>
      <c r="Y1826" s="53"/>
      <c r="Z1826" s="53"/>
      <c r="AA1826" s="53"/>
      <c r="AB1826" s="53"/>
      <c r="AC1826" s="53"/>
      <c r="AD1826" s="53"/>
    </row>
    <row r="1827" spans="1:30" ht="25.5">
      <c r="A1827" s="94"/>
      <c r="B1827" s="94"/>
      <c r="C1827" s="131"/>
      <c r="D1827" s="94"/>
      <c r="E1827" s="94"/>
      <c r="F1827" s="94" t="s">
        <v>1620</v>
      </c>
      <c r="G1827" s="94" t="s">
        <v>1619</v>
      </c>
      <c r="H1827" s="317" t="s">
        <v>1831</v>
      </c>
      <c r="I1827" s="196" t="s">
        <v>1832</v>
      </c>
      <c r="J1827" s="36"/>
      <c r="U1827" s="53"/>
      <c r="V1827" s="53"/>
      <c r="W1827" s="53"/>
      <c r="X1827" s="53"/>
      <c r="Y1827" s="53"/>
      <c r="Z1827" s="53"/>
      <c r="AA1827" s="53"/>
      <c r="AB1827" s="53"/>
      <c r="AC1827" s="53"/>
      <c r="AD1827" s="53"/>
    </row>
    <row r="1828" spans="1:30" ht="28.5">
      <c r="A1828" s="94"/>
      <c r="B1828" s="94"/>
      <c r="C1828" s="255" t="s">
        <v>1914</v>
      </c>
      <c r="D1828" s="94"/>
      <c r="E1828" s="94">
        <v>-2</v>
      </c>
      <c r="F1828" s="94">
        <v>1.9300000000000001E-2</v>
      </c>
      <c r="G1828" s="94">
        <v>0.2</v>
      </c>
      <c r="H1828" s="94">
        <v>5</v>
      </c>
      <c r="I1828" s="196">
        <f>I1826</f>
        <v>5</v>
      </c>
      <c r="J1828" s="36">
        <f t="shared" si="180"/>
        <v>-0.19</v>
      </c>
      <c r="U1828" s="53"/>
      <c r="V1828" s="53"/>
      <c r="W1828" s="53"/>
      <c r="X1828" s="53"/>
      <c r="Y1828" s="53"/>
      <c r="Z1828" s="53"/>
      <c r="AA1828" s="53"/>
      <c r="AB1828" s="53"/>
      <c r="AC1828" s="53"/>
      <c r="AD1828" s="53"/>
    </row>
    <row r="1829" spans="1:30" ht="12" customHeight="1">
      <c r="A1829" s="501"/>
      <c r="B1829" s="502"/>
      <c r="C1829" s="502"/>
      <c r="D1829" s="502"/>
      <c r="E1829" s="502"/>
      <c r="F1829" s="502"/>
      <c r="G1829" s="502"/>
      <c r="H1829" s="502"/>
      <c r="I1829" s="502"/>
      <c r="J1829" s="503"/>
      <c r="U1829" s="53"/>
      <c r="V1829" s="53"/>
      <c r="W1829" s="53"/>
      <c r="X1829" s="53"/>
      <c r="Y1829" s="53"/>
      <c r="Z1829" s="53"/>
      <c r="AA1829" s="53"/>
      <c r="AB1829" s="53"/>
      <c r="AC1829" s="53"/>
      <c r="AD1829" s="53"/>
    </row>
    <row r="1830" spans="1:30" ht="38.25">
      <c r="A1830" s="28" t="str">
        <f>'[3]Planilha Orçamentária'!A464</f>
        <v>1.8.6.9</v>
      </c>
      <c r="B1830" s="42" t="str">
        <f>VLOOKUP(A1830,'[3]Planilha Orçamentária'!A:K,2,0)</f>
        <v>CP-S03639-45770834</v>
      </c>
      <c r="C1830" s="166" t="str">
        <f>VLOOKUP(A1830,'[3]Planilha Orçamentária'!A:K,3,0)</f>
        <v>Fornecimento e instalação de tela aço soldada nervurada CA-60, Q-283, malha 10x10cm, ferro 6.02mm (4,48 kg/m2), painel 2,45x6,0m, Telcon ou similar</v>
      </c>
      <c r="D1830" s="31" t="str">
        <f>VLOOKUP(A1830,'[3]Planilha Orçamentária'!A:K,4,0)</f>
        <v>M2</v>
      </c>
      <c r="E1830" s="30"/>
      <c r="F1830" s="32"/>
      <c r="G1830" s="32"/>
      <c r="H1830" s="32"/>
      <c r="I1830" s="32"/>
      <c r="J1830" s="45">
        <f>ROUND(SUM(J1831:J1833),2)</f>
        <v>75.239999999999995</v>
      </c>
      <c r="U1830" s="53"/>
      <c r="V1830" s="53"/>
      <c r="W1830" s="53"/>
      <c r="X1830" s="53"/>
      <c r="Y1830" s="53"/>
      <c r="Z1830" s="53"/>
      <c r="AA1830" s="53"/>
      <c r="AB1830" s="53"/>
      <c r="AC1830" s="53"/>
      <c r="AD1830" s="53"/>
    </row>
    <row r="1831" spans="1:30" ht="12" customHeight="1">
      <c r="A1831" s="27"/>
      <c r="B1831" s="27"/>
      <c r="C1831" s="79" t="s">
        <v>1901</v>
      </c>
      <c r="D1831" s="27"/>
      <c r="E1831" s="27"/>
      <c r="F1831" s="27" t="s">
        <v>1708</v>
      </c>
      <c r="G1831" s="27" t="s">
        <v>1607</v>
      </c>
      <c r="H1831" s="27"/>
      <c r="I1831" s="27"/>
      <c r="J1831" s="27"/>
      <c r="U1831" s="53"/>
      <c r="V1831" s="53"/>
      <c r="W1831" s="53"/>
      <c r="X1831" s="53"/>
      <c r="Y1831" s="53"/>
      <c r="Z1831" s="53"/>
      <c r="AA1831" s="53"/>
      <c r="AB1831" s="53"/>
      <c r="AC1831" s="53"/>
      <c r="AD1831" s="53"/>
    </row>
    <row r="1832" spans="1:30" ht="14.25">
      <c r="A1832" s="27"/>
      <c r="B1832" s="27"/>
      <c r="C1832" s="126" t="s">
        <v>1668</v>
      </c>
      <c r="D1832" s="96"/>
      <c r="E1832" s="82"/>
      <c r="F1832" s="156">
        <f>F1784</f>
        <v>188.1</v>
      </c>
      <c r="G1832" s="156">
        <v>0.4</v>
      </c>
      <c r="H1832" s="27"/>
      <c r="I1832" s="27"/>
      <c r="J1832" s="36">
        <f t="shared" ref="J1832" si="181">ROUND(PRODUCT(E1832:I1832),2)</f>
        <v>75.239999999999995</v>
      </c>
      <c r="U1832" s="53"/>
      <c r="V1832" s="53"/>
      <c r="W1832" s="53"/>
      <c r="X1832" s="53"/>
      <c r="Y1832" s="53"/>
      <c r="Z1832" s="53"/>
      <c r="AA1832" s="53"/>
      <c r="AB1832" s="53"/>
      <c r="AC1832" s="53"/>
      <c r="AD1832" s="53"/>
    </row>
    <row r="1833" spans="1:30" ht="12" customHeight="1">
      <c r="A1833" s="501"/>
      <c r="B1833" s="502"/>
      <c r="C1833" s="502"/>
      <c r="D1833" s="502"/>
      <c r="E1833" s="502"/>
      <c r="F1833" s="502"/>
      <c r="G1833" s="502"/>
      <c r="H1833" s="502"/>
      <c r="I1833" s="502"/>
      <c r="J1833" s="503"/>
      <c r="U1833" s="53"/>
      <c r="V1833" s="53"/>
      <c r="W1833" s="53"/>
      <c r="X1833" s="53"/>
      <c r="Y1833" s="53"/>
      <c r="Z1833" s="53"/>
      <c r="AA1833" s="53"/>
      <c r="AB1833" s="53"/>
      <c r="AC1833" s="53"/>
      <c r="AD1833" s="53"/>
    </row>
    <row r="1834" spans="1:30" ht="38.25">
      <c r="A1834" s="28" t="str">
        <f>'[3]Planilha Orçamentária'!A465</f>
        <v>1.8.6.10</v>
      </c>
      <c r="B1834" s="42">
        <f>VLOOKUP(A1834,'[3]Planilha Orçamentária'!A:K,2,0)</f>
        <v>94974</v>
      </c>
      <c r="C1834" s="166" t="str">
        <f>VLOOKUP(A1834,'[3]Planilha Orçamentária'!A:K,3,0)</f>
        <v>CONCRETO MAGRO PARA LASTRO, TRAÇO 1:4,5:4,5 (EM MASSA SECA DE CIMENTO/ AREIA MÉDIA/ BRITA 1) - PREPARO MANUAL. AF_05/2021</v>
      </c>
      <c r="D1834" s="31" t="str">
        <f>VLOOKUP(A1834,'[3]Planilha Orçamentária'!A:K,4,0)</f>
        <v>M3</v>
      </c>
      <c r="E1834" s="30"/>
      <c r="F1834" s="32"/>
      <c r="G1834" s="32"/>
      <c r="H1834" s="32"/>
      <c r="I1834" s="32"/>
      <c r="J1834" s="45">
        <f>ROUND(SUM(J1835:J1839),2)</f>
        <v>28.56</v>
      </c>
      <c r="U1834" s="53"/>
      <c r="V1834" s="53"/>
      <c r="W1834" s="53"/>
      <c r="X1834" s="53"/>
      <c r="Y1834" s="53"/>
      <c r="Z1834" s="53"/>
      <c r="AA1834" s="53"/>
      <c r="AB1834" s="53"/>
      <c r="AC1834" s="53"/>
      <c r="AD1834" s="53"/>
    </row>
    <row r="1835" spans="1:30" ht="12" customHeight="1">
      <c r="A1835" s="27"/>
      <c r="B1835" s="27"/>
      <c r="C1835" s="79" t="s">
        <v>1901</v>
      </c>
      <c r="D1835" s="31"/>
      <c r="E1835" s="30"/>
      <c r="F1835" s="80" t="s">
        <v>1606</v>
      </c>
      <c r="G1835" s="80" t="s">
        <v>1607</v>
      </c>
      <c r="H1835" s="80" t="s">
        <v>1619</v>
      </c>
      <c r="I1835" s="27"/>
      <c r="J1835" s="27"/>
      <c r="U1835" s="53"/>
      <c r="V1835" s="53"/>
      <c r="W1835" s="53"/>
      <c r="X1835" s="53"/>
      <c r="Y1835" s="53"/>
      <c r="Z1835" s="53"/>
      <c r="AA1835" s="53"/>
      <c r="AB1835" s="53"/>
      <c r="AC1835" s="53"/>
      <c r="AD1835" s="53"/>
    </row>
    <row r="1836" spans="1:30" ht="18.75" customHeight="1">
      <c r="A1836" s="27"/>
      <c r="B1836" s="27"/>
      <c r="C1836" s="297" t="s">
        <v>1754</v>
      </c>
      <c r="D1836" s="27"/>
      <c r="E1836" s="27"/>
      <c r="F1836" s="298">
        <f>F1788</f>
        <v>238.21</v>
      </c>
      <c r="G1836" s="184">
        <v>1</v>
      </c>
      <c r="H1836" s="27">
        <v>0.1</v>
      </c>
      <c r="I1836" s="27"/>
      <c r="J1836" s="36">
        <f t="shared" ref="J1836:J1838" si="182">ROUND(PRODUCT(E1836:I1836),2)</f>
        <v>23.82</v>
      </c>
      <c r="U1836" s="53"/>
      <c r="V1836" s="53"/>
      <c r="W1836" s="53"/>
      <c r="X1836" s="53"/>
      <c r="Y1836" s="53"/>
      <c r="Z1836" s="53"/>
      <c r="AA1836" s="53"/>
      <c r="AB1836" s="53"/>
      <c r="AC1836" s="53"/>
      <c r="AD1836" s="53"/>
    </row>
    <row r="1837" spans="1:30" ht="18.75" customHeight="1">
      <c r="A1837" s="27"/>
      <c r="B1837" s="27"/>
      <c r="C1837" s="126" t="s">
        <v>1665</v>
      </c>
      <c r="D1837" s="164"/>
      <c r="E1837" s="164"/>
      <c r="F1837" s="156">
        <f>F1784</f>
        <v>188.1</v>
      </c>
      <c r="G1837" s="156">
        <v>0.4</v>
      </c>
      <c r="H1837" s="156">
        <v>0.05</v>
      </c>
      <c r="I1837" s="27"/>
      <c r="J1837" s="36">
        <f t="shared" si="182"/>
        <v>3.76</v>
      </c>
      <c r="U1837" s="53"/>
      <c r="V1837" s="53"/>
      <c r="W1837" s="53"/>
      <c r="X1837" s="53"/>
      <c r="Y1837" s="53"/>
      <c r="Z1837" s="53"/>
      <c r="AA1837" s="53"/>
      <c r="AB1837" s="53"/>
      <c r="AC1837" s="53"/>
      <c r="AD1837" s="53"/>
    </row>
    <row r="1838" spans="1:30" ht="18.75" customHeight="1">
      <c r="A1838" s="37"/>
      <c r="B1838" s="38"/>
      <c r="C1838" s="297" t="s">
        <v>1915</v>
      </c>
      <c r="D1838" s="164"/>
      <c r="E1838" s="164"/>
      <c r="F1838" s="295">
        <v>1.4</v>
      </c>
      <c r="G1838" s="295">
        <v>1.4</v>
      </c>
      <c r="H1838" s="295">
        <v>0.1</v>
      </c>
      <c r="I1838" s="295">
        <f>I1803</f>
        <v>5</v>
      </c>
      <c r="J1838" s="36">
        <f t="shared" si="182"/>
        <v>0.98</v>
      </c>
      <c r="U1838" s="53"/>
      <c r="V1838" s="53"/>
      <c r="W1838" s="53"/>
      <c r="X1838" s="53"/>
      <c r="Y1838" s="53"/>
      <c r="Z1838" s="53"/>
      <c r="AA1838" s="53"/>
      <c r="AB1838" s="53"/>
      <c r="AC1838" s="53"/>
      <c r="AD1838" s="53"/>
    </row>
    <row r="1839" spans="1:30" ht="12" customHeight="1">
      <c r="A1839" s="501"/>
      <c r="B1839" s="502"/>
      <c r="C1839" s="502"/>
      <c r="D1839" s="502"/>
      <c r="E1839" s="502"/>
      <c r="F1839" s="502"/>
      <c r="G1839" s="502"/>
      <c r="H1839" s="502"/>
      <c r="I1839" s="502"/>
      <c r="J1839" s="503"/>
      <c r="U1839" s="53"/>
      <c r="V1839" s="53"/>
      <c r="W1839" s="53"/>
      <c r="X1839" s="53"/>
      <c r="Y1839" s="53"/>
      <c r="Z1839" s="53"/>
      <c r="AA1839" s="53"/>
      <c r="AB1839" s="53"/>
      <c r="AC1839" s="53"/>
      <c r="AD1839" s="53"/>
    </row>
    <row r="1840" spans="1:30" ht="51">
      <c r="A1840" s="112" t="str">
        <f>'[3]Planilha Orçamentária'!A466</f>
        <v>1.8.6.11</v>
      </c>
      <c r="B1840" s="146">
        <f>VLOOKUP(A1840,'[3]Planilha Orçamentária'!A:K,2,0)</f>
        <v>97994</v>
      </c>
      <c r="C1840" s="147" t="str">
        <f>VLOOKUP(A1840,'[3]Planilha Orçamentária'!A:K,3,0)</f>
        <v>BASE PARA POÇO DE VISITA RETANGULAR PARA  ESGOTO, EM ALVENARIA COM BLOCOS DE CONCRETO, DIMENSÕES INTERNAS = 1X1 M, PROFUNDIDADE = 1,40 M, EXCLUINDO TAMPÃO. AF_12/2020</v>
      </c>
      <c r="D1840" s="148" t="str">
        <f>VLOOKUP(A1840,'[3]Planilha Orçamentária'!A:K,4,0)</f>
        <v>UN</v>
      </c>
      <c r="E1840" s="149"/>
      <c r="F1840" s="150"/>
      <c r="G1840" s="150"/>
      <c r="H1840" s="150"/>
      <c r="I1840" s="150"/>
      <c r="J1840" s="151">
        <f>ROUND(SUM(J1841:J1842),2)</f>
        <v>5</v>
      </c>
      <c r="U1840" s="53"/>
      <c r="V1840" s="53"/>
      <c r="W1840" s="53"/>
      <c r="X1840" s="53"/>
      <c r="Y1840" s="53"/>
      <c r="Z1840" s="53"/>
      <c r="AA1840" s="53"/>
      <c r="AB1840" s="53"/>
      <c r="AC1840" s="53"/>
      <c r="AD1840" s="53"/>
    </row>
    <row r="1841" spans="1:30">
      <c r="A1841" s="27"/>
      <c r="B1841" s="27"/>
      <c r="C1841" s="79" t="s">
        <v>1901</v>
      </c>
      <c r="D1841" s="27"/>
      <c r="E1841" s="27"/>
      <c r="F1841" s="27"/>
      <c r="G1841" s="27"/>
      <c r="H1841" s="27"/>
      <c r="I1841" s="27" t="s">
        <v>1660</v>
      </c>
      <c r="J1841" s="27"/>
      <c r="U1841" s="53"/>
      <c r="V1841" s="53"/>
      <c r="W1841" s="53"/>
      <c r="X1841" s="53"/>
      <c r="Y1841" s="53"/>
      <c r="Z1841" s="53"/>
      <c r="AA1841" s="53"/>
      <c r="AB1841" s="53"/>
      <c r="AC1841" s="53"/>
      <c r="AD1841" s="53"/>
    </row>
    <row r="1842" spans="1:30">
      <c r="A1842" s="27"/>
      <c r="B1842" s="27"/>
      <c r="C1842" s="27" t="s">
        <v>1916</v>
      </c>
      <c r="D1842" s="27"/>
      <c r="E1842" s="27"/>
      <c r="F1842" s="27"/>
      <c r="G1842" s="27"/>
      <c r="H1842" s="27"/>
      <c r="I1842" s="289">
        <f>I1838</f>
        <v>5</v>
      </c>
      <c r="J1842" s="36">
        <f t="shared" ref="J1842" si="183">ROUND(PRODUCT(E1842:I1842),2)</f>
        <v>5</v>
      </c>
      <c r="U1842" s="53"/>
      <c r="V1842" s="53"/>
      <c r="W1842" s="53"/>
      <c r="X1842" s="53"/>
      <c r="Y1842" s="53"/>
      <c r="Z1842" s="53"/>
      <c r="AA1842" s="53"/>
      <c r="AB1842" s="53"/>
      <c r="AC1842" s="53"/>
      <c r="AD1842" s="53"/>
    </row>
    <row r="1843" spans="1:30" ht="12" customHeight="1">
      <c r="A1843" s="238"/>
      <c r="B1843" s="239"/>
      <c r="C1843" s="239"/>
      <c r="D1843" s="239"/>
      <c r="E1843" s="239"/>
      <c r="F1843" s="239"/>
      <c r="G1843" s="239"/>
      <c r="H1843" s="239"/>
      <c r="I1843" s="239"/>
      <c r="J1843" s="334"/>
      <c r="U1843" s="53"/>
      <c r="V1843" s="53"/>
      <c r="W1843" s="53"/>
      <c r="X1843" s="53"/>
      <c r="Y1843" s="53"/>
      <c r="Z1843" s="53"/>
      <c r="AA1843" s="53"/>
      <c r="AB1843" s="53"/>
      <c r="AC1843" s="53"/>
      <c r="AD1843" s="53"/>
    </row>
    <row r="1844" spans="1:30" ht="38.25">
      <c r="A1844" s="28" t="str">
        <f>'[3]Planilha Orçamentária'!A467</f>
        <v>1.8.6.12</v>
      </c>
      <c r="B1844" s="42">
        <f>VLOOKUP(A1844,'[3]Planilha Orçamentária'!A:K,2,0)</f>
        <v>92771</v>
      </c>
      <c r="C1844" s="166" t="str">
        <f>VLOOKUP(A1844,'[3]Planilha Orçamentária'!A:K,3,0)</f>
        <v>ARMAÇÃO DE LAJE DE ESTRUTURA CONVENCIONAL DE CONCRETO ARMADO UTILIZANDO AÇO CA-50 DE 10,0 MM - MONTAGEM. AF_06/2022</v>
      </c>
      <c r="D1844" s="31" t="str">
        <f>VLOOKUP(A1844,'[3]Planilha Orçamentária'!A:K,4,0)</f>
        <v>KG</v>
      </c>
      <c r="E1844" s="30"/>
      <c r="F1844" s="32"/>
      <c r="G1844" s="32"/>
      <c r="H1844" s="32"/>
      <c r="I1844" s="32"/>
      <c r="J1844" s="45">
        <f>ROUND(SUM(J1845:J1849),2)</f>
        <v>2244.06</v>
      </c>
      <c r="U1844" s="53"/>
      <c r="V1844" s="53"/>
      <c r="W1844" s="53"/>
      <c r="X1844" s="53"/>
      <c r="Y1844" s="53"/>
      <c r="Z1844" s="53"/>
      <c r="AA1844" s="53"/>
      <c r="AB1844" s="53"/>
      <c r="AC1844" s="53"/>
      <c r="AD1844" s="53"/>
    </row>
    <row r="1845" spans="1:30" ht="12" customHeight="1">
      <c r="A1845" s="27"/>
      <c r="B1845" s="27"/>
      <c r="C1845" s="79" t="s">
        <v>1901</v>
      </c>
      <c r="D1845" s="191"/>
      <c r="E1845" s="156"/>
      <c r="F1845" s="295" t="s">
        <v>1758</v>
      </c>
      <c r="G1845" s="295"/>
      <c r="H1845" s="295"/>
      <c r="I1845" s="295" t="s">
        <v>328</v>
      </c>
      <c r="J1845" s="27"/>
      <c r="U1845" s="53"/>
      <c r="V1845" s="53"/>
      <c r="W1845" s="53"/>
      <c r="X1845" s="53"/>
      <c r="Y1845" s="53"/>
      <c r="Z1845" s="53"/>
      <c r="AA1845" s="53"/>
      <c r="AB1845" s="53"/>
      <c r="AC1845" s="53"/>
      <c r="AD1845" s="53"/>
    </row>
    <row r="1846" spans="1:30" ht="28.5">
      <c r="A1846" s="27"/>
      <c r="B1846" s="27"/>
      <c r="C1846" s="131" t="s">
        <v>1760</v>
      </c>
      <c r="D1846" s="31"/>
      <c r="E1846" s="30"/>
      <c r="F1846" s="295">
        <f>F1836</f>
        <v>238.21</v>
      </c>
      <c r="G1846" s="295"/>
      <c r="H1846" s="295"/>
      <c r="I1846" s="295">
        <v>8.2899999999999991</v>
      </c>
      <c r="J1846" s="36">
        <f t="shared" ref="J1846:J1848" si="184">ROUND(PRODUCT(E1846:I1846),2)</f>
        <v>1974.76</v>
      </c>
      <c r="U1846" s="53"/>
      <c r="V1846" s="53"/>
      <c r="W1846" s="53"/>
      <c r="X1846" s="53"/>
      <c r="Y1846" s="53"/>
      <c r="Z1846" s="53"/>
      <c r="AA1846" s="53"/>
      <c r="AB1846" s="53"/>
      <c r="AC1846" s="53"/>
      <c r="AD1846" s="53"/>
    </row>
    <row r="1847" spans="1:30" ht="25.5">
      <c r="A1847" s="37"/>
      <c r="B1847" s="38"/>
      <c r="C1847" s="131"/>
      <c r="D1847" s="31"/>
      <c r="E1847" s="300" t="s">
        <v>1912</v>
      </c>
      <c r="F1847" s="94"/>
      <c r="G1847" s="94"/>
      <c r="H1847" s="94" t="s">
        <v>1854</v>
      </c>
      <c r="I1847" s="94" t="s">
        <v>1660</v>
      </c>
      <c r="J1847" s="312"/>
      <c r="U1847" s="53"/>
      <c r="V1847" s="53"/>
      <c r="W1847" s="53"/>
      <c r="X1847" s="53"/>
      <c r="Y1847" s="53"/>
      <c r="Z1847" s="53"/>
      <c r="AA1847" s="53"/>
      <c r="AB1847" s="53"/>
      <c r="AC1847" s="53"/>
      <c r="AD1847" s="53"/>
    </row>
    <row r="1848" spans="1:30">
      <c r="A1848" s="37"/>
      <c r="B1848" s="38"/>
      <c r="C1848" s="73" t="s">
        <v>1917</v>
      </c>
      <c r="D1848" s="96"/>
      <c r="E1848" s="82">
        <v>2</v>
      </c>
      <c r="F1848" s="156"/>
      <c r="G1848" s="156"/>
      <c r="H1848" s="94">
        <v>26.93</v>
      </c>
      <c r="I1848" s="196">
        <f>I1838</f>
        <v>5</v>
      </c>
      <c r="J1848" s="36">
        <f t="shared" si="184"/>
        <v>269.3</v>
      </c>
      <c r="U1848" s="53"/>
      <c r="V1848" s="53"/>
      <c r="W1848" s="53"/>
      <c r="X1848" s="53"/>
      <c r="Y1848" s="53"/>
      <c r="Z1848" s="53"/>
      <c r="AA1848" s="53"/>
      <c r="AB1848" s="53"/>
      <c r="AC1848" s="53"/>
      <c r="AD1848" s="53"/>
    </row>
    <row r="1849" spans="1:30" ht="12" customHeight="1">
      <c r="A1849" s="501"/>
      <c r="B1849" s="502"/>
      <c r="C1849" s="502"/>
      <c r="D1849" s="502"/>
      <c r="E1849" s="502"/>
      <c r="F1849" s="502"/>
      <c r="G1849" s="502"/>
      <c r="H1849" s="502"/>
      <c r="I1849" s="502"/>
      <c r="J1849" s="503"/>
      <c r="U1849" s="53"/>
      <c r="V1849" s="53"/>
      <c r="W1849" s="53"/>
      <c r="X1849" s="53"/>
      <c r="Y1849" s="53"/>
      <c r="Z1849" s="53"/>
      <c r="AA1849" s="53"/>
      <c r="AB1849" s="53"/>
      <c r="AC1849" s="53"/>
      <c r="AD1849" s="53"/>
    </row>
    <row r="1850" spans="1:30" ht="51">
      <c r="A1850" s="28" t="str">
        <f>'[3]Planilha Orçamentária'!A468</f>
        <v>1.8.6.13</v>
      </c>
      <c r="B1850" s="42" t="str">
        <f>VLOOKUP(A1850,'[3]Planilha Orçamentária'!A:K,2,0)</f>
        <v>CP-92268-29291149</v>
      </c>
      <c r="C1850" s="166" t="str">
        <f>VLOOKUP(A1850,'[3]Planilha Orçamentária'!A:K,3,0)</f>
        <v>FABRICAÇÃO DE FÔRMA PARA LAJES, EM CHAPA DE MADEIRA COMPENSADA PLASTIFICADA, E = 18 MM - EXCLUINDO O PAINEL DE MADEIRA COMPENSADA PLASTIFICADA DE 2200 x 1100 MM, E = *17* MM</v>
      </c>
      <c r="D1850" s="31" t="str">
        <f>VLOOKUP(A1850,'[3]Planilha Orçamentária'!A:K,4,0)</f>
        <v>M2</v>
      </c>
      <c r="E1850" s="30"/>
      <c r="F1850" s="32"/>
      <c r="G1850" s="32"/>
      <c r="H1850" s="32"/>
      <c r="I1850" s="32"/>
      <c r="J1850" s="45">
        <f>ROUND(SUM(J1851:J1855),2)</f>
        <v>151.33000000000001</v>
      </c>
      <c r="U1850" s="53"/>
      <c r="V1850" s="53"/>
      <c r="W1850" s="53"/>
      <c r="X1850" s="53"/>
      <c r="Y1850" s="53"/>
      <c r="Z1850" s="53"/>
      <c r="AA1850" s="53"/>
      <c r="AB1850" s="53"/>
      <c r="AC1850" s="53"/>
      <c r="AD1850" s="53"/>
    </row>
    <row r="1851" spans="1:30" ht="12" customHeight="1">
      <c r="A1851" s="27"/>
      <c r="B1851" s="27"/>
      <c r="C1851" s="79" t="s">
        <v>1901</v>
      </c>
      <c r="D1851" s="191"/>
      <c r="E1851" s="156"/>
      <c r="F1851" s="156" t="s">
        <v>1802</v>
      </c>
      <c r="G1851" s="156" t="s">
        <v>1619</v>
      </c>
      <c r="H1851" s="156" t="s">
        <v>1803</v>
      </c>
      <c r="I1851" s="27"/>
      <c r="J1851" s="27"/>
      <c r="U1851" s="53"/>
      <c r="V1851" s="53"/>
      <c r="W1851" s="53"/>
      <c r="X1851" s="53"/>
      <c r="Y1851" s="53"/>
      <c r="Z1851" s="53"/>
      <c r="AA1851" s="53"/>
      <c r="AB1851" s="53"/>
      <c r="AC1851" s="53"/>
      <c r="AD1851" s="53"/>
    </row>
    <row r="1852" spans="1:30" ht="28.5">
      <c r="A1852" s="27"/>
      <c r="B1852" s="27"/>
      <c r="C1852" s="255" t="s">
        <v>1762</v>
      </c>
      <c r="D1852" s="96"/>
      <c r="E1852" s="82"/>
      <c r="F1852" s="57">
        <f>1*4</f>
        <v>4</v>
      </c>
      <c r="G1852" s="57">
        <v>0.15</v>
      </c>
      <c r="H1852" s="57">
        <f>F1846</f>
        <v>238.21</v>
      </c>
      <c r="I1852" s="27"/>
      <c r="J1852" s="36">
        <f t="shared" ref="J1852:J1854" si="185">ROUND(PRODUCT(E1852:I1852),2)</f>
        <v>142.93</v>
      </c>
      <c r="U1852" s="53"/>
      <c r="V1852" s="53"/>
      <c r="W1852" s="53"/>
      <c r="X1852" s="53"/>
      <c r="Y1852" s="53"/>
      <c r="Z1852" s="53"/>
      <c r="AA1852" s="53"/>
      <c r="AB1852" s="53"/>
      <c r="AC1852" s="53"/>
      <c r="AD1852" s="53"/>
    </row>
    <row r="1853" spans="1:30" ht="25.5">
      <c r="A1853" s="37"/>
      <c r="B1853" s="38"/>
      <c r="C1853" s="255" t="s">
        <v>1918</v>
      </c>
      <c r="D1853" s="96"/>
      <c r="E1853" s="300" t="s">
        <v>1912</v>
      </c>
      <c r="F1853" s="156" t="s">
        <v>1802</v>
      </c>
      <c r="G1853" s="156" t="s">
        <v>1619</v>
      </c>
      <c r="H1853" s="156"/>
      <c r="I1853" s="300" t="s">
        <v>1919</v>
      </c>
      <c r="J1853" s="312"/>
      <c r="U1853" s="53"/>
      <c r="V1853" s="53"/>
      <c r="W1853" s="53"/>
      <c r="X1853" s="53"/>
      <c r="Y1853" s="53"/>
      <c r="Z1853" s="53"/>
      <c r="AA1853" s="53"/>
      <c r="AB1853" s="53"/>
      <c r="AC1853" s="53"/>
      <c r="AD1853" s="53"/>
    </row>
    <row r="1854" spans="1:30" ht="14.25">
      <c r="A1854" s="37"/>
      <c r="B1854" s="38"/>
      <c r="C1854" s="255" t="s">
        <v>1920</v>
      </c>
      <c r="D1854" s="96"/>
      <c r="E1854" s="82">
        <v>2</v>
      </c>
      <c r="F1854" s="57">
        <f>(0.7*2)+(1.4*2)</f>
        <v>4.1999999999999993</v>
      </c>
      <c r="G1854" s="57">
        <v>0.2</v>
      </c>
      <c r="H1854" s="57"/>
      <c r="I1854" s="295">
        <f>I1848</f>
        <v>5</v>
      </c>
      <c r="J1854" s="36">
        <f t="shared" si="185"/>
        <v>8.4</v>
      </c>
      <c r="U1854" s="53"/>
      <c r="V1854" s="53"/>
      <c r="W1854" s="53"/>
      <c r="X1854" s="53"/>
      <c r="Y1854" s="53"/>
      <c r="Z1854" s="53"/>
      <c r="AA1854" s="53"/>
      <c r="AB1854" s="53"/>
      <c r="AC1854" s="53"/>
      <c r="AD1854" s="53"/>
    </row>
    <row r="1855" spans="1:30" ht="12" customHeight="1">
      <c r="A1855" s="501"/>
      <c r="B1855" s="502"/>
      <c r="C1855" s="502"/>
      <c r="D1855" s="502"/>
      <c r="E1855" s="502"/>
      <c r="F1855" s="502"/>
      <c r="G1855" s="502"/>
      <c r="H1855" s="502"/>
      <c r="I1855" s="502"/>
      <c r="J1855" s="503"/>
      <c r="U1855" s="53"/>
      <c r="V1855" s="53"/>
      <c r="W1855" s="53"/>
      <c r="X1855" s="53"/>
      <c r="Y1855" s="53"/>
      <c r="Z1855" s="53"/>
      <c r="AA1855" s="53"/>
      <c r="AB1855" s="53"/>
      <c r="AC1855" s="53"/>
      <c r="AD1855" s="53"/>
    </row>
    <row r="1856" spans="1:30" ht="51">
      <c r="A1856" s="28" t="str">
        <f>'[3]Planilha Orçamentária'!A469</f>
        <v>1.8.6.14</v>
      </c>
      <c r="B1856" s="42">
        <f>VLOOKUP(A1856,'[3]Planilha Orçamentária'!A:K,2,0)</f>
        <v>103320</v>
      </c>
      <c r="C1856" s="166" t="str">
        <f>VLOOKUP(A1856,'[3]Planilha Orçamentária'!A:K,3,0)</f>
        <v>ALVENARIA DE VEDAÇÃO DE BLOCOS VAZADOS DE CONCRETO DE 19X19X39 CM (ESPESSURA 19 CM) E ARGAMASSA DE ASSENTAMENTO COM PREPARO EM BETONEIRA. AF_12/2021</v>
      </c>
      <c r="D1856" s="31" t="str">
        <f>VLOOKUP(A1856,'[3]Planilha Orçamentária'!A:K,4,0)</f>
        <v>M2</v>
      </c>
      <c r="E1856" s="30"/>
      <c r="F1856" s="32"/>
      <c r="G1856" s="32"/>
      <c r="H1856" s="32"/>
      <c r="I1856" s="32"/>
      <c r="J1856" s="45">
        <f>ROUND(SUM(J1857:J1859),2)</f>
        <v>190.57</v>
      </c>
      <c r="U1856" s="53"/>
      <c r="V1856" s="53"/>
      <c r="W1856" s="53"/>
      <c r="X1856" s="53"/>
      <c r="Y1856" s="53"/>
      <c r="Z1856" s="53"/>
      <c r="AA1856" s="53"/>
      <c r="AB1856" s="53"/>
      <c r="AC1856" s="53"/>
      <c r="AD1856" s="53"/>
    </row>
    <row r="1857" spans="1:30" ht="12" customHeight="1">
      <c r="A1857" s="27"/>
      <c r="B1857" s="27"/>
      <c r="C1857" s="79" t="s">
        <v>1901</v>
      </c>
      <c r="D1857" s="96"/>
      <c r="E1857" s="82"/>
      <c r="F1857" s="57" t="s">
        <v>1606</v>
      </c>
      <c r="G1857" s="57"/>
      <c r="H1857" s="57" t="s">
        <v>1663</v>
      </c>
      <c r="I1857" s="313" t="s">
        <v>1763</v>
      </c>
      <c r="J1857" s="27"/>
      <c r="U1857" s="53"/>
      <c r="V1857" s="53"/>
      <c r="W1857" s="53"/>
      <c r="X1857" s="53"/>
      <c r="Y1857" s="53"/>
      <c r="Z1857" s="53"/>
      <c r="AA1857" s="53"/>
      <c r="AB1857" s="53"/>
      <c r="AC1857" s="53"/>
      <c r="AD1857" s="53"/>
    </row>
    <row r="1858" spans="1:30" ht="14.25">
      <c r="A1858" s="27"/>
      <c r="B1858" s="27"/>
      <c r="C1858" s="255" t="s">
        <v>1764</v>
      </c>
      <c r="D1858" s="96"/>
      <c r="E1858" s="82"/>
      <c r="F1858" s="57">
        <f>H1852</f>
        <v>238.21</v>
      </c>
      <c r="G1858" s="57"/>
      <c r="H1858" s="57">
        <v>0.4</v>
      </c>
      <c r="I1858" s="57">
        <v>2</v>
      </c>
      <c r="J1858" s="36">
        <f t="shared" ref="J1858" si="186">ROUND(PRODUCT(E1858:I1858),2)</f>
        <v>190.57</v>
      </c>
      <c r="U1858" s="53"/>
      <c r="V1858" s="53"/>
      <c r="W1858" s="53"/>
      <c r="X1858" s="53"/>
      <c r="Y1858" s="53"/>
      <c r="Z1858" s="53"/>
      <c r="AA1858" s="53"/>
      <c r="AB1858" s="53"/>
      <c r="AC1858" s="53"/>
      <c r="AD1858" s="53"/>
    </row>
    <row r="1859" spans="1:30" ht="12" customHeight="1">
      <c r="A1859" s="501"/>
      <c r="B1859" s="502"/>
      <c r="C1859" s="502"/>
      <c r="D1859" s="502"/>
      <c r="E1859" s="502"/>
      <c r="F1859" s="502"/>
      <c r="G1859" s="502"/>
      <c r="H1859" s="502"/>
      <c r="I1859" s="502"/>
      <c r="J1859" s="503"/>
      <c r="U1859" s="53"/>
      <c r="V1859" s="53"/>
      <c r="W1859" s="53"/>
      <c r="X1859" s="53"/>
      <c r="Y1859" s="53"/>
      <c r="Z1859" s="53"/>
      <c r="AA1859" s="53"/>
      <c r="AB1859" s="53"/>
      <c r="AC1859" s="53"/>
      <c r="AD1859" s="53"/>
    </row>
    <row r="1860" spans="1:30" ht="51">
      <c r="A1860" s="28" t="str">
        <f>'[3]Planilha Orçamentária'!A470</f>
        <v>1.8.6.15</v>
      </c>
      <c r="B1860" s="42">
        <f>VLOOKUP(A1860,'[3]Planilha Orçamentária'!A:K,2,0)</f>
        <v>87879</v>
      </c>
      <c r="C1860" s="166" t="str">
        <f>VLOOKUP(A1860,'[3]Planilha Orçamentária'!A:K,3,0)</f>
        <v>CHAPISCO APLICADO EM ALVENARIAS E ESTRUTURAS DE CONCRETO INTERNAS, COM COLHER DE PEDREIRO.  ARGAMASSA TRAÇO 1:3 COM PREPARO EM BETONEIRA 400L. AF_06/2014</v>
      </c>
      <c r="D1860" s="31" t="str">
        <f>VLOOKUP(A1860,'[3]Planilha Orçamentária'!A:K,4,0)</f>
        <v>M2</v>
      </c>
      <c r="E1860" s="30"/>
      <c r="F1860" s="32"/>
      <c r="G1860" s="32"/>
      <c r="H1860" s="32"/>
      <c r="I1860" s="32"/>
      <c r="J1860" s="45">
        <f>ROUND(SUM(J1861:J1863),2)</f>
        <v>190.57</v>
      </c>
      <c r="U1860" s="53"/>
      <c r="V1860" s="53"/>
      <c r="W1860" s="53"/>
      <c r="X1860" s="53"/>
      <c r="Y1860" s="53"/>
      <c r="Z1860" s="53"/>
      <c r="AA1860" s="53"/>
      <c r="AB1860" s="53"/>
      <c r="AC1860" s="53"/>
      <c r="AD1860" s="53"/>
    </row>
    <row r="1861" spans="1:30" ht="12" customHeight="1">
      <c r="A1861" s="27"/>
      <c r="B1861" s="27"/>
      <c r="C1861" s="79" t="s">
        <v>1901</v>
      </c>
      <c r="D1861" s="96"/>
      <c r="E1861" s="82"/>
      <c r="F1861" s="57"/>
      <c r="G1861" s="57"/>
      <c r="H1861" s="57"/>
      <c r="I1861" s="254"/>
      <c r="J1861" s="27"/>
      <c r="U1861" s="53"/>
      <c r="V1861" s="53"/>
      <c r="W1861" s="53"/>
      <c r="X1861" s="53"/>
      <c r="Y1861" s="53"/>
      <c r="Z1861" s="53"/>
      <c r="AA1861" s="53"/>
      <c r="AB1861" s="53"/>
      <c r="AC1861" s="53"/>
      <c r="AD1861" s="53"/>
    </row>
    <row r="1862" spans="1:30" ht="12" customHeight="1">
      <c r="A1862" s="27"/>
      <c r="B1862" s="27"/>
      <c r="C1862" s="255" t="s">
        <v>1765</v>
      </c>
      <c r="D1862" s="96"/>
      <c r="E1862" s="82"/>
      <c r="F1862" s="57"/>
      <c r="G1862" s="57"/>
      <c r="H1862" s="57"/>
      <c r="I1862" s="314">
        <f>J1856</f>
        <v>190.57</v>
      </c>
      <c r="J1862" s="36">
        <f t="shared" ref="J1862" si="187">ROUND(PRODUCT(E1862:I1862),2)</f>
        <v>190.57</v>
      </c>
      <c r="U1862" s="53"/>
      <c r="V1862" s="53"/>
      <c r="W1862" s="53"/>
      <c r="X1862" s="53"/>
      <c r="Y1862" s="53"/>
      <c r="Z1862" s="53"/>
      <c r="AA1862" s="53"/>
      <c r="AB1862" s="53"/>
      <c r="AC1862" s="53"/>
      <c r="AD1862" s="53"/>
    </row>
    <row r="1863" spans="1:30" ht="12" customHeight="1">
      <c r="A1863" s="501"/>
      <c r="B1863" s="502"/>
      <c r="C1863" s="502"/>
      <c r="D1863" s="502"/>
      <c r="E1863" s="502"/>
      <c r="F1863" s="502"/>
      <c r="G1863" s="502"/>
      <c r="H1863" s="502"/>
      <c r="I1863" s="502"/>
      <c r="J1863" s="503"/>
      <c r="U1863" s="53"/>
      <c r="V1863" s="53"/>
      <c r="W1863" s="53"/>
      <c r="X1863" s="53"/>
      <c r="Y1863" s="53"/>
      <c r="Z1863" s="53"/>
      <c r="AA1863" s="53"/>
      <c r="AB1863" s="53"/>
      <c r="AC1863" s="53"/>
      <c r="AD1863" s="53"/>
    </row>
    <row r="1864" spans="1:30" ht="63.75">
      <c r="A1864" s="28" t="str">
        <f>'[3]Planilha Orçamentária'!A471</f>
        <v>1.8.6.16</v>
      </c>
      <c r="B1864" s="42">
        <f>VLOOKUP(A1864,'[3]Planilha Orçamentária'!A:K,2,0)</f>
        <v>87547</v>
      </c>
      <c r="C1864" s="166" t="str">
        <f>VLOOKUP(A1864,'[3]Planilha Orçamentária'!A:K,3,0)</f>
        <v>MASSA ÚNICA, PARA RECEBIMENTO DE PINTURA, EM ARGAMASSA TRAÇO 1:2:8, PREPARO MECÂNICO COM BETONEIRA 400L, APLICADA MANUALMENTE EM FACES INTERNAS DE PAREDES, ESPESSURA DE 10MM, COM EXECUÇÃO DE TALISCAS. AF_06/2014</v>
      </c>
      <c r="D1864" s="31" t="str">
        <f>VLOOKUP(A1864,'[3]Planilha Orçamentária'!A:K,4,0)</f>
        <v>M2</v>
      </c>
      <c r="E1864" s="30"/>
      <c r="F1864" s="32"/>
      <c r="G1864" s="32"/>
      <c r="H1864" s="32"/>
      <c r="I1864" s="32"/>
      <c r="J1864" s="45">
        <f>ROUND(SUM(J1865:J1867),2)</f>
        <v>190.57</v>
      </c>
      <c r="U1864" s="53"/>
      <c r="V1864" s="53"/>
      <c r="W1864" s="53"/>
      <c r="X1864" s="53"/>
      <c r="Y1864" s="53"/>
      <c r="Z1864" s="53"/>
      <c r="AA1864" s="53"/>
      <c r="AB1864" s="53"/>
      <c r="AC1864" s="53"/>
      <c r="AD1864" s="53"/>
    </row>
    <row r="1865" spans="1:30" ht="12" customHeight="1">
      <c r="A1865" s="27"/>
      <c r="B1865" s="27"/>
      <c r="C1865" s="79" t="s">
        <v>1901</v>
      </c>
      <c r="D1865" s="96"/>
      <c r="E1865" s="82"/>
      <c r="F1865" s="57"/>
      <c r="G1865" s="57"/>
      <c r="H1865" s="57"/>
      <c r="I1865" s="254"/>
      <c r="J1865" s="27"/>
      <c r="U1865" s="53"/>
      <c r="V1865" s="53"/>
      <c r="W1865" s="53"/>
      <c r="X1865" s="53"/>
      <c r="Y1865" s="53"/>
      <c r="Z1865" s="53"/>
      <c r="AA1865" s="53"/>
      <c r="AB1865" s="53"/>
      <c r="AC1865" s="53"/>
      <c r="AD1865" s="53"/>
    </row>
    <row r="1866" spans="1:30" ht="12" customHeight="1">
      <c r="A1866" s="27"/>
      <c r="B1866" s="27"/>
      <c r="C1866" s="255" t="s">
        <v>1765</v>
      </c>
      <c r="D1866" s="96"/>
      <c r="E1866" s="82"/>
      <c r="F1866" s="57"/>
      <c r="G1866" s="57"/>
      <c r="H1866" s="57"/>
      <c r="I1866" s="314">
        <f>J1860</f>
        <v>190.57</v>
      </c>
      <c r="J1866" s="36">
        <f t="shared" ref="J1866" si="188">ROUND(PRODUCT(E1866:I1866),2)</f>
        <v>190.57</v>
      </c>
      <c r="U1866" s="53"/>
      <c r="V1866" s="53"/>
      <c r="W1866" s="53"/>
      <c r="X1866" s="53"/>
      <c r="Y1866" s="53"/>
      <c r="Z1866" s="53"/>
      <c r="AA1866" s="53"/>
      <c r="AB1866" s="53"/>
      <c r="AC1866" s="53"/>
      <c r="AD1866" s="53"/>
    </row>
    <row r="1867" spans="1:30" ht="12" customHeight="1">
      <c r="A1867" s="501"/>
      <c r="B1867" s="502"/>
      <c r="C1867" s="502"/>
      <c r="D1867" s="502"/>
      <c r="E1867" s="502"/>
      <c r="F1867" s="502"/>
      <c r="G1867" s="502"/>
      <c r="H1867" s="502"/>
      <c r="I1867" s="502"/>
      <c r="J1867" s="503"/>
      <c r="U1867" s="53"/>
      <c r="V1867" s="53"/>
      <c r="W1867" s="53"/>
      <c r="X1867" s="53"/>
      <c r="Y1867" s="53"/>
      <c r="Z1867" s="53"/>
      <c r="AA1867" s="53"/>
      <c r="AB1867" s="53"/>
      <c r="AC1867" s="53"/>
      <c r="AD1867" s="53"/>
    </row>
    <row r="1868" spans="1:30" ht="38.25">
      <c r="A1868" s="28" t="str">
        <f>'[3]Planilha Orçamentária'!A472</f>
        <v>1.8.6.17</v>
      </c>
      <c r="B1868" s="42">
        <f>VLOOKUP(A1868,'[3]Planilha Orçamentária'!A:K,2,0)</f>
        <v>94975</v>
      </c>
      <c r="C1868" s="166" t="str">
        <f>VLOOKUP(A1868,'[3]Planilha Orçamentária'!A:K,3,0)</f>
        <v>CONCRETO FCK = 15MPA, TRAÇO 1:3,4:3,5 (EM MASSA SECA DE CIMENTO/ AREIA MÉDIA/ BRITA 1) - PREPARO MANUAL. AF_05/2021</v>
      </c>
      <c r="D1868" s="31" t="str">
        <f>VLOOKUP(A1868,'[3]Planilha Orçamentária'!A:K,4,0)</f>
        <v>M3</v>
      </c>
      <c r="E1868" s="30"/>
      <c r="F1868" s="32"/>
      <c r="G1868" s="32"/>
      <c r="H1868" s="32"/>
      <c r="I1868" s="32"/>
      <c r="J1868" s="45">
        <f>ROUND(SUM(J1869:J1872),2)</f>
        <v>22.39</v>
      </c>
      <c r="U1868" s="53"/>
      <c r="V1868" s="53"/>
      <c r="W1868" s="53"/>
      <c r="X1868" s="53"/>
      <c r="Y1868" s="53"/>
      <c r="Z1868" s="53"/>
      <c r="AA1868" s="53"/>
      <c r="AB1868" s="53"/>
      <c r="AC1868" s="53"/>
      <c r="AD1868" s="53"/>
    </row>
    <row r="1869" spans="1:30" ht="28.5">
      <c r="A1869" s="27"/>
      <c r="B1869" s="27"/>
      <c r="C1869" s="131" t="s">
        <v>1766</v>
      </c>
      <c r="D1869" s="303"/>
      <c r="E1869" s="304" t="s">
        <v>1767</v>
      </c>
      <c r="F1869" s="304" t="s">
        <v>1768</v>
      </c>
      <c r="G1869" s="184"/>
      <c r="H1869" s="304" t="s">
        <v>1769</v>
      </c>
      <c r="I1869" s="27"/>
      <c r="J1869" s="27"/>
      <c r="U1869" s="53"/>
      <c r="V1869" s="53"/>
      <c r="W1869" s="53"/>
      <c r="X1869" s="53"/>
      <c r="Y1869" s="53"/>
      <c r="Z1869" s="53"/>
      <c r="AA1869" s="53"/>
      <c r="AB1869" s="53"/>
      <c r="AC1869" s="53"/>
      <c r="AD1869" s="53"/>
    </row>
    <row r="1870" spans="1:30" ht="28.5">
      <c r="A1870" s="27"/>
      <c r="B1870" s="27"/>
      <c r="C1870" s="255" t="s">
        <v>1770</v>
      </c>
      <c r="D1870" s="303"/>
      <c r="E1870" s="305">
        <f>0.294*0.14*0.19</f>
        <v>7.8203999999999999E-3</v>
      </c>
      <c r="F1870" s="184">
        <v>13.6</v>
      </c>
      <c r="G1870" s="306"/>
      <c r="H1870" s="57">
        <f>J1856</f>
        <v>190.57</v>
      </c>
      <c r="I1870" s="27"/>
      <c r="J1870" s="36">
        <f t="shared" ref="J1870:J1872" si="189">ROUND(PRODUCT(E1870:I1870),2)</f>
        <v>20.27</v>
      </c>
      <c r="U1870" s="53"/>
      <c r="V1870" s="53"/>
      <c r="W1870" s="53"/>
      <c r="X1870" s="53"/>
      <c r="Y1870" s="53"/>
      <c r="Z1870" s="53"/>
      <c r="AA1870" s="53"/>
      <c r="AB1870" s="53"/>
      <c r="AC1870" s="53"/>
      <c r="AD1870" s="53"/>
    </row>
    <row r="1871" spans="1:30" ht="28.5">
      <c r="A1871" s="27"/>
      <c r="B1871" s="27"/>
      <c r="C1871" s="131"/>
      <c r="D1871" s="303"/>
      <c r="E1871" s="335" t="s">
        <v>1767</v>
      </c>
      <c r="F1871" s="336" t="s">
        <v>1921</v>
      </c>
      <c r="G1871" s="59"/>
      <c r="H1871" s="59"/>
      <c r="I1871" s="337" t="s">
        <v>1660</v>
      </c>
      <c r="J1871" s="36"/>
      <c r="U1871" s="53"/>
      <c r="V1871" s="53"/>
      <c r="W1871" s="53"/>
      <c r="X1871" s="53"/>
      <c r="Y1871" s="53"/>
      <c r="Z1871" s="53"/>
      <c r="AA1871" s="53"/>
      <c r="AB1871" s="53"/>
      <c r="AC1871" s="53"/>
      <c r="AD1871" s="53"/>
    </row>
    <row r="1872" spans="1:30" ht="14.25">
      <c r="A1872" s="27"/>
      <c r="B1872" s="27"/>
      <c r="C1872" s="131" t="s">
        <v>1922</v>
      </c>
      <c r="D1872" s="303"/>
      <c r="E1872" s="305">
        <f>0.294*0.14*0.19</f>
        <v>7.8203999999999999E-3</v>
      </c>
      <c r="F1872" s="184">
        <v>54.323300000000003</v>
      </c>
      <c r="G1872" s="306"/>
      <c r="H1872" s="57"/>
      <c r="I1872" s="196">
        <f>I1854</f>
        <v>5</v>
      </c>
      <c r="J1872" s="36">
        <f t="shared" si="189"/>
        <v>2.12</v>
      </c>
      <c r="U1872" s="53"/>
      <c r="V1872" s="53"/>
      <c r="W1872" s="53"/>
      <c r="X1872" s="53"/>
      <c r="Y1872" s="53"/>
      <c r="Z1872" s="53"/>
      <c r="AA1872" s="53"/>
      <c r="AB1872" s="53"/>
      <c r="AC1872" s="53"/>
      <c r="AD1872" s="53"/>
    </row>
    <row r="1873" spans="1:30" ht="12" customHeight="1">
      <c r="A1873" s="501"/>
      <c r="B1873" s="502"/>
      <c r="C1873" s="502"/>
      <c r="D1873" s="502"/>
      <c r="E1873" s="502"/>
      <c r="F1873" s="502"/>
      <c r="G1873" s="502"/>
      <c r="H1873" s="502"/>
      <c r="I1873" s="502"/>
      <c r="J1873" s="503"/>
      <c r="U1873" s="53"/>
      <c r="V1873" s="53"/>
      <c r="W1873" s="53"/>
      <c r="X1873" s="53"/>
      <c r="Y1873" s="53"/>
      <c r="Z1873" s="53"/>
      <c r="AA1873" s="53"/>
      <c r="AB1873" s="53"/>
      <c r="AC1873" s="53"/>
      <c r="AD1873" s="53"/>
    </row>
    <row r="1874" spans="1:30" ht="25.5">
      <c r="A1874" s="28" t="str">
        <f>'[3]Planilha Orçamentária'!A473</f>
        <v>1.8.6.18</v>
      </c>
      <c r="B1874" s="29" t="str">
        <f>VLOOKUP(A1874,'[3]Planilha Orçamentária'!A:K,2,0)</f>
        <v>CP-74157/004-48264518</v>
      </c>
      <c r="C1874" s="166" t="str">
        <f>VLOOKUP(A1874,'[3]Planilha Orçamentária'!A:K,3,0)</f>
        <v>LANCAMENTO/APLICACAO MANUAL DE CONCRETO EM FUNDACOES (concreto magro)</v>
      </c>
      <c r="D1874" s="31" t="str">
        <f>VLOOKUP(A1874,'[3]Planilha Orçamentária'!A:K,4,0)</f>
        <v>M3</v>
      </c>
      <c r="E1874" s="30"/>
      <c r="F1874" s="32"/>
      <c r="G1874" s="32"/>
      <c r="H1874" s="32"/>
      <c r="I1874" s="32"/>
      <c r="J1874" s="33">
        <f>ROUND(SUM(J1875:J1877),2)</f>
        <v>89.1</v>
      </c>
      <c r="U1874" s="53"/>
      <c r="V1874" s="53"/>
      <c r="W1874" s="53"/>
      <c r="X1874" s="53"/>
      <c r="Y1874" s="53"/>
      <c r="Z1874" s="53"/>
      <c r="AA1874" s="53"/>
      <c r="AB1874" s="53"/>
      <c r="AC1874" s="53"/>
      <c r="AD1874" s="53"/>
    </row>
    <row r="1875" spans="1:30">
      <c r="A1875" s="27"/>
      <c r="B1875" s="27"/>
      <c r="C1875" s="79" t="s">
        <v>1901</v>
      </c>
      <c r="D1875" s="96"/>
      <c r="E1875" s="82"/>
      <c r="F1875" s="57"/>
      <c r="G1875" s="57"/>
      <c r="H1875" s="57"/>
      <c r="I1875" s="254"/>
      <c r="J1875" s="27"/>
      <c r="U1875" s="53"/>
      <c r="V1875" s="53"/>
      <c r="W1875" s="53"/>
      <c r="X1875" s="53"/>
      <c r="Y1875" s="53"/>
      <c r="Z1875" s="53"/>
      <c r="AA1875" s="53"/>
      <c r="AB1875" s="53"/>
      <c r="AC1875" s="53"/>
      <c r="AD1875" s="53"/>
    </row>
    <row r="1876" spans="1:30" ht="14.25">
      <c r="A1876" s="27"/>
      <c r="B1876" s="27"/>
      <c r="C1876" s="255" t="s">
        <v>1923</v>
      </c>
      <c r="D1876" s="96"/>
      <c r="E1876" s="82"/>
      <c r="F1876" s="57"/>
      <c r="G1876" s="57"/>
      <c r="H1876" s="57"/>
      <c r="I1876" s="57">
        <f>J1868+J1834+J1819</f>
        <v>89.1</v>
      </c>
      <c r="J1876" s="36">
        <f t="shared" ref="J1876" si="190">ROUND(PRODUCT(E1876:I1876),2)</f>
        <v>89.1</v>
      </c>
      <c r="U1876" s="53"/>
      <c r="V1876" s="53"/>
      <c r="W1876" s="53"/>
      <c r="X1876" s="53"/>
      <c r="Y1876" s="53"/>
      <c r="Z1876" s="53"/>
      <c r="AA1876" s="53"/>
      <c r="AB1876" s="53"/>
      <c r="AC1876" s="53"/>
      <c r="AD1876" s="53"/>
    </row>
    <row r="1877" spans="1:30" ht="12" customHeight="1">
      <c r="A1877" s="501"/>
      <c r="B1877" s="502"/>
      <c r="C1877" s="502"/>
      <c r="D1877" s="502"/>
      <c r="E1877" s="502"/>
      <c r="F1877" s="502"/>
      <c r="G1877" s="502"/>
      <c r="H1877" s="502"/>
      <c r="I1877" s="502"/>
      <c r="J1877" s="503"/>
      <c r="U1877" s="53"/>
      <c r="V1877" s="53"/>
      <c r="W1877" s="53"/>
      <c r="X1877" s="53"/>
      <c r="Y1877" s="53"/>
      <c r="Z1877" s="53"/>
      <c r="AA1877" s="53"/>
      <c r="AB1877" s="53"/>
      <c r="AC1877" s="53"/>
      <c r="AD1877" s="53"/>
    </row>
    <row r="1878" spans="1:30" ht="38.25">
      <c r="A1878" s="28" t="str">
        <f>'[3]Planilha Orçamentária'!A474</f>
        <v>1.8.6.19</v>
      </c>
      <c r="B1878" s="42">
        <f>VLOOKUP(A1878,'[3]Planilha Orçamentária'!A:K,2,0)</f>
        <v>102738</v>
      </c>
      <c r="C1878" s="166" t="str">
        <f>VLOOKUP(A1878,'[3]Planilha Orçamentária'!A:K,3,0)</f>
        <v>BOCA PARA BUEIRO SIMPLES TUBULAR D = 60 CM EM CONCRETO, ALAS COM ESCONSIDADE DE 0°, INCLUINDO FÔRMAS E MATERIAIS. AF_07/2021</v>
      </c>
      <c r="D1878" s="31" t="str">
        <f>VLOOKUP(A1878,'[3]Planilha Orçamentária'!A:K,4,0)</f>
        <v>UN</v>
      </c>
      <c r="E1878" s="30"/>
      <c r="F1878" s="32"/>
      <c r="G1878" s="32"/>
      <c r="H1878" s="32"/>
      <c r="I1878" s="32"/>
      <c r="J1878" s="45">
        <f>ROUND(SUM(J1879:J1881),2)</f>
        <v>1</v>
      </c>
      <c r="U1878" s="53"/>
      <c r="V1878" s="53"/>
      <c r="W1878" s="53"/>
      <c r="X1878" s="53"/>
      <c r="Y1878" s="53"/>
      <c r="Z1878" s="53"/>
      <c r="AA1878" s="53"/>
      <c r="AB1878" s="53"/>
      <c r="AC1878" s="53"/>
      <c r="AD1878" s="53"/>
    </row>
    <row r="1879" spans="1:30" ht="12" customHeight="1">
      <c r="A1879" s="27"/>
      <c r="B1879" s="27"/>
      <c r="C1879" s="79" t="s">
        <v>1901</v>
      </c>
      <c r="D1879" s="96"/>
      <c r="E1879" s="82"/>
      <c r="F1879" s="57"/>
      <c r="G1879" s="57"/>
      <c r="H1879" s="57"/>
      <c r="I1879" s="313" t="s">
        <v>1660</v>
      </c>
      <c r="J1879" s="27"/>
      <c r="U1879" s="53"/>
      <c r="V1879" s="53"/>
      <c r="W1879" s="53"/>
      <c r="X1879" s="53"/>
      <c r="Y1879" s="53"/>
      <c r="Z1879" s="53"/>
      <c r="AA1879" s="53"/>
      <c r="AB1879" s="53"/>
      <c r="AC1879" s="53"/>
      <c r="AD1879" s="53"/>
    </row>
    <row r="1880" spans="1:30" ht="14.25">
      <c r="A1880" s="27"/>
      <c r="B1880" s="27"/>
      <c r="C1880" s="255" t="s">
        <v>1916</v>
      </c>
      <c r="D1880" s="96"/>
      <c r="E1880" s="82"/>
      <c r="F1880" s="57"/>
      <c r="G1880" s="57"/>
      <c r="H1880" s="57"/>
      <c r="I1880" s="57">
        <v>1</v>
      </c>
      <c r="J1880" s="36">
        <f t="shared" ref="J1880" si="191">ROUND(PRODUCT(E1880:I1880),2)</f>
        <v>1</v>
      </c>
      <c r="U1880" s="53"/>
      <c r="V1880" s="53"/>
      <c r="W1880" s="53"/>
      <c r="X1880" s="53"/>
      <c r="Y1880" s="53"/>
      <c r="Z1880" s="53"/>
      <c r="AA1880" s="53"/>
      <c r="AB1880" s="53"/>
      <c r="AC1880" s="53"/>
      <c r="AD1880" s="53"/>
    </row>
    <row r="1881" spans="1:30" ht="12" customHeight="1">
      <c r="A1881" s="501"/>
      <c r="B1881" s="502"/>
      <c r="C1881" s="502"/>
      <c r="D1881" s="502"/>
      <c r="E1881" s="502"/>
      <c r="F1881" s="502"/>
      <c r="G1881" s="502"/>
      <c r="H1881" s="502"/>
      <c r="I1881" s="502"/>
      <c r="J1881" s="503"/>
      <c r="U1881" s="53"/>
      <c r="V1881" s="53"/>
      <c r="W1881" s="53"/>
      <c r="X1881" s="53"/>
      <c r="Y1881" s="53"/>
      <c r="Z1881" s="53"/>
      <c r="AA1881" s="53"/>
      <c r="AB1881" s="53"/>
      <c r="AC1881" s="53"/>
      <c r="AD1881" s="53"/>
    </row>
    <row r="1882" spans="1:30" ht="51">
      <c r="A1882" s="28" t="str">
        <f>'[3]Planilha Orçamentária'!A475</f>
        <v>1.8.6.20</v>
      </c>
      <c r="B1882" s="42">
        <f>VLOOKUP(A1882,'[3]Planilha Orçamentária'!A:K,2,0)</f>
        <v>90747</v>
      </c>
      <c r="C1882" s="166" t="str">
        <f>VLOOKUP(A1882,'[3]Planilha Orçamentária'!A:K,3,0)</f>
        <v>ASSENTAMENTO DE TUBO DE PEAD CORRUGADO DE DUPLA PAREDE PARA REDE COLETORA DE ESGOTO, DN 600 MM, JUNTA ELÁSTICA INTEGRADA (NÃO INCLUI FORNECIMENTO). AF_01/2021</v>
      </c>
      <c r="D1882" s="31" t="str">
        <f>VLOOKUP(A1882,'[3]Planilha Orçamentária'!A:K,4,0)</f>
        <v>M</v>
      </c>
      <c r="E1882" s="30"/>
      <c r="F1882" s="32"/>
      <c r="G1882" s="32"/>
      <c r="H1882" s="32"/>
      <c r="I1882" s="32"/>
      <c r="J1882" s="45">
        <f>ROUND(SUM(J1883:J1885),2)</f>
        <v>73.08</v>
      </c>
      <c r="U1882" s="53"/>
      <c r="V1882" s="53"/>
      <c r="W1882" s="53"/>
      <c r="X1882" s="53"/>
      <c r="Y1882" s="53"/>
      <c r="Z1882" s="53"/>
      <c r="AA1882" s="53"/>
      <c r="AB1882" s="53"/>
      <c r="AC1882" s="53"/>
      <c r="AD1882" s="53"/>
    </row>
    <row r="1883" spans="1:30" ht="12" customHeight="1">
      <c r="A1883" s="27"/>
      <c r="B1883" s="27"/>
      <c r="C1883" s="79" t="s">
        <v>1901</v>
      </c>
      <c r="D1883" s="96"/>
      <c r="E1883" s="82"/>
      <c r="F1883" s="57" t="s">
        <v>1606</v>
      </c>
      <c r="G1883" s="57"/>
      <c r="H1883" s="57"/>
      <c r="I1883" s="254"/>
      <c r="J1883" s="27"/>
      <c r="U1883" s="53"/>
      <c r="V1883" s="53"/>
      <c r="W1883" s="53"/>
      <c r="X1883" s="53"/>
      <c r="Y1883" s="53"/>
      <c r="Z1883" s="53"/>
      <c r="AA1883" s="53"/>
      <c r="AB1883" s="53"/>
      <c r="AC1883" s="53"/>
      <c r="AD1883" s="53"/>
    </row>
    <row r="1884" spans="1:30" ht="14.25">
      <c r="A1884" s="27"/>
      <c r="B1884" s="27"/>
      <c r="C1884" s="255" t="s">
        <v>1916</v>
      </c>
      <c r="D1884" s="96"/>
      <c r="E1884" s="82"/>
      <c r="F1884" s="57">
        <f>F1795</f>
        <v>73.08</v>
      </c>
      <c r="G1884" s="57"/>
      <c r="H1884" s="57"/>
      <c r="I1884" s="57"/>
      <c r="J1884" s="36">
        <f t="shared" ref="J1884" si="192">ROUND(PRODUCT(E1884:I1884),2)</f>
        <v>73.08</v>
      </c>
      <c r="U1884" s="53"/>
      <c r="V1884" s="53"/>
      <c r="W1884" s="53"/>
      <c r="X1884" s="53"/>
      <c r="Y1884" s="53"/>
      <c r="Z1884" s="53"/>
      <c r="AA1884" s="53"/>
      <c r="AB1884" s="53"/>
      <c r="AC1884" s="53"/>
      <c r="AD1884" s="53"/>
    </row>
    <row r="1885" spans="1:30" ht="12" customHeight="1">
      <c r="A1885" s="501"/>
      <c r="B1885" s="502"/>
      <c r="C1885" s="502"/>
      <c r="D1885" s="502"/>
      <c r="E1885" s="502"/>
      <c r="F1885" s="502"/>
      <c r="G1885" s="502"/>
      <c r="H1885" s="502"/>
      <c r="I1885" s="502"/>
      <c r="J1885" s="503"/>
      <c r="U1885" s="53"/>
      <c r="V1885" s="53"/>
      <c r="W1885" s="53"/>
      <c r="X1885" s="53"/>
      <c r="Y1885" s="53"/>
      <c r="Z1885" s="53"/>
      <c r="AA1885" s="53"/>
      <c r="AB1885" s="53"/>
      <c r="AC1885" s="53"/>
      <c r="AD1885" s="53"/>
    </row>
    <row r="1886" spans="1:30" ht="12" customHeight="1">
      <c r="A1886" s="19" t="str">
        <f>'[3]Planilha Orçamentária'!A476</f>
        <v>1.8.7</v>
      </c>
      <c r="B1886" s="20"/>
      <c r="C1886" s="21" t="str">
        <f>VLOOKUP(A1886,'[3]Planilha Orçamentária'!A:K,3,0)</f>
        <v>SINALIZAÇÃO</v>
      </c>
      <c r="D1886" s="22"/>
      <c r="E1886" s="23"/>
      <c r="F1886" s="24"/>
      <c r="G1886" s="24"/>
      <c r="H1886" s="24"/>
      <c r="I1886" s="25"/>
      <c r="J1886" s="41"/>
      <c r="U1886" s="53"/>
      <c r="V1886" s="53"/>
      <c r="W1886" s="53"/>
      <c r="X1886" s="53"/>
      <c r="Y1886" s="53"/>
      <c r="Z1886" s="53"/>
      <c r="AA1886" s="53"/>
      <c r="AB1886" s="53"/>
      <c r="AC1886" s="53"/>
      <c r="AD1886" s="53"/>
    </row>
    <row r="1887" spans="1:30" ht="25.5">
      <c r="A1887" s="28" t="str">
        <f>'[3]Planilha Orçamentária'!A477</f>
        <v>1.8.7.1</v>
      </c>
      <c r="B1887" s="42">
        <f>VLOOKUP(A1887,'[3]Planilha Orçamentária'!A:K,2,0)</f>
        <v>5213421</v>
      </c>
      <c r="C1887" s="166" t="str">
        <f>VLOOKUP(A1887,'[3]Planilha Orçamentária'!A:K,3,0)</f>
        <v>Confecção de placa em aço nº 16 galvanizado, com película tipo I + IV</v>
      </c>
      <c r="D1887" s="31" t="str">
        <f>VLOOKUP(A1887,'[3]Planilha Orçamentária'!A:K,4,0)</f>
        <v xml:space="preserve">M2    </v>
      </c>
      <c r="E1887" s="30"/>
      <c r="F1887" s="32"/>
      <c r="G1887" s="32"/>
      <c r="H1887" s="32"/>
      <c r="I1887" s="32"/>
      <c r="J1887" s="45">
        <f>ROUND(SUM(J1888:J1890),2)</f>
        <v>3.6</v>
      </c>
      <c r="U1887" s="53"/>
      <c r="V1887" s="53"/>
      <c r="W1887" s="53"/>
      <c r="X1887" s="53"/>
      <c r="Y1887" s="53"/>
      <c r="Z1887" s="53"/>
      <c r="AA1887" s="53"/>
      <c r="AB1887" s="53"/>
      <c r="AC1887" s="53"/>
      <c r="AD1887" s="53"/>
    </row>
    <row r="1888" spans="1:30" ht="25.5">
      <c r="A1888" s="54"/>
      <c r="B1888" s="54"/>
      <c r="C1888" s="142" t="s">
        <v>1924</v>
      </c>
      <c r="D1888" s="174"/>
      <c r="E1888" s="175"/>
      <c r="F1888" s="35"/>
      <c r="G1888" s="35"/>
      <c r="H1888" s="82" t="s">
        <v>1620</v>
      </c>
      <c r="I1888" s="171" t="s">
        <v>1608</v>
      </c>
      <c r="J1888" s="58"/>
      <c r="U1888" s="53"/>
      <c r="V1888" s="53"/>
      <c r="W1888" s="53"/>
      <c r="X1888" s="53"/>
      <c r="Y1888" s="53"/>
      <c r="Z1888" s="53"/>
      <c r="AA1888" s="53"/>
      <c r="AB1888" s="53"/>
      <c r="AC1888" s="53"/>
      <c r="AD1888" s="53"/>
    </row>
    <row r="1889" spans="1:30">
      <c r="A1889" s="176"/>
      <c r="B1889" s="176"/>
      <c r="C1889" s="142" t="s">
        <v>1671</v>
      </c>
      <c r="D1889" s="174"/>
      <c r="E1889" s="35"/>
      <c r="F1889" s="35"/>
      <c r="G1889" s="35"/>
      <c r="H1889" s="35">
        <v>0.2</v>
      </c>
      <c r="I1889" s="82">
        <v>8</v>
      </c>
      <c r="J1889" s="120">
        <f t="shared" ref="J1889:J1890" si="193">ROUND(PRODUCT(E1889:I1889),2)</f>
        <v>1.6</v>
      </c>
      <c r="U1889" s="53"/>
      <c r="V1889" s="53"/>
      <c r="W1889" s="53"/>
      <c r="X1889" s="53"/>
      <c r="Y1889" s="53"/>
      <c r="Z1889" s="53"/>
      <c r="AA1889" s="53"/>
      <c r="AB1889" s="53"/>
      <c r="AC1889" s="53"/>
      <c r="AD1889" s="53"/>
    </row>
    <row r="1890" spans="1:30">
      <c r="A1890" s="176"/>
      <c r="B1890" s="176"/>
      <c r="C1890" s="177" t="s">
        <v>1672</v>
      </c>
      <c r="D1890" s="158"/>
      <c r="E1890" s="116"/>
      <c r="F1890" s="116"/>
      <c r="G1890" s="116"/>
      <c r="H1890" s="116">
        <f>0.5*0.5</f>
        <v>0.25</v>
      </c>
      <c r="I1890" s="178">
        <v>8</v>
      </c>
      <c r="J1890" s="120">
        <f t="shared" si="193"/>
        <v>2</v>
      </c>
      <c r="U1890" s="53"/>
      <c r="V1890" s="53"/>
      <c r="W1890" s="53"/>
      <c r="X1890" s="53"/>
      <c r="Y1890" s="53"/>
      <c r="Z1890" s="53"/>
      <c r="AA1890" s="53"/>
      <c r="AB1890" s="53"/>
      <c r="AC1890" s="53"/>
      <c r="AD1890" s="53"/>
    </row>
    <row r="1891" spans="1:30" ht="12" customHeight="1">
      <c r="A1891" s="507"/>
      <c r="B1891" s="507"/>
      <c r="C1891" s="507"/>
      <c r="D1891" s="507"/>
      <c r="E1891" s="507"/>
      <c r="F1891" s="507"/>
      <c r="G1891" s="507"/>
      <c r="H1891" s="507"/>
      <c r="I1891" s="507"/>
      <c r="J1891" s="508"/>
      <c r="U1891" s="53"/>
      <c r="V1891" s="53"/>
      <c r="W1891" s="53"/>
      <c r="X1891" s="53"/>
      <c r="Y1891" s="53"/>
      <c r="Z1891" s="53"/>
      <c r="AA1891" s="53"/>
      <c r="AB1891" s="53"/>
      <c r="AC1891" s="53"/>
      <c r="AD1891" s="53"/>
    </row>
    <row r="1892" spans="1:30" ht="38.25">
      <c r="A1892" s="28" t="str">
        <f>'[3]Planilha Orçamentária'!A478</f>
        <v>1.8.7.2</v>
      </c>
      <c r="B1892" s="42">
        <f>VLOOKUP(A1892,'[3]Planilha Orçamentária'!A:K,2,0)</f>
        <v>5216111</v>
      </c>
      <c r="C1892" s="166" t="str">
        <f>VLOOKUP(A1892,'[3]Planilha Orçamentária'!A:K,3,0)</f>
        <v>FORNECIMENTO E IMPLANTAÇÃO DE SUPORTE E TRAVESSA PARA PLACA DE SINALIZAÇÃO EM MADEIRA DE LEI TRATADA 8 X 8 CM</v>
      </c>
      <c r="D1892" s="31" t="str">
        <f>VLOOKUP(A1892,'[3]Planilha Orçamentária'!A:K,4,0)</f>
        <v>UND</v>
      </c>
      <c r="E1892" s="30"/>
      <c r="F1892" s="32"/>
      <c r="G1892" s="32"/>
      <c r="H1892" s="32"/>
      <c r="I1892" s="32"/>
      <c r="J1892" s="45">
        <f>ROUND(SUM(J1894:J1894),2)</f>
        <v>4</v>
      </c>
      <c r="U1892" s="53"/>
      <c r="V1892" s="53"/>
      <c r="W1892" s="53"/>
      <c r="X1892" s="53"/>
      <c r="Y1892" s="53"/>
      <c r="Z1892" s="53"/>
      <c r="AA1892" s="53"/>
      <c r="AB1892" s="53"/>
      <c r="AC1892" s="53"/>
      <c r="AD1892" s="53"/>
    </row>
    <row r="1893" spans="1:30" ht="12" customHeight="1">
      <c r="A1893" s="112"/>
      <c r="B1893" s="146"/>
      <c r="C1893" s="142" t="s">
        <v>1924</v>
      </c>
      <c r="D1893" s="31"/>
      <c r="E1893" s="30"/>
      <c r="F1893" s="32"/>
      <c r="G1893" s="32"/>
      <c r="H1893" s="32"/>
      <c r="I1893" s="34" t="s">
        <v>1125</v>
      </c>
      <c r="J1893" s="151"/>
      <c r="U1893" s="53"/>
      <c r="V1893" s="53"/>
      <c r="W1893" s="53"/>
      <c r="X1893" s="53"/>
      <c r="Y1893" s="53"/>
      <c r="Z1893" s="53"/>
      <c r="AA1893" s="53"/>
      <c r="AB1893" s="53"/>
      <c r="AC1893" s="53"/>
      <c r="AD1893" s="53"/>
    </row>
    <row r="1894" spans="1:30">
      <c r="A1894" s="176"/>
      <c r="B1894" s="176"/>
      <c r="C1894" s="142" t="s">
        <v>1676</v>
      </c>
      <c r="D1894" s="174"/>
      <c r="E1894" s="175"/>
      <c r="F1894" s="35"/>
      <c r="G1894" s="35"/>
      <c r="H1894" s="82"/>
      <c r="I1894" s="82">
        <v>4</v>
      </c>
      <c r="J1894" s="188">
        <f>ROUND(PRODUCT(E1894:I1894),2)</f>
        <v>4</v>
      </c>
      <c r="U1894" s="53"/>
      <c r="V1894" s="53"/>
      <c r="W1894" s="53"/>
      <c r="X1894" s="53"/>
      <c r="Y1894" s="53"/>
      <c r="Z1894" s="53"/>
      <c r="AA1894" s="53"/>
      <c r="AB1894" s="53"/>
      <c r="AC1894" s="53"/>
      <c r="AD1894" s="53"/>
    </row>
    <row r="1895" spans="1:30" ht="12" customHeight="1">
      <c r="A1895" s="506"/>
      <c r="B1895" s="507"/>
      <c r="C1895" s="507"/>
      <c r="D1895" s="507"/>
      <c r="E1895" s="507"/>
      <c r="F1895" s="507"/>
      <c r="G1895" s="507"/>
      <c r="H1895" s="507"/>
      <c r="I1895" s="507"/>
      <c r="J1895" s="508"/>
      <c r="U1895" s="53"/>
      <c r="V1895" s="53"/>
      <c r="W1895" s="53"/>
      <c r="X1895" s="53"/>
      <c r="Y1895" s="53"/>
      <c r="Z1895" s="53"/>
      <c r="AA1895" s="53"/>
      <c r="AB1895" s="53"/>
      <c r="AC1895" s="53"/>
      <c r="AD1895" s="53"/>
    </row>
    <row r="1896" spans="1:30" ht="25.5">
      <c r="A1896" s="112" t="str">
        <f>'[3]Planilha Orçamentária'!A479</f>
        <v>1.8.7.3</v>
      </c>
      <c r="B1896" s="146" t="str">
        <f>VLOOKUP(A1896,'[3]Planilha Orçamentária'!A:K,2,0)</f>
        <v>COMP-58084869</v>
      </c>
      <c r="C1896" s="147" t="str">
        <f>VLOOKUP(A1896,'[3]Planilha Orçamentária'!A:K,3,0)</f>
        <v>PLACA ESMALTADA PARA IDENTIFICAÇÃO NR DE RUA, DIMENSÕES 45X25CM</v>
      </c>
      <c r="D1896" s="148" t="str">
        <f>VLOOKUP(A1896,'[3]Planilha Orçamentária'!A:K,4,0)</f>
        <v>UND</v>
      </c>
      <c r="E1896" s="149"/>
      <c r="F1896" s="150"/>
      <c r="G1896" s="150"/>
      <c r="H1896" s="150"/>
      <c r="I1896" s="150"/>
      <c r="J1896" s="151">
        <f>ROUND(SUM(J1897:J1898),2)</f>
        <v>5</v>
      </c>
      <c r="U1896" s="53"/>
      <c r="V1896" s="53"/>
      <c r="W1896" s="53"/>
      <c r="X1896" s="53"/>
      <c r="Y1896" s="53"/>
      <c r="Z1896" s="53"/>
      <c r="AA1896" s="53"/>
      <c r="AB1896" s="53"/>
      <c r="AC1896" s="53"/>
      <c r="AD1896" s="53"/>
    </row>
    <row r="1897" spans="1:30" ht="12" customHeight="1">
      <c r="A1897" s="28"/>
      <c r="B1897" s="29"/>
      <c r="C1897" s="142" t="s">
        <v>1924</v>
      </c>
      <c r="D1897" s="31"/>
      <c r="E1897" s="30"/>
      <c r="F1897" s="32"/>
      <c r="G1897" s="32"/>
      <c r="H1897" s="32"/>
      <c r="I1897" s="34" t="s">
        <v>1125</v>
      </c>
      <c r="J1897" s="33"/>
      <c r="U1897" s="53"/>
      <c r="V1897" s="53"/>
      <c r="W1897" s="53"/>
      <c r="X1897" s="53"/>
      <c r="Y1897" s="53"/>
      <c r="Z1897" s="53"/>
      <c r="AA1897" s="53"/>
      <c r="AB1897" s="53"/>
      <c r="AC1897" s="53"/>
      <c r="AD1897" s="53"/>
    </row>
    <row r="1898" spans="1:30">
      <c r="A1898" s="28"/>
      <c r="B1898" s="29"/>
      <c r="C1898" s="142" t="s">
        <v>1676</v>
      </c>
      <c r="D1898" s="31"/>
      <c r="E1898" s="30"/>
      <c r="F1898" s="32"/>
      <c r="G1898" s="32"/>
      <c r="H1898" s="32"/>
      <c r="I1898" s="82">
        <v>5</v>
      </c>
      <c r="J1898" s="188">
        <f>ROUND(PRODUCT(E1898:I1898),2)</f>
        <v>5</v>
      </c>
      <c r="U1898" s="53"/>
      <c r="V1898" s="53"/>
      <c r="W1898" s="53"/>
      <c r="X1898" s="53"/>
      <c r="Y1898" s="53"/>
      <c r="Z1898" s="53"/>
      <c r="AA1898" s="53"/>
      <c r="AB1898" s="53"/>
      <c r="AC1898" s="53"/>
      <c r="AD1898" s="53"/>
    </row>
    <row r="1899" spans="1:30" ht="12" customHeight="1">
      <c r="A1899" s="511"/>
      <c r="B1899" s="512"/>
      <c r="C1899" s="512"/>
      <c r="D1899" s="512"/>
      <c r="E1899" s="512"/>
      <c r="F1899" s="512"/>
      <c r="G1899" s="512"/>
      <c r="H1899" s="512"/>
      <c r="I1899" s="512"/>
      <c r="J1899" s="512"/>
      <c r="U1899" s="53"/>
      <c r="V1899" s="53"/>
      <c r="W1899" s="53"/>
      <c r="X1899" s="53"/>
      <c r="Y1899" s="53"/>
      <c r="Z1899" s="53"/>
      <c r="AA1899" s="53"/>
      <c r="AB1899" s="53"/>
      <c r="AC1899" s="53"/>
      <c r="AD1899" s="53"/>
    </row>
    <row r="1900" spans="1:30" ht="38.25">
      <c r="A1900" s="60" t="str">
        <f>'[3]Planilha Orçamentária'!A480</f>
        <v>1.8.7.4</v>
      </c>
      <c r="B1900" s="61" t="str">
        <f>VLOOKUP(A1900,'[3]Planilha Orçamentária'!A:K,2,0)</f>
        <v>CP-72947-21572945</v>
      </c>
      <c r="C1900" s="190" t="str">
        <f>VLOOKUP(A1900,'[3]Planilha Orçamentária'!A:K,3,0)</f>
        <v>SINALIZACAO HORIZONTAL COM TINTA RETRORREFLETIVA A BASE DE RESINA ACRILICA COM MICROESFERAS DE VIDRO</v>
      </c>
      <c r="D1900" s="63" t="str">
        <f>VLOOKUP(A1900,'[3]Planilha Orçamentária'!A:K,4,0)</f>
        <v>M2</v>
      </c>
      <c r="E1900" s="62"/>
      <c r="F1900" s="64"/>
      <c r="G1900" s="64"/>
      <c r="H1900" s="64"/>
      <c r="I1900" s="64"/>
      <c r="J1900" s="78">
        <f>ROUND(SUM(J1902:J1902),2)</f>
        <v>5.4</v>
      </c>
      <c r="U1900" s="53"/>
      <c r="V1900" s="53"/>
      <c r="W1900" s="53"/>
      <c r="X1900" s="53"/>
      <c r="Y1900" s="53"/>
      <c r="Z1900" s="53"/>
      <c r="AA1900" s="53"/>
      <c r="AB1900" s="53"/>
      <c r="AC1900" s="53"/>
      <c r="AD1900" s="53"/>
    </row>
    <row r="1901" spans="1:30" ht="12" customHeight="1">
      <c r="A1901" s="66"/>
      <c r="B1901" s="67"/>
      <c r="C1901" s="142" t="s">
        <v>1924</v>
      </c>
      <c r="D1901" s="63"/>
      <c r="E1901" s="62"/>
      <c r="F1901" s="80"/>
      <c r="G1901" s="64"/>
      <c r="H1901" s="64"/>
      <c r="I1901" s="34" t="s">
        <v>1620</v>
      </c>
      <c r="J1901" s="78"/>
      <c r="U1901" s="53"/>
      <c r="V1901" s="53"/>
      <c r="W1901" s="53"/>
      <c r="X1901" s="53"/>
      <c r="Y1901" s="53"/>
      <c r="Z1901" s="53"/>
      <c r="AA1901" s="53"/>
      <c r="AB1901" s="53"/>
      <c r="AC1901" s="53"/>
      <c r="AD1901" s="53"/>
    </row>
    <row r="1902" spans="1:30">
      <c r="A1902" s="176"/>
      <c r="B1902" s="176"/>
      <c r="C1902" s="142" t="s">
        <v>1676</v>
      </c>
      <c r="D1902" s="191"/>
      <c r="E1902" s="192"/>
      <c r="F1902" s="82"/>
      <c r="G1902" s="82"/>
      <c r="H1902" s="82"/>
      <c r="I1902" s="82">
        <v>5.4</v>
      </c>
      <c r="J1902" s="36">
        <f>ROUND(PRODUCT(E1902:I1902),2)</f>
        <v>5.4</v>
      </c>
      <c r="U1902" s="53"/>
      <c r="V1902" s="53"/>
      <c r="W1902" s="53"/>
      <c r="X1902" s="53"/>
      <c r="Y1902" s="53"/>
      <c r="Z1902" s="53"/>
      <c r="AA1902" s="53"/>
      <c r="AB1902" s="53"/>
      <c r="AC1902" s="53"/>
      <c r="AD1902" s="53"/>
    </row>
    <row r="1903" spans="1:30" ht="12" customHeight="1">
      <c r="A1903" s="507"/>
      <c r="B1903" s="507"/>
      <c r="C1903" s="507"/>
      <c r="D1903" s="507"/>
      <c r="E1903" s="507"/>
      <c r="F1903" s="507"/>
      <c r="G1903" s="507"/>
      <c r="H1903" s="507"/>
      <c r="I1903" s="507"/>
      <c r="J1903" s="508"/>
      <c r="U1903" s="53"/>
      <c r="V1903" s="53"/>
      <c r="W1903" s="53"/>
      <c r="X1903" s="53"/>
      <c r="Y1903" s="53"/>
      <c r="Z1903" s="53"/>
      <c r="AA1903" s="53"/>
      <c r="AB1903" s="53"/>
      <c r="AC1903" s="53"/>
      <c r="AD1903" s="53"/>
    </row>
    <row r="1904" spans="1:30" ht="12" customHeight="1">
      <c r="A1904" s="19" t="str">
        <f>'[3]Planilha Orçamentária'!A481</f>
        <v>1.8.8</v>
      </c>
      <c r="B1904" s="20"/>
      <c r="C1904" s="21" t="str">
        <f>VLOOKUP(A1904,'[3]Planilha Orçamentária'!A:K,3,0)</f>
        <v>MATERIAIS</v>
      </c>
      <c r="D1904" s="21"/>
      <c r="E1904" s="39"/>
      <c r="F1904" s="40"/>
      <c r="G1904" s="40"/>
      <c r="H1904" s="40"/>
      <c r="I1904" s="40"/>
      <c r="J1904" s="41"/>
      <c r="U1904" s="53"/>
      <c r="V1904" s="53"/>
      <c r="W1904" s="53"/>
      <c r="X1904" s="53"/>
      <c r="Y1904" s="53"/>
      <c r="Z1904" s="53"/>
      <c r="AA1904" s="53"/>
      <c r="AB1904" s="53"/>
      <c r="AC1904" s="53"/>
      <c r="AD1904" s="53"/>
    </row>
    <row r="1905" spans="1:30" ht="51">
      <c r="A1905" s="60" t="str">
        <f>'[3]Planilha Orçamentária'!A482</f>
        <v>1.8.8.1</v>
      </c>
      <c r="B1905" s="61">
        <f>VLOOKUP(A1905,'[3]Planilha Orçamentária'!A:K,2,0)</f>
        <v>10775</v>
      </c>
      <c r="C1905" s="62" t="str">
        <f>VLOOKUP(A1905,'[3]Planilha Orçamentária'!A:K,3,0)</f>
        <v xml:space="preserve">LOCACAO DE CONTAINER 2,30 X 6,00 M, ALT. 2,50 M, COM 1 SANITARIO, PARA ESCRITORIO, COMPLETO, SEM DIVISORIAS INTERNAS (NAO INCLUI MOBILIZACAO/DESMOBILIZACAO)                                                                                                                                                                                                                                                                                                                                              </v>
      </c>
      <c r="D1905" s="63" t="str">
        <f>VLOOKUP(A1905,'[3]Planilha Orçamentária'!A:K,4,0)</f>
        <v xml:space="preserve">MES   </v>
      </c>
      <c r="E1905" s="62"/>
      <c r="F1905" s="64"/>
      <c r="G1905" s="64"/>
      <c r="H1905" s="64"/>
      <c r="I1905" s="64"/>
      <c r="J1905" s="65">
        <f>ROUND(SUM(J1907:J1907),2)</f>
        <v>4</v>
      </c>
      <c r="U1905" s="53"/>
      <c r="V1905" s="53"/>
      <c r="W1905" s="53"/>
      <c r="X1905" s="53"/>
      <c r="Y1905" s="53"/>
      <c r="Z1905" s="53"/>
      <c r="AA1905" s="53"/>
      <c r="AB1905" s="53"/>
      <c r="AC1905" s="53"/>
      <c r="AD1905" s="53"/>
    </row>
    <row r="1906" spans="1:30" ht="25.5">
      <c r="A1906" s="66"/>
      <c r="B1906" s="67"/>
      <c r="C1906" s="68"/>
      <c r="D1906" s="69"/>
      <c r="E1906" s="68"/>
      <c r="F1906" s="70"/>
      <c r="G1906" s="71"/>
      <c r="H1906" s="71"/>
      <c r="I1906" s="34" t="s">
        <v>1609</v>
      </c>
      <c r="J1906" s="72"/>
      <c r="U1906" s="53"/>
      <c r="V1906" s="53"/>
      <c r="W1906" s="53"/>
      <c r="X1906" s="53"/>
      <c r="Y1906" s="53"/>
      <c r="Z1906" s="53"/>
      <c r="AA1906" s="53"/>
      <c r="AB1906" s="53"/>
      <c r="AC1906" s="53"/>
      <c r="AD1906" s="53"/>
    </row>
    <row r="1907" spans="1:30">
      <c r="A1907" s="27"/>
      <c r="B1907" s="27"/>
      <c r="C1907" s="73"/>
      <c r="D1907" s="74"/>
      <c r="E1907" s="35"/>
      <c r="F1907" s="75"/>
      <c r="G1907" s="35"/>
      <c r="H1907" s="35"/>
      <c r="I1907" s="35">
        <f>I1695</f>
        <v>4</v>
      </c>
      <c r="J1907" s="36">
        <f>ROUND(PRODUCT(E1907:I1907),2)</f>
        <v>4</v>
      </c>
      <c r="U1907" s="53"/>
      <c r="V1907" s="53"/>
      <c r="W1907" s="53"/>
      <c r="X1907" s="53"/>
      <c r="Y1907" s="53"/>
      <c r="Z1907" s="53"/>
      <c r="AA1907" s="53"/>
      <c r="AB1907" s="53"/>
      <c r="AC1907" s="53"/>
      <c r="AD1907" s="53"/>
    </row>
    <row r="1908" spans="1:30">
      <c r="A1908" s="496"/>
      <c r="B1908" s="496"/>
      <c r="C1908" s="496"/>
      <c r="D1908" s="496"/>
      <c r="E1908" s="496"/>
      <c r="F1908" s="496"/>
      <c r="G1908" s="496"/>
      <c r="H1908" s="496"/>
      <c r="I1908" s="496"/>
      <c r="J1908" s="496"/>
      <c r="U1908" s="53"/>
      <c r="V1908" s="53"/>
      <c r="W1908" s="53"/>
      <c r="X1908" s="53"/>
      <c r="Y1908" s="53"/>
      <c r="Z1908" s="53"/>
      <c r="AA1908" s="53"/>
      <c r="AB1908" s="53"/>
      <c r="AC1908" s="53"/>
      <c r="AD1908" s="53"/>
    </row>
    <row r="1909" spans="1:30" ht="38.25">
      <c r="A1909" s="60" t="str">
        <f>'[3]Planilha Orçamentária'!A483</f>
        <v>1.8.8.2</v>
      </c>
      <c r="B1909" s="61">
        <f>VLOOKUP(A1909,'[3]Planilha Orçamentária'!A:K,2,0)</f>
        <v>10776</v>
      </c>
      <c r="C1909" s="62" t="str">
        <f>VLOOKUP(A1909,'[3]Planilha Orçamentária'!A:K,3,0)</f>
        <v xml:space="preserve">LOCACAO DE CONTAINER 2,30 X 6,00 M, ALT. 2,50 M, PARA ESCRITORIO, SEM DIVISORIAS INTERNAS E SEM SANITARIO (NAO INCLUI MOBILIZACAO/DESMOBILIZACAO)                                                                                                                                                                                                                                                                                                                                                         </v>
      </c>
      <c r="D1909" s="63" t="str">
        <f>VLOOKUP(A1909,'[3]Planilha Orçamentária'!A:K,4,0)</f>
        <v xml:space="preserve">MES   </v>
      </c>
      <c r="E1909" s="62"/>
      <c r="F1909" s="64"/>
      <c r="G1909" s="64"/>
      <c r="H1909" s="64"/>
      <c r="I1909" s="64"/>
      <c r="J1909" s="65">
        <f>ROUND(SUM(J1911:J1911),2)</f>
        <v>4</v>
      </c>
      <c r="U1909" s="53"/>
      <c r="V1909" s="53"/>
      <c r="W1909" s="53"/>
      <c r="X1909" s="53"/>
      <c r="Y1909" s="53"/>
      <c r="Z1909" s="53"/>
      <c r="AA1909" s="53"/>
      <c r="AB1909" s="53"/>
      <c r="AC1909" s="53"/>
      <c r="AD1909" s="53"/>
    </row>
    <row r="1910" spans="1:30" ht="25.5">
      <c r="A1910" s="66"/>
      <c r="B1910" s="67"/>
      <c r="C1910" s="68"/>
      <c r="D1910" s="69"/>
      <c r="E1910" s="68"/>
      <c r="F1910" s="70"/>
      <c r="G1910" s="71"/>
      <c r="H1910" s="71"/>
      <c r="I1910" s="34" t="s">
        <v>1609</v>
      </c>
      <c r="J1910" s="72"/>
      <c r="U1910" s="53"/>
      <c r="V1910" s="53"/>
      <c r="W1910" s="53"/>
      <c r="X1910" s="53"/>
      <c r="Y1910" s="53"/>
      <c r="Z1910" s="53"/>
      <c r="AA1910" s="53"/>
      <c r="AB1910" s="53"/>
      <c r="AC1910" s="53"/>
      <c r="AD1910" s="53"/>
    </row>
    <row r="1911" spans="1:30">
      <c r="A1911" s="27"/>
      <c r="B1911" s="27"/>
      <c r="C1911" s="73"/>
      <c r="D1911" s="74"/>
      <c r="E1911" s="35"/>
      <c r="F1911" s="75"/>
      <c r="G1911" s="35"/>
      <c r="H1911" s="35"/>
      <c r="I1911" s="35">
        <f>I1907</f>
        <v>4</v>
      </c>
      <c r="J1911" s="36">
        <f>ROUND(PRODUCT(E1911:I1911),2)</f>
        <v>4</v>
      </c>
      <c r="U1911" s="53"/>
      <c r="V1911" s="53"/>
      <c r="W1911" s="53"/>
      <c r="X1911" s="53"/>
      <c r="Y1911" s="53"/>
      <c r="Z1911" s="53"/>
      <c r="AA1911" s="53"/>
      <c r="AB1911" s="53"/>
      <c r="AC1911" s="53"/>
      <c r="AD1911" s="53"/>
    </row>
    <row r="1912" spans="1:30">
      <c r="A1912" s="496"/>
      <c r="B1912" s="496"/>
      <c r="C1912" s="496"/>
      <c r="D1912" s="496"/>
      <c r="E1912" s="496"/>
      <c r="F1912" s="496"/>
      <c r="G1912" s="496"/>
      <c r="H1912" s="496"/>
      <c r="I1912" s="496"/>
      <c r="J1912" s="496"/>
      <c r="U1912" s="53"/>
      <c r="V1912" s="53"/>
      <c r="W1912" s="53"/>
      <c r="X1912" s="53"/>
      <c r="Y1912" s="53"/>
      <c r="Z1912" s="53"/>
      <c r="AA1912" s="53"/>
      <c r="AB1912" s="53"/>
      <c r="AC1912" s="53"/>
      <c r="AD1912" s="53"/>
    </row>
    <row r="1913" spans="1:30" ht="63.75">
      <c r="A1913" s="99" t="str">
        <f>'[3]Planilha Orçamentária'!A484</f>
        <v>1.8.8.3</v>
      </c>
      <c r="B1913" s="48">
        <f>VLOOKUP(A1913,'[3]Planilha Orçamentária'!A:K,2,0)</f>
        <v>36170</v>
      </c>
      <c r="C1913" s="100" t="str">
        <f>VLOOKUP(A1913,'[3]Planilha Orçamentária'!A:K,3,0)</f>
        <v xml:space="preserve">BLOQUETE/PISO INTERTRAVADO DE CONCRETO - MODELO ONDA/16 FACES/RETANGULAR/TIJOLINHO/PAVER/HOLANDES/PARALELEPIPEDO, *22 CM X 11* CM, E = 8 CM, RESISTENCIA DE 35 MPA (NBR 9781), COR NATURAL                                                                                                                                                                                                                                                                                                                </v>
      </c>
      <c r="D1913" s="101" t="str">
        <f>VLOOKUP(A1913,'[3]Planilha Orçamentária'!A:K,4,0)</f>
        <v xml:space="preserve">M2    </v>
      </c>
      <c r="E1913" s="100"/>
      <c r="F1913" s="102"/>
      <c r="G1913" s="102"/>
      <c r="H1913" s="102"/>
      <c r="I1913" s="102"/>
      <c r="J1913" s="193">
        <f>ROUND(SUM(J1914:J1915),2)</f>
        <v>1538.89</v>
      </c>
      <c r="U1913" s="53"/>
      <c r="V1913" s="53"/>
      <c r="W1913" s="53"/>
      <c r="X1913" s="53"/>
      <c r="Y1913" s="53"/>
      <c r="Z1913" s="53"/>
      <c r="AA1913" s="53"/>
      <c r="AB1913" s="53"/>
      <c r="AC1913" s="53"/>
      <c r="AD1913" s="53"/>
    </row>
    <row r="1914" spans="1:30">
      <c r="A1914" s="94"/>
      <c r="B1914" s="128"/>
      <c r="C1914" s="79" t="s">
        <v>1897</v>
      </c>
      <c r="D1914" s="96"/>
      <c r="E1914" s="34" t="s">
        <v>837</v>
      </c>
      <c r="F1914" s="34"/>
      <c r="G1914" s="82"/>
      <c r="H1914" s="82"/>
      <c r="I1914" s="82" t="s">
        <v>1620</v>
      </c>
      <c r="J1914" s="120"/>
      <c r="U1914" s="53"/>
      <c r="V1914" s="53"/>
      <c r="W1914" s="53"/>
      <c r="X1914" s="53"/>
      <c r="Y1914" s="53"/>
      <c r="Z1914" s="53"/>
      <c r="AA1914" s="53"/>
      <c r="AB1914" s="53"/>
      <c r="AC1914" s="53"/>
      <c r="AD1914" s="53"/>
    </row>
    <row r="1915" spans="1:30">
      <c r="A1915" s="94"/>
      <c r="B1915" s="128"/>
      <c r="C1915" s="194" t="s">
        <v>1677</v>
      </c>
      <c r="D1915" s="53"/>
      <c r="E1915" s="94">
        <v>1.0130999999999999</v>
      </c>
      <c r="F1915" s="34"/>
      <c r="G1915" s="82"/>
      <c r="H1915" s="82"/>
      <c r="I1915" s="82">
        <f>SUM(J1767:J1769)</f>
        <v>1518.99</v>
      </c>
      <c r="J1915" s="120">
        <f>ROUND(PRODUCT(E1915:I1915),2)</f>
        <v>1538.89</v>
      </c>
      <c r="U1915" s="53"/>
      <c r="V1915" s="53"/>
      <c r="W1915" s="53"/>
      <c r="X1915" s="53"/>
      <c r="Y1915" s="53"/>
      <c r="Z1915" s="53"/>
      <c r="AA1915" s="53"/>
      <c r="AB1915" s="53"/>
      <c r="AC1915" s="53"/>
      <c r="AD1915" s="53"/>
    </row>
    <row r="1916" spans="1:30">
      <c r="A1916" s="497"/>
      <c r="B1916" s="497"/>
      <c r="C1916" s="497"/>
      <c r="D1916" s="497"/>
      <c r="E1916" s="497"/>
      <c r="F1916" s="497"/>
      <c r="G1916" s="497"/>
      <c r="H1916" s="497"/>
      <c r="I1916" s="497"/>
      <c r="J1916" s="497"/>
      <c r="U1916" s="53"/>
      <c r="V1916" s="53"/>
      <c r="W1916" s="53"/>
      <c r="X1916" s="53"/>
      <c r="Y1916" s="53"/>
      <c r="Z1916" s="53"/>
      <c r="AA1916" s="53"/>
      <c r="AB1916" s="53"/>
      <c r="AC1916" s="53"/>
      <c r="AD1916" s="53"/>
    </row>
    <row r="1917" spans="1:30" ht="63.75">
      <c r="A1917" s="99" t="str">
        <f>'[3]Planilha Orçamentária'!A485</f>
        <v>1.8.8.4</v>
      </c>
      <c r="B1917" s="48">
        <f>VLOOKUP(A1917,'[3]Planilha Orçamentária'!A:K,2,0)</f>
        <v>36154</v>
      </c>
      <c r="C1917" s="100" t="str">
        <f>VLOOKUP(A1917,'[3]Planilha Orçamentária'!A:K,3,0)</f>
        <v xml:space="preserve">BLOQUETE/PISO INTERTRAVADO DE CONCRETO - MODELO ONDA/16 FACES/RETANGULAR/TIJOLINHO/PAVER/HOLANDES/PARALELEPIPEDO, 20 CM X 10 CM, E = 8 CM, RESISTENCIA DE 35 MPA (NBR 9781), COLORIDO                                                                                                                                                                                                                                                                                                                     </v>
      </c>
      <c r="D1917" s="101" t="str">
        <f>VLOOKUP(A1917,'[3]Planilha Orçamentária'!A:K,4,0)</f>
        <v xml:space="preserve">M2    </v>
      </c>
      <c r="E1917" s="100"/>
      <c r="F1917" s="102"/>
      <c r="G1917" s="102"/>
      <c r="H1917" s="102"/>
      <c r="I1917" s="102"/>
      <c r="J1917" s="33">
        <f>ROUND(SUM(J1918:J1919),2)</f>
        <v>501.67</v>
      </c>
      <c r="U1917" s="53"/>
      <c r="V1917" s="53"/>
      <c r="W1917" s="53"/>
      <c r="X1917" s="53"/>
      <c r="Y1917" s="53"/>
      <c r="Z1917" s="53"/>
      <c r="AA1917" s="53"/>
      <c r="AB1917" s="53"/>
      <c r="AC1917" s="53"/>
      <c r="AD1917" s="53"/>
    </row>
    <row r="1918" spans="1:30">
      <c r="A1918" s="94"/>
      <c r="B1918" s="128"/>
      <c r="C1918" s="79" t="s">
        <v>1897</v>
      </c>
      <c r="D1918" s="96"/>
      <c r="E1918" s="34" t="s">
        <v>837</v>
      </c>
      <c r="F1918" s="34"/>
      <c r="G1918" s="82"/>
      <c r="H1918" s="82"/>
      <c r="I1918" s="82" t="s">
        <v>1620</v>
      </c>
      <c r="J1918" s="120"/>
      <c r="U1918" s="53"/>
      <c r="V1918" s="53"/>
      <c r="W1918" s="53"/>
      <c r="X1918" s="53"/>
      <c r="Y1918" s="53"/>
      <c r="Z1918" s="53"/>
      <c r="AA1918" s="53"/>
      <c r="AB1918" s="53"/>
      <c r="AC1918" s="53"/>
      <c r="AD1918" s="53"/>
    </row>
    <row r="1919" spans="1:30">
      <c r="A1919" s="94"/>
      <c r="B1919" s="128"/>
      <c r="C1919" s="194" t="s">
        <v>1677</v>
      </c>
      <c r="D1919" s="53"/>
      <c r="E1919" s="94">
        <v>1.0130999999999999</v>
      </c>
      <c r="F1919" s="34"/>
      <c r="G1919" s="82"/>
      <c r="H1919" s="82"/>
      <c r="I1919" s="82">
        <f>J1770</f>
        <v>495.18</v>
      </c>
      <c r="J1919" s="120">
        <f t="shared" ref="J1919" si="194">ROUND(PRODUCT(E1919:I1919),2)</f>
        <v>501.67</v>
      </c>
      <c r="U1919" s="53"/>
      <c r="V1919" s="53"/>
      <c r="W1919" s="53"/>
      <c r="X1919" s="53"/>
      <c r="Y1919" s="53"/>
      <c r="Z1919" s="53"/>
      <c r="AA1919" s="53"/>
      <c r="AB1919" s="53"/>
      <c r="AC1919" s="53"/>
      <c r="AD1919" s="53"/>
    </row>
    <row r="1920" spans="1:30">
      <c r="A1920" s="498"/>
      <c r="B1920" s="499"/>
      <c r="C1920" s="499"/>
      <c r="D1920" s="499"/>
      <c r="E1920" s="499"/>
      <c r="F1920" s="499"/>
      <c r="G1920" s="499"/>
      <c r="H1920" s="499"/>
      <c r="I1920" s="499"/>
      <c r="J1920" s="500"/>
      <c r="U1920" s="53"/>
      <c r="V1920" s="53"/>
      <c r="W1920" s="53"/>
      <c r="X1920" s="53"/>
      <c r="Y1920" s="53"/>
      <c r="Z1920" s="53"/>
      <c r="AA1920" s="53"/>
      <c r="AB1920" s="53"/>
      <c r="AC1920" s="53"/>
      <c r="AD1920" s="53"/>
    </row>
    <row r="1921" spans="1:30" ht="25.5">
      <c r="A1921" s="99" t="str">
        <f>'[3]Planilha Orçamentária'!A486</f>
        <v>1.8.8.5</v>
      </c>
      <c r="B1921" s="48" t="str">
        <f>VLOOKUP(A1921,'[3]Planilha Orçamentária'!A:K,2,0)</f>
        <v>M0134</v>
      </c>
      <c r="C1921" s="100" t="str">
        <f>VLOOKUP(A1921,'[3]Planilha Orçamentária'!A:K,3,0)</f>
        <v>Tubo PEAD corrugado com paredes estruturadas para drenagem - D = 600 mm</v>
      </c>
      <c r="D1921" s="101" t="str">
        <f>VLOOKUP(A1921,'[3]Planilha Orçamentária'!A:K,4,0)</f>
        <v>M</v>
      </c>
      <c r="E1921" s="100"/>
      <c r="F1921" s="102"/>
      <c r="G1921" s="102"/>
      <c r="H1921" s="102"/>
      <c r="I1921" s="102"/>
      <c r="J1921" s="33">
        <f>ROUND(SUM(J1922:J1924),2)</f>
        <v>73.08</v>
      </c>
      <c r="U1921" s="53"/>
      <c r="V1921" s="53"/>
      <c r="W1921" s="53"/>
      <c r="X1921" s="53"/>
      <c r="Y1921" s="53"/>
      <c r="Z1921" s="53"/>
      <c r="AA1921" s="53"/>
      <c r="AB1921" s="53"/>
      <c r="AC1921" s="53"/>
      <c r="AD1921" s="53"/>
    </row>
    <row r="1922" spans="1:30">
      <c r="A1922" s="94"/>
      <c r="B1922" s="128"/>
      <c r="C1922" s="79" t="s">
        <v>1901</v>
      </c>
      <c r="D1922" s="96"/>
      <c r="E1922" s="82"/>
      <c r="F1922" s="34" t="s">
        <v>1606</v>
      </c>
      <c r="G1922" s="82"/>
      <c r="H1922" s="82"/>
      <c r="I1922" s="82"/>
      <c r="J1922" s="120"/>
      <c r="U1922" s="53"/>
      <c r="V1922" s="53"/>
      <c r="W1922" s="53"/>
      <c r="X1922" s="53"/>
      <c r="Y1922" s="53"/>
      <c r="Z1922" s="53"/>
      <c r="AA1922" s="53"/>
      <c r="AB1922" s="53"/>
      <c r="AC1922" s="53"/>
      <c r="AD1922" s="53"/>
    </row>
    <row r="1923" spans="1:30" ht="14.25">
      <c r="A1923" s="94"/>
      <c r="B1923" s="128"/>
      <c r="C1923" s="255" t="s">
        <v>1916</v>
      </c>
      <c r="D1923" s="96"/>
      <c r="E1923" s="82"/>
      <c r="F1923" s="332">
        <f>F1884</f>
        <v>73.08</v>
      </c>
      <c r="G1923" s="82"/>
      <c r="H1923" s="82"/>
      <c r="I1923" s="82"/>
      <c r="J1923" s="120">
        <f t="shared" ref="J1923" si="195">ROUND(PRODUCT(E1923:I1923),2)</f>
        <v>73.08</v>
      </c>
      <c r="U1923" s="53"/>
      <c r="V1923" s="53"/>
      <c r="W1923" s="53"/>
      <c r="X1923" s="53"/>
      <c r="Y1923" s="53"/>
      <c r="Z1923" s="53"/>
      <c r="AA1923" s="53"/>
      <c r="AB1923" s="53"/>
      <c r="AC1923" s="53"/>
      <c r="AD1923" s="53"/>
    </row>
    <row r="1924" spans="1:30">
      <c r="A1924" s="498"/>
      <c r="B1924" s="499"/>
      <c r="C1924" s="499"/>
      <c r="D1924" s="499"/>
      <c r="E1924" s="499"/>
      <c r="F1924" s="499"/>
      <c r="G1924" s="499"/>
      <c r="H1924" s="499"/>
      <c r="I1924" s="499"/>
      <c r="J1924" s="500"/>
      <c r="U1924" s="53"/>
      <c r="V1924" s="53"/>
      <c r="W1924" s="53"/>
      <c r="X1924" s="53"/>
      <c r="Y1924" s="53"/>
      <c r="Z1924" s="53"/>
      <c r="AA1924" s="53"/>
      <c r="AB1924" s="53"/>
      <c r="AC1924" s="53"/>
      <c r="AD1924" s="53"/>
    </row>
    <row r="1925" spans="1:30">
      <c r="A1925" s="99" t="str">
        <f>'[3]Planilha Orçamentária'!A487</f>
        <v>1.8.8.6</v>
      </c>
      <c r="B1925" s="48" t="str">
        <f>VLOOKUP(A1925,'[3]Planilha Orçamentária'!A:K,2,0)</f>
        <v>INS-185032</v>
      </c>
      <c r="C1925" s="100" t="str">
        <f>VLOOKUP(A1925,'[3]Planilha Orçamentária'!A:K,3,0)</f>
        <v>BRITA GRADUADA SIMPLES (BGS)</v>
      </c>
      <c r="D1925" s="101" t="str">
        <f>VLOOKUP(A1925,'[3]Planilha Orçamentária'!A:K,4,0)</f>
        <v>M3</v>
      </c>
      <c r="E1925" s="100"/>
      <c r="F1925" s="102"/>
      <c r="G1925" s="102"/>
      <c r="H1925" s="102"/>
      <c r="I1925" s="102"/>
      <c r="J1925" s="33">
        <f>ROUND(SUM(J1926:J1927),2)</f>
        <v>503.55</v>
      </c>
      <c r="U1925" s="53"/>
      <c r="V1925" s="53"/>
      <c r="W1925" s="53"/>
      <c r="X1925" s="53"/>
      <c r="Y1925" s="53"/>
      <c r="Z1925" s="53"/>
      <c r="AA1925" s="53"/>
      <c r="AB1925" s="53"/>
      <c r="AC1925" s="53"/>
      <c r="AD1925" s="53"/>
    </row>
    <row r="1926" spans="1:30">
      <c r="A1926" s="94"/>
      <c r="B1926" s="94"/>
      <c r="C1926" s="79" t="s">
        <v>1897</v>
      </c>
      <c r="D1926" s="94"/>
      <c r="E1926" s="34" t="s">
        <v>837</v>
      </c>
      <c r="F1926" s="94"/>
      <c r="G1926" s="94"/>
      <c r="H1926" s="94"/>
      <c r="I1926" s="94" t="s">
        <v>1623</v>
      </c>
      <c r="J1926" s="94"/>
      <c r="U1926" s="53"/>
      <c r="V1926" s="53"/>
      <c r="W1926" s="53"/>
      <c r="X1926" s="53"/>
      <c r="Y1926" s="53"/>
      <c r="Z1926" s="53"/>
      <c r="AA1926" s="53"/>
      <c r="AB1926" s="53"/>
      <c r="AC1926" s="53"/>
      <c r="AD1926" s="53"/>
    </row>
    <row r="1927" spans="1:30">
      <c r="A1927" s="94"/>
      <c r="B1927" s="94"/>
      <c r="C1927" s="194" t="s">
        <v>1680</v>
      </c>
      <c r="D1927" s="53"/>
      <c r="E1927" s="198">
        <v>1</v>
      </c>
      <c r="F1927" s="94"/>
      <c r="G1927" s="94"/>
      <c r="H1927" s="94"/>
      <c r="I1927" s="196">
        <f>J1750</f>
        <v>503.55</v>
      </c>
      <c r="J1927" s="120">
        <f t="shared" ref="J1927" si="196">ROUND(PRODUCT(E1927:I1927),2)</f>
        <v>503.55</v>
      </c>
      <c r="U1927" s="53"/>
      <c r="V1927" s="53"/>
      <c r="W1927" s="53"/>
      <c r="X1927" s="53"/>
      <c r="Y1927" s="53"/>
      <c r="Z1927" s="53"/>
      <c r="AA1927" s="53"/>
      <c r="AB1927" s="53"/>
      <c r="AC1927" s="53"/>
      <c r="AD1927" s="53"/>
    </row>
    <row r="1928" spans="1:30">
      <c r="A1928" s="95"/>
      <c r="B1928" s="137"/>
      <c r="C1928" s="137"/>
      <c r="D1928" s="137"/>
      <c r="E1928" s="137"/>
      <c r="F1928" s="137"/>
      <c r="G1928" s="137"/>
      <c r="H1928" s="137"/>
      <c r="I1928" s="137"/>
      <c r="J1928" s="137"/>
      <c r="U1928" s="53"/>
      <c r="V1928" s="53"/>
      <c r="W1928" s="53"/>
      <c r="X1928" s="53"/>
      <c r="Y1928" s="53"/>
      <c r="Z1928" s="53"/>
      <c r="AA1928" s="53"/>
      <c r="AB1928" s="53"/>
      <c r="AC1928" s="53"/>
      <c r="AD1928" s="53"/>
    </row>
    <row r="1929" spans="1:30" ht="38.25">
      <c r="A1929" s="99" t="str">
        <f>'[3]Planilha Orçamentária'!A488</f>
        <v>1.8.8.7</v>
      </c>
      <c r="B1929" s="48">
        <f>VLOOKUP(A1929,'[3]Planilha Orçamentária'!A:K,2,0)</f>
        <v>1345</v>
      </c>
      <c r="C1929" s="100" t="str">
        <f>VLOOKUP(A1929,'[3]Planilha Orçamentária'!A:K,3,0)</f>
        <v xml:space="preserve">CHAPA/PAINEL DE MADEIRA COMPENSADA PLASTIFICADA (MADEIRITE PLASTIFICADO) PARA FORMA DE CONCRETO, DE 2200 x 1100 MM, E = *17* MM                                                                                                                                                                                                                                                                                                                                                                           </v>
      </c>
      <c r="D1929" s="101" t="str">
        <f>VLOOKUP(A1929,'[3]Planilha Orçamentária'!A:K,4,0)</f>
        <v xml:space="preserve">M2    </v>
      </c>
      <c r="E1929" s="100"/>
      <c r="F1929" s="102"/>
      <c r="G1929" s="102"/>
      <c r="H1929" s="102"/>
      <c r="I1929" s="102"/>
      <c r="J1929" s="33">
        <f>ROUND(SUM(J1930:J1931),2)</f>
        <v>158.9</v>
      </c>
      <c r="U1929" s="338"/>
      <c r="V1929" s="338"/>
      <c r="W1929" s="338"/>
      <c r="X1929" s="338"/>
      <c r="Y1929" s="338"/>
      <c r="Z1929" s="338"/>
      <c r="AA1929" s="338"/>
      <c r="AB1929" s="338"/>
      <c r="AC1929" s="338"/>
      <c r="AD1929" s="338"/>
    </row>
    <row r="1930" spans="1:30">
      <c r="A1930" s="94"/>
      <c r="B1930" s="94"/>
      <c r="C1930" s="86"/>
      <c r="D1930" s="155"/>
      <c r="E1930" s="34" t="s">
        <v>837</v>
      </c>
      <c r="F1930" s="34"/>
      <c r="G1930" s="34"/>
      <c r="H1930" s="34"/>
      <c r="I1930" s="34" t="s">
        <v>1620</v>
      </c>
      <c r="J1930" s="94"/>
      <c r="U1930" s="338"/>
      <c r="V1930" s="338"/>
      <c r="W1930" s="338"/>
      <c r="X1930" s="338"/>
      <c r="Y1930" s="338"/>
      <c r="Z1930" s="338"/>
      <c r="AA1930" s="338"/>
      <c r="AB1930" s="338"/>
      <c r="AC1930" s="338"/>
      <c r="AD1930" s="338"/>
    </row>
    <row r="1931" spans="1:30">
      <c r="A1931" s="94"/>
      <c r="B1931" s="94"/>
      <c r="C1931" s="194" t="s">
        <v>1775</v>
      </c>
      <c r="D1931" s="53"/>
      <c r="E1931" s="198">
        <v>1.05</v>
      </c>
      <c r="F1931" s="34"/>
      <c r="G1931" s="34"/>
      <c r="H1931" s="34"/>
      <c r="I1931" s="332">
        <f>J1850</f>
        <v>151.33000000000001</v>
      </c>
      <c r="J1931" s="120">
        <f t="shared" ref="J1931" si="197">ROUND(PRODUCT(E1931:I1931),2)</f>
        <v>158.9</v>
      </c>
      <c r="U1931" s="338"/>
      <c r="V1931" s="338"/>
      <c r="W1931" s="338"/>
      <c r="X1931" s="338"/>
      <c r="Y1931" s="338"/>
      <c r="Z1931" s="338"/>
      <c r="AA1931" s="338"/>
      <c r="AB1931" s="338"/>
      <c r="AC1931" s="338"/>
      <c r="AD1931" s="338"/>
    </row>
    <row r="1932" spans="1:30">
      <c r="A1932" s="95"/>
      <c r="B1932" s="137"/>
      <c r="C1932" s="137"/>
      <c r="D1932" s="137"/>
      <c r="E1932" s="137"/>
      <c r="F1932" s="137"/>
      <c r="G1932" s="137"/>
      <c r="H1932" s="137"/>
      <c r="I1932" s="137"/>
      <c r="J1932" s="137"/>
      <c r="U1932" s="338"/>
      <c r="V1932" s="338"/>
      <c r="W1932" s="338"/>
      <c r="X1932" s="338"/>
      <c r="Y1932" s="338"/>
      <c r="Z1932" s="338"/>
      <c r="AA1932" s="338"/>
      <c r="AB1932" s="338"/>
      <c r="AC1932" s="338"/>
      <c r="AD1932" s="338"/>
    </row>
    <row r="1933" spans="1:30" ht="12" customHeight="1">
      <c r="A1933" s="201" t="str">
        <f>'[3]Planilha Orçamentária'!A489</f>
        <v>1.9</v>
      </c>
      <c r="B1933" s="504" t="str">
        <f>VLOOKUP(A1933,'[3]Planilha Orçamentária'!A:K,3,0)</f>
        <v>RUA RECIFE - SOCORRO</v>
      </c>
      <c r="C1933" s="505"/>
      <c r="D1933" s="505"/>
      <c r="E1933" s="505"/>
      <c r="F1933" s="505"/>
      <c r="G1933" s="505"/>
      <c r="H1933" s="505"/>
      <c r="I1933" s="505"/>
      <c r="J1933" s="505"/>
    </row>
    <row r="1934" spans="1:30" ht="12" customHeight="1">
      <c r="A1934" s="19" t="str">
        <f>'[3]Planilha Orçamentária'!A490</f>
        <v>1.9.1</v>
      </c>
      <c r="B1934" s="20"/>
      <c r="C1934" s="21" t="str">
        <f>VLOOKUP(A1934,'[3]Planilha Orçamentária'!A:K,3,0)</f>
        <v>INSTALAÇÕES PROVISÓRIAS</v>
      </c>
      <c r="D1934" s="22"/>
      <c r="E1934" s="23"/>
      <c r="F1934" s="24"/>
      <c r="G1934" s="24"/>
      <c r="H1934" s="24"/>
      <c r="I1934" s="25"/>
      <c r="J1934" s="26"/>
    </row>
    <row r="1935" spans="1:30" ht="25.5">
      <c r="A1935" s="59" t="str">
        <f>'[3]Planilha Orçamentária'!A491</f>
        <v>1.9.1.1</v>
      </c>
      <c r="B1935" s="42" t="str">
        <f>VLOOKUP(A1935,'[3]Planilha Orçamentária'!A:K,2,0)</f>
        <v>CP-74209/001-15055090</v>
      </c>
      <c r="C1935" s="30" t="str">
        <f>VLOOKUP(A1935,'[3]Planilha Orçamentária'!A:K,3,0)</f>
        <v>PLACA DE OBRA EM CHAPA DE ACO GALVANIZADO</v>
      </c>
      <c r="D1935" s="31" t="str">
        <f>VLOOKUP(A1935,'[3]Planilha Orçamentária'!A:K,4,0)</f>
        <v xml:space="preserve">M2    </v>
      </c>
      <c r="E1935" s="30"/>
      <c r="F1935" s="34" t="s">
        <v>1606</v>
      </c>
      <c r="G1935" s="34" t="s">
        <v>1607</v>
      </c>
      <c r="H1935" s="34"/>
      <c r="I1935" s="34" t="s">
        <v>1608</v>
      </c>
      <c r="J1935" s="45">
        <f>ROUND(SUM(J1937:J1937),2)</f>
        <v>8</v>
      </c>
    </row>
    <row r="1936" spans="1:30">
      <c r="A1936" s="59"/>
      <c r="B1936" s="42"/>
      <c r="C1936" s="202"/>
      <c r="D1936" s="203"/>
      <c r="E1936" s="202"/>
      <c r="F1936" s="32"/>
      <c r="G1936" s="32"/>
      <c r="H1936" s="32"/>
      <c r="I1936" s="32"/>
      <c r="J1936" s="45"/>
    </row>
    <row r="1937" spans="1:10">
      <c r="A1937" s="59"/>
      <c r="B1937" s="27"/>
      <c r="C1937" s="204"/>
      <c r="D1937" s="205"/>
      <c r="E1937" s="206"/>
      <c r="F1937" s="35">
        <v>2</v>
      </c>
      <c r="G1937" s="35">
        <v>4</v>
      </c>
      <c r="H1937" s="207"/>
      <c r="I1937" s="35">
        <v>1</v>
      </c>
      <c r="J1937" s="58">
        <f>ROUND(PRODUCT(E1937:I1937),2)</f>
        <v>8</v>
      </c>
    </row>
    <row r="1938" spans="1:10">
      <c r="A1938" s="515"/>
      <c r="B1938" s="516"/>
      <c r="C1938" s="516"/>
      <c r="D1938" s="516"/>
      <c r="E1938" s="516"/>
      <c r="F1938" s="516"/>
      <c r="G1938" s="516"/>
      <c r="H1938" s="516"/>
      <c r="I1938" s="516"/>
      <c r="J1938" s="517"/>
    </row>
    <row r="1939" spans="1:10" ht="25.5">
      <c r="A1939" s="59" t="str">
        <f>'[3]Planilha Orçamentária'!A492</f>
        <v>1.9.1.2</v>
      </c>
      <c r="B1939" s="29" t="str">
        <f>VLOOKUP(A1939,'[3]Planilha Orçamentária'!A:K,2,0)</f>
        <v>COMP-07440249</v>
      </c>
      <c r="C1939" s="30" t="str">
        <f>VLOOKUP(A1939,'[3]Planilha Orçamentária'!A:K,3,0)</f>
        <v>BANHEIRO QUÍMICO, COM LOCAÇÃO, TRANSPORTE E LIMPEZA</v>
      </c>
      <c r="D1939" s="31" t="str">
        <f>VLOOKUP(A1939,'[3]Planilha Orçamentária'!A:K,4,0)</f>
        <v>MÊS</v>
      </c>
      <c r="E1939" s="30"/>
      <c r="F1939" s="32"/>
      <c r="G1939" s="32"/>
      <c r="H1939" s="32"/>
      <c r="I1939" s="32"/>
      <c r="J1939" s="33">
        <f>ROUND(SUM(J1941:J1941),2)</f>
        <v>4</v>
      </c>
    </row>
    <row r="1940" spans="1:10" ht="25.5">
      <c r="A1940" s="59"/>
      <c r="B1940" s="29"/>
      <c r="C1940" s="30"/>
      <c r="D1940" s="31"/>
      <c r="E1940" s="30"/>
      <c r="F1940" s="32"/>
      <c r="G1940" s="32"/>
      <c r="H1940" s="32"/>
      <c r="I1940" s="34" t="s">
        <v>1609</v>
      </c>
      <c r="J1940" s="33"/>
    </row>
    <row r="1941" spans="1:10" ht="12" customHeight="1">
      <c r="A1941" s="59"/>
      <c r="B1941" s="27"/>
      <c r="C1941" s="208"/>
      <c r="D1941" s="209"/>
      <c r="E1941" s="75"/>
      <c r="F1941" s="75"/>
      <c r="G1941" s="207"/>
      <c r="H1941" s="207"/>
      <c r="I1941" s="143">
        <v>4</v>
      </c>
      <c r="J1941" s="36">
        <f>ROUND(PRODUCT(E1941:I1941),2)</f>
        <v>4</v>
      </c>
    </row>
    <row r="1942" spans="1:10" ht="12" customHeight="1">
      <c r="A1942" s="59"/>
      <c r="B1942" s="27"/>
      <c r="C1942" s="208"/>
      <c r="D1942" s="209"/>
      <c r="E1942" s="75"/>
      <c r="F1942" s="75"/>
      <c r="G1942" s="207"/>
      <c r="H1942" s="207"/>
      <c r="I1942" s="143"/>
      <c r="J1942" s="36"/>
    </row>
    <row r="1943" spans="1:10" ht="12" customHeight="1">
      <c r="A1943" s="19" t="str">
        <f>'[3]Planilha Orçamentária'!A493</f>
        <v>1.9.2</v>
      </c>
      <c r="B1943" s="20"/>
      <c r="C1943" s="21" t="str">
        <f>VLOOKUP(A1943,'[3]Planilha Orçamentária'!A:K,3,0)</f>
        <v>ADMINISTRAÇÃO LOCAL</v>
      </c>
      <c r="D1943" s="21"/>
      <c r="E1943" s="39"/>
      <c r="F1943" s="40"/>
      <c r="G1943" s="40"/>
      <c r="H1943" s="40"/>
      <c r="I1943" s="40"/>
      <c r="J1943" s="41"/>
    </row>
    <row r="1944" spans="1:10" ht="25.5">
      <c r="A1944" s="28" t="str">
        <f>'[3]Planilha Orçamentária'!A494</f>
        <v>1.9.2.1</v>
      </c>
      <c r="B1944" s="42">
        <f>VLOOKUP(A1944,'[3]Planilha Orçamentária'!A:K,2,0)</f>
        <v>93565</v>
      </c>
      <c r="C1944" s="30" t="str">
        <f>VLOOKUP(A1944,'[3]Planilha Orçamentária'!A:K,3,0)</f>
        <v>ENGENHEIRO CIVIL DE OBRA JUNIOR COM ENCARGOS COMPLEMENTARES</v>
      </c>
      <c r="D1944" s="31" t="str">
        <f>VLOOKUP(A1944,'[3]Planilha Orçamentária'!A:K,4,0)</f>
        <v>MES</v>
      </c>
      <c r="E1944" s="43"/>
      <c r="F1944" s="44"/>
      <c r="G1944" s="44"/>
      <c r="H1944" s="44"/>
      <c r="I1944" s="44"/>
      <c r="J1944" s="45">
        <f>ROUND(SUM(J1946),2)</f>
        <v>0.5</v>
      </c>
    </row>
    <row r="1945" spans="1:10" ht="14.25">
      <c r="A1945" s="28"/>
      <c r="B1945" s="42"/>
      <c r="C1945" s="210"/>
      <c r="D1945" s="31"/>
      <c r="E1945" s="43"/>
      <c r="F1945" s="57"/>
      <c r="G1945" s="57"/>
      <c r="H1945" s="57"/>
      <c r="I1945" s="57"/>
      <c r="J1945" s="45"/>
    </row>
    <row r="1946" spans="1:10" ht="14.25">
      <c r="A1946" s="53"/>
      <c r="B1946" s="54"/>
      <c r="C1946" s="210" t="s">
        <v>1889</v>
      </c>
      <c r="D1946" s="211"/>
      <c r="E1946" s="57">
        <f>22/176</f>
        <v>0.125</v>
      </c>
      <c r="F1946" s="57"/>
      <c r="G1946" s="57"/>
      <c r="H1946" s="57"/>
      <c r="I1946" s="57">
        <f>I1941</f>
        <v>4</v>
      </c>
      <c r="J1946" s="58">
        <f>ROUND(PRODUCT(E1946:I1946),2)</f>
        <v>0.5</v>
      </c>
    </row>
    <row r="1947" spans="1:10" ht="14.25">
      <c r="A1947" s="53"/>
      <c r="B1947" s="54"/>
      <c r="C1947" s="210" t="s">
        <v>1684</v>
      </c>
      <c r="D1947" s="211"/>
      <c r="E1947" s="57"/>
      <c r="F1947" s="57"/>
      <c r="G1947" s="57"/>
      <c r="H1947" s="57"/>
      <c r="I1947" s="57"/>
      <c r="J1947" s="212"/>
    </row>
    <row r="1948" spans="1:10" ht="14.25">
      <c r="A1948" s="53"/>
      <c r="B1948" s="54"/>
      <c r="C1948" s="210" t="s">
        <v>1612</v>
      </c>
      <c r="D1948" s="213"/>
      <c r="E1948" s="214"/>
      <c r="F1948" s="143"/>
      <c r="G1948" s="207"/>
      <c r="H1948" s="207"/>
      <c r="I1948" s="135"/>
      <c r="J1948" s="215"/>
    </row>
    <row r="1949" spans="1:10">
      <c r="A1949" s="496"/>
      <c r="B1949" s="496"/>
      <c r="C1949" s="496"/>
      <c r="D1949" s="496"/>
      <c r="E1949" s="496"/>
      <c r="F1949" s="496"/>
      <c r="G1949" s="496"/>
      <c r="H1949" s="496"/>
      <c r="I1949" s="496"/>
      <c r="J1949" s="496"/>
    </row>
    <row r="1950" spans="1:10" ht="25.5">
      <c r="A1950" s="28" t="str">
        <f>'[3]Planilha Orçamentária'!A495</f>
        <v>1.9.2.2</v>
      </c>
      <c r="B1950" s="42">
        <f>VLOOKUP(A1950,'[3]Planilha Orçamentária'!A:K,2,0)</f>
        <v>93572</v>
      </c>
      <c r="C1950" s="30" t="str">
        <f>VLOOKUP(A1950,'[3]Planilha Orçamentária'!A:K,3,0)</f>
        <v>ENCARREGADO GERAL DE OBRAS COM ENCARGOS COMPLEMENTARES</v>
      </c>
      <c r="D1950" s="31" t="str">
        <f>VLOOKUP(A1950,'[3]Planilha Orçamentária'!A:K,4,0)</f>
        <v>MES</v>
      </c>
      <c r="E1950" s="43"/>
      <c r="F1950" s="44"/>
      <c r="G1950" s="44"/>
      <c r="H1950" s="44"/>
      <c r="I1950" s="44"/>
      <c r="J1950" s="45">
        <f>ROUND(SUM(J1952),2)</f>
        <v>2</v>
      </c>
    </row>
    <row r="1951" spans="1:10" ht="14.25">
      <c r="A1951" s="28"/>
      <c r="B1951" s="42"/>
      <c r="C1951" s="210"/>
      <c r="D1951" s="31"/>
      <c r="E1951" s="43"/>
      <c r="F1951" s="57"/>
      <c r="G1951" s="57"/>
      <c r="H1951" s="57"/>
      <c r="I1951" s="57"/>
      <c r="J1951" s="45"/>
    </row>
    <row r="1952" spans="1:10" ht="14.25">
      <c r="A1952" s="53"/>
      <c r="B1952" s="54"/>
      <c r="C1952" s="210" t="s">
        <v>1890</v>
      </c>
      <c r="D1952" s="211"/>
      <c r="E1952" s="57">
        <f>88/176</f>
        <v>0.5</v>
      </c>
      <c r="F1952" s="57"/>
      <c r="G1952" s="57"/>
      <c r="H1952" s="57"/>
      <c r="I1952" s="57">
        <f>I1941</f>
        <v>4</v>
      </c>
      <c r="J1952" s="58">
        <f>ROUND(PRODUCT(E1952:I1952),2)</f>
        <v>2</v>
      </c>
    </row>
    <row r="1953" spans="1:10" ht="14.25">
      <c r="A1953" s="53"/>
      <c r="B1953" s="54"/>
      <c r="C1953" s="210" t="s">
        <v>1614</v>
      </c>
      <c r="D1953" s="211"/>
      <c r="E1953" s="57"/>
      <c r="F1953" s="57"/>
      <c r="G1953" s="57"/>
      <c r="H1953" s="57"/>
      <c r="I1953" s="57"/>
      <c r="J1953" s="212"/>
    </row>
    <row r="1954" spans="1:10" ht="14.25">
      <c r="A1954" s="53"/>
      <c r="B1954" s="54"/>
      <c r="C1954" s="210" t="s">
        <v>1612</v>
      </c>
      <c r="D1954" s="213"/>
      <c r="E1954" s="214"/>
      <c r="F1954" s="143"/>
      <c r="G1954" s="207"/>
      <c r="H1954" s="207"/>
      <c r="I1954" s="135"/>
      <c r="J1954" s="215"/>
    </row>
    <row r="1955" spans="1:10">
      <c r="A1955" s="496"/>
      <c r="B1955" s="496"/>
      <c r="C1955" s="496"/>
      <c r="D1955" s="496"/>
      <c r="E1955" s="496"/>
      <c r="F1955" s="496"/>
      <c r="G1955" s="496"/>
      <c r="H1955" s="496"/>
      <c r="I1955" s="496"/>
      <c r="J1955" s="496"/>
    </row>
    <row r="1956" spans="1:10" ht="12" customHeight="1">
      <c r="A1956" s="19" t="str">
        <f>'[3]Planilha Orçamentária'!A496</f>
        <v>1.9.3</v>
      </c>
      <c r="B1956" s="20"/>
      <c r="C1956" s="21" t="str">
        <f>VLOOKUP(A1956,'[3]Planilha Orçamentária'!A:K,3,0)</f>
        <v>SERVIÇOS PRELIMINARES</v>
      </c>
      <c r="D1956" s="22"/>
      <c r="E1956" s="23"/>
      <c r="F1956" s="24"/>
      <c r="G1956" s="24"/>
      <c r="H1956" s="24"/>
      <c r="I1956" s="25"/>
      <c r="J1956" s="26"/>
    </row>
    <row r="1957" spans="1:10">
      <c r="A1957" s="60" t="str">
        <f>'[3]Planilha Orçamentária'!A497</f>
        <v>1.9.3.1</v>
      </c>
      <c r="B1957" s="61">
        <f>VLOOKUP(A1957,'[3]Planilha Orçamentária'!A:K,2,0)</f>
        <v>99064</v>
      </c>
      <c r="C1957" s="62" t="str">
        <f>VLOOKUP(A1957,'[3]Planilha Orçamentária'!A:K,3,0)</f>
        <v>LOCAÇÃO DE PAVIMENTAÇÃO. AF_10/2018</v>
      </c>
      <c r="D1957" s="63" t="str">
        <f>VLOOKUP(A1957,'[3]Planilha Orçamentária'!A:K,4,0)</f>
        <v>M</v>
      </c>
      <c r="E1957" s="62"/>
      <c r="F1957" s="57"/>
      <c r="G1957" s="71"/>
      <c r="H1957" s="71"/>
      <c r="I1957" s="71"/>
      <c r="J1957" s="78">
        <f>ROUND(SUM(J1958:J1959),2)</f>
        <v>319.12</v>
      </c>
    </row>
    <row r="1958" spans="1:10">
      <c r="A1958" s="66"/>
      <c r="B1958" s="67"/>
      <c r="C1958" s="62"/>
      <c r="D1958" s="63"/>
      <c r="E1958" s="62"/>
      <c r="F1958" s="34" t="s">
        <v>1606</v>
      </c>
      <c r="G1958" s="71"/>
      <c r="H1958" s="71"/>
      <c r="I1958" s="71"/>
      <c r="J1958" s="78"/>
    </row>
    <row r="1959" spans="1:10">
      <c r="A1959" s="94"/>
      <c r="B1959" s="94"/>
      <c r="C1959" s="109" t="s">
        <v>1925</v>
      </c>
      <c r="D1959" s="96"/>
      <c r="E1959" s="82"/>
      <c r="F1959" s="57">
        <f>(20-10.25)+(15*20)+(9.37)</f>
        <v>319.12</v>
      </c>
      <c r="G1959" s="82"/>
      <c r="H1959" s="82"/>
      <c r="I1959" s="82"/>
      <c r="J1959" s="120">
        <f>ROUND(PRODUCT(E1959:I1959),2)</f>
        <v>319.12</v>
      </c>
    </row>
    <row r="1960" spans="1:10">
      <c r="A1960" s="496"/>
      <c r="B1960" s="496"/>
      <c r="C1960" s="496"/>
      <c r="D1960" s="496"/>
      <c r="E1960" s="496"/>
      <c r="F1960" s="496"/>
      <c r="G1960" s="496"/>
      <c r="H1960" s="496"/>
      <c r="I1960" s="496"/>
      <c r="J1960" s="496"/>
    </row>
    <row r="1961" spans="1:10" ht="25.5">
      <c r="A1961" s="60" t="str">
        <f>'[3]Planilha Orçamentária'!A498</f>
        <v>1.9.3.2</v>
      </c>
      <c r="B1961" s="77" t="str">
        <f>VLOOKUP(A1961,'[3]Planilha Orçamentária'!A:K,2,0)</f>
        <v>COMP-17562084</v>
      </c>
      <c r="C1961" s="62" t="str">
        <f>VLOOKUP(A1961,'[3]Planilha Orçamentária'!A:K,3,0)</f>
        <v>DEMOLIÇÃO MANUAL DE CONCRETO SIMPLES</v>
      </c>
      <c r="D1961" s="63" t="str">
        <f>VLOOKUP(A1961,'[3]Planilha Orçamentária'!A:K,4,0)</f>
        <v>M3</v>
      </c>
      <c r="E1961" s="62"/>
      <c r="F1961" s="64"/>
      <c r="G1961" s="64"/>
      <c r="H1961" s="64"/>
      <c r="I1961" s="64"/>
      <c r="J1961" s="78">
        <f>ROUND(SUM(J1963),2)</f>
        <v>3.93</v>
      </c>
    </row>
    <row r="1962" spans="1:10">
      <c r="A1962" s="27"/>
      <c r="B1962" s="27"/>
      <c r="C1962" s="311" t="s">
        <v>1926</v>
      </c>
      <c r="D1962" s="27"/>
      <c r="E1962" s="27"/>
      <c r="F1962" s="27"/>
      <c r="G1962" s="27"/>
      <c r="H1962" s="27" t="s">
        <v>1619</v>
      </c>
      <c r="I1962" s="27" t="s">
        <v>1620</v>
      </c>
      <c r="J1962" s="27"/>
    </row>
    <row r="1963" spans="1:10" ht="25.5">
      <c r="A1963" s="27"/>
      <c r="B1963" s="27"/>
      <c r="C1963" s="81" t="s">
        <v>1621</v>
      </c>
      <c r="D1963" s="27"/>
      <c r="E1963" s="27"/>
      <c r="F1963" s="82"/>
      <c r="G1963" s="82"/>
      <c r="H1963" s="82">
        <v>7.0000000000000007E-2</v>
      </c>
      <c r="I1963" s="82">
        <v>56.18</v>
      </c>
      <c r="J1963" s="36">
        <f>ROUND(PRODUCT(E1963:I1963),2)</f>
        <v>3.93</v>
      </c>
    </row>
    <row r="1964" spans="1:10">
      <c r="A1964" s="501"/>
      <c r="B1964" s="502"/>
      <c r="C1964" s="502"/>
      <c r="D1964" s="502"/>
      <c r="E1964" s="502"/>
      <c r="F1964" s="502"/>
      <c r="G1964" s="502"/>
      <c r="H1964" s="502"/>
      <c r="I1964" s="502"/>
      <c r="J1964" s="503"/>
    </row>
    <row r="1965" spans="1:10" ht="38.25">
      <c r="A1965" s="60" t="str">
        <f>'[3]Planilha Orçamentária'!A499</f>
        <v>1.9.3.3</v>
      </c>
      <c r="B1965" s="77" t="str">
        <f>VLOOKUP(A1965,'[3]Planilha Orçamentária'!A:K,2,0)</f>
        <v>CP-S00048-24791887</v>
      </c>
      <c r="C1965" s="62" t="str">
        <f>VLOOKUP(A1965,'[3]Planilha Orçamentária'!A:K,3,0)</f>
        <v>DEMOLIÇÃO DE TUBO DE CONCRETO SIMPLES OU ARMADO D = 0,8 M, SEM REAPROVEITAMENTO, EXCLUSIVE ESCAVAÇÃO</v>
      </c>
      <c r="D1965" s="63" t="str">
        <f>VLOOKUP(A1965,'[3]Planilha Orçamentária'!A:K,4,0)</f>
        <v>M</v>
      </c>
      <c r="E1965" s="62"/>
      <c r="F1965" s="64"/>
      <c r="G1965" s="64"/>
      <c r="H1965" s="64"/>
      <c r="I1965" s="64"/>
      <c r="J1965" s="78">
        <f>ROUND(SUM(J1967),2)</f>
        <v>64.38</v>
      </c>
    </row>
    <row r="1966" spans="1:10">
      <c r="A1966" s="27"/>
      <c r="B1966" s="27"/>
      <c r="C1966" s="311" t="s">
        <v>1926</v>
      </c>
      <c r="D1966" s="27"/>
      <c r="E1966" s="27"/>
      <c r="F1966" s="27" t="s">
        <v>1606</v>
      </c>
      <c r="G1966" s="27"/>
      <c r="H1966" s="27"/>
      <c r="I1966" s="27"/>
      <c r="J1966" s="27"/>
    </row>
    <row r="1967" spans="1:10" ht="25.5">
      <c r="A1967" s="27"/>
      <c r="B1967" s="27"/>
      <c r="C1967" s="81" t="s">
        <v>1927</v>
      </c>
      <c r="D1967" s="27"/>
      <c r="E1967" s="27"/>
      <c r="F1967" s="82">
        <v>64.38</v>
      </c>
      <c r="G1967" s="82"/>
      <c r="H1967" s="82"/>
      <c r="I1967" s="82"/>
      <c r="J1967" s="36">
        <f>ROUND(PRODUCT(E1967:I1967),2)</f>
        <v>64.38</v>
      </c>
    </row>
    <row r="1968" spans="1:10">
      <c r="A1968" s="501"/>
      <c r="B1968" s="502"/>
      <c r="C1968" s="502"/>
      <c r="D1968" s="502"/>
      <c r="E1968" s="502"/>
      <c r="F1968" s="502"/>
      <c r="G1968" s="502"/>
      <c r="H1968" s="502"/>
      <c r="I1968" s="502"/>
      <c r="J1968" s="503"/>
    </row>
    <row r="1969" spans="1:12" ht="51">
      <c r="A1969" s="60" t="str">
        <f>'[3]Planilha Orçamentária'!A500</f>
        <v>1.9.3.4</v>
      </c>
      <c r="B1969" s="77" t="str">
        <f>VLOOKUP(A1969,'[3]Planilha Orçamentária'!A:K,2,0)</f>
        <v>COMP-35145154</v>
      </c>
      <c r="C1969" s="62" t="str">
        <f>VLOOKUP(A1969,'[3]Planilha Orçamentária'!A:K,3,0)</f>
        <v>CARGA E DESCARGA MECANICA DE SOLO UTILIZANDO CAMINHAO BASCULANTE 14,0M3/36T E PA CARREGADEIRA SOBRE PNEUS 128 HP, CAPACIDADE DA CAÇAMBA 1,7 A 2,8 M3, PESO OPERACIONAL 11632 KH</v>
      </c>
      <c r="D1969" s="63" t="str">
        <f>VLOOKUP(A1969,'[3]Planilha Orçamentária'!A:K,4,0)</f>
        <v>M3</v>
      </c>
      <c r="E1969" s="62"/>
      <c r="F1969" s="64"/>
      <c r="G1969" s="64"/>
      <c r="H1969" s="64"/>
      <c r="I1969" s="64"/>
      <c r="J1969" s="78">
        <f>ROUND(SUM(J1971:J1973),2)</f>
        <v>6.53</v>
      </c>
    </row>
    <row r="1970" spans="1:12">
      <c r="A1970" s="27"/>
      <c r="B1970" s="27"/>
      <c r="C1970" s="86"/>
      <c r="D1970" s="69"/>
      <c r="E1970" s="81" t="s">
        <v>1622</v>
      </c>
      <c r="F1970" s="71"/>
      <c r="G1970" s="71"/>
      <c r="H1970" s="71"/>
      <c r="I1970" s="80" t="s">
        <v>1623</v>
      </c>
      <c r="J1970" s="27"/>
    </row>
    <row r="1971" spans="1:12">
      <c r="A1971" s="27"/>
      <c r="B1971" s="27"/>
      <c r="C1971" s="86" t="s">
        <v>1624</v>
      </c>
      <c r="D1971" s="69"/>
      <c r="E1971" s="81">
        <v>1.25</v>
      </c>
      <c r="F1971" s="71"/>
      <c r="G1971" s="71"/>
      <c r="H1971" s="71"/>
      <c r="I1971" s="87">
        <f>J1961</f>
        <v>3.93</v>
      </c>
      <c r="J1971" s="36">
        <f>ROUND(PRODUCT(E1971:I1971),2)</f>
        <v>4.91</v>
      </c>
    </row>
    <row r="1972" spans="1:12">
      <c r="A1972" s="27"/>
      <c r="B1972" s="27"/>
      <c r="C1972" s="86"/>
      <c r="D1972" s="63"/>
      <c r="E1972" s="81" t="s">
        <v>1622</v>
      </c>
      <c r="F1972" s="80" t="s">
        <v>1606</v>
      </c>
      <c r="G1972" s="64"/>
      <c r="H1972" s="64"/>
      <c r="I1972" s="87" t="s">
        <v>1928</v>
      </c>
      <c r="J1972" s="36"/>
    </row>
    <row r="1973" spans="1:12">
      <c r="A1973" s="27"/>
      <c r="B1973" s="27"/>
      <c r="C1973" s="86" t="s">
        <v>1929</v>
      </c>
      <c r="D1973" s="63"/>
      <c r="E1973" s="81">
        <v>1.25</v>
      </c>
      <c r="F1973" s="87">
        <f>J1965</f>
        <v>64.38</v>
      </c>
      <c r="G1973" s="64"/>
      <c r="H1973" s="64"/>
      <c r="I1973" s="339">
        <f>3.14*(0.08*0.08)</f>
        <v>2.0096000000000003E-2</v>
      </c>
      <c r="J1973" s="36">
        <f>ROUND(PRODUCT(E1973:I1973),2)</f>
        <v>1.62</v>
      </c>
      <c r="K1973" s="7">
        <f>80/2</f>
        <v>40</v>
      </c>
      <c r="L1973" s="7">
        <f>80/1000</f>
        <v>0.08</v>
      </c>
    </row>
    <row r="1974" spans="1:12">
      <c r="A1974" s="501"/>
      <c r="B1974" s="502"/>
      <c r="C1974" s="502"/>
      <c r="D1974" s="502"/>
      <c r="E1974" s="502"/>
      <c r="F1974" s="502"/>
      <c r="G1974" s="502"/>
      <c r="H1974" s="502"/>
      <c r="I1974" s="502"/>
      <c r="J1974" s="503"/>
    </row>
    <row r="1975" spans="1:12" ht="38.25">
      <c r="A1975" s="60" t="str">
        <f>'[3]Planilha Orçamentária'!A501</f>
        <v>1.9.3.5</v>
      </c>
      <c r="B1975" s="77">
        <f>VLOOKUP(A1975,'[3]Planilha Orçamentária'!A:K,2,0)</f>
        <v>95876</v>
      </c>
      <c r="C1975" s="62" t="str">
        <f>VLOOKUP(A1975,'[3]Planilha Orçamentária'!A:K,3,0)</f>
        <v>TRANSPORTE COM CAMINHÃO BASCULANTE DE 14 M³, EM VIA URBANA PAVIMENTADA, DMT ATÉ 30 KM (UNIDADE: M3XKM). AF_07/2020</v>
      </c>
      <c r="D1975" s="63" t="str">
        <f>VLOOKUP(A1975,'[3]Planilha Orçamentária'!A:K,4,0)</f>
        <v>M3XKM</v>
      </c>
      <c r="E1975" s="62"/>
      <c r="F1975" s="64"/>
      <c r="G1975" s="64"/>
      <c r="H1975" s="64"/>
      <c r="I1975" s="64"/>
      <c r="J1975" s="78">
        <f>ROUND(SUM(J1977),2)</f>
        <v>99.91</v>
      </c>
    </row>
    <row r="1976" spans="1:12">
      <c r="A1976" s="27"/>
      <c r="B1976" s="27"/>
      <c r="C1976" s="90" t="s">
        <v>1930</v>
      </c>
      <c r="D1976" s="27"/>
      <c r="E1976" s="27" t="s">
        <v>1627</v>
      </c>
      <c r="F1976" s="27"/>
      <c r="G1976" s="27"/>
      <c r="H1976" s="27"/>
      <c r="I1976" s="27" t="s">
        <v>1623</v>
      </c>
      <c r="J1976" s="27"/>
    </row>
    <row r="1977" spans="1:12">
      <c r="A1977" s="27"/>
      <c r="B1977" s="27"/>
      <c r="C1977" s="73" t="s">
        <v>1931</v>
      </c>
      <c r="D1977" s="27"/>
      <c r="E1977" s="81">
        <v>15.3</v>
      </c>
      <c r="F1977" s="81"/>
      <c r="G1977" s="81"/>
      <c r="H1977" s="81"/>
      <c r="I1977" s="92">
        <f>J1969</f>
        <v>6.53</v>
      </c>
      <c r="J1977" s="36">
        <f>ROUND(PRODUCT(E1977:I1977),2)</f>
        <v>99.91</v>
      </c>
    </row>
    <row r="1978" spans="1:12" ht="12" customHeight="1">
      <c r="A1978" s="501"/>
      <c r="B1978" s="502"/>
      <c r="C1978" s="502"/>
      <c r="D1978" s="502"/>
      <c r="E1978" s="502"/>
      <c r="F1978" s="502"/>
      <c r="G1978" s="502"/>
      <c r="H1978" s="502"/>
      <c r="I1978" s="502"/>
      <c r="J1978" s="503"/>
    </row>
    <row r="1979" spans="1:12" ht="12" customHeight="1">
      <c r="A1979" s="19" t="str">
        <f>'[3]Planilha Orçamentária'!A502</f>
        <v>1.9.4</v>
      </c>
      <c r="B1979" s="20"/>
      <c r="C1979" s="21" t="str">
        <f>VLOOKUP(A1979,'[3]Planilha Orçamentária'!A:K,3,0)</f>
        <v>TERRAPLENAGEM</v>
      </c>
      <c r="D1979" s="22"/>
      <c r="E1979" s="23"/>
      <c r="F1979" s="24"/>
      <c r="G1979" s="24"/>
      <c r="H1979" s="24"/>
      <c r="I1979" s="25"/>
      <c r="J1979" s="270"/>
    </row>
    <row r="1980" spans="1:12" ht="38.25">
      <c r="A1980" s="28" t="str">
        <f>'[3]Planilha Orçamentária'!A503</f>
        <v>1.9.4.1</v>
      </c>
      <c r="B1980" s="42" t="str">
        <f>VLOOKUP(A1980,'[3]Planilha Orçamentária'!A:K,2,0)</f>
        <v>CP-74205/001-17324935</v>
      </c>
      <c r="C1980" s="30" t="str">
        <f>VLOOKUP(A1980,'[3]Planilha Orçamentária'!A:K,3,0)</f>
        <v>ESCAVAÇÃO MECÂNICA DE MATERIAL 1A. CATEGORIA, PROVENIENTE DE CORTE DE SUBLEITO (C/TRATOR ESTEIRAS  160HP)</v>
      </c>
      <c r="D1980" s="31" t="str">
        <f>VLOOKUP(A1980,'[3]Planilha Orçamentária'!A:K,4,0)</f>
        <v>M3</v>
      </c>
      <c r="E1980" s="30"/>
      <c r="F1980" s="32"/>
      <c r="G1980" s="32"/>
      <c r="H1980" s="32"/>
      <c r="I1980" s="32"/>
      <c r="J1980" s="45">
        <f>ROUND(SUM(J1982:J1982),2)</f>
        <v>306.89999999999998</v>
      </c>
    </row>
    <row r="1981" spans="1:12">
      <c r="A1981" s="28"/>
      <c r="B1981" s="42"/>
      <c r="C1981" s="86" t="s">
        <v>1932</v>
      </c>
      <c r="D1981" s="31"/>
      <c r="E1981" s="30"/>
      <c r="F1981" s="32"/>
      <c r="G1981" s="32"/>
      <c r="H1981" s="32"/>
      <c r="I1981" s="34" t="s">
        <v>1623</v>
      </c>
      <c r="J1981" s="45"/>
    </row>
    <row r="1982" spans="1:12">
      <c r="A1982" s="94"/>
      <c r="B1982" s="95"/>
      <c r="C1982" s="73" t="s">
        <v>1729</v>
      </c>
      <c r="D1982" s="96"/>
      <c r="E1982" s="82"/>
      <c r="F1982" s="82"/>
      <c r="G1982" s="82"/>
      <c r="H1982" s="82"/>
      <c r="I1982" s="82">
        <v>306.89999999999998</v>
      </c>
      <c r="J1982" s="97">
        <f>ROUND(PRODUCT(E1982:I1982),2)</f>
        <v>306.89999999999998</v>
      </c>
    </row>
    <row r="1983" spans="1:12">
      <c r="A1983" s="513"/>
      <c r="B1983" s="513"/>
      <c r="C1983" s="513"/>
      <c r="D1983" s="513"/>
      <c r="E1983" s="513"/>
      <c r="F1983" s="513"/>
      <c r="G1983" s="513"/>
      <c r="H1983" s="513"/>
      <c r="I1983" s="513"/>
      <c r="J1983" s="513"/>
    </row>
    <row r="1984" spans="1:12" ht="51">
      <c r="A1984" s="99" t="str">
        <f>'[3]Planilha Orçamentária'!A504</f>
        <v>1.9.4.2</v>
      </c>
      <c r="B1984" s="48" t="str">
        <f>VLOOKUP(A1984,'[3]Planilha Orçamentária'!A:K,2,0)</f>
        <v>COMP-35145154</v>
      </c>
      <c r="C1984" s="100" t="str">
        <f>VLOOKUP(A1984,'[3]Planilha Orçamentária'!A:K,3,0)</f>
        <v>CARGA E DESCARGA MECANICA DE SOLO UTILIZANDO CAMINHAO BASCULANTE 14,0M3/36T E PA CARREGADEIRA SOBRE PNEUS 128 HP, CAPACIDADE DA CAÇAMBA 1,7 A 2,8 M3, PESO OPERACIONAL 11632 KH</v>
      </c>
      <c r="D1984" s="101" t="str">
        <f>VLOOKUP(A1984,'[3]Planilha Orçamentária'!A:K,4,0)</f>
        <v>M3</v>
      </c>
      <c r="E1984" s="100"/>
      <c r="F1984" s="102"/>
      <c r="G1984" s="102"/>
      <c r="H1984" s="102"/>
      <c r="I1984" s="102"/>
      <c r="J1984" s="45">
        <f>ROUND(SUM(J1986:J1986),2)</f>
        <v>383.63</v>
      </c>
    </row>
    <row r="1985" spans="1:10">
      <c r="A1985" s="99"/>
      <c r="B1985" s="48"/>
      <c r="C1985" s="73" t="s">
        <v>1631</v>
      </c>
      <c r="D1985" s="101"/>
      <c r="E1985" s="105" t="s">
        <v>1622</v>
      </c>
      <c r="F1985" s="106"/>
      <c r="G1985" s="106"/>
      <c r="H1985" s="106"/>
      <c r="I1985" s="106" t="s">
        <v>1623</v>
      </c>
      <c r="J1985" s="103"/>
    </row>
    <row r="1986" spans="1:10">
      <c r="A1986" s="99"/>
      <c r="B1986" s="48"/>
      <c r="C1986" s="73" t="s">
        <v>1632</v>
      </c>
      <c r="D1986" s="96"/>
      <c r="E1986" s="82">
        <v>1.25</v>
      </c>
      <c r="F1986" s="35"/>
      <c r="G1986" s="35"/>
      <c r="H1986" s="35"/>
      <c r="I1986" s="35">
        <f>J1980</f>
        <v>306.89999999999998</v>
      </c>
      <c r="J1986" s="97">
        <f>ROUND(PRODUCT(E1986:I1986),2)</f>
        <v>383.63</v>
      </c>
    </row>
    <row r="1987" spans="1:10">
      <c r="A1987" s="513"/>
      <c r="B1987" s="513"/>
      <c r="C1987" s="513"/>
      <c r="D1987" s="513"/>
      <c r="E1987" s="513"/>
      <c r="F1987" s="513"/>
      <c r="G1987" s="513"/>
      <c r="H1987" s="513"/>
      <c r="I1987" s="513"/>
      <c r="J1987" s="513"/>
    </row>
    <row r="1988" spans="1:10" ht="38.25">
      <c r="A1988" s="216" t="str">
        <f>'[3]Planilha Orçamentária'!A505</f>
        <v>1.9.4.3</v>
      </c>
      <c r="B1988" s="217">
        <f>VLOOKUP(A1988,'[3]Planilha Orçamentária'!A:K,2,0)</f>
        <v>95876</v>
      </c>
      <c r="C1988" s="218" t="str">
        <f>VLOOKUP(A1988,'[3]Planilha Orçamentária'!A:K,3,0)</f>
        <v>TRANSPORTE COM CAMINHÃO BASCULANTE DE 14 M³, EM VIA URBANA PAVIMENTADA, DMT ATÉ 30 KM (UNIDADE: M3XKM). AF_07/2020</v>
      </c>
      <c r="D1988" s="219" t="str">
        <f>VLOOKUP(A1988,'[3]Planilha Orçamentária'!A:K,4,0)</f>
        <v>M3XKM</v>
      </c>
      <c r="E1988" s="218"/>
      <c r="F1988" s="64"/>
      <c r="G1988" s="64"/>
      <c r="H1988" s="64"/>
      <c r="I1988" s="64"/>
      <c r="J1988" s="33">
        <f>ROUND(SUM(J1990:J1990),2)</f>
        <v>5869.54</v>
      </c>
    </row>
    <row r="1989" spans="1:10">
      <c r="A1989" s="216"/>
      <c r="B1989" s="217"/>
      <c r="C1989" s="90" t="s">
        <v>1930</v>
      </c>
      <c r="D1989" s="27"/>
      <c r="E1989" s="27" t="s">
        <v>1627</v>
      </c>
      <c r="F1989" s="64"/>
      <c r="G1989" s="64"/>
      <c r="H1989" s="80"/>
      <c r="I1989" s="80" t="s">
        <v>1623</v>
      </c>
      <c r="J1989" s="78"/>
    </row>
    <row r="1990" spans="1:10">
      <c r="A1990" s="216"/>
      <c r="B1990" s="217"/>
      <c r="C1990" s="73" t="s">
        <v>1931</v>
      </c>
      <c r="D1990" s="27"/>
      <c r="E1990" s="81">
        <v>15.3</v>
      </c>
      <c r="F1990" s="271"/>
      <c r="G1990" s="271"/>
      <c r="H1990" s="271"/>
      <c r="I1990" s="225">
        <f>J1984</f>
        <v>383.63</v>
      </c>
      <c r="J1990" s="226">
        <f>ROUND(PRODUCT(E1990:I1990),2)</f>
        <v>5869.54</v>
      </c>
    </row>
    <row r="1991" spans="1:10" ht="12" customHeight="1">
      <c r="A1991" s="498"/>
      <c r="B1991" s="499"/>
      <c r="C1991" s="499"/>
      <c r="D1991" s="499"/>
      <c r="E1991" s="499"/>
      <c r="F1991" s="499"/>
      <c r="G1991" s="499"/>
      <c r="H1991" s="499"/>
      <c r="I1991" s="499"/>
      <c r="J1991" s="500"/>
    </row>
    <row r="1992" spans="1:10" ht="38.25">
      <c r="A1992" s="28" t="str">
        <f>'[3]Planilha Orçamentária'!A506</f>
        <v>1.9.4.4</v>
      </c>
      <c r="B1992" s="42">
        <f>VLOOKUP(A1992,'[3]Planilha Orçamentária'!A:K,2,0)</f>
        <v>96385</v>
      </c>
      <c r="C1992" s="30" t="str">
        <f>VLOOKUP(A1992,'[3]Planilha Orçamentária'!A:K,3,0)</f>
        <v>EXECUÇÃO E COMPACTAÇÃO DE ATERRO COM SOLO PREDOMINANTEMENTE ARGILOSO - EXCLUSIVE SOLO, ESCAVAÇÃO, CARGA E TRANSPORTE. AF_11/2019</v>
      </c>
      <c r="D1992" s="31" t="str">
        <f>VLOOKUP(A1992,'[3]Planilha Orçamentária'!A:K,4,0)</f>
        <v>M3</v>
      </c>
      <c r="E1992" s="30"/>
      <c r="F1992" s="32"/>
      <c r="G1992" s="32"/>
      <c r="H1992" s="32"/>
      <c r="I1992" s="32"/>
      <c r="J1992" s="45">
        <f>ROUND(SUM(J1994:J1994),2)</f>
        <v>394.56</v>
      </c>
    </row>
    <row r="1993" spans="1:10" ht="12" customHeight="1">
      <c r="A1993" s="28"/>
      <c r="B1993" s="42"/>
      <c r="C1993" s="86" t="s">
        <v>1932</v>
      </c>
      <c r="D1993" s="31"/>
      <c r="E1993" s="30"/>
      <c r="F1993" s="32"/>
      <c r="G1993" s="32"/>
      <c r="H1993" s="32"/>
      <c r="I1993" s="34" t="s">
        <v>1623</v>
      </c>
      <c r="J1993" s="45"/>
    </row>
    <row r="1994" spans="1:10" ht="12" customHeight="1">
      <c r="A1994" s="94"/>
      <c r="B1994" s="95"/>
      <c r="C1994" s="73" t="s">
        <v>1729</v>
      </c>
      <c r="D1994" s="96"/>
      <c r="E1994" s="82"/>
      <c r="F1994" s="82"/>
      <c r="G1994" s="82"/>
      <c r="H1994" s="82"/>
      <c r="I1994" s="82">
        <v>394.56</v>
      </c>
      <c r="J1994" s="97">
        <f>ROUND(PRODUCT(E1994:I1994),2)</f>
        <v>394.56</v>
      </c>
    </row>
    <row r="1995" spans="1:10" ht="12" customHeight="1">
      <c r="A1995" s="513"/>
      <c r="B1995" s="513"/>
      <c r="C1995" s="513"/>
      <c r="D1995" s="513"/>
      <c r="E1995" s="513"/>
      <c r="F1995" s="513"/>
      <c r="G1995" s="513"/>
      <c r="H1995" s="513"/>
      <c r="I1995" s="513"/>
      <c r="J1995" s="513"/>
    </row>
    <row r="1996" spans="1:10" ht="12" customHeight="1">
      <c r="A1996" s="19" t="str">
        <f>'[3]Planilha Orçamentária'!A507</f>
        <v>1.9.5</v>
      </c>
      <c r="B1996" s="20"/>
      <c r="C1996" s="21" t="str">
        <f>VLOOKUP(A1996,'[3]Planilha Orçamentária'!A:K,3,0)</f>
        <v>PAVIMENTAÇÃO</v>
      </c>
      <c r="D1996" s="22"/>
      <c r="E1996" s="23"/>
      <c r="F1996" s="24"/>
      <c r="G1996" s="24"/>
      <c r="H1996" s="24"/>
      <c r="I1996" s="25"/>
      <c r="J1996" s="270"/>
    </row>
    <row r="1997" spans="1:10" ht="25.5">
      <c r="A1997" s="66" t="str">
        <f>'[3]Planilha Orçamentária'!A508</f>
        <v>1.9.5.1</v>
      </c>
      <c r="B1997" s="67">
        <f>VLOOKUP(A1997,'[3]Planilha Orçamentária'!A:K,2,0)</f>
        <v>100576</v>
      </c>
      <c r="C1997" s="68" t="str">
        <f>VLOOKUP(A1997,'[3]Planilha Orçamentária'!A:K,3,0)</f>
        <v>REGULARIZAÇÃO E COMPACTAÇÃO DE SUBLEITO DE SOLO  PREDOMINANTEMENTE ARGILOSO. AF_11/2019</v>
      </c>
      <c r="D1997" s="69" t="str">
        <f>VLOOKUP(A1997,'[3]Planilha Orçamentária'!A:K,4,0)</f>
        <v>M2</v>
      </c>
      <c r="E1997" s="68"/>
      <c r="F1997" s="71"/>
      <c r="G1997" s="71"/>
      <c r="H1997" s="71"/>
      <c r="I1997" s="71"/>
      <c r="J1997" s="78">
        <f>ROUND(SUM(J1999:J2000),2)</f>
        <v>2620.7199999999998</v>
      </c>
    </row>
    <row r="1998" spans="1:10">
      <c r="A1998" s="60"/>
      <c r="B1998" s="77"/>
      <c r="C1998" s="79" t="s">
        <v>1933</v>
      </c>
      <c r="D1998" s="63"/>
      <c r="E1998" s="62"/>
      <c r="F1998" s="80"/>
      <c r="G1998" s="80"/>
      <c r="H1998" s="64"/>
      <c r="I1998" s="87" t="s">
        <v>1620</v>
      </c>
      <c r="J1998" s="78"/>
    </row>
    <row r="1999" spans="1:10">
      <c r="A1999" s="60"/>
      <c r="B1999" s="77"/>
      <c r="C1999" s="109" t="s">
        <v>1635</v>
      </c>
      <c r="D1999" s="63"/>
      <c r="E1999" s="62"/>
      <c r="F1999" s="80"/>
      <c r="G1999" s="80"/>
      <c r="H1999" s="64"/>
      <c r="I1999" s="111">
        <v>1782.57</v>
      </c>
      <c r="J1999" s="97">
        <f t="shared" ref="J1999:J2000" si="198">ROUND(PRODUCT(E1999:I1999),2)</f>
        <v>1782.57</v>
      </c>
    </row>
    <row r="2000" spans="1:10" ht="15">
      <c r="A2000" s="112"/>
      <c r="B2000" s="113"/>
      <c r="C2000" s="114" t="s">
        <v>1636</v>
      </c>
      <c r="D2000" s="115"/>
      <c r="E2000" s="116"/>
      <c r="F2000" s="117"/>
      <c r="G2000" s="116"/>
      <c r="H2000" s="116"/>
      <c r="I2000" s="118">
        <v>838.15</v>
      </c>
      <c r="J2000" s="119">
        <f t="shared" si="198"/>
        <v>838.15</v>
      </c>
    </row>
    <row r="2001" spans="1:10">
      <c r="A2001" s="514"/>
      <c r="B2001" s="514"/>
      <c r="C2001" s="514"/>
      <c r="D2001" s="514"/>
      <c r="E2001" s="514"/>
      <c r="F2001" s="514"/>
      <c r="G2001" s="514"/>
      <c r="H2001" s="514"/>
      <c r="I2001" s="514"/>
      <c r="J2001" s="514"/>
    </row>
    <row r="2002" spans="1:10" ht="38.25">
      <c r="A2002" s="60" t="str">
        <f>'[3]Planilha Orçamentária'!A509</f>
        <v>1.9.5.2</v>
      </c>
      <c r="B2002" s="61" t="str">
        <f>VLOOKUP(A2002,'[3]Planilha Orçamentária'!A:K,2,0)</f>
        <v>CP-96396-26507981</v>
      </c>
      <c r="C2002" s="62" t="str">
        <f>VLOOKUP(A2002,'[3]Planilha Orçamentária'!A:K,3,0)</f>
        <v>EXECUÇÃO E COMPACTAÇÃO DE BASE E OU SUB BASE PARA PAVIMENTAÇÃO DE BRITA GRADUADA SIMPLES - EXCLUSIVE MATERIAL, CARGA E TRANSPORTE</v>
      </c>
      <c r="D2002" s="63" t="str">
        <f>VLOOKUP(A2002,'[3]Planilha Orçamentária'!A:K,4,0)</f>
        <v>M3</v>
      </c>
      <c r="E2002" s="124"/>
      <c r="F2002" s="125"/>
      <c r="G2002" s="125"/>
      <c r="H2002" s="125"/>
      <c r="I2002" s="125"/>
      <c r="J2002" s="65">
        <f>ROUND(SUM(J2004:J2005),2)</f>
        <v>393.11</v>
      </c>
    </row>
    <row r="2003" spans="1:10">
      <c r="A2003" s="60"/>
      <c r="B2003" s="61"/>
      <c r="C2003" s="79" t="s">
        <v>1933</v>
      </c>
      <c r="D2003" s="63"/>
      <c r="E2003" s="127"/>
      <c r="F2003" s="127"/>
      <c r="G2003" s="127"/>
      <c r="H2003" s="88" t="s">
        <v>1619</v>
      </c>
      <c r="I2003" s="87" t="s">
        <v>1620</v>
      </c>
      <c r="J2003" s="65"/>
    </row>
    <row r="2004" spans="1:10">
      <c r="A2004" s="60"/>
      <c r="B2004" s="61"/>
      <c r="C2004" s="109" t="s">
        <v>1635</v>
      </c>
      <c r="D2004" s="63"/>
      <c r="E2004" s="127"/>
      <c r="F2004" s="127"/>
      <c r="G2004" s="127"/>
      <c r="H2004" s="88">
        <v>0.15</v>
      </c>
      <c r="I2004" s="111">
        <f>I1999</f>
        <v>1782.57</v>
      </c>
      <c r="J2004" s="97">
        <f t="shared" ref="J2004:J2005" si="199">ROUND(PRODUCT(E2004:I2004),2)</f>
        <v>267.39</v>
      </c>
    </row>
    <row r="2005" spans="1:10">
      <c r="A2005" s="60"/>
      <c r="B2005" s="61"/>
      <c r="C2005" s="109" t="s">
        <v>1636</v>
      </c>
      <c r="D2005" s="63"/>
      <c r="E2005" s="127"/>
      <c r="F2005" s="127"/>
      <c r="G2005" s="127"/>
      <c r="H2005" s="88">
        <v>0.15</v>
      </c>
      <c r="I2005" s="111">
        <f>I2000</f>
        <v>838.15</v>
      </c>
      <c r="J2005" s="97">
        <f t="shared" si="199"/>
        <v>125.72</v>
      </c>
    </row>
    <row r="2006" spans="1:10">
      <c r="A2006" s="497"/>
      <c r="B2006" s="497"/>
      <c r="C2006" s="497"/>
      <c r="D2006" s="497"/>
      <c r="E2006" s="497"/>
      <c r="F2006" s="497"/>
      <c r="G2006" s="497"/>
      <c r="H2006" s="497"/>
      <c r="I2006" s="497"/>
      <c r="J2006" s="497"/>
    </row>
    <row r="2007" spans="1:10" ht="51">
      <c r="A2007" s="28" t="str">
        <f>'[3]Planilha Orçamentária'!A510</f>
        <v>1.9.5.3</v>
      </c>
      <c r="B2007" s="29" t="str">
        <f>VLOOKUP(A2007,'[3]Planilha Orçamentária'!A:K,2,0)</f>
        <v>COMP-35145154</v>
      </c>
      <c r="C2007" s="30" t="str">
        <f>VLOOKUP(A2007,'[3]Planilha Orçamentária'!A:K,3,0)</f>
        <v>CARGA E DESCARGA MECANICA DE SOLO UTILIZANDO CAMINHAO BASCULANTE 14,0M3/36T E PA CARREGADEIRA SOBRE PNEUS 128 HP, CAPACIDADE DA CAÇAMBA 1,7 A 2,8 M3, PESO OPERACIONAL 11632 KH</v>
      </c>
      <c r="D2007" s="31" t="str">
        <f>VLOOKUP(A2007,'[3]Planilha Orçamentária'!A:K,4,0)</f>
        <v>M3</v>
      </c>
      <c r="E2007" s="30"/>
      <c r="F2007" s="32"/>
      <c r="G2007" s="32"/>
      <c r="H2007" s="32"/>
      <c r="I2007" s="32"/>
      <c r="J2007" s="33">
        <f>ROUND(SUM(J2009:J2009),2)</f>
        <v>491.39</v>
      </c>
    </row>
    <row r="2008" spans="1:10">
      <c r="A2008" s="28"/>
      <c r="B2008" s="29"/>
      <c r="C2008" s="62"/>
      <c r="D2008" s="63"/>
      <c r="E2008" s="127" t="s">
        <v>1622</v>
      </c>
      <c r="F2008" s="34"/>
      <c r="G2008" s="32"/>
      <c r="H2008" s="32"/>
      <c r="I2008" s="135" t="s">
        <v>1623</v>
      </c>
      <c r="J2008" s="33"/>
    </row>
    <row r="2009" spans="1:10" ht="14.25">
      <c r="A2009" s="245"/>
      <c r="B2009" s="276"/>
      <c r="C2009" s="131" t="s">
        <v>1642</v>
      </c>
      <c r="D2009" s="96"/>
      <c r="E2009" s="34">
        <v>1.25</v>
      </c>
      <c r="F2009" s="140"/>
      <c r="G2009" s="129"/>
      <c r="H2009" s="129"/>
      <c r="I2009" s="141">
        <f>J2002</f>
        <v>393.11</v>
      </c>
      <c r="J2009" s="36">
        <f t="shared" ref="J2009" si="200">ROUND(PRODUCT(E2009:I2009),2)</f>
        <v>491.39</v>
      </c>
    </row>
    <row r="2010" spans="1:10">
      <c r="A2010" s="501"/>
      <c r="B2010" s="502"/>
      <c r="C2010" s="502"/>
      <c r="D2010" s="502"/>
      <c r="E2010" s="502"/>
      <c r="F2010" s="502"/>
      <c r="G2010" s="502"/>
      <c r="H2010" s="502"/>
      <c r="I2010" s="502"/>
      <c r="J2010" s="502"/>
    </row>
    <row r="2011" spans="1:10" ht="25.5">
      <c r="A2011" s="28" t="str">
        <f>'[3]Planilha Orçamentária'!A511</f>
        <v>1.9.5.4</v>
      </c>
      <c r="B2011" s="29" t="str">
        <f>VLOOKUP(A2011,'[3]Planilha Orçamentária'!A:K,2,0)</f>
        <v>COMP-83526730</v>
      </c>
      <c r="C2011" s="30" t="str">
        <f>VLOOKUP(A2011,'[3]Planilha Orçamentária'!A:K,3,0)</f>
        <v>TRANSPORTE COMERCIAL DE BRITA</v>
      </c>
      <c r="D2011" s="31" t="str">
        <f>VLOOKUP(A2011,'[3]Planilha Orçamentária'!A:K,4,0)</f>
        <v>M3XKM</v>
      </c>
      <c r="E2011" s="30"/>
      <c r="F2011" s="32"/>
      <c r="G2011" s="32"/>
      <c r="H2011" s="32"/>
      <c r="I2011" s="32"/>
      <c r="J2011" s="33">
        <f>ROUND(SUM(J2013:J2013),2)</f>
        <v>7321.71</v>
      </c>
    </row>
    <row r="2012" spans="1:10" ht="25.5">
      <c r="A2012" s="28"/>
      <c r="B2012" s="29"/>
      <c r="C2012" s="90" t="s">
        <v>1934</v>
      </c>
      <c r="D2012" s="27"/>
      <c r="E2012" s="27" t="s">
        <v>1627</v>
      </c>
      <c r="F2012" s="34"/>
      <c r="G2012" s="34"/>
      <c r="H2012" s="64"/>
      <c r="I2012" s="87" t="s">
        <v>1644</v>
      </c>
      <c r="J2012" s="33"/>
    </row>
    <row r="2013" spans="1:10">
      <c r="A2013" s="245"/>
      <c r="B2013" s="276"/>
      <c r="C2013" s="73" t="s">
        <v>1935</v>
      </c>
      <c r="D2013" s="27"/>
      <c r="E2013" s="81">
        <v>14.9</v>
      </c>
      <c r="F2013" s="34"/>
      <c r="G2013" s="277"/>
      <c r="H2013" s="64"/>
      <c r="I2013" s="111">
        <f>J2007</f>
        <v>491.39</v>
      </c>
      <c r="J2013" s="36">
        <f t="shared" ref="J2013" si="201">ROUND(PRODUCT(E2013:I2013),2)</f>
        <v>7321.71</v>
      </c>
    </row>
    <row r="2014" spans="1:10">
      <c r="A2014" s="501"/>
      <c r="B2014" s="502"/>
      <c r="C2014" s="502"/>
      <c r="D2014" s="502"/>
      <c r="E2014" s="502"/>
      <c r="F2014" s="502"/>
      <c r="G2014" s="502"/>
      <c r="H2014" s="502"/>
      <c r="I2014" s="502"/>
      <c r="J2014" s="502"/>
    </row>
    <row r="2015" spans="1:10" ht="51">
      <c r="A2015" s="99" t="str">
        <f>'[3]Planilha Orçamentária'!A512</f>
        <v>1.9.5.5</v>
      </c>
      <c r="B2015" s="48" t="str">
        <f>VLOOKUP(A2015,'[3]Planilha Orçamentária'!A:K,2,0)</f>
        <v>CP-92399-27762594</v>
      </c>
      <c r="C2015" s="100" t="str">
        <f>VLOOKUP(A2015,'[3]Planilha Orçamentária'!A:K,3,0)</f>
        <v>EXECUÇÃO DE VIA EM PISO INTERTRAVADO, COM BLOCO RETANGULAR COR NATURAL/COLORIDO DE 20 X 10 CM, ESPESSURA 8 CM - (SEM O MATERIAL BLOQUETE/PISO INTERTRAVADO)</v>
      </c>
      <c r="D2015" s="101" t="str">
        <f>VLOOKUP(A2015,'[3]Planilha Orçamentária'!A:K,4,0)</f>
        <v>M2</v>
      </c>
      <c r="E2015" s="34"/>
      <c r="F2015" s="34"/>
      <c r="G2015" s="64"/>
      <c r="H2015" s="34"/>
      <c r="I2015" s="87"/>
      <c r="J2015" s="33">
        <f>ROUND(SUM(J2016:J2018),2)</f>
        <v>2620.7199999999998</v>
      </c>
    </row>
    <row r="2016" spans="1:10">
      <c r="A2016" s="94"/>
      <c r="B2016" s="133"/>
      <c r="C2016" s="79" t="s">
        <v>1933</v>
      </c>
      <c r="D2016" s="96"/>
      <c r="E2016" s="82"/>
      <c r="F2016" s="34"/>
      <c r="G2016" s="82"/>
      <c r="H2016" s="82"/>
      <c r="I2016" s="82" t="s">
        <v>1620</v>
      </c>
      <c r="J2016" s="120"/>
    </row>
    <row r="2017" spans="1:10" ht="28.5">
      <c r="A2017" s="94"/>
      <c r="B2017" s="133"/>
      <c r="C2017" s="126" t="s">
        <v>1646</v>
      </c>
      <c r="D2017" s="96"/>
      <c r="E2017" s="82"/>
      <c r="F2017" s="34"/>
      <c r="G2017" s="82"/>
      <c r="H2017" s="82"/>
      <c r="I2017" s="82">
        <f>J1999</f>
        <v>1782.57</v>
      </c>
      <c r="J2017" s="120">
        <f>ROUND(PRODUCT(E2017:I2017),2)</f>
        <v>1782.57</v>
      </c>
    </row>
    <row r="2018" spans="1:10" ht="28.5">
      <c r="A2018" s="94"/>
      <c r="B2018" s="133"/>
      <c r="C2018" s="126" t="s">
        <v>1647</v>
      </c>
      <c r="D2018" s="96"/>
      <c r="E2018" s="82"/>
      <c r="F2018" s="34"/>
      <c r="G2018" s="82"/>
      <c r="H2018" s="82"/>
      <c r="I2018" s="82">
        <f>J2000</f>
        <v>838.15</v>
      </c>
      <c r="J2018" s="120">
        <f>ROUND(PRODUCT(E2018:I2018),2)</f>
        <v>838.15</v>
      </c>
    </row>
    <row r="2019" spans="1:10">
      <c r="A2019" s="497"/>
      <c r="B2019" s="497"/>
      <c r="C2019" s="497"/>
      <c r="D2019" s="497"/>
      <c r="E2019" s="497"/>
      <c r="F2019" s="497"/>
      <c r="G2019" s="497"/>
      <c r="H2019" s="497"/>
      <c r="I2019" s="497"/>
      <c r="J2019" s="497"/>
    </row>
    <row r="2020" spans="1:10" ht="63.75">
      <c r="A2020" s="99" t="str">
        <f>'[3]Planilha Orçamentária'!A513</f>
        <v>1.9.5.6</v>
      </c>
      <c r="B2020" s="48">
        <f>VLOOKUP(A2020,'[3]Planilha Orçamentária'!A:K,2,0)</f>
        <v>94273</v>
      </c>
      <c r="C2020" s="100" t="str">
        <f>VLOOKUP(A2020,'[3]Planilha Orçamentária'!A:K,3,0)</f>
        <v>ASSENTAMENTO DE GUIA (MEIO-FIO) EM TRECHO RETO, CONFECCIONADA EM CONCRETO PRÉ-FABRICADO, DIMENSÕES 100X15X13X30 CM (COMPRIMENTO X BASE INFERIOR X BASE SUPERIOR X ALTURA), PARA VIAS URBANAS (USO VIÁRIO). AF_06/2016</v>
      </c>
      <c r="D2020" s="101" t="str">
        <f>VLOOKUP(A2020,'[3]Planilha Orçamentária'!A:K,4,0)</f>
        <v>M</v>
      </c>
      <c r="E2020" s="34"/>
      <c r="F2020" s="34"/>
      <c r="G2020" s="64"/>
      <c r="H2020" s="34"/>
      <c r="I2020" s="87"/>
      <c r="J2020" s="33">
        <f>ROUND(SUM(J2021:J2023),2)</f>
        <v>824.98</v>
      </c>
    </row>
    <row r="2021" spans="1:10">
      <c r="A2021" s="94"/>
      <c r="B2021" s="128"/>
      <c r="C2021" s="144" t="s">
        <v>1656</v>
      </c>
      <c r="D2021" s="96"/>
      <c r="E2021" s="82"/>
      <c r="F2021" s="34">
        <v>649.34</v>
      </c>
      <c r="G2021" s="82"/>
      <c r="H2021" s="82"/>
      <c r="I2021" s="82"/>
      <c r="J2021" s="120">
        <f t="shared" ref="J2021:J2022" si="202">ROUND(PRODUCT(E2021:I2021),2)</f>
        <v>649.34</v>
      </c>
    </row>
    <row r="2022" spans="1:10">
      <c r="A2022" s="94"/>
      <c r="B2022" s="128"/>
      <c r="C2022" s="145" t="s">
        <v>1657</v>
      </c>
      <c r="D2022" s="96"/>
      <c r="E2022" s="82"/>
      <c r="F2022" s="34">
        <v>175.64</v>
      </c>
      <c r="G2022" s="82"/>
      <c r="H2022" s="82"/>
      <c r="I2022" s="82"/>
      <c r="J2022" s="120">
        <f t="shared" si="202"/>
        <v>175.64</v>
      </c>
    </row>
    <row r="2023" spans="1:10">
      <c r="A2023" s="498"/>
      <c r="B2023" s="499"/>
      <c r="C2023" s="499"/>
      <c r="D2023" s="499"/>
      <c r="E2023" s="499"/>
      <c r="F2023" s="499"/>
      <c r="G2023" s="499"/>
      <c r="H2023" s="499"/>
      <c r="I2023" s="499"/>
      <c r="J2023" s="500"/>
    </row>
    <row r="2024" spans="1:10" ht="12" customHeight="1">
      <c r="A2024" s="19" t="str">
        <f>'[3]Planilha Orçamentária'!A514</f>
        <v>1.9.6</v>
      </c>
      <c r="B2024" s="20"/>
      <c r="C2024" s="21" t="str">
        <f>VLOOKUP(A2024,'[3]Planilha Orçamentária'!A:K,3,0)</f>
        <v>DRENAGEM</v>
      </c>
      <c r="D2024" s="22"/>
      <c r="E2024" s="23"/>
      <c r="F2024" s="24"/>
      <c r="G2024" s="24"/>
      <c r="H2024" s="24"/>
      <c r="I2024" s="25"/>
      <c r="J2024" s="270"/>
    </row>
    <row r="2025" spans="1:10" ht="25.5">
      <c r="A2025" s="112" t="str">
        <f>'[3]Planilha Orçamentária'!A515</f>
        <v>1.9.6.1</v>
      </c>
      <c r="B2025" s="146">
        <f>VLOOKUP(A2025,'[3]Planilha Orçamentária'!A:K,2,0)</f>
        <v>93358</v>
      </c>
      <c r="C2025" s="147" t="str">
        <f>VLOOKUP(A2025,'[3]Planilha Orçamentária'!A:K,3,0)</f>
        <v>ESCAVAÇÃO MANUAL DE VALA COM PROFUNDIDADE MENOR OU IGUAL A 1,30 M. AF_02/2021</v>
      </c>
      <c r="D2025" s="148" t="str">
        <f>VLOOKUP(A2025,'[3]Planilha Orçamentária'!A:K,4,0)</f>
        <v>M3</v>
      </c>
      <c r="E2025" s="149"/>
      <c r="F2025" s="150"/>
      <c r="G2025" s="150"/>
      <c r="H2025" s="150"/>
      <c r="I2025" s="150"/>
      <c r="J2025" s="151">
        <f>ROUND(SUM(J2026:J2028),2)</f>
        <v>10.210000000000001</v>
      </c>
    </row>
    <row r="2026" spans="1:10">
      <c r="A2026" s="152"/>
      <c r="B2026" s="153"/>
      <c r="C2026" s="154" t="s">
        <v>1936</v>
      </c>
      <c r="D2026" s="31"/>
      <c r="E2026" s="155"/>
      <c r="F2026" s="156" t="s">
        <v>1606</v>
      </c>
      <c r="G2026" s="156" t="s">
        <v>1607</v>
      </c>
      <c r="H2026" s="156" t="s">
        <v>1663</v>
      </c>
      <c r="I2026" s="155"/>
      <c r="J2026" s="157"/>
    </row>
    <row r="2027" spans="1:10" ht="28.5">
      <c r="A2027" s="152"/>
      <c r="B2027" s="153"/>
      <c r="C2027" s="131" t="s">
        <v>1664</v>
      </c>
      <c r="D2027" s="158"/>
      <c r="E2027" s="159"/>
      <c r="F2027" s="156">
        <v>319.16000000000003</v>
      </c>
      <c r="G2027" s="156">
        <v>0.4</v>
      </c>
      <c r="H2027" s="156">
        <f>0.16-0.08</f>
        <v>0.08</v>
      </c>
      <c r="I2027" s="160"/>
      <c r="J2027" s="58">
        <f>ROUND(PRODUCT(E2027:I2027),2)</f>
        <v>10.210000000000001</v>
      </c>
    </row>
    <row r="2028" spans="1:10">
      <c r="A2028" s="509"/>
      <c r="B2028" s="510"/>
      <c r="C2028" s="510"/>
      <c r="D2028" s="510"/>
      <c r="E2028" s="510"/>
      <c r="F2028" s="510"/>
      <c r="G2028" s="510"/>
      <c r="H2028" s="510"/>
      <c r="I2028" s="510"/>
      <c r="J2028" s="510"/>
    </row>
    <row r="2029" spans="1:10" ht="38.25">
      <c r="A2029" s="112" t="str">
        <f>'[3]Planilha Orçamentária'!A516</f>
        <v>1.9.6.2</v>
      </c>
      <c r="B2029" s="146">
        <f>VLOOKUP(A2029,'[3]Planilha Orçamentária'!A:K,2,0)</f>
        <v>94974</v>
      </c>
      <c r="C2029" s="147" t="str">
        <f>VLOOKUP(A2029,'[3]Planilha Orçamentária'!A:K,3,0)</f>
        <v>CONCRETO MAGRO PARA LASTRO, TRAÇO 1:4,5:4,5 (EM MASSA SECA DE CIMENTO/ AREIA MÉDIA/ BRITA 1) - PREPARO MANUAL. AF_05/2021</v>
      </c>
      <c r="D2029" s="148" t="str">
        <f>VLOOKUP(A2029,'[3]Planilha Orçamentária'!A:K,4,0)</f>
        <v>M3</v>
      </c>
      <c r="E2029" s="149"/>
      <c r="F2029" s="150"/>
      <c r="G2029" s="150"/>
      <c r="H2029" s="150"/>
      <c r="I2029" s="150"/>
      <c r="J2029" s="151">
        <f>ROUND(SUM(J2030:J2032),2)</f>
        <v>6.38</v>
      </c>
    </row>
    <row r="2030" spans="1:10">
      <c r="A2030" s="152"/>
      <c r="B2030" s="153"/>
      <c r="C2030" s="154" t="s">
        <v>1936</v>
      </c>
      <c r="D2030" s="31"/>
      <c r="E2030" s="155"/>
      <c r="F2030" s="156" t="s">
        <v>1606</v>
      </c>
      <c r="G2030" s="156" t="s">
        <v>1607</v>
      </c>
      <c r="H2030" s="156" t="s">
        <v>1663</v>
      </c>
      <c r="I2030" s="155"/>
      <c r="J2030" s="157"/>
    </row>
    <row r="2031" spans="1:10" ht="14.25">
      <c r="A2031" s="152"/>
      <c r="B2031" s="153"/>
      <c r="C2031" s="163" t="s">
        <v>1665</v>
      </c>
      <c r="D2031" s="164"/>
      <c r="E2031" s="164"/>
      <c r="F2031" s="156">
        <f>F2027</f>
        <v>319.16000000000003</v>
      </c>
      <c r="G2031" s="156">
        <v>0.4</v>
      </c>
      <c r="H2031" s="156">
        <v>0.05</v>
      </c>
      <c r="I2031" s="160"/>
      <c r="J2031" s="58">
        <f>ROUND(PRODUCT(E2031:I2031),2)</f>
        <v>6.38</v>
      </c>
    </row>
    <row r="2032" spans="1:10">
      <c r="A2032" s="509"/>
      <c r="B2032" s="510"/>
      <c r="C2032" s="510"/>
      <c r="D2032" s="510"/>
      <c r="E2032" s="510"/>
      <c r="F2032" s="510"/>
      <c r="G2032" s="510"/>
      <c r="H2032" s="510"/>
      <c r="I2032" s="510"/>
      <c r="J2032" s="510"/>
    </row>
    <row r="2033" spans="1:10" ht="38.25">
      <c r="A2033" s="112" t="str">
        <f>'[3]Planilha Orçamentária'!A517</f>
        <v>1.9.6.3</v>
      </c>
      <c r="B2033" s="146">
        <f>VLOOKUP(A2033,'[3]Planilha Orçamentária'!A:K,2,0)</f>
        <v>94971</v>
      </c>
      <c r="C2033" s="147" t="str">
        <f>VLOOKUP(A2033,'[3]Planilha Orçamentária'!A:K,3,0)</f>
        <v>CONCRETO FCK = 25MPA, TRAÇO 1:2,3:2,7 (EM MASSA SECA DE CIMENTO/ AREIA MÉDIA/ BRITA 1) - PREPARO MECÂNICO COM BETONEIRA 600 L. AF_05/2021</v>
      </c>
      <c r="D2033" s="148" t="str">
        <f>VLOOKUP(A2033,'[3]Planilha Orçamentária'!A:K,4,0)</f>
        <v>M3</v>
      </c>
      <c r="E2033" s="149"/>
      <c r="F2033" s="150"/>
      <c r="G2033" s="150"/>
      <c r="H2033" s="150"/>
      <c r="I2033" s="150"/>
      <c r="J2033" s="151">
        <f>ROUND(SUM(J2034:J2037),2)</f>
        <v>16.350000000000001</v>
      </c>
    </row>
    <row r="2034" spans="1:10">
      <c r="A2034" s="152"/>
      <c r="B2034" s="153"/>
      <c r="C2034" s="154" t="s">
        <v>1936</v>
      </c>
      <c r="D2034" s="31"/>
      <c r="E2034" s="155"/>
      <c r="F2034" s="156" t="s">
        <v>1606</v>
      </c>
      <c r="G2034" s="156" t="s">
        <v>1607</v>
      </c>
      <c r="H2034" s="156" t="s">
        <v>1663</v>
      </c>
      <c r="I2034" s="155"/>
      <c r="J2034" s="157"/>
    </row>
    <row r="2035" spans="1:10" ht="28.5">
      <c r="A2035" s="152"/>
      <c r="B2035" s="153"/>
      <c r="C2035" s="126" t="s">
        <v>1666</v>
      </c>
      <c r="D2035" s="164"/>
      <c r="E2035" s="164"/>
      <c r="F2035" s="156">
        <f>F2027</f>
        <v>319.16000000000003</v>
      </c>
      <c r="G2035" s="156">
        <v>0.4</v>
      </c>
      <c r="H2035" s="156">
        <f>0.16-0.08</f>
        <v>0.08</v>
      </c>
      <c r="I2035" s="160"/>
      <c r="J2035" s="58">
        <f>ROUND(PRODUCT(E2035:I2035),2)</f>
        <v>10.210000000000001</v>
      </c>
    </row>
    <row r="2036" spans="1:10">
      <c r="A2036" s="161"/>
      <c r="B2036" s="296"/>
      <c r="C2036" s="73" t="s">
        <v>1850</v>
      </c>
      <c r="D2036" s="31"/>
      <c r="E2036" s="30"/>
      <c r="F2036" s="295">
        <f>1.4+0.1+0.1</f>
        <v>1.6</v>
      </c>
      <c r="G2036" s="295">
        <f>1.4+0.1+0.1</f>
        <v>1.6</v>
      </c>
      <c r="H2036" s="295">
        <v>0.2</v>
      </c>
      <c r="I2036" s="295">
        <f>I2055</f>
        <v>12</v>
      </c>
      <c r="J2036" s="58">
        <f>ROUND(PRODUCT(E2036:I2036),2)</f>
        <v>6.14</v>
      </c>
    </row>
    <row r="2037" spans="1:10">
      <c r="A2037" s="509"/>
      <c r="B2037" s="510"/>
      <c r="C2037" s="510"/>
      <c r="D2037" s="510"/>
      <c r="E2037" s="510"/>
      <c r="F2037" s="510"/>
      <c r="G2037" s="510"/>
      <c r="H2037" s="510"/>
      <c r="I2037" s="510"/>
      <c r="J2037" s="510"/>
    </row>
    <row r="2038" spans="1:10" ht="25.5">
      <c r="A2038" s="112" t="str">
        <f>'[3]Planilha Orçamentária'!A518</f>
        <v>1.9.6.4</v>
      </c>
      <c r="B2038" s="146" t="str">
        <f>VLOOKUP(A2038,'[3]Planilha Orçamentária'!A:K,2,0)</f>
        <v>CP-74157/004-48264518</v>
      </c>
      <c r="C2038" s="147" t="str">
        <f>VLOOKUP(A2038,'[3]Planilha Orçamentária'!A:K,3,0)</f>
        <v>LANCAMENTO/APLICACAO MANUAL DE CONCRETO EM FUNDACOES (concreto magro)</v>
      </c>
      <c r="D2038" s="148" t="str">
        <f>VLOOKUP(A2038,'[3]Planilha Orçamentária'!A:K,4,0)</f>
        <v>M3</v>
      </c>
      <c r="E2038" s="149"/>
      <c r="F2038" s="150"/>
      <c r="G2038" s="150"/>
      <c r="H2038" s="150"/>
      <c r="I2038" s="150"/>
      <c r="J2038" s="151">
        <f>ROUND(SUM(J2039:J2041),2)</f>
        <v>22.73</v>
      </c>
    </row>
    <row r="2039" spans="1:10">
      <c r="A2039" s="152"/>
      <c r="B2039" s="153"/>
      <c r="C2039" s="154" t="s">
        <v>1936</v>
      </c>
      <c r="D2039" s="31"/>
      <c r="E2039" s="155"/>
      <c r="F2039" s="156"/>
      <c r="G2039" s="156"/>
      <c r="H2039" s="156"/>
      <c r="I2039" s="155"/>
      <c r="J2039" s="157"/>
    </row>
    <row r="2040" spans="1:10">
      <c r="A2040" s="152"/>
      <c r="B2040" s="153"/>
      <c r="C2040" s="165" t="s">
        <v>1937</v>
      </c>
      <c r="D2040" s="164"/>
      <c r="E2040" s="164"/>
      <c r="F2040" s="156"/>
      <c r="G2040" s="156"/>
      <c r="H2040" s="156"/>
      <c r="I2040" s="160">
        <f>J2033+J2029</f>
        <v>22.73</v>
      </c>
      <c r="J2040" s="58">
        <f>ROUND(PRODUCT(E2040:I2040),2)</f>
        <v>22.73</v>
      </c>
    </row>
    <row r="2041" spans="1:10">
      <c r="A2041" s="509"/>
      <c r="B2041" s="510"/>
      <c r="C2041" s="510"/>
      <c r="D2041" s="510"/>
      <c r="E2041" s="510"/>
      <c r="F2041" s="510"/>
      <c r="G2041" s="510"/>
      <c r="H2041" s="510"/>
      <c r="I2041" s="510"/>
      <c r="J2041" s="510"/>
    </row>
    <row r="2042" spans="1:10" ht="38.25">
      <c r="A2042" s="112" t="str">
        <f>'[3]Planilha Orçamentária'!A519</f>
        <v>1.9.6.5</v>
      </c>
      <c r="B2042" s="146" t="str">
        <f>VLOOKUP(A2042,'[3]Planilha Orçamentária'!A:K,2,0)</f>
        <v>CP-S03639-45770834</v>
      </c>
      <c r="C2042" s="147" t="str">
        <f>VLOOKUP(A2042,'[3]Planilha Orçamentária'!A:K,3,0)</f>
        <v>Fornecimento e instalação de tela aço soldada nervurada CA-60, Q-283, malha 10x10cm, ferro 6.02mm (4,48 kg/m2), painel 2,45x6,0m, Telcon ou similar</v>
      </c>
      <c r="D2042" s="148" t="str">
        <f>VLOOKUP(A2042,'[3]Planilha Orçamentária'!A:K,4,0)</f>
        <v>M2</v>
      </c>
      <c r="E2042" s="149"/>
      <c r="F2042" s="150"/>
      <c r="G2042" s="150"/>
      <c r="H2042" s="150"/>
      <c r="I2042" s="150"/>
      <c r="J2042" s="151">
        <f>ROUND(SUM(J2043:J2045),2)</f>
        <v>127.66</v>
      </c>
    </row>
    <row r="2043" spans="1:10">
      <c r="A2043" s="152"/>
      <c r="B2043" s="153"/>
      <c r="C2043" s="154" t="s">
        <v>1936</v>
      </c>
      <c r="D2043" s="31"/>
      <c r="E2043" s="155"/>
      <c r="F2043" s="156" t="s">
        <v>1606</v>
      </c>
      <c r="G2043" s="156" t="s">
        <v>1607</v>
      </c>
      <c r="H2043" s="156"/>
      <c r="I2043" s="155"/>
      <c r="J2043" s="157"/>
    </row>
    <row r="2044" spans="1:10" ht="14.25">
      <c r="A2044" s="152"/>
      <c r="B2044" s="153"/>
      <c r="C2044" s="126" t="s">
        <v>1668</v>
      </c>
      <c r="D2044" s="96"/>
      <c r="E2044" s="82"/>
      <c r="F2044" s="156">
        <f>F2027</f>
        <v>319.16000000000003</v>
      </c>
      <c r="G2044" s="156">
        <v>0.4</v>
      </c>
      <c r="H2044" s="156"/>
      <c r="I2044" s="160"/>
      <c r="J2044" s="58">
        <f>ROUND(PRODUCT(E2044:I2044),2)</f>
        <v>127.66</v>
      </c>
    </row>
    <row r="2045" spans="1:10" ht="12" customHeight="1">
      <c r="A2045" s="509"/>
      <c r="B2045" s="510"/>
      <c r="C2045" s="510"/>
      <c r="D2045" s="510"/>
      <c r="E2045" s="510"/>
      <c r="F2045" s="510"/>
      <c r="G2045" s="510"/>
      <c r="H2045" s="510"/>
      <c r="I2045" s="510"/>
      <c r="J2045" s="510"/>
    </row>
    <row r="2046" spans="1:10" ht="63.75">
      <c r="A2046" s="28" t="str">
        <f>'[3]Planilha Orçamentária'!A520</f>
        <v>1.9.6.6</v>
      </c>
      <c r="B2046" s="29">
        <f>VLOOKUP(A2046,'[3]Planilha Orçamentária'!A:K,2,0)</f>
        <v>90105</v>
      </c>
      <c r="C2046" s="166" t="str">
        <f>VLOOKUP(A2046,'[3]Planilha Orçamentária'!A:K,3,0)</f>
        <v>ESCAVAÇÃO MECANIZADA DE VALA COM PROFUNDIDADE ATÉ 1,5 M (MÉDIA MONTANTE E JUSANTE/UMA COMPOSIÇÃO POR TRECHO), RETROESCAV. (0,26 M3), LARGURA MENOR QUE 0,8 M, EM SOLO DE 1A CATEGORIA, LOCAIS COM BAIXO NÍVEL DE INTERFERÊNCIA. AF_02/2021</v>
      </c>
      <c r="D2046" s="31" t="str">
        <f>VLOOKUP(A2046,'[3]Planilha Orçamentária'!A:K,4,0)</f>
        <v>M3</v>
      </c>
      <c r="E2046" s="30"/>
      <c r="F2046" s="32"/>
      <c r="G2046" s="32"/>
      <c r="H2046" s="32"/>
      <c r="I2046" s="32"/>
      <c r="J2046" s="33">
        <f>ROUND(SUM(J2047:J2051),2)</f>
        <v>179.27</v>
      </c>
    </row>
    <row r="2047" spans="1:10" ht="12" customHeight="1">
      <c r="A2047" s="152"/>
      <c r="B2047" s="152"/>
      <c r="C2047" s="154" t="s">
        <v>1936</v>
      </c>
      <c r="D2047" s="152"/>
      <c r="E2047" s="152"/>
      <c r="F2047" s="152"/>
      <c r="G2047" s="152"/>
      <c r="H2047" s="152"/>
      <c r="I2047" s="152"/>
      <c r="J2047" s="152"/>
    </row>
    <row r="2048" spans="1:10" ht="25.5">
      <c r="A2048" s="152"/>
      <c r="B2048" s="152"/>
      <c r="C2048" s="321" t="s">
        <v>1834</v>
      </c>
      <c r="D2048" s="322"/>
      <c r="E2048" s="160"/>
      <c r="F2048" s="88" t="s">
        <v>1606</v>
      </c>
      <c r="G2048" s="88" t="s">
        <v>1835</v>
      </c>
      <c r="H2048" s="88" t="s">
        <v>1836</v>
      </c>
      <c r="I2048" s="152"/>
      <c r="J2048" s="152"/>
    </row>
    <row r="2049" spans="1:11" ht="28.5">
      <c r="A2049" s="152"/>
      <c r="B2049" s="152"/>
      <c r="C2049" s="281" t="s">
        <v>1838</v>
      </c>
      <c r="D2049" s="96"/>
      <c r="E2049" s="82"/>
      <c r="F2049" s="156">
        <v>291.5</v>
      </c>
      <c r="G2049" s="156">
        <f>0.45+0.3</f>
        <v>0.75</v>
      </c>
      <c r="H2049" s="156">
        <f>1.1-0.28</f>
        <v>0.82000000000000006</v>
      </c>
      <c r="I2049" s="152"/>
      <c r="J2049" s="36">
        <f>ROUND(PRODUCT(E2049:I2049),2)</f>
        <v>179.27</v>
      </c>
    </row>
    <row r="2050" spans="1:11" ht="25.5">
      <c r="A2050" s="340"/>
      <c r="B2050" s="340"/>
      <c r="C2050" s="169" t="s">
        <v>1938</v>
      </c>
      <c r="D2050" s="340"/>
      <c r="E2050" s="340"/>
      <c r="F2050" s="340"/>
      <c r="G2050" s="340"/>
      <c r="H2050" s="340"/>
      <c r="I2050" s="340"/>
      <c r="J2050" s="340"/>
      <c r="K2050" s="7">
        <f>(0.8+0.9+1+1.2+1.3+1.45)/6</f>
        <v>1.1083333333333334</v>
      </c>
    </row>
    <row r="2051" spans="1:11" ht="12" customHeight="1">
      <c r="A2051" s="172"/>
      <c r="B2051" s="173"/>
      <c r="C2051" s="173"/>
      <c r="D2051" s="173"/>
      <c r="E2051" s="173"/>
      <c r="F2051" s="173"/>
      <c r="G2051" s="173"/>
      <c r="H2051" s="173"/>
      <c r="I2051" s="173"/>
      <c r="J2051" s="173"/>
    </row>
    <row r="2052" spans="1:11" ht="63.75">
      <c r="A2052" s="112" t="str">
        <f>'[3]Planilha Orçamentária'!A521</f>
        <v>1.9.6.7</v>
      </c>
      <c r="B2052" s="146">
        <f>VLOOKUP(A2052,'[3]Planilha Orçamentária'!A:K,2,0)</f>
        <v>102295</v>
      </c>
      <c r="C2052" s="147" t="str">
        <f>VLOOKUP(A2052,'[3]Planilha Orçamentária'!A:K,3,0)</f>
        <v>ESCAVAÇÃO MECANIZADA DE VALA COM PROF. MAIOR QUE 1,5 M ATÉ 3,0 M (MÉDIA MONTANTE E JUSANTE/UMA COMPOSIÇÃO POR TRECHO),COM ESCAVADEIRA (1,2 M3), LARG. DE 1,5 M A 2,5 M, EM SOLO MOLE, LOCAIS COM BAIXO NÍVEL DE INTERFERÊNCIA. AF_02/2021</v>
      </c>
      <c r="D2052" s="148" t="str">
        <f>VLOOKUP(A2052,'[3]Planilha Orçamentária'!A:K,4,0)</f>
        <v>M3</v>
      </c>
      <c r="E2052" s="149"/>
      <c r="F2052" s="150"/>
      <c r="G2052" s="150"/>
      <c r="H2052" s="150"/>
      <c r="I2052" s="150"/>
      <c r="J2052" s="151">
        <f>ROUND(SUM(J2053:J2057),2)</f>
        <v>64.8</v>
      </c>
    </row>
    <row r="2053" spans="1:11">
      <c r="A2053" s="152"/>
      <c r="B2053" s="153"/>
      <c r="C2053" s="154" t="s">
        <v>1936</v>
      </c>
      <c r="D2053" s="31"/>
      <c r="E2053" s="155"/>
      <c r="F2053" s="156"/>
      <c r="G2053" s="156"/>
      <c r="H2053" s="156"/>
      <c r="I2053" s="155"/>
      <c r="J2053" s="157"/>
    </row>
    <row r="2054" spans="1:11">
      <c r="A2054" s="152"/>
      <c r="B2054" s="153"/>
      <c r="C2054" s="323" t="s">
        <v>1840</v>
      </c>
      <c r="D2054" s="191"/>
      <c r="E2054" s="156"/>
      <c r="F2054" s="80" t="s">
        <v>1606</v>
      </c>
      <c r="G2054" s="80" t="s">
        <v>1607</v>
      </c>
      <c r="H2054" s="80" t="s">
        <v>1836</v>
      </c>
      <c r="I2054" s="156" t="s">
        <v>1841</v>
      </c>
      <c r="J2054" s="285"/>
    </row>
    <row r="2055" spans="1:11" ht="38.25">
      <c r="A2055" s="152"/>
      <c r="B2055" s="153"/>
      <c r="C2055" s="288" t="s">
        <v>1842</v>
      </c>
      <c r="D2055" s="191"/>
      <c r="E2055" s="156"/>
      <c r="F2055" s="284">
        <f>1.4+0.6</f>
        <v>2</v>
      </c>
      <c r="G2055" s="284">
        <f>1.4+0.6</f>
        <v>2</v>
      </c>
      <c r="H2055" s="156">
        <f>1.63-0.28</f>
        <v>1.3499999999999999</v>
      </c>
      <c r="I2055" s="156">
        <v>12</v>
      </c>
      <c r="J2055" s="58">
        <f>ROUND(PRODUCT(E2055:I2055),2)</f>
        <v>64.8</v>
      </c>
    </row>
    <row r="2056" spans="1:11" ht="25.5">
      <c r="A2056" s="161"/>
      <c r="B2056" s="296"/>
      <c r="C2056" s="169" t="s">
        <v>1939</v>
      </c>
      <c r="D2056" s="341"/>
      <c r="E2056" s="320"/>
      <c r="F2056" s="342"/>
      <c r="G2056" s="342"/>
      <c r="H2056" s="320"/>
      <c r="I2056" s="320"/>
      <c r="J2056" s="212"/>
      <c r="K2056" s="7">
        <f>(0.8+0.85+0.98+1.15+1.2+1.5+1.6+1.7)/6</f>
        <v>1.63</v>
      </c>
    </row>
    <row r="2057" spans="1:11">
      <c r="A2057" s="509"/>
      <c r="B2057" s="510"/>
      <c r="C2057" s="510"/>
      <c r="D2057" s="510"/>
      <c r="E2057" s="510"/>
      <c r="F2057" s="510"/>
      <c r="G2057" s="510"/>
      <c r="H2057" s="510"/>
      <c r="I2057" s="510"/>
      <c r="J2057" s="510"/>
    </row>
    <row r="2058" spans="1:11" ht="63.75">
      <c r="A2058" s="112" t="str">
        <f>'[3]Planilha Orçamentária'!A522</f>
        <v>1.9.6.8</v>
      </c>
      <c r="B2058" s="146">
        <f>VLOOKUP(A2058,'[3]Planilha Orçamentária'!A:K,2,0)</f>
        <v>93378</v>
      </c>
      <c r="C2058" s="147" t="str">
        <f>VLOOKUP(A2058,'[3]Planilha Orçamentária'!A:K,3,0)</f>
        <v>REATERRO MECANIZADO DE VALA COM RETROESCAVADEIRA (CAPACIDADE DA CAÇAMBA DA RETRO: 0,26 M³ / POTÊNCIA: 88 HP), LARGURA ATÉ 0,8 M, PROFUNDIDADE ATÉ 1,5 M, COM SOLO DE 1ª CATEGORIA EM LOCAIS COM BAIXO NÍVEL DE INTERFERÊNCIA. AF_04/2016</v>
      </c>
      <c r="D2058" s="148" t="str">
        <f>VLOOKUP(A2058,'[3]Planilha Orçamentária'!A:K,4,0)</f>
        <v>M3</v>
      </c>
      <c r="E2058" s="149"/>
      <c r="F2058" s="150"/>
      <c r="G2058" s="150"/>
      <c r="H2058" s="150"/>
      <c r="I2058" s="150"/>
      <c r="J2058" s="151">
        <f>ROUND(SUM(J2059:J2062),2)</f>
        <v>132.91</v>
      </c>
    </row>
    <row r="2059" spans="1:11" ht="25.5">
      <c r="A2059" s="152"/>
      <c r="B2059" s="153"/>
      <c r="C2059" s="73" t="s">
        <v>1844</v>
      </c>
      <c r="D2059" s="96"/>
      <c r="E2059" s="164"/>
      <c r="F2059" s="298"/>
      <c r="G2059" s="164"/>
      <c r="H2059" s="164"/>
      <c r="I2059" s="156"/>
      <c r="J2059" s="157"/>
    </row>
    <row r="2060" spans="1:11">
      <c r="A2060" s="152"/>
      <c r="B2060" s="153"/>
      <c r="C2060" s="145" t="s">
        <v>1845</v>
      </c>
      <c r="D2060" s="96"/>
      <c r="E2060" s="164"/>
      <c r="F2060" s="298"/>
      <c r="G2060" s="324"/>
      <c r="H2060" s="324"/>
      <c r="I2060" s="156">
        <f>J2046</f>
        <v>179.27</v>
      </c>
      <c r="J2060" s="58">
        <f t="shared" ref="J2060:J2061" si="203">ROUND(PRODUCT(E2060:I2060),2)</f>
        <v>179.27</v>
      </c>
    </row>
    <row r="2061" spans="1:11" ht="25.5">
      <c r="A2061" s="152"/>
      <c r="B2061" s="153"/>
      <c r="C2061" s="145" t="s">
        <v>1846</v>
      </c>
      <c r="D2061" s="96"/>
      <c r="E2061" s="82">
        <v>-1</v>
      </c>
      <c r="F2061" s="82">
        <f>F2049</f>
        <v>291.5</v>
      </c>
      <c r="G2061" s="82"/>
      <c r="H2061" s="156"/>
      <c r="I2061" s="156">
        <f>PI()*(0.225^2)</f>
        <v>0.15904312808798329</v>
      </c>
      <c r="J2061" s="58">
        <f t="shared" si="203"/>
        <v>-46.36</v>
      </c>
    </row>
    <row r="2062" spans="1:11">
      <c r="A2062" s="509"/>
      <c r="B2062" s="510"/>
      <c r="C2062" s="510"/>
      <c r="D2062" s="510"/>
      <c r="E2062" s="510"/>
      <c r="F2062" s="510"/>
      <c r="G2062" s="510"/>
      <c r="H2062" s="510"/>
      <c r="I2062" s="510"/>
      <c r="J2062" s="510"/>
    </row>
    <row r="2063" spans="1:11" ht="76.5">
      <c r="A2063" s="112" t="str">
        <f>'[3]Planilha Orçamentária'!A523</f>
        <v>1.9.6.9</v>
      </c>
      <c r="B2063" s="146">
        <f>VLOOKUP(A2063,'[3]Planilha Orçamentária'!A:K,2,0)</f>
        <v>93369</v>
      </c>
      <c r="C2063" s="147" t="str">
        <f>VLOOKUP(A2063,'[3]Planilha Orçamentária'!A:K,3,0)</f>
        <v>REATERRO MECANIZADO DE VALA COM ESCAVADEIRA HIDRÁULICA (CAPACIDADE DA CAÇAMBA: 0,8 M³ / POTÊNCIA: 111 HP), LARGURA DE 1,5 A 2,5 M, PROFUNDIDADE DE 1,5 A 3,0 M, COM SOLO (SEM SUBSTITUIÇÃO) DE 1ª CATEGORIA EM LOCAIS COM BAIXO NÍVEL DE INTERFERÊNCIA. AF_04/2016</v>
      </c>
      <c r="D2063" s="148" t="str">
        <f>VLOOKUP(A2063,'[3]Planilha Orçamentária'!A:K,4,0)</f>
        <v>M3</v>
      </c>
      <c r="E2063" s="149"/>
      <c r="F2063" s="150"/>
      <c r="G2063" s="150"/>
      <c r="H2063" s="150"/>
      <c r="I2063" s="150"/>
      <c r="J2063" s="151">
        <f>ROUND(SUM(J2064:J2067),2)</f>
        <v>33.049999999999997</v>
      </c>
    </row>
    <row r="2064" spans="1:11">
      <c r="A2064" s="152"/>
      <c r="B2064" s="153"/>
      <c r="C2064" s="194" t="s">
        <v>1940</v>
      </c>
      <c r="D2064" s="96"/>
      <c r="E2064" s="82"/>
      <c r="F2064" s="82"/>
      <c r="G2064" s="82"/>
      <c r="H2064" s="156"/>
      <c r="I2064" s="156"/>
      <c r="J2064" s="157"/>
    </row>
    <row r="2065" spans="1:10">
      <c r="A2065" s="152"/>
      <c r="B2065" s="153"/>
      <c r="C2065" s="198" t="s">
        <v>1748</v>
      </c>
      <c r="D2065" s="96"/>
      <c r="E2065" s="82"/>
      <c r="F2065" s="82"/>
      <c r="G2065" s="82"/>
      <c r="H2065" s="156"/>
      <c r="I2065" s="156">
        <f>J2052</f>
        <v>64.8</v>
      </c>
      <c r="J2065" s="58">
        <f>ROUND(PRODUCT(E2065:I2065),2)</f>
        <v>64.8</v>
      </c>
    </row>
    <row r="2066" spans="1:10" ht="25.5">
      <c r="A2066" s="152"/>
      <c r="B2066" s="153"/>
      <c r="C2066" s="288" t="s">
        <v>1848</v>
      </c>
      <c r="D2066" s="96"/>
      <c r="E2066" s="82">
        <v>-1</v>
      </c>
      <c r="F2066" s="82">
        <v>1.4</v>
      </c>
      <c r="G2066" s="82">
        <v>1.4</v>
      </c>
      <c r="H2066" s="156">
        <f>H2055</f>
        <v>1.3499999999999999</v>
      </c>
      <c r="I2066" s="156">
        <f>I2055</f>
        <v>12</v>
      </c>
      <c r="J2066" s="58">
        <f>ROUND(PRODUCT(E2066:I2066),2)</f>
        <v>-31.75</v>
      </c>
    </row>
    <row r="2067" spans="1:10">
      <c r="A2067" s="509"/>
      <c r="B2067" s="510"/>
      <c r="C2067" s="510"/>
      <c r="D2067" s="510"/>
      <c r="E2067" s="510"/>
      <c r="F2067" s="510"/>
      <c r="G2067" s="510"/>
      <c r="H2067" s="510"/>
      <c r="I2067" s="510"/>
      <c r="J2067" s="510"/>
    </row>
    <row r="2068" spans="1:10" ht="51">
      <c r="A2068" s="112" t="str">
        <f>'[3]Planilha Orçamentária'!A524</f>
        <v>1.9.6.10</v>
      </c>
      <c r="B2068" s="146" t="str">
        <f>VLOOKUP(A2068,'[3]Planilha Orçamentária'!A:K,2,0)</f>
        <v>COMP-35145154</v>
      </c>
      <c r="C2068" s="147" t="str">
        <f>VLOOKUP(A2068,'[3]Planilha Orçamentária'!A:K,3,0)</f>
        <v>CARGA E DESCARGA MECANICA DE SOLO UTILIZANDO CAMINHAO BASCULANTE 14,0M3/36T E PA CARREGADEIRA SOBRE PNEUS 128 HP, CAPACIDADE DA CAÇAMBA 1,7 A 2,8 M3, PESO OPERACIONAL 11632 KH</v>
      </c>
      <c r="D2068" s="148" t="str">
        <f>VLOOKUP(A2068,'[3]Planilha Orçamentária'!A:K,4,0)</f>
        <v>M3</v>
      </c>
      <c r="E2068" s="149"/>
      <c r="F2068" s="150"/>
      <c r="G2068" s="150"/>
      <c r="H2068" s="150"/>
      <c r="I2068" s="150"/>
      <c r="J2068" s="151">
        <f>ROUND(SUM(J2069:J2071),2)</f>
        <v>97.64</v>
      </c>
    </row>
    <row r="2069" spans="1:10" ht="25.5">
      <c r="A2069" s="152"/>
      <c r="B2069" s="153"/>
      <c r="C2069" s="154"/>
      <c r="D2069" s="31"/>
      <c r="E2069" s="79" t="s">
        <v>1622</v>
      </c>
      <c r="F2069" s="80"/>
      <c r="G2069" s="80"/>
      <c r="H2069" s="80"/>
      <c r="I2069" s="80" t="s">
        <v>1750</v>
      </c>
      <c r="J2069" s="157"/>
    </row>
    <row r="2070" spans="1:10" ht="14.25">
      <c r="A2070" s="152"/>
      <c r="B2070" s="153"/>
      <c r="C2070" s="291" t="s">
        <v>1751</v>
      </c>
      <c r="D2070" s="96"/>
      <c r="E2070" s="82">
        <v>1.25</v>
      </c>
      <c r="F2070" s="156"/>
      <c r="G2070" s="156"/>
      <c r="H2070" s="156"/>
      <c r="I2070" s="160">
        <f>(J2046+J2052)-(J2058+J2063)</f>
        <v>78.110000000000014</v>
      </c>
      <c r="J2070" s="58">
        <f>ROUND(PRODUCT(E2070:I2070),2)</f>
        <v>97.64</v>
      </c>
    </row>
    <row r="2071" spans="1:10">
      <c r="A2071" s="509"/>
      <c r="B2071" s="510"/>
      <c r="C2071" s="510"/>
      <c r="D2071" s="510"/>
      <c r="E2071" s="510"/>
      <c r="F2071" s="510"/>
      <c r="G2071" s="510"/>
      <c r="H2071" s="510"/>
      <c r="I2071" s="510"/>
      <c r="J2071" s="510"/>
    </row>
    <row r="2072" spans="1:10" ht="38.25">
      <c r="A2072" s="112" t="str">
        <f>'[3]Planilha Orçamentária'!A525</f>
        <v>1.9.6.11</v>
      </c>
      <c r="B2072" s="146">
        <f>VLOOKUP(A2072,'[3]Planilha Orçamentária'!A:K,2,0)</f>
        <v>95876</v>
      </c>
      <c r="C2072" s="147" t="str">
        <f>VLOOKUP(A2072,'[3]Planilha Orçamentária'!A:K,3,0)</f>
        <v>TRANSPORTE COM CAMINHÃO BASCULANTE DE 14 M³, EM VIA URBANA PAVIMENTADA, DMT ATÉ 30 KM (UNIDADE: M3XKM). AF_07/2020</v>
      </c>
      <c r="D2072" s="148" t="str">
        <f>VLOOKUP(A2072,'[3]Planilha Orçamentária'!A:K,4,0)</f>
        <v>M3XKM</v>
      </c>
      <c r="E2072" s="149"/>
      <c r="F2072" s="150"/>
      <c r="G2072" s="150"/>
      <c r="H2072" s="150"/>
      <c r="I2072" s="150"/>
      <c r="J2072" s="151">
        <f>ROUND(SUM(J2073:J2075),2)</f>
        <v>1493.89</v>
      </c>
    </row>
    <row r="2073" spans="1:10">
      <c r="A2073" s="152"/>
      <c r="B2073" s="153"/>
      <c r="C2073" s="30"/>
      <c r="D2073" s="31"/>
      <c r="E2073" s="86" t="s">
        <v>1627</v>
      </c>
      <c r="F2073" s="32"/>
      <c r="G2073" s="32"/>
      <c r="H2073" s="32"/>
      <c r="I2073" s="34" t="s">
        <v>1795</v>
      </c>
      <c r="J2073" s="157"/>
    </row>
    <row r="2074" spans="1:10">
      <c r="A2074" s="152"/>
      <c r="B2074" s="153"/>
      <c r="C2074" s="73" t="s">
        <v>1941</v>
      </c>
      <c r="D2074" s="191"/>
      <c r="E2074" s="192">
        <v>15.3</v>
      </c>
      <c r="F2074" s="35"/>
      <c r="G2074" s="82"/>
      <c r="H2074" s="82"/>
      <c r="I2074" s="82">
        <f>J2068</f>
        <v>97.64</v>
      </c>
      <c r="J2074" s="58">
        <f>ROUND(PRODUCT(E2074:I2074),2)</f>
        <v>1493.89</v>
      </c>
    </row>
    <row r="2075" spans="1:10">
      <c r="A2075" s="509"/>
      <c r="B2075" s="510"/>
      <c r="C2075" s="510"/>
      <c r="D2075" s="510"/>
      <c r="E2075" s="510"/>
      <c r="F2075" s="510"/>
      <c r="G2075" s="510"/>
      <c r="H2075" s="510"/>
      <c r="I2075" s="510"/>
      <c r="J2075" s="510"/>
    </row>
    <row r="2076" spans="1:10" ht="51">
      <c r="A2076" s="112" t="str">
        <f>'[3]Planilha Orçamentária'!A526</f>
        <v>1.9.6.12</v>
      </c>
      <c r="B2076" s="146">
        <f>VLOOKUP(A2076,'[3]Planilha Orçamentária'!A:K,2,0)</f>
        <v>97994</v>
      </c>
      <c r="C2076" s="147" t="str">
        <f>VLOOKUP(A2076,'[3]Planilha Orçamentária'!A:K,3,0)</f>
        <v>BASE PARA POÇO DE VISITA RETANGULAR PARA  ESGOTO, EM ALVENARIA COM BLOCOS DE CONCRETO, DIMENSÕES INTERNAS = 1X1 M, PROFUNDIDADE = 1,40 M, EXCLUINDO TAMPÃO. AF_12/2020</v>
      </c>
      <c r="D2076" s="148" t="str">
        <f>VLOOKUP(A2076,'[3]Planilha Orçamentária'!A:K,4,0)</f>
        <v>UN</v>
      </c>
      <c r="E2076" s="149"/>
      <c r="F2076" s="150"/>
      <c r="G2076" s="150"/>
      <c r="H2076" s="150"/>
      <c r="I2076" s="150"/>
      <c r="J2076" s="151">
        <f>ROUND(SUM(J2077:J2079),2)</f>
        <v>12</v>
      </c>
    </row>
    <row r="2077" spans="1:10">
      <c r="A2077" s="152"/>
      <c r="B2077" s="153"/>
      <c r="C2077" s="154" t="s">
        <v>1936</v>
      </c>
      <c r="D2077" s="31"/>
      <c r="E2077" s="155"/>
      <c r="F2077" s="156"/>
      <c r="G2077" s="156"/>
      <c r="H2077" s="156"/>
      <c r="I2077" s="155" t="s">
        <v>1660</v>
      </c>
      <c r="J2077" s="157"/>
    </row>
    <row r="2078" spans="1:10">
      <c r="A2078" s="152"/>
      <c r="B2078" s="153"/>
      <c r="C2078" s="145" t="s">
        <v>1851</v>
      </c>
      <c r="D2078" s="96"/>
      <c r="E2078" s="82"/>
      <c r="F2078" s="156"/>
      <c r="G2078" s="156"/>
      <c r="H2078" s="156"/>
      <c r="I2078" s="160">
        <f>I2066</f>
        <v>12</v>
      </c>
      <c r="J2078" s="58">
        <f>ROUND(PRODUCT(E2078:I2078),2)</f>
        <v>12</v>
      </c>
    </row>
    <row r="2079" spans="1:10">
      <c r="A2079" s="509"/>
      <c r="B2079" s="510"/>
      <c r="C2079" s="510"/>
      <c r="D2079" s="510"/>
      <c r="E2079" s="510"/>
      <c r="F2079" s="510"/>
      <c r="G2079" s="510"/>
      <c r="H2079" s="510"/>
      <c r="I2079" s="510"/>
      <c r="J2079" s="510"/>
    </row>
    <row r="2080" spans="1:10" ht="38.25">
      <c r="A2080" s="112" t="str">
        <f>'[3]Planilha Orçamentária'!A527</f>
        <v>1.9.6.13</v>
      </c>
      <c r="B2080" s="146">
        <f>VLOOKUP(A2080,'[3]Planilha Orçamentária'!A:K,2,0)</f>
        <v>99254</v>
      </c>
      <c r="C2080" s="147" t="str">
        <f>VLOOKUP(A2080,'[3]Planilha Orçamentária'!A:K,3,0)</f>
        <v>ACRÉSCIMO PARA POÇO DE VISITA RETANGULAR PARA DRENAGEM, EM ALVENARIA COM BLOCOS DE CONCRETO, DIMENSÕES INTERNAS = 1X1 M. AF_12/2020</v>
      </c>
      <c r="D2080" s="148" t="str">
        <f>VLOOKUP(A2080,'[3]Planilha Orçamentária'!A:K,4,0)</f>
        <v>M</v>
      </c>
      <c r="E2080" s="149"/>
      <c r="F2080" s="150"/>
      <c r="G2080" s="150"/>
      <c r="H2080" s="150"/>
      <c r="I2080" s="150"/>
      <c r="J2080" s="151">
        <f>ROUND(SUM(J2081:J2083),2)</f>
        <v>12</v>
      </c>
    </row>
    <row r="2081" spans="1:10">
      <c r="A2081" s="152"/>
      <c r="B2081" s="153"/>
      <c r="C2081" s="154" t="s">
        <v>1936</v>
      </c>
      <c r="D2081" s="31"/>
      <c r="E2081" s="155"/>
      <c r="F2081" s="156"/>
      <c r="G2081" s="156"/>
      <c r="H2081" s="156"/>
      <c r="I2081" s="155" t="s">
        <v>1660</v>
      </c>
      <c r="J2081" s="157"/>
    </row>
    <row r="2082" spans="1:10">
      <c r="A2082" s="152"/>
      <c r="B2082" s="153"/>
      <c r="C2082" s="145" t="s">
        <v>1851</v>
      </c>
      <c r="D2082" s="96"/>
      <c r="E2082" s="82"/>
      <c r="F2082" s="156"/>
      <c r="G2082" s="156"/>
      <c r="H2082" s="156"/>
      <c r="I2082" s="160">
        <f>I2078</f>
        <v>12</v>
      </c>
      <c r="J2082" s="58">
        <f>ROUND(PRODUCT(E2082:I2082),2)</f>
        <v>12</v>
      </c>
    </row>
    <row r="2083" spans="1:10">
      <c r="A2083" s="509"/>
      <c r="B2083" s="510"/>
      <c r="C2083" s="510"/>
      <c r="D2083" s="510"/>
      <c r="E2083" s="510"/>
      <c r="F2083" s="510"/>
      <c r="G2083" s="510"/>
      <c r="H2083" s="510"/>
      <c r="I2083" s="510"/>
      <c r="J2083" s="510"/>
    </row>
    <row r="2084" spans="1:10" ht="38.25">
      <c r="A2084" s="112" t="str">
        <f>'[3]Planilha Orçamentária'!A528</f>
        <v>1.9.6.14</v>
      </c>
      <c r="B2084" s="146">
        <f>VLOOKUP(A2084,'[3]Planilha Orçamentária'!A:K,2,0)</f>
        <v>92522</v>
      </c>
      <c r="C2084" s="147" t="str">
        <f>VLOOKUP(A2084,'[3]Planilha Orçamentária'!A:K,3,0)</f>
        <v>MONTAGEM E DESMONTAGEM DE FÔRMA DE LAJE MACIÇA, PÉ-DIREITO SIMPLES, EM CHAPA DE MADEIRA COMPENSADA RESINADA, 8 UTILIZAÇÕES. AF_09/2020</v>
      </c>
      <c r="D2084" s="148" t="str">
        <f>VLOOKUP(A2084,'[3]Planilha Orçamentária'!A:K,4,0)</f>
        <v>M2</v>
      </c>
      <c r="E2084" s="149"/>
      <c r="F2084" s="150"/>
      <c r="G2084" s="150"/>
      <c r="H2084" s="150"/>
      <c r="I2084" s="150"/>
      <c r="J2084" s="151">
        <f>ROUND(SUM(J2085:J2087),2)</f>
        <v>15.12</v>
      </c>
    </row>
    <row r="2085" spans="1:10" ht="25.5">
      <c r="A2085" s="152"/>
      <c r="B2085" s="153"/>
      <c r="C2085" s="154" t="s">
        <v>1936</v>
      </c>
      <c r="D2085" s="31"/>
      <c r="E2085" s="155" t="s">
        <v>1829</v>
      </c>
      <c r="F2085" s="94" t="s">
        <v>1852</v>
      </c>
      <c r="G2085" s="94"/>
      <c r="H2085" s="94" t="s">
        <v>1663</v>
      </c>
      <c r="I2085" s="94" t="s">
        <v>1660</v>
      </c>
      <c r="J2085" s="157"/>
    </row>
    <row r="2086" spans="1:10">
      <c r="A2086" s="152"/>
      <c r="B2086" s="153"/>
      <c r="C2086" s="73" t="s">
        <v>1853</v>
      </c>
      <c r="D2086" s="96"/>
      <c r="E2086" s="82">
        <v>2</v>
      </c>
      <c r="F2086" s="156">
        <f>(0.7*2)+(1.4*2)</f>
        <v>4.1999999999999993</v>
      </c>
      <c r="G2086" s="156"/>
      <c r="H2086" s="94">
        <v>0.15</v>
      </c>
      <c r="I2086" s="196">
        <f>I2078</f>
        <v>12</v>
      </c>
      <c r="J2086" s="58">
        <f>ROUND(PRODUCT(E2086:I2086),2)</f>
        <v>15.12</v>
      </c>
    </row>
    <row r="2087" spans="1:10">
      <c r="A2087" s="509"/>
      <c r="B2087" s="510"/>
      <c r="C2087" s="510"/>
      <c r="D2087" s="510"/>
      <c r="E2087" s="510"/>
      <c r="F2087" s="510"/>
      <c r="G2087" s="510"/>
      <c r="H2087" s="510"/>
      <c r="I2087" s="510"/>
      <c r="J2087" s="510"/>
    </row>
    <row r="2088" spans="1:10" ht="38.25">
      <c r="A2088" s="112" t="str">
        <f>'[3]Planilha Orçamentária'!A529</f>
        <v>1.9.6.15</v>
      </c>
      <c r="B2088" s="146">
        <f>VLOOKUP(A2088,'[3]Planilha Orçamentária'!A:K,2,0)</f>
        <v>92771</v>
      </c>
      <c r="C2088" s="147" t="str">
        <f>VLOOKUP(A2088,'[3]Planilha Orçamentária'!A:K,3,0)</f>
        <v>ARMAÇÃO DE LAJE DE ESTRUTURA CONVENCIONAL DE CONCRETO ARMADO UTILIZANDO AÇO CA-50 DE 10,0 MM - MONTAGEM. AF_06/2022</v>
      </c>
      <c r="D2088" s="148" t="str">
        <f>VLOOKUP(A2088,'[3]Planilha Orçamentária'!A:K,4,0)</f>
        <v>KG</v>
      </c>
      <c r="E2088" s="149"/>
      <c r="F2088" s="150"/>
      <c r="G2088" s="150"/>
      <c r="H2088" s="150"/>
      <c r="I2088" s="150"/>
      <c r="J2088" s="151">
        <f>ROUND(SUM(J2089:J2091),2)</f>
        <v>646.32000000000005</v>
      </c>
    </row>
    <row r="2089" spans="1:10" ht="25.5">
      <c r="A2089" s="152"/>
      <c r="B2089" s="153"/>
      <c r="C2089" s="154" t="s">
        <v>1942</v>
      </c>
      <c r="D2089" s="31"/>
      <c r="E2089" s="155" t="s">
        <v>1829</v>
      </c>
      <c r="F2089" s="156"/>
      <c r="G2089" s="156"/>
      <c r="H2089" s="94" t="s">
        <v>1854</v>
      </c>
      <c r="I2089" s="94" t="s">
        <v>1660</v>
      </c>
      <c r="J2089" s="157"/>
    </row>
    <row r="2090" spans="1:10">
      <c r="A2090" s="152"/>
      <c r="B2090" s="153"/>
      <c r="C2090" s="73" t="s">
        <v>1855</v>
      </c>
      <c r="D2090" s="96"/>
      <c r="E2090" s="82">
        <v>2</v>
      </c>
      <c r="F2090" s="156"/>
      <c r="G2090" s="156"/>
      <c r="H2090" s="94">
        <v>26.93</v>
      </c>
      <c r="I2090" s="196">
        <f>I2086</f>
        <v>12</v>
      </c>
      <c r="J2090" s="58">
        <f>ROUND(PRODUCT(E2090:I2090),2)</f>
        <v>646.32000000000005</v>
      </c>
    </row>
    <row r="2091" spans="1:10">
      <c r="A2091" s="509"/>
      <c r="B2091" s="510"/>
      <c r="C2091" s="510"/>
      <c r="D2091" s="510"/>
      <c r="E2091" s="510"/>
      <c r="F2091" s="510"/>
      <c r="G2091" s="510"/>
      <c r="H2091" s="510"/>
      <c r="I2091" s="510"/>
      <c r="J2091" s="510"/>
    </row>
    <row r="2092" spans="1:10" ht="51">
      <c r="A2092" s="112" t="str">
        <f>'[3]Planilha Orçamentária'!A530</f>
        <v>1.9.6.16</v>
      </c>
      <c r="B2092" s="146">
        <f>VLOOKUP(A2092,'[3]Planilha Orçamentária'!A:K,2,0)</f>
        <v>90746</v>
      </c>
      <c r="C2092" s="147" t="str">
        <f>VLOOKUP(A2092,'[3]Planilha Orçamentária'!A:K,3,0)</f>
        <v>ASSENTAMENTO DE TUBO DE PEAD CORRUGADO DE DUPLA PAREDE PARA REDE COLETORA DE ESGOTO, DN 450 MM, JUNTA ELÁSTICA INTEGRADA (NÃO INCLUI FORNECIMENTO). AF_01/2021</v>
      </c>
      <c r="D2092" s="148" t="str">
        <f>VLOOKUP(A2092,'[3]Planilha Orçamentária'!A:K,4,0)</f>
        <v>M</v>
      </c>
      <c r="E2092" s="149"/>
      <c r="F2092" s="150"/>
      <c r="G2092" s="150"/>
      <c r="H2092" s="150"/>
      <c r="I2092" s="150"/>
      <c r="J2092" s="151">
        <f>ROUND(SUM(J2093:J2095),2)</f>
        <v>291.5</v>
      </c>
    </row>
    <row r="2093" spans="1:10">
      <c r="A2093" s="152"/>
      <c r="B2093" s="153"/>
      <c r="C2093" s="154" t="s">
        <v>1936</v>
      </c>
      <c r="D2093" s="31"/>
      <c r="E2093" s="155"/>
      <c r="F2093" s="156" t="s">
        <v>1606</v>
      </c>
      <c r="G2093" s="156"/>
      <c r="H2093" s="156"/>
      <c r="I2093" s="155"/>
      <c r="J2093" s="157"/>
    </row>
    <row r="2094" spans="1:10">
      <c r="A2094" s="152"/>
      <c r="B2094" s="153"/>
      <c r="C2094" s="145" t="s">
        <v>1857</v>
      </c>
      <c r="D2094" s="96"/>
      <c r="E2094" s="82"/>
      <c r="F2094" s="156">
        <f>F2049</f>
        <v>291.5</v>
      </c>
      <c r="G2094" s="156"/>
      <c r="H2094" s="156"/>
      <c r="I2094" s="160"/>
      <c r="J2094" s="58">
        <f>ROUND(PRODUCT(E2094:I2094),2)</f>
        <v>291.5</v>
      </c>
    </row>
    <row r="2095" spans="1:10">
      <c r="A2095" s="509"/>
      <c r="B2095" s="510"/>
      <c r="C2095" s="510"/>
      <c r="D2095" s="510"/>
      <c r="E2095" s="510"/>
      <c r="F2095" s="510"/>
      <c r="G2095" s="510"/>
      <c r="H2095" s="510"/>
      <c r="I2095" s="510"/>
      <c r="J2095" s="510"/>
    </row>
    <row r="2096" spans="1:10" ht="12" customHeight="1">
      <c r="A2096" s="19" t="str">
        <f>'[3]Planilha Orçamentária'!A531</f>
        <v>1.9.7</v>
      </c>
      <c r="B2096" s="20"/>
      <c r="C2096" s="21" t="str">
        <f>VLOOKUP(A2096,'[3]Planilha Orçamentária'!A:K,3,0)</f>
        <v>SINALIZAÇÃO</v>
      </c>
      <c r="D2096" s="22"/>
      <c r="E2096" s="23"/>
      <c r="F2096" s="24"/>
      <c r="G2096" s="24"/>
      <c r="H2096" s="24"/>
      <c r="I2096" s="25"/>
      <c r="J2096" s="270"/>
    </row>
    <row r="2097" spans="1:10" ht="25.5">
      <c r="A2097" s="28" t="str">
        <f>'[3]Planilha Orçamentária'!A532</f>
        <v>1.9.7.1</v>
      </c>
      <c r="B2097" s="42">
        <f>VLOOKUP(A2097,'[3]Planilha Orçamentária'!A:K,2,0)</f>
        <v>5213421</v>
      </c>
      <c r="C2097" s="166" t="str">
        <f>VLOOKUP(A2097,'[3]Planilha Orçamentária'!A:K,3,0)</f>
        <v>Confecção de placa em aço nº 16 galvanizado, com película tipo I + IV</v>
      </c>
      <c r="D2097" s="31" t="str">
        <f>VLOOKUP(A2097,'[3]Planilha Orçamentária'!A:K,4,0)</f>
        <v xml:space="preserve">M2    </v>
      </c>
      <c r="E2097" s="30"/>
      <c r="F2097" s="32"/>
      <c r="G2097" s="32"/>
      <c r="H2097" s="32"/>
      <c r="I2097" s="32"/>
      <c r="J2097" s="45">
        <f>ROUND(SUM(J2098:J2100),2)</f>
        <v>2.25</v>
      </c>
    </row>
    <row r="2098" spans="1:10" ht="25.5">
      <c r="A2098" s="54"/>
      <c r="B2098" s="54"/>
      <c r="C2098" s="142" t="s">
        <v>1943</v>
      </c>
      <c r="D2098" s="174"/>
      <c r="E2098" s="175"/>
      <c r="F2098" s="35"/>
      <c r="G2098" s="35"/>
      <c r="H2098" s="82" t="s">
        <v>1620</v>
      </c>
      <c r="I2098" s="171" t="s">
        <v>1608</v>
      </c>
      <c r="J2098" s="58"/>
    </row>
    <row r="2099" spans="1:10">
      <c r="A2099" s="176"/>
      <c r="B2099" s="176"/>
      <c r="C2099" s="142" t="s">
        <v>1671</v>
      </c>
      <c r="D2099" s="174"/>
      <c r="E2099" s="35"/>
      <c r="F2099" s="35"/>
      <c r="G2099" s="35"/>
      <c r="H2099" s="35">
        <v>0.2</v>
      </c>
      <c r="I2099" s="82">
        <v>5</v>
      </c>
      <c r="J2099" s="120">
        <f t="shared" ref="J2099:J2100" si="204">ROUND(PRODUCT(E2099:I2099),2)</f>
        <v>1</v>
      </c>
    </row>
    <row r="2100" spans="1:10">
      <c r="A2100" s="176"/>
      <c r="B2100" s="176"/>
      <c r="C2100" s="177" t="s">
        <v>1672</v>
      </c>
      <c r="D2100" s="158"/>
      <c r="E2100" s="116"/>
      <c r="F2100" s="116"/>
      <c r="G2100" s="116"/>
      <c r="H2100" s="116">
        <f>0.5*0.5</f>
        <v>0.25</v>
      </c>
      <c r="I2100" s="178">
        <v>5</v>
      </c>
      <c r="J2100" s="120">
        <f t="shared" si="204"/>
        <v>1.25</v>
      </c>
    </row>
    <row r="2101" spans="1:10">
      <c r="A2101" s="507"/>
      <c r="B2101" s="507"/>
      <c r="C2101" s="507"/>
      <c r="D2101" s="507"/>
      <c r="E2101" s="507"/>
      <c r="F2101" s="507"/>
      <c r="G2101" s="507"/>
      <c r="H2101" s="507"/>
      <c r="I2101" s="507"/>
      <c r="J2101" s="508"/>
    </row>
    <row r="2102" spans="1:10" ht="38.25">
      <c r="A2102" s="28" t="str">
        <f>'[3]Planilha Orçamentária'!A533</f>
        <v>1.9.7.2</v>
      </c>
      <c r="B2102" s="42">
        <f>VLOOKUP(A2102,'[3]Planilha Orçamentária'!A:K,2,0)</f>
        <v>5216111</v>
      </c>
      <c r="C2102" s="166" t="str">
        <f>VLOOKUP(A2102,'[3]Planilha Orçamentária'!A:K,3,0)</f>
        <v>FORNECIMENTO E IMPLANTAÇÃO DE SUPORTE E TRAVESSA PARA PLACA DE SINALIZAÇÃO EM MADEIRA DE LEI TRATADA 8 X 8 CM</v>
      </c>
      <c r="D2102" s="31" t="str">
        <f>VLOOKUP(A2102,'[3]Planilha Orçamentária'!A:K,4,0)</f>
        <v>UND</v>
      </c>
      <c r="E2102" s="30"/>
      <c r="F2102" s="32"/>
      <c r="G2102" s="32"/>
      <c r="H2102" s="32"/>
      <c r="I2102" s="32"/>
      <c r="J2102" s="45">
        <f>ROUND(SUM(J2104:J2104),2)</f>
        <v>5</v>
      </c>
    </row>
    <row r="2103" spans="1:10">
      <c r="A2103" s="112"/>
      <c r="B2103" s="146"/>
      <c r="C2103" s="142" t="s">
        <v>1943</v>
      </c>
      <c r="D2103" s="31"/>
      <c r="E2103" s="30"/>
      <c r="F2103" s="32"/>
      <c r="G2103" s="32"/>
      <c r="H2103" s="32"/>
      <c r="I2103" s="34" t="s">
        <v>1125</v>
      </c>
      <c r="J2103" s="151"/>
    </row>
    <row r="2104" spans="1:10">
      <c r="A2104" s="176"/>
      <c r="B2104" s="176"/>
      <c r="C2104" s="142" t="s">
        <v>1676</v>
      </c>
      <c r="D2104" s="174"/>
      <c r="E2104" s="175"/>
      <c r="F2104" s="35"/>
      <c r="G2104" s="35"/>
      <c r="H2104" s="82"/>
      <c r="I2104" s="82">
        <v>5</v>
      </c>
      <c r="J2104" s="188">
        <f>ROUND(PRODUCT(E2104:I2104),2)</f>
        <v>5</v>
      </c>
    </row>
    <row r="2105" spans="1:10">
      <c r="A2105" s="506"/>
      <c r="B2105" s="507"/>
      <c r="C2105" s="507"/>
      <c r="D2105" s="507"/>
      <c r="E2105" s="507"/>
      <c r="F2105" s="507"/>
      <c r="G2105" s="507"/>
      <c r="H2105" s="507"/>
      <c r="I2105" s="507"/>
      <c r="J2105" s="508"/>
    </row>
    <row r="2106" spans="1:10" ht="25.5">
      <c r="A2106" s="112" t="str">
        <f>'[3]Planilha Orçamentária'!A534</f>
        <v>1.9.7.3</v>
      </c>
      <c r="B2106" s="146" t="str">
        <f>VLOOKUP(A2106,'[3]Planilha Orçamentária'!A:K,2,0)</f>
        <v>COMP-58084869</v>
      </c>
      <c r="C2106" s="147" t="str">
        <f>VLOOKUP(A2106,'[3]Planilha Orçamentária'!A:K,3,0)</f>
        <v>PLACA ESMALTADA PARA IDENTIFICAÇÃO NR DE RUA, DIMENSÕES 45X25CM</v>
      </c>
      <c r="D2106" s="148" t="str">
        <f>VLOOKUP(A2106,'[3]Planilha Orçamentária'!A:K,4,0)</f>
        <v>UND</v>
      </c>
      <c r="E2106" s="149"/>
      <c r="F2106" s="150"/>
      <c r="G2106" s="150"/>
      <c r="H2106" s="150"/>
      <c r="I2106" s="150"/>
      <c r="J2106" s="151">
        <f>ROUND(SUM(J2107:J2108),2)</f>
        <v>3</v>
      </c>
    </row>
    <row r="2107" spans="1:10">
      <c r="A2107" s="28"/>
      <c r="B2107" s="29"/>
      <c r="C2107" s="142" t="s">
        <v>1943</v>
      </c>
      <c r="D2107" s="31"/>
      <c r="E2107" s="30"/>
      <c r="F2107" s="32"/>
      <c r="G2107" s="32"/>
      <c r="H2107" s="32"/>
      <c r="I2107" s="34" t="s">
        <v>1125</v>
      </c>
      <c r="J2107" s="33"/>
    </row>
    <row r="2108" spans="1:10">
      <c r="A2108" s="28"/>
      <c r="B2108" s="29"/>
      <c r="C2108" s="142" t="s">
        <v>1676</v>
      </c>
      <c r="D2108" s="31"/>
      <c r="E2108" s="30"/>
      <c r="F2108" s="32"/>
      <c r="G2108" s="32"/>
      <c r="H2108" s="32"/>
      <c r="I2108" s="82">
        <v>3</v>
      </c>
      <c r="J2108" s="188">
        <f>ROUND(PRODUCT(E2108:I2108),2)</f>
        <v>3</v>
      </c>
    </row>
    <row r="2109" spans="1:10">
      <c r="A2109" s="511"/>
      <c r="B2109" s="512"/>
      <c r="C2109" s="512"/>
      <c r="D2109" s="512"/>
      <c r="E2109" s="512"/>
      <c r="F2109" s="512"/>
      <c r="G2109" s="512"/>
      <c r="H2109" s="512"/>
      <c r="I2109" s="512"/>
      <c r="J2109" s="512"/>
    </row>
    <row r="2110" spans="1:10" ht="38.25">
      <c r="A2110" s="60" t="str">
        <f>'[3]Planilha Orçamentária'!A535</f>
        <v>1.9.7.4</v>
      </c>
      <c r="B2110" s="61" t="str">
        <f>VLOOKUP(A2110,'[3]Planilha Orçamentária'!A:K,2,0)</f>
        <v>CP-72947-21572945</v>
      </c>
      <c r="C2110" s="190" t="str">
        <f>VLOOKUP(A2110,'[3]Planilha Orçamentária'!A:K,3,0)</f>
        <v>SINALIZACAO HORIZONTAL COM TINTA RETRORREFLETIVA A BASE DE RESINA ACRILICA COM MICROESFERAS DE VIDRO</v>
      </c>
      <c r="D2110" s="63" t="str">
        <f>VLOOKUP(A2110,'[3]Planilha Orçamentária'!A:K,4,0)</f>
        <v>M2</v>
      </c>
      <c r="E2110" s="62"/>
      <c r="F2110" s="64"/>
      <c r="G2110" s="64"/>
      <c r="H2110" s="64"/>
      <c r="I2110" s="64"/>
      <c r="J2110" s="78">
        <f>ROUND(SUM(J2112:J2112),2)</f>
        <v>3.24</v>
      </c>
    </row>
    <row r="2111" spans="1:10">
      <c r="A2111" s="66"/>
      <c r="B2111" s="67"/>
      <c r="C2111" s="142" t="s">
        <v>1943</v>
      </c>
      <c r="D2111" s="63"/>
      <c r="E2111" s="62"/>
      <c r="F2111" s="80"/>
      <c r="G2111" s="64"/>
      <c r="H2111" s="64"/>
      <c r="I2111" s="34" t="s">
        <v>1620</v>
      </c>
      <c r="J2111" s="78"/>
    </row>
    <row r="2112" spans="1:10">
      <c r="A2112" s="176"/>
      <c r="B2112" s="176"/>
      <c r="C2112" s="142" t="s">
        <v>1676</v>
      </c>
      <c r="D2112" s="191"/>
      <c r="E2112" s="192"/>
      <c r="F2112" s="82"/>
      <c r="G2112" s="82"/>
      <c r="H2112" s="82"/>
      <c r="I2112" s="82">
        <v>3.24</v>
      </c>
      <c r="J2112" s="36">
        <f>ROUND(PRODUCT(E2112:I2112),2)</f>
        <v>3.24</v>
      </c>
    </row>
    <row r="2113" spans="1:10" ht="12" customHeight="1">
      <c r="A2113" s="507"/>
      <c r="B2113" s="507"/>
      <c r="C2113" s="507"/>
      <c r="D2113" s="507"/>
      <c r="E2113" s="507"/>
      <c r="F2113" s="507"/>
      <c r="G2113" s="507"/>
      <c r="H2113" s="507"/>
      <c r="I2113" s="507"/>
      <c r="J2113" s="508"/>
    </row>
    <row r="2114" spans="1:10" ht="12" customHeight="1">
      <c r="A2114" s="19" t="str">
        <f>'[3]Planilha Orçamentária'!A536</f>
        <v>1.9.8</v>
      </c>
      <c r="B2114" s="20"/>
      <c r="C2114" s="21" t="str">
        <f>VLOOKUP(A2114,'[3]Planilha Orçamentária'!A:K,3,0)</f>
        <v>CONTENÇÃO</v>
      </c>
      <c r="D2114" s="21"/>
      <c r="E2114" s="39"/>
      <c r="F2114" s="40"/>
      <c r="G2114" s="40"/>
      <c r="H2114" s="40"/>
      <c r="I2114" s="40"/>
      <c r="J2114" s="41"/>
    </row>
    <row r="2115" spans="1:10" ht="12" customHeight="1">
      <c r="A2115" s="19" t="str">
        <f>'[3]Planilha Orçamentária'!A537</f>
        <v>1.9.8.1</v>
      </c>
      <c r="B2115" s="20"/>
      <c r="C2115" s="21" t="str">
        <f>VLOOKUP(A2115,'[3]Planilha Orçamentária'!A:K,3,0)</f>
        <v>TERRAPLANAGEM</v>
      </c>
      <c r="D2115" s="21"/>
      <c r="E2115" s="39"/>
      <c r="F2115" s="40"/>
      <c r="G2115" s="40"/>
      <c r="H2115" s="40"/>
      <c r="I2115" s="40"/>
      <c r="J2115" s="41"/>
    </row>
    <row r="2116" spans="1:10" ht="25.5">
      <c r="A2116" s="60" t="str">
        <f>'[3]Planilha Orçamentária'!A538</f>
        <v>1.9.8.1.1</v>
      </c>
      <c r="B2116" s="61">
        <f>VLOOKUP(A2116,'[3]Planilha Orçamentária'!A:K,2,0)</f>
        <v>93358</v>
      </c>
      <c r="C2116" s="190" t="str">
        <f>VLOOKUP(A2116,'[3]Planilha Orçamentária'!A:K,3,0)</f>
        <v>ESCAVAÇÃO MANUAL DE VALA COM PROFUNDIDADE MENOR OU IGUAL A 1,30 M. AF_02/2021</v>
      </c>
      <c r="D2116" s="63" t="str">
        <f>VLOOKUP(A2116,'[3]Planilha Orçamentária'!A:K,4,0)</f>
        <v>M3</v>
      </c>
      <c r="E2116" s="62"/>
      <c r="F2116" s="64"/>
      <c r="G2116" s="64"/>
      <c r="H2116" s="64"/>
      <c r="I2116" s="64"/>
      <c r="J2116" s="78">
        <f>ROUND(SUM(J2118:J2119),2)</f>
        <v>71.53</v>
      </c>
    </row>
    <row r="2117" spans="1:10">
      <c r="A2117" s="343"/>
      <c r="B2117" s="343"/>
      <c r="C2117" s="262" t="s">
        <v>1944</v>
      </c>
      <c r="D2117" s="343"/>
      <c r="E2117" s="344"/>
      <c r="F2117" s="344"/>
      <c r="G2117" s="344"/>
      <c r="H2117" s="344"/>
      <c r="I2117" s="344"/>
      <c r="J2117" s="345"/>
    </row>
    <row r="2118" spans="1:10">
      <c r="A2118" s="346"/>
      <c r="B2118" s="346"/>
      <c r="C2118" s="262" t="s">
        <v>1945</v>
      </c>
      <c r="D2118" s="347"/>
      <c r="E2118" s="347"/>
      <c r="F2118" s="266"/>
      <c r="G2118" s="347"/>
      <c r="H2118" s="347"/>
      <c r="I2118" s="348">
        <v>4.95</v>
      </c>
      <c r="J2118" s="347">
        <f t="shared" ref="J2118:J2119" si="205">ROUND(PRODUCT(E2118:I2118),2)</f>
        <v>4.95</v>
      </c>
    </row>
    <row r="2119" spans="1:10">
      <c r="A2119" s="346"/>
      <c r="B2119" s="346"/>
      <c r="C2119" s="262" t="s">
        <v>1946</v>
      </c>
      <c r="D2119" s="347"/>
      <c r="E2119" s="347"/>
      <c r="F2119" s="266"/>
      <c r="G2119" s="347"/>
      <c r="H2119" s="347"/>
      <c r="I2119" s="348">
        <v>66.575000000000003</v>
      </c>
      <c r="J2119" s="347">
        <f t="shared" si="205"/>
        <v>66.58</v>
      </c>
    </row>
    <row r="2120" spans="1:10">
      <c r="A2120" s="349"/>
      <c r="B2120" s="349"/>
      <c r="C2120" s="350"/>
      <c r="D2120" s="351"/>
      <c r="E2120" s="352"/>
      <c r="F2120" s="266"/>
      <c r="G2120" s="266"/>
      <c r="H2120" s="266"/>
      <c r="I2120" s="266"/>
      <c r="J2120" s="348"/>
    </row>
    <row r="2121" spans="1:10" ht="25.5">
      <c r="A2121" s="60" t="str">
        <f>'[3]Planilha Orçamentária'!A539</f>
        <v>1.9.8.1.2</v>
      </c>
      <c r="B2121" s="61">
        <f>VLOOKUP(A2121,'[3]Planilha Orçamentária'!A:K,2,0)</f>
        <v>100206</v>
      </c>
      <c r="C2121" s="190" t="str">
        <f>VLOOKUP(A2121,'[3]Planilha Orçamentária'!A:K,3,0)</f>
        <v>TRANSPORTE HORIZONTAL COM JERICA DE 90 L, DE MASSA/ GRANEL (UNIDADE: M3XKM). AF_07/2019</v>
      </c>
      <c r="D2121" s="63" t="str">
        <f>VLOOKUP(A2121,'[3]Planilha Orçamentária'!A:K,4,0)</f>
        <v>M3XKM</v>
      </c>
      <c r="E2121" s="353" t="s">
        <v>1947</v>
      </c>
      <c r="F2121" s="353" t="s">
        <v>1948</v>
      </c>
      <c r="G2121" s="64"/>
      <c r="H2121" s="64"/>
      <c r="I2121" s="64"/>
      <c r="J2121" s="78">
        <f>ROUND(SUM(J2123),2)</f>
        <v>9.44</v>
      </c>
    </row>
    <row r="2122" spans="1:10">
      <c r="A2122" s="60"/>
      <c r="B2122" s="61"/>
      <c r="C2122" s="190"/>
      <c r="D2122" s="63"/>
      <c r="E2122" s="353"/>
      <c r="F2122" s="353"/>
      <c r="G2122" s="64"/>
      <c r="H2122" s="64"/>
      <c r="I2122" s="64"/>
      <c r="J2122" s="354"/>
    </row>
    <row r="2123" spans="1:10">
      <c r="A2123" s="349"/>
      <c r="B2123" s="349"/>
      <c r="C2123" s="262" t="s">
        <v>1949</v>
      </c>
      <c r="D2123" s="349"/>
      <c r="E2123" s="266">
        <v>1.25</v>
      </c>
      <c r="F2123" s="266">
        <f>105.57/1000</f>
        <v>0.10557</v>
      </c>
      <c r="G2123" s="266"/>
      <c r="H2123" s="266"/>
      <c r="I2123" s="266">
        <f>J2116</f>
        <v>71.53</v>
      </c>
      <c r="J2123" s="347">
        <f>ROUND(PRODUCT(E2123:I2123),2)</f>
        <v>9.44</v>
      </c>
    </row>
    <row r="2124" spans="1:10">
      <c r="A2124" s="346"/>
      <c r="B2124" s="346"/>
      <c r="C2124" s="355"/>
      <c r="D2124" s="267"/>
      <c r="E2124" s="356"/>
      <c r="F2124" s="269"/>
      <c r="G2124" s="269"/>
      <c r="H2124" s="269"/>
      <c r="I2124" s="269"/>
      <c r="J2124" s="357"/>
    </row>
    <row r="2125" spans="1:10" ht="25.5">
      <c r="A2125" s="60" t="str">
        <f>'[3]Planilha Orçamentária'!A540</f>
        <v>1.9.8.1.3</v>
      </c>
      <c r="B2125" s="61" t="str">
        <f>VLOOKUP(A2125,'[3]Planilha Orçamentária'!A:K,2,0)</f>
        <v>CP-72897-80530767</v>
      </c>
      <c r="C2125" s="190" t="str">
        <f>VLOOKUP(A2125,'[3]Planilha Orçamentária'!A:K,3,0)</f>
        <v>CARGA MANUAL DE ENTULHO EM CAMINHAO BASCULANTE 14 M3</v>
      </c>
      <c r="D2125" s="63" t="str">
        <f>VLOOKUP(A2125,'[3]Planilha Orçamentária'!A:K,4,0)</f>
        <v>M3</v>
      </c>
      <c r="E2125" s="62"/>
      <c r="F2125" s="64"/>
      <c r="G2125" s="64"/>
      <c r="H2125" s="64"/>
      <c r="I2125" s="64"/>
      <c r="J2125" s="78">
        <f>ROUND(SUM(J2127),2)</f>
        <v>89.41</v>
      </c>
    </row>
    <row r="2126" spans="1:10">
      <c r="A2126" s="60"/>
      <c r="B2126" s="61"/>
      <c r="C2126" s="190"/>
      <c r="D2126" s="63"/>
      <c r="E2126" s="62"/>
      <c r="F2126" s="64"/>
      <c r="G2126" s="64"/>
      <c r="H2126" s="64"/>
      <c r="I2126" s="64"/>
      <c r="J2126" s="354"/>
    </row>
    <row r="2127" spans="1:10">
      <c r="A2127" s="349"/>
      <c r="B2127" s="349"/>
      <c r="C2127" s="262" t="s">
        <v>1950</v>
      </c>
      <c r="D2127" s="349"/>
      <c r="E2127" s="352">
        <v>1.25</v>
      </c>
      <c r="F2127" s="266"/>
      <c r="G2127" s="266"/>
      <c r="H2127" s="266"/>
      <c r="I2127" s="266">
        <f>J2116</f>
        <v>71.53</v>
      </c>
      <c r="J2127" s="347">
        <f>ROUND(PRODUCT(E2127:I2127),2)</f>
        <v>89.41</v>
      </c>
    </row>
    <row r="2128" spans="1:10">
      <c r="A2128" s="346"/>
      <c r="B2128" s="346"/>
      <c r="C2128" s="355"/>
      <c r="D2128" s="267"/>
      <c r="E2128" s="356"/>
      <c r="F2128" s="269"/>
      <c r="G2128" s="269"/>
      <c r="H2128" s="269"/>
      <c r="I2128" s="269"/>
      <c r="J2128" s="357"/>
    </row>
    <row r="2129" spans="1:10" ht="38.25">
      <c r="A2129" s="60" t="str">
        <f>'[3]Planilha Orçamentária'!A541</f>
        <v>1.9.8.1.4</v>
      </c>
      <c r="B2129" s="61">
        <f>VLOOKUP(A2129,'[3]Planilha Orçamentária'!A:K,2,0)</f>
        <v>95876</v>
      </c>
      <c r="C2129" s="190" t="str">
        <f>VLOOKUP(A2129,'[3]Planilha Orçamentária'!A:K,3,0)</f>
        <v>TRANSPORTE COM CAMINHÃO BASCULANTE DE 14 M³, EM VIA URBANA PAVIMENTADA, DMT ATÉ 30 KM (UNIDADE: M3XKM). AF_07/2020</v>
      </c>
      <c r="D2129" s="63" t="str">
        <f>VLOOKUP(A2129,'[3]Planilha Orçamentária'!A:K,4,0)</f>
        <v>M3XKM</v>
      </c>
      <c r="E2129" s="62"/>
      <c r="F2129" s="64"/>
      <c r="G2129" s="64"/>
      <c r="H2129" s="64"/>
      <c r="I2129" s="64"/>
      <c r="J2129" s="78">
        <f>ROUND(SUM(J2131),2)</f>
        <v>1367.97</v>
      </c>
    </row>
    <row r="2130" spans="1:10">
      <c r="A2130" s="60"/>
      <c r="B2130" s="61"/>
      <c r="C2130" s="190"/>
      <c r="D2130" s="63"/>
      <c r="E2130" s="62"/>
      <c r="F2130" s="64"/>
      <c r="G2130" s="64"/>
      <c r="H2130" s="64"/>
      <c r="I2130" s="64"/>
      <c r="J2130" s="354"/>
    </row>
    <row r="2131" spans="1:10">
      <c r="A2131" s="349"/>
      <c r="B2131" s="349"/>
      <c r="C2131" s="262" t="s">
        <v>1951</v>
      </c>
      <c r="D2131" s="349"/>
      <c r="E2131" s="352">
        <v>15.3</v>
      </c>
      <c r="F2131" s="266"/>
      <c r="G2131" s="266"/>
      <c r="H2131" s="266"/>
      <c r="I2131" s="266">
        <f>J2125</f>
        <v>89.41</v>
      </c>
      <c r="J2131" s="347">
        <f>ROUND(PRODUCT(E2131:I2131),2)</f>
        <v>1367.97</v>
      </c>
    </row>
    <row r="2132" spans="1:10" ht="12" customHeight="1">
      <c r="A2132" s="346"/>
      <c r="B2132" s="346"/>
      <c r="C2132" s="355"/>
      <c r="D2132" s="267"/>
      <c r="E2132" s="356"/>
      <c r="F2132" s="269"/>
      <c r="G2132" s="269"/>
      <c r="H2132" s="269"/>
      <c r="I2132" s="269"/>
      <c r="J2132" s="357"/>
    </row>
    <row r="2133" spans="1:10" ht="12" customHeight="1">
      <c r="A2133" s="186"/>
      <c r="B2133" s="186"/>
      <c r="C2133" s="186"/>
      <c r="D2133" s="186"/>
      <c r="E2133" s="186"/>
      <c r="F2133" s="186"/>
      <c r="G2133" s="186"/>
      <c r="H2133" s="186"/>
      <c r="I2133" s="186"/>
      <c r="J2133" s="187"/>
    </row>
    <row r="2134" spans="1:10" ht="12" customHeight="1">
      <c r="A2134" s="19" t="str">
        <f>'[3]Planilha Orçamentária'!A542</f>
        <v>1.9.8.2</v>
      </c>
      <c r="B2134" s="20"/>
      <c r="C2134" s="21" t="str">
        <f>VLOOKUP(A2134,'[3]Planilha Orçamentária'!A:K,3,0)</f>
        <v>CONTENÇÃO DE ENCOSTA</v>
      </c>
      <c r="D2134" s="21"/>
      <c r="E2134" s="39"/>
      <c r="F2134" s="40"/>
      <c r="G2134" s="40"/>
      <c r="H2134" s="40"/>
      <c r="I2134" s="40"/>
      <c r="J2134" s="41"/>
    </row>
    <row r="2135" spans="1:10" ht="25.5">
      <c r="A2135" s="60" t="str">
        <f>'[3]Planilha Orçamentária'!A543</f>
        <v>1.9.8.2.1</v>
      </c>
      <c r="B2135" s="61">
        <f>VLOOKUP(A2135,'[3]Planilha Orçamentária'!A:K,2,0)</f>
        <v>100206</v>
      </c>
      <c r="C2135" s="190" t="str">
        <f>VLOOKUP(A2135,'[3]Planilha Orçamentária'!A:K,3,0)</f>
        <v>TRANSPORTE HORIZONTAL COM JERICA DE 90 L, DE MASSA/ GRANEL (UNIDADE: M3XKM). AF_07/2019</v>
      </c>
      <c r="D2135" s="63" t="str">
        <f>VLOOKUP(A2135,'[3]Planilha Orçamentária'!A:K,4,0)</f>
        <v>M3XKM</v>
      </c>
      <c r="E2135" s="62"/>
      <c r="F2135" s="64"/>
      <c r="G2135" s="64"/>
      <c r="H2135" s="64"/>
      <c r="I2135" s="64"/>
      <c r="J2135" s="78">
        <f>ROUND(SUM(J2137:J2139),2)</f>
        <v>5.08</v>
      </c>
    </row>
    <row r="2136" spans="1:10">
      <c r="A2136" s="53"/>
      <c r="B2136" s="53"/>
      <c r="C2136" s="53"/>
      <c r="D2136" s="53"/>
      <c r="E2136" s="53"/>
      <c r="F2136" s="64" t="s">
        <v>1952</v>
      </c>
      <c r="G2136" s="53"/>
      <c r="H2136" s="53"/>
      <c r="I2136" s="53"/>
      <c r="J2136" s="53"/>
    </row>
    <row r="2137" spans="1:10">
      <c r="A2137" s="53"/>
      <c r="B2137" s="53"/>
      <c r="C2137" s="262" t="s">
        <v>1953</v>
      </c>
      <c r="D2137" s="349"/>
      <c r="E2137" s="352">
        <v>1.25</v>
      </c>
      <c r="F2137" s="266">
        <f>F2123</f>
        <v>0.10557</v>
      </c>
      <c r="G2137" s="266"/>
      <c r="H2137" s="266"/>
      <c r="I2137" s="266">
        <f>J2154</f>
        <v>17.18</v>
      </c>
      <c r="J2137" s="347">
        <f t="shared" ref="J2137:J2139" si="206">ROUND(PRODUCT(E2137:I2137),2)</f>
        <v>2.27</v>
      </c>
    </row>
    <row r="2138" spans="1:10">
      <c r="A2138" s="53"/>
      <c r="B2138" s="53"/>
      <c r="C2138" s="262" t="s">
        <v>1954</v>
      </c>
      <c r="D2138" s="349"/>
      <c r="E2138" s="352">
        <v>1.25</v>
      </c>
      <c r="F2138" s="266">
        <f>F2137</f>
        <v>0.10557</v>
      </c>
      <c r="G2138" s="266"/>
      <c r="H2138" s="266"/>
      <c r="I2138" s="266">
        <f>J2159</f>
        <v>17.18</v>
      </c>
      <c r="J2138" s="347">
        <f t="shared" si="206"/>
        <v>2.27</v>
      </c>
    </row>
    <row r="2139" spans="1:10">
      <c r="A2139" s="53"/>
      <c r="B2139" s="53"/>
      <c r="C2139" s="262" t="s">
        <v>1955</v>
      </c>
      <c r="D2139" s="349"/>
      <c r="E2139" s="352"/>
      <c r="F2139" s="266">
        <f>F2138</f>
        <v>0.10557</v>
      </c>
      <c r="G2139" s="266"/>
      <c r="H2139" s="266"/>
      <c r="I2139" s="266">
        <f>J2178</f>
        <v>5.15</v>
      </c>
      <c r="J2139" s="347">
        <f t="shared" si="206"/>
        <v>0.54</v>
      </c>
    </row>
    <row r="2140" spans="1:10">
      <c r="A2140" s="53"/>
      <c r="B2140" s="53"/>
      <c r="C2140" s="53"/>
      <c r="D2140" s="53"/>
      <c r="E2140" s="53"/>
      <c r="F2140" s="53"/>
      <c r="G2140" s="53"/>
      <c r="H2140" s="53"/>
      <c r="I2140" s="53"/>
      <c r="J2140" s="53"/>
    </row>
    <row r="2141" spans="1:10" ht="25.5">
      <c r="A2141" s="60" t="str">
        <f>'[3]Planilha Orçamentária'!A544</f>
        <v>1.9.8.2.2</v>
      </c>
      <c r="B2141" s="77" t="str">
        <f>VLOOKUP(A2141,'[3]Planilha Orçamentária'!A:K,2,0)</f>
        <v>CP-100206-86548087</v>
      </c>
      <c r="C2141" s="190" t="str">
        <f>VLOOKUP(A2141,'[3]Planilha Orçamentária'!A:K,3,0)</f>
        <v>TRANSPORTE HORIZONTAL COM JERICA DE 90 L, DE PEDRA RACHÃO GRANEL (UNIDADE: M3XKM). AF_07/2019</v>
      </c>
      <c r="D2141" s="63" t="str">
        <f>VLOOKUP(A2141,'[3]Planilha Orçamentária'!A:K,4,0)</f>
        <v>M3XKM</v>
      </c>
      <c r="E2141" s="62"/>
      <c r="F2141" s="64"/>
      <c r="G2141" s="64"/>
      <c r="H2141" s="64"/>
      <c r="I2141" s="64"/>
      <c r="J2141" s="78">
        <f>ROUND(SUM(J2143),2)</f>
        <v>22.34</v>
      </c>
    </row>
    <row r="2142" spans="1:10">
      <c r="A2142" s="53"/>
      <c r="B2142" s="53"/>
      <c r="C2142" s="53"/>
      <c r="D2142" s="53"/>
      <c r="E2142" s="353" t="s">
        <v>1947</v>
      </c>
      <c r="F2142" s="358" t="s">
        <v>1948</v>
      </c>
      <c r="G2142" s="53"/>
      <c r="H2142" s="53"/>
      <c r="I2142" s="53"/>
      <c r="J2142" s="53"/>
    </row>
    <row r="2143" spans="1:10">
      <c r="A2143" s="53"/>
      <c r="B2143" s="53"/>
      <c r="C2143" s="262" t="s">
        <v>1956</v>
      </c>
      <c r="D2143" s="349"/>
      <c r="E2143" s="352">
        <v>1.4</v>
      </c>
      <c r="F2143" s="352">
        <f>F2139</f>
        <v>0.10557</v>
      </c>
      <c r="G2143" s="266"/>
      <c r="H2143" s="266"/>
      <c r="I2143" s="266">
        <f>J2145</f>
        <v>151.18</v>
      </c>
      <c r="J2143" s="347">
        <f t="shared" ref="J2143" si="207">ROUND(PRODUCT(E2143:I2143),2)</f>
        <v>22.34</v>
      </c>
    </row>
    <row r="2144" spans="1:10">
      <c r="A2144" s="53"/>
      <c r="B2144" s="53"/>
      <c r="C2144" s="53"/>
      <c r="D2144" s="53"/>
      <c r="E2144" s="53"/>
      <c r="F2144" s="53"/>
      <c r="G2144" s="53"/>
      <c r="H2144" s="53"/>
      <c r="I2144" s="53"/>
      <c r="J2144" s="53"/>
    </row>
    <row r="2145" spans="1:10" ht="25.5">
      <c r="A2145" s="60" t="str">
        <f>'[3]Planilha Orçamentária'!A545</f>
        <v>1.9.8.2.3</v>
      </c>
      <c r="B2145" s="77" t="str">
        <f>VLOOKUP(A2145,'[3]Planilha Orçamentária'!A:K,2,0)</f>
        <v>CP-95467-90315369</v>
      </c>
      <c r="C2145" s="190" t="str">
        <f>VLOOKUP(A2145,'[3]Planilha Orçamentária'!A:K,3,0)</f>
        <v>EMBASAMENTO C/PEDRA ARGAMASSADA UTILIZANDO ARG.CIM/AREIA 1:6</v>
      </c>
      <c r="D2145" s="63" t="str">
        <f>VLOOKUP(A2145,'[3]Planilha Orçamentária'!A:K,4,0)</f>
        <v>M3</v>
      </c>
      <c r="E2145" s="62"/>
      <c r="F2145" s="64"/>
      <c r="G2145" s="64"/>
      <c r="H2145" s="64"/>
      <c r="I2145" s="64"/>
      <c r="J2145" s="78">
        <f>ROUND(SUM(J2147:J2148),2)</f>
        <v>151.18</v>
      </c>
    </row>
    <row r="2146" spans="1:10">
      <c r="A2146" s="53"/>
      <c r="B2146" s="53"/>
      <c r="C2146" s="262" t="s">
        <v>1957</v>
      </c>
      <c r="D2146" s="349"/>
      <c r="E2146" s="352"/>
      <c r="F2146" s="359" t="s">
        <v>1758</v>
      </c>
      <c r="G2146" s="360"/>
      <c r="H2146" s="360"/>
      <c r="I2146" s="360" t="s">
        <v>1623</v>
      </c>
      <c r="J2146" s="53"/>
    </row>
    <row r="2147" spans="1:10">
      <c r="A2147" s="53"/>
      <c r="B2147" s="53"/>
      <c r="C2147" s="262" t="s">
        <v>1945</v>
      </c>
      <c r="D2147" s="347"/>
      <c r="E2147" s="348"/>
      <c r="F2147" s="266">
        <v>5.32</v>
      </c>
      <c r="G2147" s="348"/>
      <c r="H2147" s="348"/>
      <c r="I2147" s="348">
        <v>1.76</v>
      </c>
      <c r="J2147" s="347">
        <f t="shared" ref="J2147:J2148" si="208">ROUND(PRODUCT(E2147:I2147),2)</f>
        <v>9.36</v>
      </c>
    </row>
    <row r="2148" spans="1:10">
      <c r="A2148" s="53"/>
      <c r="B2148" s="53"/>
      <c r="C2148" s="262" t="s">
        <v>1946</v>
      </c>
      <c r="D2148" s="361"/>
      <c r="E2148" s="348"/>
      <c r="F2148" s="266">
        <v>80.58</v>
      </c>
      <c r="G2148" s="348"/>
      <c r="H2148" s="348"/>
      <c r="I2148" s="348">
        <v>1.76</v>
      </c>
      <c r="J2148" s="347">
        <f t="shared" si="208"/>
        <v>141.82</v>
      </c>
    </row>
    <row r="2149" spans="1:10">
      <c r="A2149" s="53"/>
      <c r="B2149" s="53"/>
      <c r="C2149" s="53"/>
      <c r="D2149" s="53"/>
      <c r="E2149" s="53"/>
      <c r="F2149" s="53"/>
      <c r="G2149" s="53"/>
      <c r="H2149" s="53"/>
      <c r="I2149" s="53"/>
      <c r="J2149" s="53"/>
    </row>
    <row r="2150" spans="1:10" ht="25.5">
      <c r="A2150" s="60" t="str">
        <f>'[3]Planilha Orçamentária'!A546</f>
        <v>1.9.8.2.4</v>
      </c>
      <c r="B2150" s="77" t="str">
        <f>VLOOKUP(A2150,'[3]Planilha Orçamentária'!A:K,2,0)</f>
        <v>COMP-83526730</v>
      </c>
      <c r="C2150" s="190" t="str">
        <f>VLOOKUP(A2150,'[3]Planilha Orçamentária'!A:K,3,0)</f>
        <v>TRANSPORTE COMERCIAL DE BRITA</v>
      </c>
      <c r="D2150" s="63" t="str">
        <f>VLOOKUP(A2150,'[3]Planilha Orçamentária'!A:K,4,0)</f>
        <v>M3XKM</v>
      </c>
      <c r="E2150" s="62"/>
      <c r="F2150" s="64"/>
      <c r="G2150" s="64"/>
      <c r="H2150" s="64"/>
      <c r="I2150" s="64"/>
      <c r="J2150" s="78">
        <f>ROUND(SUM(J2152),2)</f>
        <v>319.98</v>
      </c>
    </row>
    <row r="2151" spans="1:10" ht="25.5">
      <c r="A2151" s="53"/>
      <c r="B2151" s="53"/>
      <c r="C2151" s="53"/>
      <c r="D2151" s="53"/>
      <c r="E2151" s="353" t="s">
        <v>1947</v>
      </c>
      <c r="F2151" s="358" t="s">
        <v>1958</v>
      </c>
      <c r="G2151" s="53"/>
      <c r="H2151" s="53"/>
      <c r="I2151" s="53"/>
      <c r="J2151" s="53"/>
    </row>
    <row r="2152" spans="1:10">
      <c r="A2152" s="53"/>
      <c r="B2152" s="53"/>
      <c r="C2152" s="350" t="s">
        <v>1959</v>
      </c>
      <c r="D2152" s="351"/>
      <c r="E2152" s="352">
        <v>1.25</v>
      </c>
      <c r="F2152" s="266">
        <v>14.9</v>
      </c>
      <c r="G2152" s="266"/>
      <c r="H2152" s="266"/>
      <c r="I2152" s="266">
        <f>J2154</f>
        <v>17.18</v>
      </c>
      <c r="J2152" s="347">
        <f t="shared" ref="J2152" si="209">ROUND(PRODUCT(E2152:I2152),2)</f>
        <v>319.98</v>
      </c>
    </row>
    <row r="2153" spans="1:10">
      <c r="A2153" s="53"/>
      <c r="B2153" s="53"/>
      <c r="C2153" s="53"/>
      <c r="D2153" s="53"/>
      <c r="E2153" s="53"/>
      <c r="F2153" s="53"/>
      <c r="G2153" s="53"/>
      <c r="H2153" s="53"/>
      <c r="I2153" s="53"/>
      <c r="J2153" s="53"/>
    </row>
    <row r="2154" spans="1:10" ht="25.5">
      <c r="A2154" s="60" t="str">
        <f>'[3]Planilha Orçamentária'!A547</f>
        <v>1.9.8.2.5</v>
      </c>
      <c r="B2154" s="77" t="str">
        <f>VLOOKUP(A2154,'[3]Planilha Orçamentária'!A:K,2,0)</f>
        <v>CP-73883/002-13051595</v>
      </c>
      <c r="C2154" s="190" t="str">
        <f>VLOOKUP(A2154,'[3]Planilha Orçamentária'!A:K,3,0)</f>
        <v>EXECUCAO DE DRENO FRANCES COM BRITA NUM 2</v>
      </c>
      <c r="D2154" s="63" t="str">
        <f>VLOOKUP(A2154,'[3]Planilha Orçamentária'!A:K,4,0)</f>
        <v>M3</v>
      </c>
      <c r="E2154" s="62"/>
      <c r="F2154" s="64"/>
      <c r="G2154" s="64"/>
      <c r="H2154" s="64"/>
      <c r="I2154" s="64"/>
      <c r="J2154" s="78">
        <f>ROUND(SUM(J2156:J2157),2)</f>
        <v>17.18</v>
      </c>
    </row>
    <row r="2155" spans="1:10">
      <c r="A2155" s="53"/>
      <c r="B2155" s="53"/>
      <c r="C2155" s="262" t="s">
        <v>1960</v>
      </c>
      <c r="D2155" s="349"/>
      <c r="E2155" s="352"/>
      <c r="F2155" s="359" t="s">
        <v>1758</v>
      </c>
      <c r="G2155" s="362" t="s">
        <v>1961</v>
      </c>
      <c r="H2155" s="362" t="s">
        <v>1962</v>
      </c>
      <c r="I2155" s="53"/>
      <c r="J2155" s="53"/>
    </row>
    <row r="2156" spans="1:10">
      <c r="A2156" s="53"/>
      <c r="B2156" s="53"/>
      <c r="C2156" s="262" t="s">
        <v>1945</v>
      </c>
      <c r="D2156" s="347"/>
      <c r="E2156" s="348"/>
      <c r="F2156" s="266">
        <f>F2147</f>
        <v>5.32</v>
      </c>
      <c r="G2156" s="266">
        <v>0.1</v>
      </c>
      <c r="H2156" s="348">
        <v>2</v>
      </c>
      <c r="I2156" s="53"/>
      <c r="J2156" s="347">
        <f t="shared" ref="J2156:J2157" si="210">ROUND(PRODUCT(E2156:I2156),2)</f>
        <v>1.06</v>
      </c>
    </row>
    <row r="2157" spans="1:10">
      <c r="A2157" s="53"/>
      <c r="B2157" s="53"/>
      <c r="C2157" s="262" t="s">
        <v>1946</v>
      </c>
      <c r="D2157" s="363"/>
      <c r="E2157" s="348"/>
      <c r="F2157" s="266">
        <f>F2148</f>
        <v>80.58</v>
      </c>
      <c r="G2157" s="266">
        <v>0.1</v>
      </c>
      <c r="H2157" s="348">
        <v>2</v>
      </c>
      <c r="I2157" s="53"/>
      <c r="J2157" s="347">
        <f t="shared" si="210"/>
        <v>16.12</v>
      </c>
    </row>
    <row r="2158" spans="1:10">
      <c r="A2158" s="53"/>
      <c r="B2158" s="53"/>
      <c r="C2158" s="53"/>
      <c r="D2158" s="53"/>
      <c r="E2158" s="53"/>
      <c r="F2158" s="53"/>
      <c r="G2158" s="53"/>
      <c r="H2158" s="53"/>
      <c r="I2158" s="53"/>
      <c r="J2158" s="53"/>
    </row>
    <row r="2159" spans="1:10" ht="25.5">
      <c r="A2159" s="60" t="str">
        <f>'[3]Planilha Orçamentária'!A548</f>
        <v>1.9.8.2.6</v>
      </c>
      <c r="B2159" s="77" t="str">
        <f>VLOOKUP(A2159,'[3]Planilha Orçamentária'!A:K,2,0)</f>
        <v>CP-73883/001-30509153</v>
      </c>
      <c r="C2159" s="190" t="str">
        <f>VLOOKUP(A2159,'[3]Planilha Orçamentária'!A:K,3,0)</f>
        <v>EXECUCAO DE DRENO FRANCES COM AREIA MEDIA</v>
      </c>
      <c r="D2159" s="63" t="str">
        <f>VLOOKUP(A2159,'[3]Planilha Orçamentária'!A:K,4,0)</f>
        <v>M3</v>
      </c>
      <c r="E2159" s="62"/>
      <c r="F2159" s="64"/>
      <c r="G2159" s="64"/>
      <c r="H2159" s="64"/>
      <c r="I2159" s="64"/>
      <c r="J2159" s="78">
        <f>ROUND(SUM(J2161:J2162),2)</f>
        <v>17.18</v>
      </c>
    </row>
    <row r="2160" spans="1:10">
      <c r="A2160" s="53"/>
      <c r="B2160" s="53"/>
      <c r="C2160" s="262" t="s">
        <v>1960</v>
      </c>
      <c r="D2160" s="349"/>
      <c r="E2160" s="352"/>
      <c r="F2160" s="359" t="s">
        <v>1758</v>
      </c>
      <c r="G2160" s="362" t="s">
        <v>1961</v>
      </c>
      <c r="H2160" s="362" t="s">
        <v>1962</v>
      </c>
      <c r="I2160" s="53"/>
      <c r="J2160" s="53"/>
    </row>
    <row r="2161" spans="1:10">
      <c r="A2161" s="53"/>
      <c r="B2161" s="53"/>
      <c r="C2161" s="262" t="s">
        <v>1945</v>
      </c>
      <c r="D2161" s="347"/>
      <c r="E2161" s="348"/>
      <c r="F2161" s="266">
        <f>F2156</f>
        <v>5.32</v>
      </c>
      <c r="G2161" s="266">
        <v>0.1</v>
      </c>
      <c r="H2161" s="348">
        <f>H2156</f>
        <v>2</v>
      </c>
      <c r="I2161" s="53"/>
      <c r="J2161" s="347">
        <f t="shared" ref="J2161:J2162" si="211">ROUND(PRODUCT(E2161:I2161),2)</f>
        <v>1.06</v>
      </c>
    </row>
    <row r="2162" spans="1:10">
      <c r="A2162" s="53"/>
      <c r="B2162" s="53"/>
      <c r="C2162" s="262" t="s">
        <v>1946</v>
      </c>
      <c r="D2162" s="363"/>
      <c r="E2162" s="348"/>
      <c r="F2162" s="266">
        <f>F2157</f>
        <v>80.58</v>
      </c>
      <c r="G2162" s="266">
        <v>0.1</v>
      </c>
      <c r="H2162" s="348">
        <f>H2161</f>
        <v>2</v>
      </c>
      <c r="I2162" s="53"/>
      <c r="J2162" s="347">
        <f t="shared" si="211"/>
        <v>16.12</v>
      </c>
    </row>
    <row r="2163" spans="1:10">
      <c r="A2163" s="53"/>
      <c r="B2163" s="53"/>
      <c r="C2163" s="53"/>
      <c r="D2163" s="53"/>
      <c r="E2163" s="53"/>
      <c r="F2163" s="53"/>
      <c r="G2163" s="53"/>
      <c r="H2163" s="53"/>
      <c r="I2163" s="53"/>
      <c r="J2163" s="53"/>
    </row>
    <row r="2164" spans="1:10" ht="25.5">
      <c r="A2164" s="60" t="str">
        <f>'[3]Planilha Orçamentária'!A549</f>
        <v>1.9.8.2.7</v>
      </c>
      <c r="B2164" s="77" t="str">
        <f>VLOOKUP(A2164,'[3]Planilha Orçamentária'!A:K,2,0)</f>
        <v>CP-83729-53696259</v>
      </c>
      <c r="C2164" s="190" t="str">
        <f>VLOOKUP(A2164,'[3]Planilha Orçamentária'!A:K,3,0)</f>
        <v>FORNECIMENTO/INSTALACAO DE MANTA BIDIM RT-31</v>
      </c>
      <c r="D2164" s="63" t="str">
        <f>VLOOKUP(A2164,'[3]Planilha Orçamentária'!A:K,4,0)</f>
        <v>M3</v>
      </c>
      <c r="E2164" s="62"/>
      <c r="F2164" s="64"/>
      <c r="G2164" s="64"/>
      <c r="H2164" s="64"/>
      <c r="I2164" s="64"/>
      <c r="J2164" s="78">
        <f>ROUND(SUM(J2166),2)</f>
        <v>4.7300000000000004</v>
      </c>
    </row>
    <row r="2165" spans="1:10">
      <c r="A2165" s="53"/>
      <c r="B2165" s="53"/>
      <c r="C2165" s="53"/>
      <c r="D2165" s="53"/>
      <c r="E2165" s="358" t="s">
        <v>1963</v>
      </c>
      <c r="F2165" s="53"/>
      <c r="G2165" s="53"/>
      <c r="H2165" s="53"/>
      <c r="I2165" s="53"/>
      <c r="J2165" s="53"/>
    </row>
    <row r="2166" spans="1:10" ht="38.25">
      <c r="A2166" s="53"/>
      <c r="B2166" s="53"/>
      <c r="C2166" s="262" t="s">
        <v>1964</v>
      </c>
      <c r="D2166" s="349"/>
      <c r="E2166" s="266">
        <v>5.5E-2</v>
      </c>
      <c r="F2166" s="352"/>
      <c r="G2166" s="266"/>
      <c r="H2166" s="266"/>
      <c r="I2166" s="266">
        <f>ROUND(J2173,0)</f>
        <v>86</v>
      </c>
      <c r="J2166" s="347">
        <f t="shared" ref="J2166" si="212">ROUND(PRODUCT(E2166:I2166),2)</f>
        <v>4.7300000000000004</v>
      </c>
    </row>
    <row r="2167" spans="1:10">
      <c r="A2167" s="53"/>
      <c r="B2167" s="53"/>
      <c r="C2167" s="53"/>
      <c r="D2167" s="53"/>
      <c r="E2167" s="53"/>
      <c r="F2167" s="53"/>
      <c r="G2167" s="53"/>
      <c r="H2167" s="53"/>
      <c r="I2167" s="53"/>
      <c r="J2167" s="53"/>
    </row>
    <row r="2168" spans="1:10" ht="25.5">
      <c r="A2168" s="60" t="str">
        <f>'[3]Planilha Orçamentária'!A550</f>
        <v>1.9.8.2.8</v>
      </c>
      <c r="B2168" s="77" t="str">
        <f>VLOOKUP(A2168,'[3]Planilha Orçamentária'!A:K,2,0)</f>
        <v>CP-83681-82667036</v>
      </c>
      <c r="C2168" s="190" t="str">
        <f>VLOOKUP(A2168,'[3]Planilha Orçamentária'!A:K,3,0)</f>
        <v>TUBO PVC D=4" COM MATERIAL DRENANTE PARA DRENO/BARBACA - FORNECIMENTO E INSTALACAO</v>
      </c>
      <c r="D2168" s="63" t="str">
        <f>VLOOKUP(A2168,'[3]Planilha Orçamentária'!A:K,4,0)</f>
        <v>M</v>
      </c>
      <c r="E2168" s="62"/>
      <c r="F2168" s="64"/>
      <c r="G2168" s="64"/>
      <c r="H2168" s="64"/>
      <c r="I2168" s="64"/>
      <c r="J2168" s="78">
        <f>ROUND(SUM(J2170:J2171),2)</f>
        <v>47.25</v>
      </c>
    </row>
    <row r="2169" spans="1:10" ht="25.5">
      <c r="A2169" s="53"/>
      <c r="B2169" s="53"/>
      <c r="C2169" s="262" t="s">
        <v>1965</v>
      </c>
      <c r="D2169" s="349"/>
      <c r="E2169" s="352"/>
      <c r="F2169" s="352"/>
      <c r="G2169" s="266"/>
      <c r="H2169" s="266"/>
      <c r="I2169" s="266"/>
      <c r="J2169" s="53"/>
    </row>
    <row r="2170" spans="1:10">
      <c r="A2170" s="53"/>
      <c r="B2170" s="53"/>
      <c r="C2170" s="262" t="s">
        <v>1945</v>
      </c>
      <c r="D2170" s="347"/>
      <c r="E2170" s="348"/>
      <c r="F2170" s="266">
        <f>F2161/2</f>
        <v>2.66</v>
      </c>
      <c r="G2170" s="348">
        <f>(0.4+0.7)/2</f>
        <v>0.55000000000000004</v>
      </c>
      <c r="H2170" s="348"/>
      <c r="I2170" s="348">
        <v>2</v>
      </c>
      <c r="J2170" s="347">
        <f t="shared" ref="J2170:J2171" si="213">ROUND(PRODUCT(E2170:I2170),2)</f>
        <v>2.93</v>
      </c>
    </row>
    <row r="2171" spans="1:10">
      <c r="A2171" s="53"/>
      <c r="B2171" s="53"/>
      <c r="C2171" s="262" t="s">
        <v>1946</v>
      </c>
      <c r="D2171" s="363"/>
      <c r="E2171" s="348"/>
      <c r="F2171" s="266">
        <f>F2162/2</f>
        <v>40.29</v>
      </c>
      <c r="G2171" s="348">
        <f>(0.4+0.7)/2</f>
        <v>0.55000000000000004</v>
      </c>
      <c r="H2171" s="348"/>
      <c r="I2171" s="348">
        <v>2</v>
      </c>
      <c r="J2171" s="347">
        <f t="shared" si="213"/>
        <v>44.32</v>
      </c>
    </row>
    <row r="2172" spans="1:10">
      <c r="A2172" s="53"/>
      <c r="B2172" s="53"/>
      <c r="C2172" s="53"/>
      <c r="D2172" s="53"/>
      <c r="E2172" s="53"/>
      <c r="F2172" s="53"/>
      <c r="G2172" s="53"/>
      <c r="H2172" s="53"/>
      <c r="I2172" s="53"/>
      <c r="J2172" s="53"/>
    </row>
    <row r="2173" spans="1:10" ht="25.5">
      <c r="A2173" s="60" t="str">
        <f>'[3]Planilha Orçamentária'!A551</f>
        <v>1.9.8.2.9</v>
      </c>
      <c r="B2173" s="77" t="str">
        <f>VLOOKUP(A2173,'[3]Planilha Orçamentária'!A:K,2,0)</f>
        <v>CP-S10448-80966267</v>
      </c>
      <c r="C2173" s="190" t="str">
        <f>VLOOKUP(A2173,'[3]Planilha Orçamentária'!A:K,3,0)</f>
        <v>Abraçadeira metálica tipo "D" de 4"</v>
      </c>
      <c r="D2173" s="63" t="str">
        <f>VLOOKUP(A2173,'[3]Planilha Orçamentária'!A:K,4,0)</f>
        <v>UND</v>
      </c>
      <c r="E2173" s="62"/>
      <c r="F2173" s="64"/>
      <c r="G2173" s="64"/>
      <c r="H2173" s="64"/>
      <c r="I2173" s="64"/>
      <c r="J2173" s="78">
        <f>ROUND(SUM(J2175:J2176),2)</f>
        <v>85.9</v>
      </c>
    </row>
    <row r="2174" spans="1:10">
      <c r="A2174" s="53"/>
      <c r="B2174" s="53"/>
      <c r="C2174" s="262" t="s">
        <v>1966</v>
      </c>
      <c r="D2174" s="349"/>
      <c r="E2174" s="364"/>
      <c r="F2174" s="352"/>
      <c r="G2174" s="266"/>
      <c r="H2174" s="266"/>
      <c r="I2174" s="266"/>
      <c r="J2174" s="53"/>
    </row>
    <row r="2175" spans="1:10">
      <c r="A2175" s="53"/>
      <c r="B2175" s="53"/>
      <c r="C2175" s="262" t="s">
        <v>1945</v>
      </c>
      <c r="D2175" s="347"/>
      <c r="E2175" s="348"/>
      <c r="F2175" s="266">
        <f>F2170</f>
        <v>2.66</v>
      </c>
      <c r="G2175" s="348"/>
      <c r="H2175" s="348"/>
      <c r="I2175" s="266">
        <v>2</v>
      </c>
      <c r="J2175" s="347">
        <f t="shared" ref="J2175:J2176" si="214">ROUND(PRODUCT(E2175:I2175),2)</f>
        <v>5.32</v>
      </c>
    </row>
    <row r="2176" spans="1:10">
      <c r="A2176" s="53"/>
      <c r="B2176" s="53"/>
      <c r="C2176" s="262" t="s">
        <v>1946</v>
      </c>
      <c r="D2176" s="363"/>
      <c r="E2176" s="348"/>
      <c r="F2176" s="266">
        <f>F2171</f>
        <v>40.29</v>
      </c>
      <c r="G2176" s="348"/>
      <c r="H2176" s="348"/>
      <c r="I2176" s="266">
        <v>2</v>
      </c>
      <c r="J2176" s="347">
        <f t="shared" si="214"/>
        <v>80.58</v>
      </c>
    </row>
    <row r="2177" spans="1:10">
      <c r="A2177" s="53"/>
      <c r="B2177" s="53"/>
      <c r="C2177" s="53"/>
      <c r="D2177" s="53"/>
      <c r="E2177" s="53"/>
      <c r="F2177" s="53"/>
      <c r="G2177" s="53"/>
      <c r="H2177" s="53"/>
      <c r="I2177" s="53"/>
      <c r="J2177" s="53"/>
    </row>
    <row r="2178" spans="1:10" ht="25.5">
      <c r="A2178" s="60" t="str">
        <f>'[3]Planilha Orçamentária'!A552</f>
        <v>1.9.8.2.10</v>
      </c>
      <c r="B2178" s="77">
        <f>VLOOKUP(A2178,'[3]Planilha Orçamentária'!A:K,2,0)</f>
        <v>96620</v>
      </c>
      <c r="C2178" s="190" t="str">
        <f>VLOOKUP(A2178,'[3]Planilha Orçamentária'!A:K,3,0)</f>
        <v>LASTRO DE CONCRETO MAGRO, APLICADO EM PISOS, LAJES SOBRE SOLO OU RADIERS. AF_08/2017</v>
      </c>
      <c r="D2178" s="63" t="str">
        <f>VLOOKUP(A2178,'[3]Planilha Orçamentária'!A:K,4,0)</f>
        <v>M3</v>
      </c>
      <c r="E2178" s="62"/>
      <c r="F2178" s="64"/>
      <c r="G2178" s="64"/>
      <c r="H2178" s="64"/>
      <c r="I2178" s="64"/>
      <c r="J2178" s="78">
        <f>ROUND(SUM(J2180:J2181),2)</f>
        <v>5.15</v>
      </c>
    </row>
    <row r="2179" spans="1:10" ht="25.5">
      <c r="A2179" s="53"/>
      <c r="B2179" s="53"/>
      <c r="C2179" s="262" t="s">
        <v>1967</v>
      </c>
      <c r="D2179" s="349"/>
      <c r="E2179" s="364"/>
      <c r="F2179" s="352"/>
      <c r="G2179" s="266"/>
      <c r="H2179" s="266"/>
      <c r="I2179" s="53"/>
      <c r="J2179" s="53"/>
    </row>
    <row r="2180" spans="1:10">
      <c r="A2180" s="53"/>
      <c r="B2180" s="53"/>
      <c r="C2180" s="262" t="s">
        <v>1945</v>
      </c>
      <c r="D2180" s="347"/>
      <c r="E2180" s="348"/>
      <c r="F2180" s="266">
        <f>F2161</f>
        <v>5.32</v>
      </c>
      <c r="G2180" s="348">
        <f>1.1+0.1</f>
        <v>1.2000000000000002</v>
      </c>
      <c r="H2180" s="266">
        <v>0.05</v>
      </c>
      <c r="I2180" s="53"/>
      <c r="J2180" s="347">
        <f t="shared" ref="J2180:J2181" si="215">ROUND(PRODUCT(E2180:I2180),2)</f>
        <v>0.32</v>
      </c>
    </row>
    <row r="2181" spans="1:10">
      <c r="A2181" s="53"/>
      <c r="B2181" s="53"/>
      <c r="C2181" s="262" t="s">
        <v>1946</v>
      </c>
      <c r="D2181" s="365"/>
      <c r="E2181" s="348"/>
      <c r="F2181" s="266">
        <f>F2162</f>
        <v>80.58</v>
      </c>
      <c r="G2181" s="348">
        <f>1.1+0.1</f>
        <v>1.2000000000000002</v>
      </c>
      <c r="H2181" s="266">
        <v>0.05</v>
      </c>
      <c r="I2181" s="53"/>
      <c r="J2181" s="347">
        <f t="shared" si="215"/>
        <v>4.83</v>
      </c>
    </row>
    <row r="2182" spans="1:10">
      <c r="A2182" s="53"/>
      <c r="B2182" s="53"/>
      <c r="C2182" s="53"/>
      <c r="D2182" s="53"/>
      <c r="E2182" s="53"/>
      <c r="F2182" s="53"/>
      <c r="G2182" s="53"/>
      <c r="H2182" s="53"/>
      <c r="I2182" s="53"/>
      <c r="J2182" s="53"/>
    </row>
    <row r="2183" spans="1:10" ht="25.5">
      <c r="A2183" s="60" t="str">
        <f>'[3]Planilha Orçamentária'!A553</f>
        <v>1.9.8.2.11</v>
      </c>
      <c r="B2183" s="77" t="str">
        <f>VLOOKUP(A2183,'[3]Planilha Orçamentária'!A:K,2,0)</f>
        <v>CP-83356-32589970</v>
      </c>
      <c r="C2183" s="190" t="str">
        <f>VLOOKUP(A2183,'[3]Planilha Orçamentária'!A:K,3,0)</f>
        <v>TRANSPORTE COMERCIAL DE PEDRA RACHÃO</v>
      </c>
      <c r="D2183" s="63" t="str">
        <f>VLOOKUP(A2183,'[3]Planilha Orçamentária'!A:K,4,0)</f>
        <v>M3XKM</v>
      </c>
      <c r="E2183" s="62"/>
      <c r="F2183" s="64"/>
      <c r="G2183" s="64"/>
      <c r="H2183" s="64"/>
      <c r="I2183" s="64"/>
      <c r="J2183" s="78">
        <f>ROUND(SUM(J2185),2)</f>
        <v>3153.61</v>
      </c>
    </row>
    <row r="2184" spans="1:10" ht="25.5">
      <c r="A2184" s="53"/>
      <c r="B2184" s="53"/>
      <c r="C2184" s="53"/>
      <c r="D2184" s="53"/>
      <c r="E2184" s="353" t="s">
        <v>1947</v>
      </c>
      <c r="F2184" s="358" t="s">
        <v>1958</v>
      </c>
      <c r="G2184" s="53"/>
      <c r="H2184" s="53"/>
      <c r="I2184" s="53"/>
      <c r="J2184" s="53"/>
    </row>
    <row r="2185" spans="1:10">
      <c r="A2185" s="53"/>
      <c r="B2185" s="53"/>
      <c r="C2185" s="350" t="s">
        <v>1968</v>
      </c>
      <c r="D2185" s="349"/>
      <c r="E2185" s="266">
        <v>1.4</v>
      </c>
      <c r="F2185" s="266">
        <f>F2152</f>
        <v>14.9</v>
      </c>
      <c r="G2185" s="266"/>
      <c r="H2185" s="266"/>
      <c r="I2185" s="266">
        <f>J2145</f>
        <v>151.18</v>
      </c>
      <c r="J2185" s="347">
        <f t="shared" ref="J2185" si="216">ROUND(PRODUCT(E2185:I2185),2)</f>
        <v>3153.61</v>
      </c>
    </row>
    <row r="2186" spans="1:10">
      <c r="A2186" s="53"/>
      <c r="B2186" s="53"/>
      <c r="C2186" s="53"/>
      <c r="D2186" s="53"/>
      <c r="E2186" s="53"/>
      <c r="F2186" s="53"/>
      <c r="G2186" s="53"/>
      <c r="H2186" s="53"/>
      <c r="I2186" s="53"/>
      <c r="J2186" s="53"/>
    </row>
    <row r="2187" spans="1:10" ht="25.5">
      <c r="A2187" s="60" t="str">
        <f>'[3]Planilha Orçamentária'!A554</f>
        <v>1.9.8.2.12</v>
      </c>
      <c r="B2187" s="77" t="str">
        <f>VLOOKUP(A2187,'[3]Planilha Orçamentária'!A:K,2,0)</f>
        <v>COMP-82259696</v>
      </c>
      <c r="C2187" s="190" t="str">
        <f>VLOOKUP(A2187,'[3]Planilha Orçamentária'!A:K,3,0)</f>
        <v>PREENCHIMENTO DE JUNTAS COM SELANTE A BASE DE ASFALTO</v>
      </c>
      <c r="D2187" s="63" t="str">
        <f>VLOOKUP(A2187,'[3]Planilha Orçamentária'!A:K,4,0)</f>
        <v>M</v>
      </c>
      <c r="E2187" s="62"/>
      <c r="F2187" s="64"/>
      <c r="G2187" s="64"/>
      <c r="H2187" s="64"/>
      <c r="I2187" s="64"/>
      <c r="J2187" s="78">
        <f>ROUND(SUM(J2189:J2190),2)</f>
        <v>101.93</v>
      </c>
    </row>
    <row r="2188" spans="1:10">
      <c r="A2188" s="53"/>
      <c r="B2188" s="53"/>
      <c r="C2188" s="262" t="s">
        <v>1969</v>
      </c>
      <c r="D2188" s="349"/>
      <c r="E2188" s="352"/>
      <c r="F2188" s="352"/>
      <c r="G2188" s="266"/>
      <c r="H2188" s="266"/>
      <c r="I2188" s="266"/>
      <c r="J2188" s="53"/>
    </row>
    <row r="2189" spans="1:10">
      <c r="A2189" s="53"/>
      <c r="B2189" s="53"/>
      <c r="C2189" s="262" t="s">
        <v>1945</v>
      </c>
      <c r="D2189" s="347"/>
      <c r="E2189" s="348"/>
      <c r="F2189" s="266">
        <f>F2161/6</f>
        <v>0.88666666666666671</v>
      </c>
      <c r="G2189" s="348"/>
      <c r="H2189" s="348"/>
      <c r="I2189" s="348">
        <f>1.1+0.4+0.2+0.2+2+2.02+0.6+0.6</f>
        <v>7.1199999999999992</v>
      </c>
      <c r="J2189" s="347">
        <f t="shared" ref="J2189:J2190" si="217">ROUND(PRODUCT(E2189:I2189),2)</f>
        <v>6.31</v>
      </c>
    </row>
    <row r="2190" spans="1:10">
      <c r="A2190" s="53"/>
      <c r="B2190" s="53"/>
      <c r="C2190" s="262" t="s">
        <v>1946</v>
      </c>
      <c r="D2190" s="363"/>
      <c r="E2190" s="348"/>
      <c r="F2190" s="266">
        <f>F2162/6</f>
        <v>13.43</v>
      </c>
      <c r="G2190" s="348"/>
      <c r="H2190" s="348"/>
      <c r="I2190" s="348">
        <f>1.1+0.4+0.2+0.2+2+2.02+0.6+0.6</f>
        <v>7.1199999999999992</v>
      </c>
      <c r="J2190" s="347">
        <f t="shared" si="217"/>
        <v>95.62</v>
      </c>
    </row>
    <row r="2191" spans="1:10">
      <c r="A2191" s="53"/>
      <c r="B2191" s="189"/>
      <c r="C2191" s="262"/>
      <c r="D2191" s="363"/>
      <c r="E2191" s="348"/>
      <c r="F2191" s="266"/>
      <c r="G2191" s="348"/>
      <c r="H2191" s="348"/>
      <c r="I2191" s="348"/>
      <c r="J2191" s="53"/>
    </row>
    <row r="2192" spans="1:10">
      <c r="A2192" s="19" t="str">
        <f>'[3]Planilha Orçamentária'!A555</f>
        <v>1.9.8.3</v>
      </c>
      <c r="B2192" s="20"/>
      <c r="C2192" s="21" t="str">
        <f>VLOOKUP(A2192,'[3]Planilha Orçamentária'!A:K,3,0)</f>
        <v>REVESTIMENTO E PROTEÇÃO DA ENCOSTA</v>
      </c>
      <c r="D2192" s="21"/>
      <c r="E2192" s="39"/>
      <c r="F2192" s="40"/>
      <c r="G2192" s="40"/>
      <c r="H2192" s="40"/>
      <c r="I2192" s="40"/>
      <c r="J2192" s="41"/>
    </row>
    <row r="2193" spans="1:10" ht="63.75">
      <c r="A2193" s="60" t="str">
        <f>'[3]Planilha Orçamentária'!A556</f>
        <v>1.9.8.3.1</v>
      </c>
      <c r="B2193" s="61">
        <f>VLOOKUP(A2193,'[3]Planilha Orçamentária'!A:K,2,0)</f>
        <v>99839</v>
      </c>
      <c r="C2193" s="190" t="str">
        <f>VLOOKUP(A2193,'[3]Planilha Orçamentária'!A:K,3,0)</f>
        <v>GUARDA-CORPO DE AÇO GALVANIZADO DE 1,10M DE ALTURA, MONTANTES TUBULARES DE 1.1/2 ESPAÇADOS DE 1,20M, TRAVESSA SUPERIOR DE 2, GRADIL FORMADO POR BARRAS CHATAS EM FERRO DE 32X4,8MM, FIXADO COM CHUMBADOR MECÂNICO. AF_04/2019_P</v>
      </c>
      <c r="D2193" s="63" t="str">
        <f>VLOOKUP(A2193,'[3]Planilha Orçamentária'!A:K,4,0)</f>
        <v>M</v>
      </c>
      <c r="E2193" s="62"/>
      <c r="F2193" s="64"/>
      <c r="G2193" s="64"/>
      <c r="H2193" s="64"/>
      <c r="I2193" s="64"/>
      <c r="J2193" s="78">
        <f>ROUND(SUM(J2195:J2196),2)</f>
        <v>85.9</v>
      </c>
    </row>
    <row r="2194" spans="1:10">
      <c r="A2194" s="53"/>
      <c r="B2194" s="189"/>
      <c r="C2194" s="262" t="s">
        <v>1970</v>
      </c>
      <c r="D2194" s="363"/>
      <c r="E2194" s="348"/>
      <c r="F2194" s="266" t="s">
        <v>1606</v>
      </c>
      <c r="G2194" s="348"/>
      <c r="H2194" s="348"/>
      <c r="I2194" s="348"/>
      <c r="J2194" s="53"/>
    </row>
    <row r="2195" spans="1:10">
      <c r="A2195" s="53"/>
      <c r="B2195" s="189"/>
      <c r="C2195" s="262" t="s">
        <v>1916</v>
      </c>
      <c r="D2195" s="363"/>
      <c r="E2195" s="348"/>
      <c r="F2195" s="266">
        <v>85.9</v>
      </c>
      <c r="G2195" s="348"/>
      <c r="H2195" s="348"/>
      <c r="I2195" s="348"/>
      <c r="J2195" s="347">
        <f t="shared" ref="J2195" si="218">ROUND(PRODUCT(E2195:I2195),2)</f>
        <v>85.9</v>
      </c>
    </row>
    <row r="2196" spans="1:10">
      <c r="A2196" s="53"/>
      <c r="B2196" s="189"/>
      <c r="C2196" s="262"/>
      <c r="D2196" s="363"/>
      <c r="E2196" s="348"/>
      <c r="F2196" s="266"/>
      <c r="G2196" s="348"/>
      <c r="H2196" s="348"/>
      <c r="I2196" s="348"/>
      <c r="J2196" s="53"/>
    </row>
    <row r="2197" spans="1:10" ht="12" customHeight="1">
      <c r="A2197" s="19" t="str">
        <f>'[3]Planilha Orçamentária'!A557</f>
        <v>1.9.9</v>
      </c>
      <c r="B2197" s="20"/>
      <c r="C2197" s="21" t="str">
        <f>VLOOKUP(A2197,'[3]Planilha Orçamentária'!A:K,3,0)</f>
        <v>MATERIAIS</v>
      </c>
      <c r="D2197" s="21"/>
      <c r="E2197" s="39"/>
      <c r="F2197" s="40"/>
      <c r="G2197" s="40"/>
      <c r="H2197" s="40"/>
      <c r="I2197" s="40"/>
      <c r="J2197" s="41"/>
    </row>
    <row r="2198" spans="1:10" ht="51">
      <c r="A2198" s="60" t="str">
        <f>'[3]Planilha Orçamentária'!A558</f>
        <v>1.9.9.1</v>
      </c>
      <c r="B2198" s="61">
        <f>VLOOKUP(A2198,'[3]Planilha Orçamentária'!A:K,2,0)</f>
        <v>10775</v>
      </c>
      <c r="C2198" s="62" t="str">
        <f>VLOOKUP(A2198,'[3]Planilha Orçamentária'!A:K,3,0)</f>
        <v xml:space="preserve">LOCACAO DE CONTAINER 2,30 X 6,00 M, ALT. 2,50 M, COM 1 SANITARIO, PARA ESCRITORIO, COMPLETO, SEM DIVISORIAS INTERNAS (NAO INCLUI MOBILIZACAO/DESMOBILIZACAO)                                                                                                                                                                                                                                                                                                                                              </v>
      </c>
      <c r="D2198" s="63" t="str">
        <f>VLOOKUP(A2198,'[3]Planilha Orçamentária'!A:K,4,0)</f>
        <v xml:space="preserve">MES   </v>
      </c>
      <c r="E2198" s="62"/>
      <c r="F2198" s="64"/>
      <c r="G2198" s="64"/>
      <c r="H2198" s="64"/>
      <c r="I2198" s="64"/>
      <c r="J2198" s="65">
        <f>ROUND(SUM(J2200:J2200),2)</f>
        <v>4</v>
      </c>
    </row>
    <row r="2199" spans="1:10" ht="25.5">
      <c r="A2199" s="66"/>
      <c r="B2199" s="67"/>
      <c r="C2199" s="68"/>
      <c r="D2199" s="69"/>
      <c r="E2199" s="68"/>
      <c r="F2199" s="70"/>
      <c r="G2199" s="71"/>
      <c r="H2199" s="71"/>
      <c r="I2199" s="34" t="s">
        <v>1609</v>
      </c>
      <c r="J2199" s="72"/>
    </row>
    <row r="2200" spans="1:10">
      <c r="A2200" s="27"/>
      <c r="B2200" s="27"/>
      <c r="C2200" s="73"/>
      <c r="D2200" s="74"/>
      <c r="E2200" s="35"/>
      <c r="F2200" s="75"/>
      <c r="G2200" s="35"/>
      <c r="H2200" s="35"/>
      <c r="I2200" s="35">
        <f>I1941</f>
        <v>4</v>
      </c>
      <c r="J2200" s="36">
        <f>ROUND(PRODUCT(E2200:I2200),2)</f>
        <v>4</v>
      </c>
    </row>
    <row r="2201" spans="1:10">
      <c r="A2201" s="496"/>
      <c r="B2201" s="496"/>
      <c r="C2201" s="496"/>
      <c r="D2201" s="496"/>
      <c r="E2201" s="496"/>
      <c r="F2201" s="496"/>
      <c r="G2201" s="496"/>
      <c r="H2201" s="496"/>
      <c r="I2201" s="496"/>
      <c r="J2201" s="496"/>
    </row>
    <row r="2202" spans="1:10" ht="38.25">
      <c r="A2202" s="60" t="str">
        <f>'[3]Planilha Orçamentária'!A559</f>
        <v>1.9.9.2</v>
      </c>
      <c r="B2202" s="61">
        <f>VLOOKUP(A2202,'[3]Planilha Orçamentária'!A:K,2,0)</f>
        <v>10776</v>
      </c>
      <c r="C2202" s="62" t="str">
        <f>VLOOKUP(A2202,'[3]Planilha Orçamentária'!A:K,3,0)</f>
        <v xml:space="preserve">LOCACAO DE CONTAINER 2,30 X 6,00 M, ALT. 2,50 M, PARA ESCRITORIO, SEM DIVISORIAS INTERNAS E SEM SANITARIO (NAO INCLUI MOBILIZACAO/DESMOBILIZACAO)                                                                                                                                                                                                                                                                                                                                                         </v>
      </c>
      <c r="D2202" s="63" t="str">
        <f>VLOOKUP(A2202,'[3]Planilha Orçamentária'!A:K,4,0)</f>
        <v xml:space="preserve">MES   </v>
      </c>
      <c r="E2202" s="62"/>
      <c r="F2202" s="64"/>
      <c r="G2202" s="64"/>
      <c r="H2202" s="64"/>
      <c r="I2202" s="64"/>
      <c r="J2202" s="65">
        <f>ROUND(SUM(J2204:J2204),2)</f>
        <v>4</v>
      </c>
    </row>
    <row r="2203" spans="1:10" ht="25.5">
      <c r="A2203" s="66"/>
      <c r="B2203" s="67"/>
      <c r="C2203" s="68"/>
      <c r="D2203" s="69"/>
      <c r="E2203" s="68"/>
      <c r="F2203" s="70"/>
      <c r="G2203" s="71"/>
      <c r="H2203" s="71"/>
      <c r="I2203" s="34" t="s">
        <v>1609</v>
      </c>
      <c r="J2203" s="72"/>
    </row>
    <row r="2204" spans="1:10">
      <c r="A2204" s="27"/>
      <c r="B2204" s="27"/>
      <c r="C2204" s="73"/>
      <c r="D2204" s="74"/>
      <c r="E2204" s="35"/>
      <c r="F2204" s="75"/>
      <c r="G2204" s="35"/>
      <c r="H2204" s="35"/>
      <c r="I2204" s="35">
        <f>I2200</f>
        <v>4</v>
      </c>
      <c r="J2204" s="36">
        <f>ROUND(PRODUCT(E2204:I2204),2)</f>
        <v>4</v>
      </c>
    </row>
    <row r="2205" spans="1:10">
      <c r="A2205" s="496"/>
      <c r="B2205" s="496"/>
      <c r="C2205" s="496"/>
      <c r="D2205" s="496"/>
      <c r="E2205" s="496"/>
      <c r="F2205" s="496"/>
      <c r="G2205" s="496"/>
      <c r="H2205" s="496"/>
      <c r="I2205" s="496"/>
      <c r="J2205" s="496"/>
    </row>
    <row r="2206" spans="1:10" ht="25.5">
      <c r="A2206" s="28" t="str">
        <f>'[3]Planilha Orçamentária'!A560</f>
        <v>1.9.9.3</v>
      </c>
      <c r="B2206" s="29">
        <f>VLOOKUP(A2206,'[3]Planilha Orçamentária'!A:K,2,0)</f>
        <v>6081</v>
      </c>
      <c r="C2206" s="30" t="str">
        <f>VLOOKUP(A2206,'[3]Planilha Orçamentária'!A:K,3,0)</f>
        <v xml:space="preserve">ARGILA OU BARRO PARA ATERRO/REATERRO (COM TRANSPORTE ATE 10 KM)                                                                                                                                                                                                                                                                                                                                                                                                                                           </v>
      </c>
      <c r="D2206" s="31" t="str">
        <f>VLOOKUP(A2206,'[3]Planilha Orçamentária'!A:K,4,0)</f>
        <v xml:space="preserve">M3    </v>
      </c>
      <c r="E2206" s="30"/>
      <c r="F2206" s="32"/>
      <c r="G2206" s="32"/>
      <c r="H2206" s="32"/>
      <c r="I2206" s="32"/>
      <c r="J2206" s="33">
        <f>ROUND(SUM(J2207:J2208),2)</f>
        <v>87.66</v>
      </c>
    </row>
    <row r="2207" spans="1:10">
      <c r="A2207" s="94"/>
      <c r="B2207" s="94"/>
      <c r="C2207" s="86" t="s">
        <v>1932</v>
      </c>
      <c r="D2207" s="94"/>
      <c r="E2207" s="94"/>
      <c r="F2207" s="94"/>
      <c r="G2207" s="94"/>
      <c r="H2207" s="94"/>
      <c r="I2207" s="94" t="s">
        <v>1623</v>
      </c>
      <c r="J2207" s="94"/>
    </row>
    <row r="2208" spans="1:10">
      <c r="A2208" s="94"/>
      <c r="B2208" s="94"/>
      <c r="C2208" s="366" t="s">
        <v>1971</v>
      </c>
      <c r="D2208" s="94"/>
      <c r="E2208" s="94"/>
      <c r="F2208" s="94"/>
      <c r="G2208" s="94"/>
      <c r="H2208" s="94"/>
      <c r="I2208" s="196">
        <f>J1992-J1980</f>
        <v>87.660000000000025</v>
      </c>
      <c r="J2208" s="120">
        <f t="shared" ref="J2208" si="219">ROUND(PRODUCT(E2208:I2208),2)</f>
        <v>87.66</v>
      </c>
    </row>
    <row r="2209" spans="1:10">
      <c r="A2209" s="130"/>
      <c r="B2209" s="197"/>
      <c r="C2209" s="197"/>
      <c r="D2209" s="197"/>
      <c r="E2209" s="197"/>
      <c r="F2209" s="197"/>
      <c r="G2209" s="197"/>
      <c r="H2209" s="197"/>
      <c r="I2209" s="197"/>
      <c r="J2209" s="138"/>
    </row>
    <row r="2210" spans="1:10" ht="63.75">
      <c r="A2210" s="99" t="str">
        <f>'[3]Planilha Orçamentária'!A561</f>
        <v>1.9.9.4</v>
      </c>
      <c r="B2210" s="48">
        <f>VLOOKUP(A2210,'[3]Planilha Orçamentária'!A:K,2,0)</f>
        <v>36170</v>
      </c>
      <c r="C2210" s="100" t="str">
        <f>VLOOKUP(A2210,'[3]Planilha Orçamentária'!A:K,3,0)</f>
        <v xml:space="preserve">BLOQUETE/PISO INTERTRAVADO DE CONCRETO - MODELO ONDA/16 FACES/RETANGULAR/TIJOLINHO/PAVER/HOLANDES/PARALELEPIPEDO, *22 CM X 11* CM, E = 8 CM, RESISTENCIA DE 35 MPA (NBR 9781), COR NATURAL                                                                                                                                                                                                                                                                                                                </v>
      </c>
      <c r="D2210" s="101" t="str">
        <f>VLOOKUP(A2210,'[3]Planilha Orçamentária'!A:K,4,0)</f>
        <v xml:space="preserve">M2    </v>
      </c>
      <c r="E2210" s="100"/>
      <c r="F2210" s="102"/>
      <c r="G2210" s="102"/>
      <c r="H2210" s="102"/>
      <c r="I2210" s="102"/>
      <c r="J2210" s="193">
        <f>ROUND(SUM(J2211:J2212),2)</f>
        <v>1805.92</v>
      </c>
    </row>
    <row r="2211" spans="1:10">
      <c r="A2211" s="94"/>
      <c r="B2211" s="128"/>
      <c r="C2211" s="79" t="s">
        <v>1933</v>
      </c>
      <c r="D2211" s="96"/>
      <c r="E2211" s="34" t="s">
        <v>837</v>
      </c>
      <c r="F2211" s="34"/>
      <c r="G2211" s="82"/>
      <c r="H2211" s="82"/>
      <c r="I2211" s="82" t="s">
        <v>1620</v>
      </c>
      <c r="J2211" s="120"/>
    </row>
    <row r="2212" spans="1:10">
      <c r="A2212" s="94"/>
      <c r="B2212" s="128"/>
      <c r="C2212" s="194" t="s">
        <v>1677</v>
      </c>
      <c r="D2212" s="53"/>
      <c r="E2212" s="94">
        <v>1.0130999999999999</v>
      </c>
      <c r="F2212" s="34"/>
      <c r="G2212" s="82"/>
      <c r="H2212" s="82"/>
      <c r="I2212" s="82">
        <f>J2017</f>
        <v>1782.57</v>
      </c>
      <c r="J2212" s="120">
        <f>ROUND(PRODUCT(E2212:I2212),2)</f>
        <v>1805.92</v>
      </c>
    </row>
    <row r="2213" spans="1:10">
      <c r="A2213" s="497"/>
      <c r="B2213" s="497"/>
      <c r="C2213" s="497"/>
      <c r="D2213" s="497"/>
      <c r="E2213" s="497"/>
      <c r="F2213" s="497"/>
      <c r="G2213" s="497"/>
      <c r="H2213" s="497"/>
      <c r="I2213" s="497"/>
      <c r="J2213" s="497"/>
    </row>
    <row r="2214" spans="1:10" ht="63.75">
      <c r="A2214" s="99" t="str">
        <f>'[3]Planilha Orçamentária'!A562</f>
        <v>1.9.9.5</v>
      </c>
      <c r="B2214" s="48">
        <f>VLOOKUP(A2214,'[3]Planilha Orçamentária'!A:K,2,0)</f>
        <v>36154</v>
      </c>
      <c r="C2214" s="100" t="str">
        <f>VLOOKUP(A2214,'[3]Planilha Orçamentária'!A:K,3,0)</f>
        <v xml:space="preserve">BLOQUETE/PISO INTERTRAVADO DE CONCRETO - MODELO ONDA/16 FACES/RETANGULAR/TIJOLINHO/PAVER/HOLANDES/PARALELEPIPEDO, 20 CM X 10 CM, E = 8 CM, RESISTENCIA DE 35 MPA (NBR 9781), COLORIDO                                                                                                                                                                                                                                                                                                                     </v>
      </c>
      <c r="D2214" s="101" t="str">
        <f>VLOOKUP(A2214,'[3]Planilha Orçamentária'!A:K,4,0)</f>
        <v xml:space="preserve">M2    </v>
      </c>
      <c r="E2214" s="100"/>
      <c r="F2214" s="102"/>
      <c r="G2214" s="102"/>
      <c r="H2214" s="102"/>
      <c r="I2214" s="102"/>
      <c r="J2214" s="33">
        <f>ROUND(SUM(J2215:J2217),2)</f>
        <v>849.13</v>
      </c>
    </row>
    <row r="2215" spans="1:10">
      <c r="A2215" s="94"/>
      <c r="B2215" s="128"/>
      <c r="C2215" s="79" t="s">
        <v>1933</v>
      </c>
      <c r="D2215" s="96"/>
      <c r="E2215" s="34" t="s">
        <v>837</v>
      </c>
      <c r="F2215" s="34"/>
      <c r="G2215" s="82"/>
      <c r="H2215" s="82"/>
      <c r="I2215" s="82" t="s">
        <v>1620</v>
      </c>
      <c r="J2215" s="120"/>
    </row>
    <row r="2216" spans="1:10">
      <c r="A2216" s="94"/>
      <c r="B2216" s="128"/>
      <c r="C2216" s="194" t="s">
        <v>1677</v>
      </c>
      <c r="D2216" s="53"/>
      <c r="E2216" s="94">
        <v>1.0130999999999999</v>
      </c>
      <c r="F2216" s="34"/>
      <c r="G2216" s="82"/>
      <c r="H2216" s="82"/>
      <c r="I2216" s="82">
        <f>J2018</f>
        <v>838.15</v>
      </c>
      <c r="J2216" s="120">
        <f t="shared" ref="J2216" si="220">ROUND(PRODUCT(E2216:I2216),2)</f>
        <v>849.13</v>
      </c>
    </row>
    <row r="2217" spans="1:10">
      <c r="A2217" s="94"/>
      <c r="B2217" s="128"/>
      <c r="C2217" s="145"/>
      <c r="D2217" s="96"/>
      <c r="E2217" s="82"/>
      <c r="F2217" s="34"/>
      <c r="G2217" s="82"/>
      <c r="H2217" s="82"/>
      <c r="I2217" s="82"/>
      <c r="J2217" s="120"/>
    </row>
    <row r="2218" spans="1:10">
      <c r="A2218" s="498"/>
      <c r="B2218" s="499"/>
      <c r="C2218" s="499"/>
      <c r="D2218" s="499"/>
      <c r="E2218" s="499"/>
      <c r="F2218" s="499"/>
      <c r="G2218" s="499"/>
      <c r="H2218" s="499"/>
      <c r="I2218" s="499"/>
      <c r="J2218" s="500"/>
    </row>
    <row r="2219" spans="1:10" ht="25.5">
      <c r="A2219" s="28" t="str">
        <f>'[3]Planilha Orçamentária'!A563</f>
        <v>1.9.9.6</v>
      </c>
      <c r="B2219" s="29" t="str">
        <f>VLOOKUP(A2219,'[3]Planilha Orçamentária'!A:K,2,0)</f>
        <v>M0132</v>
      </c>
      <c r="C2219" s="30" t="str">
        <f>VLOOKUP(A2219,'[3]Planilha Orçamentária'!A:K,3,0)</f>
        <v xml:space="preserve">	Tubo PEAD corrugado com paredes estruturadas para drenagem - D = 450 mm</v>
      </c>
      <c r="D2219" s="31" t="str">
        <f>VLOOKUP(A2219,'[3]Planilha Orçamentária'!A:K,4,0)</f>
        <v>M</v>
      </c>
      <c r="E2219" s="30"/>
      <c r="F2219" s="32"/>
      <c r="G2219" s="32"/>
      <c r="H2219" s="32"/>
      <c r="I2219" s="32"/>
      <c r="J2219" s="33">
        <f>ROUND(SUM(J2220:J2221),2)</f>
        <v>291.5</v>
      </c>
    </row>
    <row r="2220" spans="1:10">
      <c r="A2220" s="94"/>
      <c r="B2220" s="94"/>
      <c r="C2220" s="154" t="s">
        <v>1936</v>
      </c>
      <c r="D2220" s="94"/>
      <c r="E2220" s="94"/>
      <c r="F2220" s="94" t="s">
        <v>1606</v>
      </c>
      <c r="G2220" s="94"/>
      <c r="H2220" s="94"/>
      <c r="I2220" s="94"/>
      <c r="J2220" s="94"/>
    </row>
    <row r="2221" spans="1:10">
      <c r="A2221" s="94"/>
      <c r="B2221" s="94"/>
      <c r="C2221" s="145" t="s">
        <v>1857</v>
      </c>
      <c r="D2221" s="94"/>
      <c r="E2221" s="94"/>
      <c r="F2221" s="196">
        <f>F2094</f>
        <v>291.5</v>
      </c>
      <c r="G2221" s="94"/>
      <c r="H2221" s="94"/>
      <c r="I2221" s="196"/>
      <c r="J2221" s="120">
        <f t="shared" ref="J2221" si="221">ROUND(PRODUCT(E2221:I2221),2)</f>
        <v>291.5</v>
      </c>
    </row>
    <row r="2222" spans="1:10" ht="12" customHeight="1">
      <c r="A2222" s="130"/>
      <c r="B2222" s="197"/>
      <c r="C2222" s="197"/>
      <c r="D2222" s="197"/>
      <c r="E2222" s="197"/>
      <c r="F2222" s="197"/>
      <c r="G2222" s="197"/>
      <c r="H2222" s="197"/>
      <c r="I2222" s="197"/>
      <c r="J2222" s="138"/>
    </row>
    <row r="2223" spans="1:10" ht="12" customHeight="1">
      <c r="A2223" s="28" t="str">
        <f>'[3]Planilha Orçamentária'!A564</f>
        <v>1.9.9.7</v>
      </c>
      <c r="B2223" s="29" t="str">
        <f>VLOOKUP(A2223,'[3]Planilha Orçamentária'!A:K,2,0)</f>
        <v>INS-185032</v>
      </c>
      <c r="C2223" s="30" t="str">
        <f>VLOOKUP(A2223,'[3]Planilha Orçamentária'!A:K,3,0)</f>
        <v>BRITA GRADUADA SIMPLES (BGS)</v>
      </c>
      <c r="D2223" s="31" t="str">
        <f>VLOOKUP(A2223,'[3]Planilha Orçamentária'!A:K,4,0)</f>
        <v>M3</v>
      </c>
      <c r="E2223" s="30"/>
      <c r="F2223" s="32"/>
      <c r="G2223" s="32"/>
      <c r="H2223" s="32"/>
      <c r="I2223" s="32"/>
      <c r="J2223" s="33">
        <f>ROUND(SUM(J2224:J2225),2)</f>
        <v>393.11</v>
      </c>
    </row>
    <row r="2224" spans="1:10" ht="12" customHeight="1">
      <c r="A2224" s="94"/>
      <c r="B2224" s="94"/>
      <c r="C2224" s="195" t="s">
        <v>1933</v>
      </c>
      <c r="D2224" s="94"/>
      <c r="E2224" s="34" t="s">
        <v>837</v>
      </c>
      <c r="F2224" s="94"/>
      <c r="G2224" s="94"/>
      <c r="H2224" s="94"/>
      <c r="I2224" s="94" t="s">
        <v>1623</v>
      </c>
      <c r="J2224" s="94"/>
    </row>
    <row r="2225" spans="1:10" ht="12" customHeight="1">
      <c r="A2225" s="94"/>
      <c r="B2225" s="94"/>
      <c r="C2225" s="194" t="s">
        <v>1680</v>
      </c>
      <c r="D2225" s="53"/>
      <c r="E2225" s="198">
        <v>1</v>
      </c>
      <c r="F2225" s="94"/>
      <c r="G2225" s="94"/>
      <c r="H2225" s="94"/>
      <c r="I2225" s="196">
        <f>J2002</f>
        <v>393.11</v>
      </c>
      <c r="J2225" s="120">
        <f t="shared" ref="J2225" si="222">ROUND(PRODUCT(E2225:I2225),2)</f>
        <v>393.11</v>
      </c>
    </row>
    <row r="2226" spans="1:10" ht="12" customHeight="1">
      <c r="A2226" s="130"/>
      <c r="B2226" s="197"/>
      <c r="C2226" s="197"/>
      <c r="D2226" s="197"/>
      <c r="E2226" s="197"/>
      <c r="F2226" s="197"/>
      <c r="G2226" s="197"/>
      <c r="H2226" s="197"/>
      <c r="I2226" s="197"/>
      <c r="J2226" s="137"/>
    </row>
    <row r="2227" spans="1:10">
      <c r="A2227" s="201" t="str">
        <f>'[3]Planilha Orçamentária'!A565</f>
        <v>2.0</v>
      </c>
      <c r="B2227" s="504" t="str">
        <f>'[3]Planilha Orçamentária'!C565</f>
        <v>CALÇADAS</v>
      </c>
      <c r="C2227" s="505"/>
      <c r="D2227" s="505"/>
      <c r="E2227" s="505"/>
      <c r="F2227" s="505"/>
      <c r="G2227" s="505"/>
      <c r="H2227" s="505"/>
      <c r="I2227" s="505"/>
      <c r="J2227" s="505"/>
    </row>
    <row r="2228" spans="1:10">
      <c r="A2228" s="201" t="str">
        <f>'[3]Planilha Orçamentária'!A566</f>
        <v>2.1</v>
      </c>
      <c r="B2228" s="504" t="str">
        <f>VLOOKUP(A2228,'[3]Planilha Orçamentária'!A:K,3,0)</f>
        <v>REQUALIFICAÇÃO DE CALÇADAS</v>
      </c>
      <c r="C2228" s="505"/>
      <c r="D2228" s="505"/>
      <c r="E2228" s="505"/>
      <c r="F2228" s="505"/>
      <c r="G2228" s="505"/>
      <c r="H2228" s="505"/>
      <c r="I2228" s="505"/>
      <c r="J2228" s="505"/>
    </row>
    <row r="2229" spans="1:10">
      <c r="A2229" s="19" t="str">
        <f>'[3]Planilha Orçamentária'!A567</f>
        <v>2.1.1</v>
      </c>
      <c r="B2229" s="20"/>
      <c r="C2229" s="21" t="str">
        <f>VLOOKUP(A2229,'[3]Planilha Orçamentária'!A:K,3,0)</f>
        <v>INSTALAÇÕES PROVISÓRIAS</v>
      </c>
      <c r="D2229" s="22"/>
      <c r="E2229" s="23"/>
      <c r="F2229" s="24"/>
      <c r="G2229" s="24"/>
      <c r="H2229" s="24"/>
      <c r="I2229" s="25"/>
      <c r="J2229" s="26"/>
    </row>
    <row r="2230" spans="1:10" ht="25.5">
      <c r="A2230" s="59" t="str">
        <f>'[3]Planilha Orçamentária'!A568</f>
        <v>2.1.1.1</v>
      </c>
      <c r="B2230" s="29" t="str">
        <f>VLOOKUP(A2230,'[3]Planilha Orçamentária'!A:K,2,0)</f>
        <v>CP-74209/001-15055090</v>
      </c>
      <c r="C2230" s="30" t="str">
        <f>VLOOKUP(A2230,'[3]Planilha Orçamentária'!A:K,3,0)</f>
        <v>PLACA DE OBRA EM CHAPA DE ACO GALVANIZADO</v>
      </c>
      <c r="D2230" s="31" t="str">
        <f>VLOOKUP(A2230,'[3]Planilha Orçamentária'!A:K,4,0)</f>
        <v xml:space="preserve">M2    </v>
      </c>
      <c r="E2230" s="30"/>
      <c r="F2230" s="34" t="s">
        <v>1606</v>
      </c>
      <c r="G2230" s="34" t="s">
        <v>1607</v>
      </c>
      <c r="H2230" s="34"/>
      <c r="I2230" s="34" t="s">
        <v>1608</v>
      </c>
      <c r="J2230" s="33">
        <f>ROUND(SUM(J2232:J2232),2)</f>
        <v>2.88</v>
      </c>
    </row>
    <row r="2231" spans="1:10">
      <c r="A2231" s="54"/>
      <c r="B2231" s="54"/>
      <c r="C2231" s="54"/>
      <c r="D2231" s="53"/>
      <c r="E2231" s="54"/>
      <c r="F2231" s="198"/>
      <c r="G2231" s="198"/>
      <c r="H2231" s="198"/>
      <c r="I2231" s="198"/>
      <c r="J2231" s="198"/>
    </row>
    <row r="2232" spans="1:10">
      <c r="A2232" s="54"/>
      <c r="B2232" s="54"/>
      <c r="C2232" s="54"/>
      <c r="D2232" s="53"/>
      <c r="E2232" s="54"/>
      <c r="F2232" s="264">
        <v>2.4</v>
      </c>
      <c r="G2232" s="264"/>
      <c r="H2232" s="264">
        <v>1.2</v>
      </c>
      <c r="I2232" s="198">
        <v>1</v>
      </c>
      <c r="J2232" s="36">
        <f>ROUND(PRODUCT(E2232:I2232),2)</f>
        <v>2.88</v>
      </c>
    </row>
    <row r="2233" spans="1:10">
      <c r="A2233" s="506"/>
      <c r="B2233" s="507"/>
      <c r="C2233" s="507"/>
      <c r="D2233" s="507"/>
      <c r="E2233" s="507"/>
      <c r="F2233" s="507"/>
      <c r="G2233" s="507"/>
      <c r="H2233" s="507"/>
      <c r="I2233" s="507"/>
      <c r="J2233" s="508"/>
    </row>
    <row r="2234" spans="1:10" ht="25.5">
      <c r="A2234" s="28" t="str">
        <f>'[3]Planilha Orçamentária'!A569</f>
        <v>2.1.1.2</v>
      </c>
      <c r="B2234" s="29" t="str">
        <f>VLOOKUP(A2234,'[3]Planilha Orçamentária'!A:K,2,0)</f>
        <v>COMP-07440249</v>
      </c>
      <c r="C2234" s="30" t="str">
        <f>VLOOKUP(A2234,'[3]Planilha Orçamentária'!A:K,3,0)</f>
        <v>BANHEIRO QUÍMICO, COM LOCAÇÃO, TRANSPORTE E LIMPEZA</v>
      </c>
      <c r="D2234" s="31" t="str">
        <f>VLOOKUP(A2234,'[3]Planilha Orçamentária'!A:K,4,0)</f>
        <v>MÊS</v>
      </c>
      <c r="E2234" s="30"/>
      <c r="F2234" s="32"/>
      <c r="G2234" s="32"/>
      <c r="H2234" s="32"/>
      <c r="I2234" s="32"/>
      <c r="J2234" s="33">
        <f>ROUND(SUM(J2236:J2236),2)</f>
        <v>4</v>
      </c>
    </row>
    <row r="2235" spans="1:10" ht="25.5">
      <c r="A2235" s="28"/>
      <c r="B2235" s="29"/>
      <c r="C2235" s="30"/>
      <c r="D2235" s="31"/>
      <c r="E2235" s="30"/>
      <c r="F2235" s="34"/>
      <c r="G2235" s="34"/>
      <c r="H2235" s="34"/>
      <c r="I2235" s="34" t="s">
        <v>1609</v>
      </c>
      <c r="J2235" s="33"/>
    </row>
    <row r="2236" spans="1:10">
      <c r="A2236" s="27"/>
      <c r="B2236" s="27"/>
      <c r="C2236" s="27"/>
      <c r="D2236" s="27"/>
      <c r="E2236" s="27"/>
      <c r="F2236" s="35"/>
      <c r="G2236" s="35"/>
      <c r="H2236" s="27"/>
      <c r="I2236" s="35">
        <v>4</v>
      </c>
      <c r="J2236" s="36">
        <f>ROUND(PRODUCT(E2236:I2236),2)</f>
        <v>4</v>
      </c>
    </row>
    <row r="2237" spans="1:10">
      <c r="A2237" s="501"/>
      <c r="B2237" s="502"/>
      <c r="C2237" s="502"/>
      <c r="D2237" s="502"/>
      <c r="E2237" s="502"/>
      <c r="F2237" s="502"/>
      <c r="G2237" s="502"/>
      <c r="H2237" s="502"/>
      <c r="I2237" s="502"/>
      <c r="J2237" s="503"/>
    </row>
    <row r="2238" spans="1:10">
      <c r="A2238" s="19" t="str">
        <f>'[3]Planilha Orçamentária'!A570</f>
        <v>2.1.2</v>
      </c>
      <c r="B2238" s="20"/>
      <c r="C2238" s="21" t="str">
        <f>VLOOKUP(A2238,'[3]Planilha Orçamentária'!A:K,3,0)</f>
        <v>ADMINISTRAÇÃO LOCAL</v>
      </c>
      <c r="D2238" s="21"/>
      <c r="E2238" s="39"/>
      <c r="F2238" s="40"/>
      <c r="G2238" s="40"/>
      <c r="H2238" s="40"/>
      <c r="I2238" s="40"/>
      <c r="J2238" s="41"/>
    </row>
    <row r="2239" spans="1:10" ht="25.5">
      <c r="A2239" s="28" t="str">
        <f>'[3]Planilha Orçamentária'!A571</f>
        <v>2.1.2.1</v>
      </c>
      <c r="B2239" s="42">
        <f>VLOOKUP(A2239,'[3]Planilha Orçamentária'!A:K,2,0)</f>
        <v>93565</v>
      </c>
      <c r="C2239" s="30" t="str">
        <f>VLOOKUP(A2239,'[3]Planilha Orçamentária'!A:K,3,0)</f>
        <v>ENGENHEIRO CIVIL DE OBRA JUNIOR COM ENCARGOS COMPLEMENTARES</v>
      </c>
      <c r="D2239" s="31" t="str">
        <f>VLOOKUP(A2239,'[3]Planilha Orçamentária'!A:K,4,0)</f>
        <v>MES</v>
      </c>
      <c r="E2239" s="43"/>
      <c r="F2239" s="44"/>
      <c r="G2239" s="44"/>
      <c r="H2239" s="44"/>
      <c r="I2239" s="44"/>
      <c r="J2239" s="45">
        <f>ROUND(SUM(J2242),2)</f>
        <v>0.5</v>
      </c>
    </row>
    <row r="2240" spans="1:10">
      <c r="A2240" s="28"/>
      <c r="B2240" s="29"/>
      <c r="C2240" s="46" t="s">
        <v>1889</v>
      </c>
      <c r="D2240" s="31"/>
      <c r="E2240" s="43"/>
      <c r="F2240" s="44"/>
      <c r="G2240" s="44"/>
      <c r="H2240" s="44"/>
      <c r="I2240" s="44"/>
      <c r="J2240" s="47"/>
    </row>
    <row r="2241" spans="1:10">
      <c r="A2241" s="28"/>
      <c r="B2241" s="48"/>
      <c r="C2241" s="49" t="s">
        <v>1972</v>
      </c>
      <c r="D2241" s="50"/>
      <c r="E2241" s="51"/>
      <c r="F2241" s="52"/>
      <c r="G2241" s="52"/>
      <c r="H2241" s="52"/>
      <c r="I2241" s="52"/>
      <c r="J2241" s="45"/>
    </row>
    <row r="2242" spans="1:10">
      <c r="A2242" s="53"/>
      <c r="B2242" s="54"/>
      <c r="C2242" s="46" t="s">
        <v>1612</v>
      </c>
      <c r="D2242" s="55"/>
      <c r="E2242" s="56">
        <f>22/176</f>
        <v>0.125</v>
      </c>
      <c r="F2242" s="57"/>
      <c r="G2242" s="57"/>
      <c r="H2242" s="57"/>
      <c r="I2242" s="57">
        <f>I2236</f>
        <v>4</v>
      </c>
      <c r="J2242" s="58">
        <f>ROUND(PRODUCT(E2242:I2242),2)</f>
        <v>0.5</v>
      </c>
    </row>
    <row r="2243" spans="1:10">
      <c r="A2243" s="496"/>
      <c r="B2243" s="496"/>
      <c r="C2243" s="496"/>
      <c r="D2243" s="496"/>
      <c r="E2243" s="496"/>
      <c r="F2243" s="496"/>
      <c r="G2243" s="496"/>
      <c r="H2243" s="496"/>
      <c r="I2243" s="496"/>
      <c r="J2243" s="496"/>
    </row>
    <row r="2244" spans="1:10" ht="25.5">
      <c r="A2244" s="28" t="str">
        <f>'[3]Planilha Orçamentária'!A572</f>
        <v>2.1.2.2</v>
      </c>
      <c r="B2244" s="42">
        <f>VLOOKUP(A2244,'[3]Planilha Orçamentária'!A:K,2,0)</f>
        <v>93572</v>
      </c>
      <c r="C2244" s="30" t="str">
        <f>VLOOKUP(A2244,'[3]Planilha Orçamentária'!A:K,3,0)</f>
        <v>ENCARREGADO GERAL DE OBRAS COM ENCARGOS COMPLEMENTARES</v>
      </c>
      <c r="D2244" s="31" t="str">
        <f>VLOOKUP(A2244,'[3]Planilha Orçamentária'!A:K,4,0)</f>
        <v>MES</v>
      </c>
      <c r="E2244" s="43"/>
      <c r="F2244" s="44"/>
      <c r="G2244" s="44"/>
      <c r="H2244" s="44"/>
      <c r="I2244" s="44"/>
      <c r="J2244" s="45">
        <f>ROUND(SUM(J2247),2)</f>
        <v>2</v>
      </c>
    </row>
    <row r="2245" spans="1:10">
      <c r="A2245" s="28"/>
      <c r="B2245" s="29"/>
      <c r="C2245" s="46" t="s">
        <v>1890</v>
      </c>
      <c r="D2245" s="31"/>
      <c r="E2245" s="43"/>
      <c r="F2245" s="44"/>
      <c r="G2245" s="44"/>
      <c r="H2245" s="44"/>
      <c r="I2245" s="44"/>
      <c r="J2245" s="47"/>
    </row>
    <row r="2246" spans="1:10">
      <c r="A2246" s="28"/>
      <c r="B2246" s="48"/>
      <c r="C2246" s="49" t="s">
        <v>1614</v>
      </c>
      <c r="D2246" s="50"/>
      <c r="E2246" s="51"/>
      <c r="F2246" s="52"/>
      <c r="G2246" s="52"/>
      <c r="H2246" s="52"/>
      <c r="I2246" s="52"/>
      <c r="J2246" s="45"/>
    </row>
    <row r="2247" spans="1:10">
      <c r="A2247" s="53"/>
      <c r="B2247" s="54"/>
      <c r="C2247" s="46" t="s">
        <v>1612</v>
      </c>
      <c r="D2247" s="55"/>
      <c r="E2247" s="56">
        <f>88/176</f>
        <v>0.5</v>
      </c>
      <c r="F2247" s="57"/>
      <c r="G2247" s="57"/>
      <c r="H2247" s="57"/>
      <c r="I2247" s="57">
        <f>I2236</f>
        <v>4</v>
      </c>
      <c r="J2247" s="58">
        <f>ROUND(PRODUCT(E2247:I2247),2)</f>
        <v>2</v>
      </c>
    </row>
    <row r="2248" spans="1:10">
      <c r="A2248" s="496"/>
      <c r="B2248" s="496"/>
      <c r="C2248" s="496"/>
      <c r="D2248" s="496"/>
      <c r="E2248" s="496"/>
      <c r="F2248" s="496"/>
      <c r="G2248" s="496"/>
      <c r="H2248" s="496"/>
      <c r="I2248" s="496"/>
      <c r="J2248" s="496"/>
    </row>
    <row r="2249" spans="1:10">
      <c r="A2249" s="19" t="str">
        <f>'[3]Planilha Orçamentária'!A573</f>
        <v>2.1.3</v>
      </c>
      <c r="B2249" s="20"/>
      <c r="C2249" s="21" t="str">
        <f>VLOOKUP(A2249,'[3]Planilha Orçamentária'!A:K,3,0)</f>
        <v>SERVIÇOS PRELIMINARES</v>
      </c>
      <c r="D2249" s="22"/>
      <c r="E2249" s="23"/>
      <c r="F2249" s="24"/>
      <c r="G2249" s="24"/>
      <c r="H2249" s="24"/>
      <c r="I2249" s="25"/>
      <c r="J2249" s="26"/>
    </row>
    <row r="2250" spans="1:10" ht="25.5">
      <c r="A2250" s="60" t="str">
        <f>'[3]Planilha Orçamentária'!A574</f>
        <v>2.1.3.1</v>
      </c>
      <c r="B2250" s="61" t="str">
        <f>VLOOKUP(A2250,'[3]Planilha Orçamentária'!A:K,2,0)</f>
        <v>CP-97635-02989626</v>
      </c>
      <c r="C2250" s="62" t="str">
        <f>VLOOKUP(A2250,'[3]Planilha Orçamentária'!A:K,3,0)</f>
        <v>DEMOLIÇÃO DE CALÇADA E PAVIMENTOS DIVERSOS REGULARIZADO</v>
      </c>
      <c r="D2250" s="63" t="str">
        <f>VLOOKUP(A2250,'[3]Planilha Orçamentária'!A:K,4,0)</f>
        <v>M2</v>
      </c>
      <c r="E2250" s="62"/>
      <c r="F2250" s="64"/>
      <c r="G2250" s="64"/>
      <c r="H2250" s="64"/>
      <c r="I2250" s="64"/>
      <c r="J2250" s="72">
        <f>ROUND(SUM(J2252:J2253),2)</f>
        <v>5609.46</v>
      </c>
    </row>
    <row r="2251" spans="1:10">
      <c r="A2251" s="66"/>
      <c r="B2251" s="67"/>
      <c r="C2251" s="79" t="s">
        <v>1973</v>
      </c>
      <c r="D2251" s="69"/>
      <c r="E2251" s="68"/>
      <c r="F2251" s="70"/>
      <c r="G2251" s="71"/>
      <c r="H2251" s="71"/>
      <c r="I2251" s="34" t="s">
        <v>1620</v>
      </c>
      <c r="J2251" s="78"/>
    </row>
    <row r="2252" spans="1:10" ht="25.5">
      <c r="A2252" s="66"/>
      <c r="B2252" s="67"/>
      <c r="C2252" s="73" t="s">
        <v>1974</v>
      </c>
      <c r="D2252" s="69"/>
      <c r="E2252" s="68"/>
      <c r="F2252" s="70"/>
      <c r="G2252" s="71"/>
      <c r="H2252" s="71"/>
      <c r="I2252" s="34">
        <f>3057.98+2272.56</f>
        <v>5330.54</v>
      </c>
      <c r="J2252" s="36">
        <f t="shared" ref="J2252:J2253" si="223">ROUND(PRODUCT(E2252:I2252),2)</f>
        <v>5330.54</v>
      </c>
    </row>
    <row r="2253" spans="1:10" ht="25.5">
      <c r="A2253" s="27"/>
      <c r="B2253" s="27"/>
      <c r="C2253" s="73" t="s">
        <v>1975</v>
      </c>
      <c r="D2253" s="74"/>
      <c r="E2253" s="35"/>
      <c r="F2253" s="75"/>
      <c r="G2253" s="35"/>
      <c r="H2253" s="35"/>
      <c r="I2253" s="35">
        <f>278.92</f>
        <v>278.92</v>
      </c>
      <c r="J2253" s="36">
        <f t="shared" si="223"/>
        <v>278.92</v>
      </c>
    </row>
    <row r="2254" spans="1:10">
      <c r="A2254" s="496"/>
      <c r="B2254" s="496"/>
      <c r="C2254" s="496"/>
      <c r="D2254" s="496"/>
      <c r="E2254" s="496"/>
      <c r="F2254" s="496"/>
      <c r="G2254" s="496"/>
      <c r="H2254" s="496"/>
      <c r="I2254" s="496"/>
      <c r="J2254" s="496"/>
    </row>
    <row r="2255" spans="1:10" ht="25.5">
      <c r="A2255" s="60" t="str">
        <f>'[3]Planilha Orçamentária'!A575</f>
        <v>2.1.3.2</v>
      </c>
      <c r="B2255" s="61" t="str">
        <f>VLOOKUP(A2255,'[3]Planilha Orçamentária'!A:K,2,0)</f>
        <v>COMP-01471766</v>
      </c>
      <c r="C2255" s="62" t="str">
        <f>VLOOKUP(A2255,'[3]Planilha Orçamentária'!A:K,3,0)</f>
        <v>DEMOLIÇÃO DE MEIO-FIO</v>
      </c>
      <c r="D2255" s="63" t="str">
        <f>VLOOKUP(A2255,'[3]Planilha Orçamentária'!A:K,4,0)</f>
        <v>M</v>
      </c>
      <c r="E2255" s="62"/>
      <c r="F2255" s="64"/>
      <c r="G2255" s="64"/>
      <c r="H2255" s="64"/>
      <c r="I2255" s="64"/>
      <c r="J2255" s="65">
        <f>ROUND(SUM(J2257:J2258),2)</f>
        <v>178.73</v>
      </c>
    </row>
    <row r="2256" spans="1:10">
      <c r="A2256" s="66"/>
      <c r="B2256" s="67"/>
      <c r="C2256" s="79" t="s">
        <v>1973</v>
      </c>
      <c r="D2256" s="69"/>
      <c r="E2256" s="68"/>
      <c r="F2256" s="70" t="s">
        <v>1606</v>
      </c>
      <c r="G2256" s="71"/>
      <c r="H2256" s="71"/>
      <c r="I2256" s="34"/>
      <c r="J2256" s="72"/>
    </row>
    <row r="2257" spans="1:11" ht="25.5">
      <c r="A2257" s="27"/>
      <c r="B2257" s="27"/>
      <c r="C2257" s="73" t="s">
        <v>1976</v>
      </c>
      <c r="D2257" s="74"/>
      <c r="E2257" s="35"/>
      <c r="F2257" s="75">
        <v>69.78</v>
      </c>
      <c r="G2257" s="35"/>
      <c r="H2257" s="35"/>
      <c r="I2257" s="35"/>
      <c r="J2257" s="36">
        <f t="shared" ref="J2257:J2258" si="224">ROUND(PRODUCT(E2257:I2257),2)</f>
        <v>69.78</v>
      </c>
    </row>
    <row r="2258" spans="1:11">
      <c r="A2258" s="27"/>
      <c r="B2258" s="27"/>
      <c r="C2258" s="73"/>
      <c r="D2258" s="74"/>
      <c r="E2258" s="35"/>
      <c r="F2258" s="75">
        <v>108.95</v>
      </c>
      <c r="G2258" s="35"/>
      <c r="H2258" s="35"/>
      <c r="I2258" s="35"/>
      <c r="J2258" s="36">
        <f t="shared" si="224"/>
        <v>108.95</v>
      </c>
    </row>
    <row r="2259" spans="1:11">
      <c r="A2259" s="496"/>
      <c r="B2259" s="496"/>
      <c r="C2259" s="496"/>
      <c r="D2259" s="496"/>
      <c r="E2259" s="496"/>
      <c r="F2259" s="496"/>
      <c r="G2259" s="496"/>
      <c r="H2259" s="496"/>
      <c r="I2259" s="496"/>
      <c r="J2259" s="496"/>
    </row>
    <row r="2260" spans="1:11" ht="51">
      <c r="A2260" s="60" t="str">
        <f>'[3]Planilha Orçamentária'!A576</f>
        <v>2.1.3.3</v>
      </c>
      <c r="B2260" s="61" t="str">
        <f>VLOOKUP(A2260,'[3]Planilha Orçamentária'!A:K,2,0)</f>
        <v>COMP-35145154</v>
      </c>
      <c r="C2260" s="62" t="str">
        <f>VLOOKUP(A2260,'[3]Planilha Orçamentária'!A:K,3,0)</f>
        <v>CARGA E DESCARGA MECANICA DE SOLO UTILIZANDO CAMINHAO BASCULANTE 14,0M3/36T E PA CARREGADEIRA SOBRE PNEUS 128 HP, CAPACIDADE DA CAÇAMBA 1,7 A 2,8 M3, PESO OPERACIONAL 11632 KH</v>
      </c>
      <c r="D2260" s="63" t="str">
        <f>VLOOKUP(A2260,'[3]Planilha Orçamentária'!A:K,4,0)</f>
        <v>M3</v>
      </c>
      <c r="E2260" s="62"/>
      <c r="F2260" s="64"/>
      <c r="G2260" s="64"/>
      <c r="H2260" s="64"/>
      <c r="I2260" s="64"/>
      <c r="J2260" s="65">
        <f>ROUND(SUM(J2262:J2264),2)</f>
        <v>711.23</v>
      </c>
    </row>
    <row r="2261" spans="1:11">
      <c r="A2261" s="66"/>
      <c r="B2261" s="67"/>
      <c r="C2261" s="86"/>
      <c r="D2261" s="69"/>
      <c r="E2261" s="81" t="s">
        <v>1622</v>
      </c>
      <c r="F2261" s="71"/>
      <c r="G2261" s="71"/>
      <c r="H2261" s="88" t="s">
        <v>1619</v>
      </c>
      <c r="I2261" s="70" t="s">
        <v>1620</v>
      </c>
      <c r="J2261" s="72"/>
      <c r="K2261" s="108"/>
    </row>
    <row r="2262" spans="1:11" ht="25.5">
      <c r="A2262" s="66"/>
      <c r="B2262" s="67"/>
      <c r="C2262" s="86" t="s">
        <v>1977</v>
      </c>
      <c r="D2262" s="69"/>
      <c r="E2262" s="81">
        <v>1.25</v>
      </c>
      <c r="F2262" s="71"/>
      <c r="G2262" s="71"/>
      <c r="H2262" s="367">
        <v>0.1</v>
      </c>
      <c r="I2262" s="87">
        <f>J2250</f>
        <v>5609.46</v>
      </c>
      <c r="J2262" s="36">
        <f>ROUND(PRODUCT(E2262:I2262),2)</f>
        <v>701.18</v>
      </c>
    </row>
    <row r="2263" spans="1:11">
      <c r="A2263" s="66"/>
      <c r="B2263" s="67"/>
      <c r="C2263" s="68"/>
      <c r="D2263" s="69"/>
      <c r="E2263" s="81" t="s">
        <v>1622</v>
      </c>
      <c r="F2263" s="88" t="s">
        <v>1606</v>
      </c>
      <c r="G2263" s="88" t="s">
        <v>1607</v>
      </c>
      <c r="H2263" s="88" t="s">
        <v>1619</v>
      </c>
      <c r="I2263" s="80"/>
      <c r="J2263" s="36"/>
    </row>
    <row r="2264" spans="1:11">
      <c r="A2264" s="66"/>
      <c r="B2264" s="67"/>
      <c r="C2264" s="86" t="s">
        <v>1625</v>
      </c>
      <c r="D2264" s="69"/>
      <c r="E2264" s="81">
        <v>1.25</v>
      </c>
      <c r="F2264" s="89">
        <f>J2255</f>
        <v>178.73</v>
      </c>
      <c r="G2264" s="88">
        <v>0.15</v>
      </c>
      <c r="H2264" s="88">
        <v>0.3</v>
      </c>
      <c r="I2264" s="87"/>
      <c r="J2264" s="36">
        <f>ROUND(PRODUCT(E2264:I2264),2)</f>
        <v>10.050000000000001</v>
      </c>
    </row>
    <row r="2265" spans="1:11">
      <c r="A2265" s="496"/>
      <c r="B2265" s="496"/>
      <c r="C2265" s="496"/>
      <c r="D2265" s="496"/>
      <c r="E2265" s="496"/>
      <c r="F2265" s="496"/>
      <c r="G2265" s="496"/>
      <c r="H2265" s="496"/>
      <c r="I2265" s="496"/>
      <c r="J2265" s="496"/>
    </row>
    <row r="2266" spans="1:11" ht="38.25">
      <c r="A2266" s="60" t="str">
        <f>'[3]Planilha Orçamentária'!A577</f>
        <v>2.1.3.4</v>
      </c>
      <c r="B2266" s="61">
        <f>VLOOKUP(A2266,'[3]Planilha Orçamentária'!A:K,2,0)</f>
        <v>95876</v>
      </c>
      <c r="C2266" s="62" t="str">
        <f>VLOOKUP(A2266,'[3]Planilha Orçamentária'!A:K,3,0)</f>
        <v>TRANSPORTE COM CAMINHÃO BASCULANTE DE 14 M³, EM VIA URBANA PAVIMENTADA, DMT ATÉ 30 KM (UNIDADE: M3XKM). AF_07/2020</v>
      </c>
      <c r="D2266" s="63" t="str">
        <f>VLOOKUP(A2266,'[3]Planilha Orçamentária'!A:K,4,0)</f>
        <v>M3XKM</v>
      </c>
      <c r="E2266" s="62"/>
      <c r="F2266" s="64"/>
      <c r="G2266" s="64"/>
      <c r="H2266" s="64"/>
      <c r="I2266" s="64"/>
      <c r="J2266" s="65">
        <f>ROUND(SUM(J2268:J2268),2)</f>
        <v>640.11</v>
      </c>
    </row>
    <row r="2267" spans="1:11">
      <c r="A2267" s="66"/>
      <c r="B2267" s="67"/>
      <c r="C2267" s="90"/>
      <c r="D2267" s="27"/>
      <c r="E2267" s="27" t="s">
        <v>1627</v>
      </c>
      <c r="F2267" s="27"/>
      <c r="G2267" s="27"/>
      <c r="H2267" s="27"/>
      <c r="I2267" s="27" t="s">
        <v>1623</v>
      </c>
      <c r="J2267" s="72"/>
    </row>
    <row r="2268" spans="1:11">
      <c r="A2268" s="27"/>
      <c r="B2268" s="27"/>
      <c r="C2268" s="73" t="s">
        <v>1691</v>
      </c>
      <c r="D2268" s="27"/>
      <c r="E2268" s="81">
        <v>0.9</v>
      </c>
      <c r="F2268" s="81"/>
      <c r="G2268" s="81"/>
      <c r="H2268" s="81"/>
      <c r="I2268" s="92">
        <f>J2260</f>
        <v>711.23</v>
      </c>
      <c r="J2268" s="36">
        <f>ROUND(PRODUCT(E2268:I2268),2)</f>
        <v>640.11</v>
      </c>
    </row>
    <row r="2269" spans="1:11">
      <c r="A2269" s="496"/>
      <c r="B2269" s="496"/>
      <c r="C2269" s="496"/>
      <c r="D2269" s="496"/>
      <c r="E2269" s="496"/>
      <c r="F2269" s="496"/>
      <c r="G2269" s="496"/>
      <c r="H2269" s="496"/>
      <c r="I2269" s="496"/>
      <c r="J2269" s="496"/>
    </row>
    <row r="2270" spans="1:11">
      <c r="A2270" s="19" t="str">
        <f>'[3]Planilha Orçamentária'!A578</f>
        <v>2.1.4</v>
      </c>
      <c r="B2270" s="20"/>
      <c r="C2270" s="21" t="str">
        <f>VLOOKUP(A2270,'[3]Planilha Orçamentária'!A:K,3,0)</f>
        <v>REQUALIFICAÇÃO DE CALÇADAS</v>
      </c>
      <c r="D2270" s="22"/>
      <c r="E2270" s="23"/>
      <c r="F2270" s="24"/>
      <c r="G2270" s="24"/>
      <c r="H2270" s="24"/>
      <c r="I2270" s="25"/>
      <c r="J2270" s="26"/>
    </row>
    <row r="2271" spans="1:11" ht="25.5">
      <c r="A2271" s="99" t="str">
        <f>'[3]Planilha Orçamentária'!A579</f>
        <v>2.1.4.1</v>
      </c>
      <c r="B2271" s="48" t="str">
        <f>VLOOKUP(A2271,'[3]Planilha Orçamentária'!A:K,2,0)</f>
        <v>CP-97084-89637704</v>
      </c>
      <c r="C2271" s="100" t="str">
        <f>VLOOKUP(A2271,'[3]Planilha Orçamentária'!A:K,3,0)</f>
        <v>REGULARIZACAO E COMPACTAÇÃO MANUAL DE TERRENO COM PLACA VIBRATÓRIA</v>
      </c>
      <c r="D2271" s="101" t="str">
        <f>VLOOKUP(A2271,'[3]Planilha Orçamentária'!A:K,4,0)</f>
        <v>M2</v>
      </c>
      <c r="E2271" s="34"/>
      <c r="F2271" s="34"/>
      <c r="G2271" s="64"/>
      <c r="H2271" s="34"/>
      <c r="I2271" s="87"/>
      <c r="J2271" s="33">
        <f>ROUND(SUM(J2272:J2274),2)</f>
        <v>5032.26</v>
      </c>
    </row>
    <row r="2272" spans="1:11">
      <c r="A2272" s="152"/>
      <c r="B2272" s="153"/>
      <c r="C2272" s="79" t="s">
        <v>1973</v>
      </c>
      <c r="D2272" s="168"/>
      <c r="E2272" s="169"/>
      <c r="F2272" s="170"/>
      <c r="G2272" s="170"/>
      <c r="H2272" s="170"/>
      <c r="I2272" s="368" t="s">
        <v>1620</v>
      </c>
      <c r="J2272" s="369"/>
    </row>
    <row r="2273" spans="1:11">
      <c r="A2273" s="152"/>
      <c r="B2273" s="153"/>
      <c r="C2273" s="370" t="s">
        <v>1978</v>
      </c>
      <c r="D2273" s="168"/>
      <c r="E2273" s="169"/>
      <c r="F2273" s="170"/>
      <c r="G2273" s="170"/>
      <c r="H2273" s="170"/>
      <c r="I2273" s="92">
        <f>J2275</f>
        <v>5032.26</v>
      </c>
      <c r="J2273" s="36">
        <f t="shared" ref="J2273" si="225">ROUND(PRODUCT(E2273:I2273),2)</f>
        <v>5032.26</v>
      </c>
    </row>
    <row r="2274" spans="1:11">
      <c r="A2274" s="371"/>
      <c r="B2274" s="372"/>
      <c r="C2274" s="373"/>
      <c r="D2274" s="374"/>
      <c r="E2274" s="375"/>
      <c r="F2274" s="376"/>
      <c r="G2274" s="376"/>
      <c r="H2274" s="376"/>
      <c r="I2274" s="377"/>
      <c r="J2274" s="369"/>
    </row>
    <row r="2275" spans="1:11" ht="51">
      <c r="A2275" s="28" t="str">
        <f>'[3]Planilha Orçamentária'!A580</f>
        <v>2.1.4.2</v>
      </c>
      <c r="B2275" s="29" t="str">
        <f>VLOOKUP(A2275,'[3]Planilha Orçamentária'!A:K,2,0)</f>
        <v>CP-92399-27762594</v>
      </c>
      <c r="C2275" s="30" t="str">
        <f>VLOOKUP(A2275,'[3]Planilha Orçamentária'!A:K,3,0)</f>
        <v>EXECUÇÃO DE VIA EM PISO INTERTRAVADO, COM BLOCO RETANGULAR COR NATURAL/COLORIDO DE 20 X 10 CM, ESPESSURA 8 CM - (SEM O MATERIAL BLOQUETE/PISO INTERTRAVADO)</v>
      </c>
      <c r="D2275" s="31" t="str">
        <f>VLOOKUP(A2275,'[3]Planilha Orçamentária'!A:K,4,0)</f>
        <v>M2</v>
      </c>
      <c r="E2275" s="34"/>
      <c r="F2275" s="34"/>
      <c r="G2275" s="64"/>
      <c r="H2275" s="34"/>
      <c r="I2275" s="87"/>
      <c r="J2275" s="33">
        <f>ROUND(SUM(J2276:J2282),2)</f>
        <v>5032.26</v>
      </c>
    </row>
    <row r="2276" spans="1:11">
      <c r="A2276" s="94"/>
      <c r="B2276" s="133"/>
      <c r="C2276" s="79" t="s">
        <v>1973</v>
      </c>
      <c r="D2276" s="96"/>
      <c r="E2276" s="82"/>
      <c r="F2276" s="34"/>
      <c r="G2276" s="82"/>
      <c r="H2276" s="82"/>
      <c r="I2276" s="82" t="s">
        <v>1620</v>
      </c>
      <c r="J2276" s="120"/>
    </row>
    <row r="2277" spans="1:11" ht="28.5">
      <c r="A2277" s="94"/>
      <c r="B2277" s="133"/>
      <c r="C2277" s="126" t="s">
        <v>1646</v>
      </c>
      <c r="D2277" s="96"/>
      <c r="E2277" s="82"/>
      <c r="F2277" s="34"/>
      <c r="G2277" s="82"/>
      <c r="H2277" s="82"/>
      <c r="I2277" s="82">
        <v>2476.1</v>
      </c>
      <c r="J2277" s="120">
        <f>ROUND(PRODUCT(E2277:I2277),2)</f>
        <v>2476.1</v>
      </c>
    </row>
    <row r="2278" spans="1:11" ht="14.25">
      <c r="A2278" s="94"/>
      <c r="B2278" s="133"/>
      <c r="C2278" s="126"/>
      <c r="D2278" s="96"/>
      <c r="E2278" s="82"/>
      <c r="F2278" s="34"/>
      <c r="G2278" s="82"/>
      <c r="H2278" s="82"/>
      <c r="I2278" s="82">
        <v>1508.94</v>
      </c>
      <c r="J2278" s="120">
        <f t="shared" ref="J2278:J2282" si="226">ROUND(PRODUCT(E2278:I2278),2)</f>
        <v>1508.94</v>
      </c>
    </row>
    <row r="2279" spans="1:11" ht="28.5">
      <c r="A2279" s="94"/>
      <c r="B2279" s="133"/>
      <c r="C2279" s="126" t="s">
        <v>1979</v>
      </c>
      <c r="D2279" s="96"/>
      <c r="E2279" s="82"/>
      <c r="F2279" s="34"/>
      <c r="G2279" s="82"/>
      <c r="H2279" s="82"/>
      <c r="I2279" s="82">
        <v>511.78</v>
      </c>
      <c r="J2279" s="120">
        <f t="shared" si="226"/>
        <v>511.78</v>
      </c>
    </row>
    <row r="2280" spans="1:11" ht="14.25">
      <c r="A2280" s="94"/>
      <c r="B2280" s="133"/>
      <c r="C2280" s="126"/>
      <c r="D2280" s="96"/>
      <c r="E2280" s="82"/>
      <c r="F2280" s="34"/>
      <c r="G2280" s="82"/>
      <c r="H2280" s="82"/>
      <c r="I2280" s="82">
        <v>503.85</v>
      </c>
      <c r="J2280" s="120">
        <f t="shared" si="226"/>
        <v>503.85</v>
      </c>
    </row>
    <row r="2281" spans="1:11" ht="28.5">
      <c r="A2281" s="94"/>
      <c r="B2281" s="133"/>
      <c r="C2281" s="126" t="s">
        <v>1980</v>
      </c>
      <c r="D2281" s="96"/>
      <c r="E2281" s="82"/>
      <c r="F2281" s="34"/>
      <c r="G2281" s="82"/>
      <c r="H2281" s="82"/>
      <c r="I2281" s="82">
        <v>26.2</v>
      </c>
      <c r="J2281" s="120">
        <f t="shared" si="226"/>
        <v>26.2</v>
      </c>
    </row>
    <row r="2282" spans="1:11" ht="14.25">
      <c r="A2282" s="94"/>
      <c r="B2282" s="133"/>
      <c r="C2282" s="126"/>
      <c r="D2282" s="96"/>
      <c r="E2282" s="82"/>
      <c r="F2282" s="34"/>
      <c r="G2282" s="82"/>
      <c r="H2282" s="82"/>
      <c r="I2282" s="82">
        <v>5.39</v>
      </c>
      <c r="J2282" s="120">
        <f t="shared" si="226"/>
        <v>5.39</v>
      </c>
    </row>
    <row r="2283" spans="1:11">
      <c r="A2283" s="497"/>
      <c r="B2283" s="497"/>
      <c r="C2283" s="497"/>
      <c r="D2283" s="497"/>
      <c r="E2283" s="497"/>
      <c r="F2283" s="497"/>
      <c r="G2283" s="497"/>
      <c r="H2283" s="497"/>
      <c r="I2283" s="497"/>
      <c r="J2283" s="497"/>
    </row>
    <row r="2284" spans="1:11" ht="25.5">
      <c r="A2284" s="28" t="str">
        <f>'[3]Planilha Orçamentária'!A581</f>
        <v>2.1.4.3</v>
      </c>
      <c r="B2284" s="29" t="str">
        <f>VLOOKUP(A2284,'[3]Planilha Orçamentária'!A:K,2,0)</f>
        <v>CP-97084-89637704</v>
      </c>
      <c r="C2284" s="30" t="str">
        <f>VLOOKUP(A2284,'[3]Planilha Orçamentária'!A:K,3,0)</f>
        <v>REGULARIZACAO E COMPACTAÇÃO MANUAL DE TERRENO COM PLACA VIBRATÓRIA</v>
      </c>
      <c r="D2284" s="31" t="str">
        <f>VLOOKUP(A2284,'[3]Planilha Orçamentária'!A:K,4,0)</f>
        <v>M2</v>
      </c>
      <c r="E2284" s="34"/>
      <c r="F2284" s="34"/>
      <c r="G2284" s="32"/>
      <c r="H2284" s="34"/>
      <c r="I2284" s="332"/>
      <c r="J2284" s="33">
        <f>ROUND(SUM(J2285:J2288),2)</f>
        <v>554.42999999999995</v>
      </c>
    </row>
    <row r="2285" spans="1:11">
      <c r="A2285" s="27"/>
      <c r="B2285" s="37"/>
      <c r="C2285" s="86" t="s">
        <v>1973</v>
      </c>
      <c r="D2285" s="27"/>
      <c r="E2285" s="27"/>
      <c r="F2285" s="27"/>
      <c r="G2285" s="27"/>
      <c r="H2285" s="27"/>
      <c r="I2285" s="27" t="s">
        <v>1620</v>
      </c>
      <c r="J2285" s="27"/>
    </row>
    <row r="2286" spans="1:11">
      <c r="A2286" s="27"/>
      <c r="B2286" s="37"/>
      <c r="C2286" s="142" t="s">
        <v>1981</v>
      </c>
      <c r="D2286" s="27"/>
      <c r="E2286" s="27"/>
      <c r="F2286" s="295"/>
      <c r="G2286" s="135"/>
      <c r="H2286" s="135"/>
      <c r="I2286" s="143">
        <f>175.71+234.52</f>
        <v>410.23</v>
      </c>
      <c r="J2286" s="36">
        <f t="shared" ref="J2286:J2287" si="227">ROUND(PRODUCT(E2286:I2286),2)</f>
        <v>410.23</v>
      </c>
    </row>
    <row r="2287" spans="1:11">
      <c r="A2287" s="27"/>
      <c r="B2287" s="37"/>
      <c r="C2287" s="142" t="s">
        <v>1982</v>
      </c>
      <c r="D2287" s="27"/>
      <c r="E2287" s="27"/>
      <c r="F2287" s="27"/>
      <c r="G2287" s="27"/>
      <c r="H2287" s="27"/>
      <c r="I2287" s="143">
        <f>38.39+105.81</f>
        <v>144.19999999999999</v>
      </c>
      <c r="J2287" s="36">
        <f t="shared" si="227"/>
        <v>144.19999999999999</v>
      </c>
    </row>
    <row r="2288" spans="1:11">
      <c r="A2288" s="27"/>
      <c r="B2288" s="37"/>
      <c r="C2288" s="27"/>
      <c r="D2288" s="27"/>
      <c r="E2288" s="27"/>
      <c r="F2288" s="27"/>
      <c r="G2288" s="27"/>
      <c r="H2288" s="27"/>
      <c r="I2288" s="27"/>
      <c r="J2288" s="27"/>
    </row>
    <row r="2289" spans="1:10" ht="51">
      <c r="A2289" s="28" t="str">
        <f>'[3]Planilha Orçamentária'!A582</f>
        <v>2.1.4.4</v>
      </c>
      <c r="B2289" s="29" t="str">
        <f>VLOOKUP(A2289,'[3]Planilha Orçamentária'!A:K,2,0)</f>
        <v>CP-94991-12549457</v>
      </c>
      <c r="C2289" s="30" t="str">
        <f>VLOOKUP(A2289,'[3]Planilha Orçamentária'!A:K,3,0)</f>
        <v>EXECUÇÃO DE PASSEIO (CALÇADA) OU PISO DE CONCRETO COM CONCRETO MOLDADO IN LOCO, USINADO, ACABAMENTO CONVENCIONAL, NÃO ARMADO - EXCLUINDO O CONCRETO USINADO 20MPA</v>
      </c>
      <c r="D2289" s="31" t="str">
        <f>VLOOKUP(A2289,'[3]Planilha Orçamentária'!A:K,4,0)</f>
        <v>M3</v>
      </c>
      <c r="E2289" s="34"/>
      <c r="F2289" s="34"/>
      <c r="G2289" s="32"/>
      <c r="H2289" s="34"/>
      <c r="I2289" s="332"/>
      <c r="J2289" s="33">
        <f>ROUND(SUM(J2290:J2292),2)</f>
        <v>28.72</v>
      </c>
    </row>
    <row r="2290" spans="1:10">
      <c r="A2290" s="27"/>
      <c r="B2290" s="37"/>
      <c r="C2290" s="86" t="s">
        <v>1973</v>
      </c>
      <c r="D2290" s="27"/>
      <c r="E2290" s="27"/>
      <c r="F2290" s="27"/>
      <c r="G2290" s="27"/>
      <c r="H2290" s="27" t="s">
        <v>1619</v>
      </c>
      <c r="I2290" s="27" t="s">
        <v>1620</v>
      </c>
      <c r="J2290" s="27"/>
    </row>
    <row r="2291" spans="1:10">
      <c r="A2291" s="27"/>
      <c r="B2291" s="37"/>
      <c r="C2291" s="142" t="s">
        <v>1981</v>
      </c>
      <c r="D2291" s="27"/>
      <c r="E2291" s="27"/>
      <c r="F2291" s="295"/>
      <c r="G2291" s="135"/>
      <c r="H2291" s="143">
        <v>7.0000000000000007E-2</v>
      </c>
      <c r="I2291" s="143">
        <f>I2286</f>
        <v>410.23</v>
      </c>
      <c r="J2291" s="36">
        <f t="shared" ref="J2291" si="228">ROUND(PRODUCT(E2291:I2291),2)</f>
        <v>28.72</v>
      </c>
    </row>
    <row r="2292" spans="1:10">
      <c r="A2292" s="27"/>
      <c r="B2292" s="37"/>
      <c r="C2292" s="27"/>
      <c r="D2292" s="27"/>
      <c r="E2292" s="27"/>
      <c r="F2292" s="27"/>
      <c r="G2292" s="27"/>
      <c r="H2292" s="143"/>
      <c r="I2292" s="143"/>
      <c r="J2292" s="36"/>
    </row>
    <row r="2293" spans="1:10" ht="63.75">
      <c r="A2293" s="28" t="str">
        <f>'[3]Planilha Orçamentária'!A583</f>
        <v>2.1.4.5</v>
      </c>
      <c r="B2293" s="29">
        <f>VLOOKUP(A2293,'[3]Planilha Orçamentária'!A:K,2,0)</f>
        <v>94273</v>
      </c>
      <c r="C2293" s="30" t="str">
        <f>VLOOKUP(A2293,'[3]Planilha Orçamentária'!A:K,3,0)</f>
        <v>ASSENTAMENTO DE GUIA (MEIO-FIO) EM TRECHO RETO, CONFECCIONADA EM CONCRETO PRÉ-FABRICADO, DIMENSÕES 100X15X13X30 CM (COMPRIMENTO X BASE INFERIOR X BASE SUPERIOR X ALTURA), PARA VIAS URBANAS (USO VIÁRIO). AF_06/2016</v>
      </c>
      <c r="D2293" s="31" t="str">
        <f>VLOOKUP(A2293,'[3]Planilha Orçamentária'!A:K,4,0)</f>
        <v>M</v>
      </c>
      <c r="E2293" s="34"/>
      <c r="F2293" s="34"/>
      <c r="G2293" s="32"/>
      <c r="H2293" s="34"/>
      <c r="I2293" s="332"/>
      <c r="J2293" s="33">
        <f>ROUND(SUM(J2294:J2298),2)</f>
        <v>98.44</v>
      </c>
    </row>
    <row r="2294" spans="1:10">
      <c r="A2294" s="27"/>
      <c r="B2294" s="37"/>
      <c r="C2294" s="86" t="s">
        <v>1973</v>
      </c>
      <c r="D2294" s="27"/>
      <c r="E2294" s="27"/>
      <c r="F2294" s="27" t="s">
        <v>1606</v>
      </c>
      <c r="G2294" s="27"/>
      <c r="H2294" s="27"/>
      <c r="I2294" s="27"/>
      <c r="J2294" s="27"/>
    </row>
    <row r="2295" spans="1:10">
      <c r="A2295" s="27"/>
      <c r="B2295" s="37"/>
      <c r="C2295" s="311" t="s">
        <v>1983</v>
      </c>
      <c r="D2295" s="27"/>
      <c r="E2295" s="27"/>
      <c r="F2295" s="143">
        <v>48.21</v>
      </c>
      <c r="G2295" s="27"/>
      <c r="H2295" s="27"/>
      <c r="I2295" s="27"/>
      <c r="J2295" s="36">
        <f t="shared" ref="J2295:J2298" si="229">ROUND(PRODUCT(E2295:I2295),2)</f>
        <v>48.21</v>
      </c>
    </row>
    <row r="2296" spans="1:10">
      <c r="A2296" s="27"/>
      <c r="B2296" s="37"/>
      <c r="C2296" s="27"/>
      <c r="D2296" s="27"/>
      <c r="E2296" s="27"/>
      <c r="F2296" s="143">
        <v>9.69</v>
      </c>
      <c r="G2296" s="27"/>
      <c r="H2296" s="27"/>
      <c r="I2296" s="27"/>
      <c r="J2296" s="36">
        <f t="shared" si="229"/>
        <v>9.69</v>
      </c>
    </row>
    <row r="2297" spans="1:10">
      <c r="A2297" s="27"/>
      <c r="B2297" s="37"/>
      <c r="C2297" s="311" t="s">
        <v>1984</v>
      </c>
      <c r="D2297" s="27"/>
      <c r="E2297" s="27"/>
      <c r="F2297" s="143">
        <v>28.32</v>
      </c>
      <c r="G2297" s="27"/>
      <c r="H2297" s="27"/>
      <c r="I2297" s="27"/>
      <c r="J2297" s="36">
        <f t="shared" si="229"/>
        <v>28.32</v>
      </c>
    </row>
    <row r="2298" spans="1:10">
      <c r="A2298" s="27"/>
      <c r="B2298" s="37"/>
      <c r="C2298" s="27"/>
      <c r="D2298" s="27"/>
      <c r="E2298" s="27"/>
      <c r="F2298" s="143">
        <v>12.22</v>
      </c>
      <c r="G2298" s="27"/>
      <c r="H2298" s="27"/>
      <c r="I2298" s="27"/>
      <c r="J2298" s="36">
        <f t="shared" si="229"/>
        <v>12.22</v>
      </c>
    </row>
    <row r="2299" spans="1:10">
      <c r="A2299" s="94"/>
      <c r="B2299" s="95"/>
      <c r="C2299" s="94"/>
      <c r="D2299" s="94"/>
      <c r="E2299" s="94"/>
      <c r="F2299" s="94"/>
      <c r="G2299" s="94"/>
      <c r="H2299" s="94"/>
      <c r="I2299" s="94"/>
      <c r="J2299" s="94"/>
    </row>
    <row r="2300" spans="1:10">
      <c r="A2300" s="19" t="str">
        <f>'[3]Planilha Orçamentária'!A584</f>
        <v>2.1.5</v>
      </c>
      <c r="B2300" s="20"/>
      <c r="C2300" s="21" t="str">
        <f>VLOOKUP(A2300,'[3]Planilha Orçamentária'!A:K,3,0)</f>
        <v>ACESSIBILIDADE</v>
      </c>
      <c r="D2300" s="21"/>
      <c r="E2300" s="39"/>
      <c r="F2300" s="40"/>
      <c r="G2300" s="40"/>
      <c r="H2300" s="40"/>
      <c r="I2300" s="40"/>
      <c r="J2300" s="41"/>
    </row>
    <row r="2301" spans="1:10" ht="51">
      <c r="A2301" s="28" t="str">
        <f>'[3]Planilha Orçamentária'!A585</f>
        <v>2.1.5.1</v>
      </c>
      <c r="B2301" s="42" t="str">
        <f>VLOOKUP(A2301,'[3]Planilha Orçamentária'!A:K,2,0)</f>
        <v>CP-S12039-81921471</v>
      </c>
      <c r="C2301" s="166" t="str">
        <f>VLOOKUP(A2301,'[3]Planilha Orçamentária'!A:K,3,0)</f>
        <v>Piso tátil direcional e/ou alerta, de concreto, na cor natural, p/deficientes visuais, dimensões 40x40cm, aplicado com argamassa industrializada ac-ii, rejuntado, exclusive regularização de base</v>
      </c>
      <c r="D2301" s="31" t="str">
        <f>VLOOKUP(A2301,'[3]Planilha Orçamentária'!A:K,4,0)</f>
        <v>M2</v>
      </c>
      <c r="E2301" s="30"/>
      <c r="F2301" s="32"/>
      <c r="G2301" s="32"/>
      <c r="H2301" s="32"/>
      <c r="I2301" s="32"/>
      <c r="J2301" s="151">
        <f>ROUND(SUM(J2302:J2304),2)</f>
        <v>144.19999999999999</v>
      </c>
    </row>
    <row r="2302" spans="1:10">
      <c r="A2302" s="152"/>
      <c r="B2302" s="167"/>
      <c r="C2302" s="86" t="s">
        <v>1973</v>
      </c>
      <c r="D2302" s="168"/>
      <c r="E2302" s="169"/>
      <c r="F2302" s="170"/>
      <c r="G2302" s="170"/>
      <c r="H2302" s="82"/>
      <c r="I2302" s="34" t="s">
        <v>1620</v>
      </c>
      <c r="J2302" s="157"/>
    </row>
    <row r="2303" spans="1:10">
      <c r="A2303" s="152"/>
      <c r="B2303" s="167"/>
      <c r="C2303" s="142" t="s">
        <v>1676</v>
      </c>
      <c r="D2303" s="31"/>
      <c r="E2303" s="82"/>
      <c r="F2303" s="32"/>
      <c r="G2303" s="32"/>
      <c r="H2303" s="82"/>
      <c r="I2303" s="82">
        <v>38.39</v>
      </c>
      <c r="J2303" s="120">
        <f t="shared" ref="J2303:J2304" si="230">ROUND(PRODUCT(E2303:I2303),2)</f>
        <v>38.39</v>
      </c>
    </row>
    <row r="2304" spans="1:10">
      <c r="A2304" s="152"/>
      <c r="B2304" s="153"/>
      <c r="C2304" s="142"/>
      <c r="D2304" s="31"/>
      <c r="E2304" s="82"/>
      <c r="F2304" s="32"/>
      <c r="G2304" s="32"/>
      <c r="H2304" s="82"/>
      <c r="I2304" s="82">
        <v>105.81</v>
      </c>
      <c r="J2304" s="120">
        <f t="shared" si="230"/>
        <v>105.81</v>
      </c>
    </row>
    <row r="2305" spans="1:10" ht="51">
      <c r="A2305" s="28" t="str">
        <f>'[3]Planilha Orçamentária'!A586</f>
        <v>2.1.5.2</v>
      </c>
      <c r="B2305" s="42" t="str">
        <f>VLOOKUP(A2305,'[3]Planilha Orçamentária'!A:K,2,0)</f>
        <v>COMP-68570481</v>
      </c>
      <c r="C2305" s="166" t="str">
        <f>VLOOKUP(A2305,'[3]Planilha Orçamentária'!A:K,3,0)</f>
        <v>CONSTRUÇÃO DE RAMPA TIPO 01 , PASSEIO EM CONCRETO USINADO FCK=15MPA, ESP=5CM, TRAÇO 1:2,5:4, COM PISO TÁTIL 40x40 cm, APLICADO SOBRE  TERRENO  REGULARIZADO</v>
      </c>
      <c r="D2305" s="31" t="str">
        <f>VLOOKUP(A2305,'[3]Planilha Orçamentária'!A:K,4,0)</f>
        <v>UND</v>
      </c>
      <c r="E2305" s="30"/>
      <c r="F2305" s="32"/>
      <c r="G2305" s="32"/>
      <c r="H2305" s="32"/>
      <c r="I2305" s="32"/>
      <c r="J2305" s="151">
        <f>ROUND(SUM(J2306:J2308),2)</f>
        <v>17</v>
      </c>
    </row>
    <row r="2306" spans="1:10">
      <c r="A2306" s="152"/>
      <c r="B2306" s="167"/>
      <c r="C2306" s="86" t="s">
        <v>1973</v>
      </c>
      <c r="D2306" s="31"/>
      <c r="E2306" s="82"/>
      <c r="F2306" s="32"/>
      <c r="G2306" s="32"/>
      <c r="H2306" s="82"/>
      <c r="I2306" s="82" t="s">
        <v>1660</v>
      </c>
      <c r="J2306" s="120"/>
    </row>
    <row r="2307" spans="1:10">
      <c r="A2307" s="152"/>
      <c r="B2307" s="167"/>
      <c r="C2307" s="142" t="s">
        <v>1676</v>
      </c>
      <c r="D2307" s="31"/>
      <c r="E2307" s="82"/>
      <c r="F2307" s="32"/>
      <c r="G2307" s="32"/>
      <c r="H2307" s="82"/>
      <c r="I2307" s="82">
        <f>6+11</f>
        <v>17</v>
      </c>
      <c r="J2307" s="120">
        <f t="shared" ref="J2307" si="231">ROUND(PRODUCT(E2307:I2307),2)</f>
        <v>17</v>
      </c>
    </row>
    <row r="2308" spans="1:10">
      <c r="A2308" s="152"/>
      <c r="B2308" s="167"/>
      <c r="C2308" s="142"/>
      <c r="D2308" s="31"/>
      <c r="E2308" s="82"/>
      <c r="F2308" s="32"/>
      <c r="G2308" s="32"/>
      <c r="H2308" s="82"/>
      <c r="I2308" s="82"/>
      <c r="J2308" s="120"/>
    </row>
    <row r="2309" spans="1:10" ht="51">
      <c r="A2309" s="28" t="str">
        <f>'[3]Planilha Orçamentária'!A587</f>
        <v>2.1.5.3</v>
      </c>
      <c r="B2309" s="42" t="str">
        <f>VLOOKUP(A2309,'[3]Planilha Orçamentária'!A:K,2,0)</f>
        <v>COMP-78308236</v>
      </c>
      <c r="C2309" s="166" t="str">
        <f>VLOOKUP(A2309,'[3]Planilha Orçamentária'!A:K,3,0)</f>
        <v>CONSTRUÇÃO DE RAMPA TIPO 02 , PASSEIO EM CONCRETO USINADO FCK=15MPA, ESP=5CM, TRAÇO 1:2,5:4, COM PISO TÁTIL 40x40 cm, APLICADO SOBRE  TERRENO  REGULARIZADO.</v>
      </c>
      <c r="D2309" s="31" t="str">
        <f>VLOOKUP(A2309,'[3]Planilha Orçamentária'!A:K,4,0)</f>
        <v>UND</v>
      </c>
      <c r="E2309" s="30"/>
      <c r="F2309" s="32"/>
      <c r="G2309" s="32"/>
      <c r="H2309" s="32"/>
      <c r="I2309" s="32"/>
      <c r="J2309" s="151">
        <f>ROUND(SUM(J2310:J2312),2)</f>
        <v>26</v>
      </c>
    </row>
    <row r="2310" spans="1:10">
      <c r="A2310" s="152"/>
      <c r="B2310" s="167"/>
      <c r="C2310" s="86" t="s">
        <v>1973</v>
      </c>
      <c r="D2310" s="31"/>
      <c r="E2310" s="82"/>
      <c r="F2310" s="32"/>
      <c r="G2310" s="32"/>
      <c r="H2310" s="82"/>
      <c r="I2310" s="82" t="s">
        <v>1660</v>
      </c>
      <c r="J2310" s="120"/>
    </row>
    <row r="2311" spans="1:10">
      <c r="A2311" s="152"/>
      <c r="B2311" s="167"/>
      <c r="C2311" s="142" t="s">
        <v>1676</v>
      </c>
      <c r="D2311" s="31"/>
      <c r="E2311" s="82"/>
      <c r="F2311" s="32"/>
      <c r="G2311" s="32"/>
      <c r="H2311" s="82"/>
      <c r="I2311" s="82">
        <f>11+15</f>
        <v>26</v>
      </c>
      <c r="J2311" s="120">
        <f t="shared" ref="J2311" si="232">ROUND(PRODUCT(E2311:I2311),2)</f>
        <v>26</v>
      </c>
    </row>
    <row r="2312" spans="1:10">
      <c r="A2312" s="152"/>
      <c r="B2312" s="167"/>
      <c r="C2312" s="142"/>
      <c r="D2312" s="31"/>
      <c r="E2312" s="82"/>
      <c r="F2312" s="32"/>
      <c r="G2312" s="32"/>
      <c r="H2312" s="82"/>
      <c r="I2312" s="82"/>
      <c r="J2312" s="120"/>
    </row>
    <row r="2313" spans="1:10">
      <c r="A2313" s="19" t="str">
        <f>'[3]Planilha Orçamentária'!A588</f>
        <v>2.1.6</v>
      </c>
      <c r="B2313" s="20"/>
      <c r="C2313" s="21" t="str">
        <f>VLOOKUP(A2313,'[3]Planilha Orçamentária'!A:K,3,0)</f>
        <v>MATERIAIS</v>
      </c>
      <c r="D2313" s="21"/>
      <c r="E2313" s="39"/>
      <c r="F2313" s="40"/>
      <c r="G2313" s="40"/>
      <c r="H2313" s="40"/>
      <c r="I2313" s="40"/>
      <c r="J2313" s="41"/>
    </row>
    <row r="2314" spans="1:10" ht="51">
      <c r="A2314" s="60" t="str">
        <f>'[3]Planilha Orçamentária'!A589</f>
        <v>2.1.6.1</v>
      </c>
      <c r="B2314" s="61">
        <f>VLOOKUP(A2314,'[3]Planilha Orçamentária'!A:K,2,0)</f>
        <v>10775</v>
      </c>
      <c r="C2314" s="62" t="str">
        <f>VLOOKUP(A2314,'[3]Planilha Orçamentária'!A:K,3,0)</f>
        <v xml:space="preserve">LOCACAO DE CONTAINER 2,30 X 6,00 M, ALT. 2,50 M, COM 1 SANITARIO, PARA ESCRITORIO, COMPLETO, SEM DIVISORIAS INTERNAS (NAO INCLUI MOBILIZACAO/DESMOBILIZACAO)                                                                                                                                                                                                                                                                                                                                              </v>
      </c>
      <c r="D2314" s="63" t="str">
        <f>VLOOKUP(A2314,'[3]Planilha Orçamentária'!A:K,4,0)</f>
        <v xml:space="preserve">MES   </v>
      </c>
      <c r="E2314" s="62"/>
      <c r="F2314" s="64"/>
      <c r="G2314" s="64"/>
      <c r="H2314" s="64"/>
      <c r="I2314" s="64"/>
      <c r="J2314" s="65">
        <f>ROUND(SUM(J2316:J2316),2)</f>
        <v>4</v>
      </c>
    </row>
    <row r="2315" spans="1:10" ht="25.5">
      <c r="A2315" s="66"/>
      <c r="B2315" s="67"/>
      <c r="C2315" s="68"/>
      <c r="D2315" s="69"/>
      <c r="E2315" s="68"/>
      <c r="F2315" s="70"/>
      <c r="G2315" s="71"/>
      <c r="H2315" s="71"/>
      <c r="I2315" s="34" t="s">
        <v>1609</v>
      </c>
      <c r="J2315" s="72"/>
    </row>
    <row r="2316" spans="1:10">
      <c r="A2316" s="27"/>
      <c r="B2316" s="27"/>
      <c r="C2316" s="73"/>
      <c r="D2316" s="74"/>
      <c r="E2316" s="35"/>
      <c r="F2316" s="75"/>
      <c r="G2316" s="35"/>
      <c r="H2316" s="35"/>
      <c r="I2316" s="35">
        <f>I2236</f>
        <v>4</v>
      </c>
      <c r="J2316" s="36">
        <f>ROUND(PRODUCT(E2316:I2316),2)</f>
        <v>4</v>
      </c>
    </row>
    <row r="2317" spans="1:10">
      <c r="A2317" s="496"/>
      <c r="B2317" s="496"/>
      <c r="C2317" s="496"/>
      <c r="D2317" s="496"/>
      <c r="E2317" s="496"/>
      <c r="F2317" s="496"/>
      <c r="G2317" s="496"/>
      <c r="H2317" s="496"/>
      <c r="I2317" s="496"/>
      <c r="J2317" s="496"/>
    </row>
    <row r="2318" spans="1:10" ht="38.25">
      <c r="A2318" s="60" t="str">
        <f>'[3]Planilha Orçamentária'!A590</f>
        <v>2.1.6.2</v>
      </c>
      <c r="B2318" s="61">
        <f>VLOOKUP(A2318,'[3]Planilha Orçamentária'!A:K,2,0)</f>
        <v>10776</v>
      </c>
      <c r="C2318" s="62" t="str">
        <f>VLOOKUP(A2318,'[3]Planilha Orçamentária'!A:K,3,0)</f>
        <v xml:space="preserve">LOCACAO DE CONTAINER 2,30 X 6,00 M, ALT. 2,50 M, PARA ESCRITORIO, SEM DIVISORIAS INTERNAS E SEM SANITARIO (NAO INCLUI MOBILIZACAO/DESMOBILIZACAO)                                                                                                                                                                                                                                                                                                                                                         </v>
      </c>
      <c r="D2318" s="63" t="str">
        <f>VLOOKUP(A2318,'[3]Planilha Orçamentária'!A:K,4,0)</f>
        <v xml:space="preserve">MES   </v>
      </c>
      <c r="E2318" s="62"/>
      <c r="F2318" s="64"/>
      <c r="G2318" s="64"/>
      <c r="H2318" s="64"/>
      <c r="I2318" s="64"/>
      <c r="J2318" s="65">
        <f>ROUND(SUM(J2320:J2320),2)</f>
        <v>4</v>
      </c>
    </row>
    <row r="2319" spans="1:10" ht="25.5">
      <c r="A2319" s="66"/>
      <c r="B2319" s="67"/>
      <c r="C2319" s="68"/>
      <c r="D2319" s="69"/>
      <c r="E2319" s="68"/>
      <c r="F2319" s="70"/>
      <c r="G2319" s="71"/>
      <c r="H2319" s="71"/>
      <c r="I2319" s="34" t="s">
        <v>1609</v>
      </c>
      <c r="J2319" s="72"/>
    </row>
    <row r="2320" spans="1:10">
      <c r="A2320" s="27"/>
      <c r="B2320" s="27"/>
      <c r="C2320" s="73"/>
      <c r="D2320" s="74"/>
      <c r="E2320" s="35"/>
      <c r="F2320" s="75"/>
      <c r="G2320" s="35"/>
      <c r="H2320" s="35"/>
      <c r="I2320" s="35">
        <f>I2316</f>
        <v>4</v>
      </c>
      <c r="J2320" s="36">
        <f>ROUND(PRODUCT(E2320:I2320),2)</f>
        <v>4</v>
      </c>
    </row>
    <row r="2321" spans="1:10">
      <c r="A2321" s="496"/>
      <c r="B2321" s="496"/>
      <c r="C2321" s="496"/>
      <c r="D2321" s="496"/>
      <c r="E2321" s="496"/>
      <c r="F2321" s="496"/>
      <c r="G2321" s="496"/>
      <c r="H2321" s="496"/>
      <c r="I2321" s="496"/>
      <c r="J2321" s="496"/>
    </row>
    <row r="2322" spans="1:10" ht="63.75">
      <c r="A2322" s="99" t="str">
        <f>'[3]Planilha Orçamentária'!A591</f>
        <v>2.1.6.3</v>
      </c>
      <c r="B2322" s="48">
        <f>VLOOKUP(A2322,'[3]Planilha Orçamentária'!A:K,2,0)</f>
        <v>36170</v>
      </c>
      <c r="C2322" s="100" t="str">
        <f>VLOOKUP(A2322,'[3]Planilha Orçamentária'!A:K,3,0)</f>
        <v xml:space="preserve">BLOQUETE/PISO INTERTRAVADO DE CONCRETO - MODELO ONDA/16 FACES/RETANGULAR/TIJOLINHO/PAVER/HOLANDES/PARALELEPIPEDO, *22 CM X 11* CM, E = 8 CM, RESISTENCIA DE 35 MPA (NBR 9781), COR NATURAL                                                                                                                                                                                                                                                                                                                </v>
      </c>
      <c r="D2322" s="101" t="str">
        <f>VLOOKUP(A2322,'[3]Planilha Orçamentária'!A:K,4,0)</f>
        <v xml:space="preserve">M2    </v>
      </c>
      <c r="E2322" s="100"/>
      <c r="F2322" s="102"/>
      <c r="G2322" s="102"/>
      <c r="H2322" s="102"/>
      <c r="I2322" s="102"/>
      <c r="J2322" s="193">
        <f>ROUND(SUM(J2323:J2325),2)</f>
        <v>4037.25</v>
      </c>
    </row>
    <row r="2323" spans="1:10">
      <c r="A2323" s="94"/>
      <c r="B2323" s="128"/>
      <c r="C2323" s="86" t="s">
        <v>1973</v>
      </c>
      <c r="D2323" s="96"/>
      <c r="E2323" s="34" t="s">
        <v>837</v>
      </c>
      <c r="F2323" s="34"/>
      <c r="G2323" s="82"/>
      <c r="H2323" s="82"/>
      <c r="I2323" s="82" t="s">
        <v>1620</v>
      </c>
      <c r="J2323" s="120"/>
    </row>
    <row r="2324" spans="1:10">
      <c r="A2324" s="94"/>
      <c r="B2324" s="128"/>
      <c r="C2324" s="194" t="s">
        <v>1677</v>
      </c>
      <c r="D2324" s="53"/>
      <c r="E2324" s="94">
        <v>1.0130999999999999</v>
      </c>
      <c r="F2324" s="34"/>
      <c r="G2324" s="82"/>
      <c r="H2324" s="82"/>
      <c r="I2324" s="82">
        <f>J2277</f>
        <v>2476.1</v>
      </c>
      <c r="J2324" s="120">
        <f>ROUND(PRODUCT(E2324:I2324),2)</f>
        <v>2508.54</v>
      </c>
    </row>
    <row r="2325" spans="1:10" ht="14.25">
      <c r="A2325" s="94"/>
      <c r="B2325" s="128"/>
      <c r="C2325" s="126"/>
      <c r="D2325" s="96"/>
      <c r="E2325" s="94">
        <v>1.0130999999999999</v>
      </c>
      <c r="F2325" s="34"/>
      <c r="G2325" s="82"/>
      <c r="H2325" s="82"/>
      <c r="I2325" s="82">
        <f>J2278</f>
        <v>1508.94</v>
      </c>
      <c r="J2325" s="120">
        <f>ROUND(PRODUCT(E2325:I2325),2)</f>
        <v>1528.71</v>
      </c>
    </row>
    <row r="2326" spans="1:10">
      <c r="A2326" s="497"/>
      <c r="B2326" s="497"/>
      <c r="C2326" s="497"/>
      <c r="D2326" s="497"/>
      <c r="E2326" s="497"/>
      <c r="F2326" s="497"/>
      <c r="G2326" s="497"/>
      <c r="H2326" s="497"/>
      <c r="I2326" s="497"/>
      <c r="J2326" s="497"/>
    </row>
    <row r="2327" spans="1:10" ht="63.75">
      <c r="A2327" s="99" t="str">
        <f>'[3]Planilha Orçamentária'!A592</f>
        <v>2.1.6.4</v>
      </c>
      <c r="B2327" s="48">
        <f>VLOOKUP(A2327,'[3]Planilha Orçamentária'!A:K,2,0)</f>
        <v>36154</v>
      </c>
      <c r="C2327" s="100" t="str">
        <f>VLOOKUP(A2327,'[3]Planilha Orçamentária'!A:K,3,0)</f>
        <v xml:space="preserve">BLOQUETE/PISO INTERTRAVADO DE CONCRETO - MODELO ONDA/16 FACES/RETANGULAR/TIJOLINHO/PAVER/HOLANDES/PARALELEPIPEDO, 20 CM X 10 CM, E = 8 CM, RESISTENCIA DE 35 MPA (NBR 9781), COLORIDO                                                                                                                                                                                                                                                                                                                     </v>
      </c>
      <c r="D2327" s="101" t="str">
        <f>VLOOKUP(A2327,'[3]Planilha Orçamentária'!A:K,4,0)</f>
        <v xml:space="preserve">M2    </v>
      </c>
      <c r="E2327" s="100"/>
      <c r="F2327" s="102"/>
      <c r="G2327" s="102"/>
      <c r="H2327" s="102"/>
      <c r="I2327" s="102"/>
      <c r="J2327" s="33">
        <f>ROUND(SUM(J2328:J2332),2)</f>
        <v>1060.93</v>
      </c>
    </row>
    <row r="2328" spans="1:10">
      <c r="A2328" s="94"/>
      <c r="B2328" s="128"/>
      <c r="C2328" s="86" t="s">
        <v>1973</v>
      </c>
      <c r="D2328" s="96"/>
      <c r="E2328" s="34" t="s">
        <v>837</v>
      </c>
      <c r="F2328" s="34"/>
      <c r="G2328" s="82"/>
      <c r="H2328" s="82"/>
      <c r="I2328" s="82" t="s">
        <v>1620</v>
      </c>
      <c r="J2328" s="120"/>
    </row>
    <row r="2329" spans="1:10">
      <c r="A2329" s="94"/>
      <c r="B2329" s="128"/>
      <c r="C2329" s="194" t="s">
        <v>1677</v>
      </c>
      <c r="D2329" s="53"/>
      <c r="E2329" s="94">
        <v>1.0130999999999999</v>
      </c>
      <c r="F2329" s="34"/>
      <c r="G2329" s="82"/>
      <c r="H2329" s="82"/>
      <c r="I2329" s="82">
        <f>J2279</f>
        <v>511.78</v>
      </c>
      <c r="J2329" s="120">
        <f t="shared" ref="J2329:J2332" si="233">ROUND(PRODUCT(E2329:I2329),2)</f>
        <v>518.48</v>
      </c>
    </row>
    <row r="2330" spans="1:10">
      <c r="A2330" s="94"/>
      <c r="B2330" s="128"/>
      <c r="C2330" s="145"/>
      <c r="D2330" s="96"/>
      <c r="E2330" s="94">
        <v>1.0130999999999999</v>
      </c>
      <c r="F2330" s="34"/>
      <c r="G2330" s="82"/>
      <c r="H2330" s="82"/>
      <c r="I2330" s="82">
        <f>J2280</f>
        <v>503.85</v>
      </c>
      <c r="J2330" s="120">
        <f t="shared" si="233"/>
        <v>510.45</v>
      </c>
    </row>
    <row r="2331" spans="1:10">
      <c r="A2331" s="94"/>
      <c r="B2331" s="128"/>
      <c r="C2331" s="145"/>
      <c r="D2331" s="96"/>
      <c r="E2331" s="94">
        <v>1.0130999999999999</v>
      </c>
      <c r="F2331" s="34"/>
      <c r="G2331" s="82"/>
      <c r="H2331" s="82"/>
      <c r="I2331" s="82">
        <f>I2281</f>
        <v>26.2</v>
      </c>
      <c r="J2331" s="120">
        <f t="shared" si="233"/>
        <v>26.54</v>
      </c>
    </row>
    <row r="2332" spans="1:10">
      <c r="A2332" s="94"/>
      <c r="B2332" s="128"/>
      <c r="C2332" s="145"/>
      <c r="D2332" s="96"/>
      <c r="E2332" s="94">
        <v>1.0130999999999999</v>
      </c>
      <c r="F2332" s="34"/>
      <c r="G2332" s="82"/>
      <c r="H2332" s="82"/>
      <c r="I2332" s="82">
        <f>I2282</f>
        <v>5.39</v>
      </c>
      <c r="J2332" s="120">
        <f t="shared" si="233"/>
        <v>5.46</v>
      </c>
    </row>
    <row r="2333" spans="1:10">
      <c r="A2333" s="498"/>
      <c r="B2333" s="499"/>
      <c r="C2333" s="499"/>
      <c r="D2333" s="499"/>
      <c r="E2333" s="499"/>
      <c r="F2333" s="499"/>
      <c r="G2333" s="499"/>
      <c r="H2333" s="499"/>
      <c r="I2333" s="499"/>
      <c r="J2333" s="500"/>
    </row>
    <row r="2334" spans="1:10" ht="38.25">
      <c r="A2334" s="99" t="str">
        <f>'[3]Planilha Orçamentária'!A593</f>
        <v>2.1.6.5</v>
      </c>
      <c r="B2334" s="48">
        <f>VLOOKUP(A2334,'[3]Planilha Orçamentária'!A:K,2,0)</f>
        <v>34492</v>
      </c>
      <c r="C2334" s="100" t="str">
        <f>VLOOKUP(A2334,'[3]Planilha Orçamentária'!A:K,3,0)</f>
        <v xml:space="preserve">CONCRETO USINADO BOMBEAVEL, CLASSE DE RESISTENCIA C20, COM BRITA 0 E 1, SLUMP = 100 +/- 20 MM, EXCLUI SERVICO DE BOMBEAMENTO (NBR 8953)                                                                                                                                                                                                                                                                                                                                                                   </v>
      </c>
      <c r="D2334" s="101" t="str">
        <f>VLOOKUP(A2334,'[3]Planilha Orçamentária'!A:K,4,0)</f>
        <v xml:space="preserve">M3    </v>
      </c>
      <c r="E2334" s="100"/>
      <c r="F2334" s="102"/>
      <c r="G2334" s="102"/>
      <c r="H2334" s="102"/>
      <c r="I2334" s="102"/>
      <c r="J2334" s="33">
        <f>ROUND(SUM(J2335:J2337),2)</f>
        <v>34.840000000000003</v>
      </c>
    </row>
    <row r="2335" spans="1:10">
      <c r="A2335" s="54"/>
      <c r="B2335" s="54"/>
      <c r="C2335" s="86" t="s">
        <v>1973</v>
      </c>
      <c r="D2335" s="53"/>
      <c r="E2335" s="54"/>
      <c r="F2335" s="198"/>
      <c r="G2335" s="198"/>
      <c r="H2335" s="198"/>
      <c r="I2335" s="198"/>
      <c r="J2335" s="198"/>
    </row>
    <row r="2336" spans="1:10">
      <c r="A2336" s="54"/>
      <c r="B2336" s="54"/>
      <c r="C2336" s="79"/>
      <c r="D2336" s="94"/>
      <c r="E2336" s="53" t="s">
        <v>1678</v>
      </c>
      <c r="F2336" s="94"/>
      <c r="G2336" s="94"/>
      <c r="H2336" s="94"/>
      <c r="I2336" s="94" t="s">
        <v>1623</v>
      </c>
      <c r="J2336" s="198"/>
    </row>
    <row r="2337" spans="1:10">
      <c r="A2337" s="54"/>
      <c r="B2337" s="54"/>
      <c r="C2337" s="194" t="s">
        <v>1682</v>
      </c>
      <c r="D2337" s="53"/>
      <c r="E2337" s="198">
        <v>1.2130000000000001</v>
      </c>
      <c r="F2337" s="94"/>
      <c r="G2337" s="94"/>
      <c r="H2337" s="94"/>
      <c r="I2337" s="196">
        <f>J2289</f>
        <v>28.72</v>
      </c>
      <c r="J2337" s="120">
        <f t="shared" ref="J2337" si="234">ROUND(PRODUCT(E2337:I2337),2)</f>
        <v>34.840000000000003</v>
      </c>
    </row>
  </sheetData>
  <mergeCells count="426">
    <mergeCell ref="A1:J1"/>
    <mergeCell ref="A2:J2"/>
    <mergeCell ref="A3:J3"/>
    <mergeCell ref="A4:J4"/>
    <mergeCell ref="A5:J5"/>
    <mergeCell ref="A6:J6"/>
    <mergeCell ref="A26:J26"/>
    <mergeCell ref="A31:J31"/>
    <mergeCell ref="A38:J38"/>
    <mergeCell ref="A42:J42"/>
    <mergeCell ref="A46:J46"/>
    <mergeCell ref="A52:J52"/>
    <mergeCell ref="A7:J7"/>
    <mergeCell ref="A8:I8"/>
    <mergeCell ref="B10:J10"/>
    <mergeCell ref="A12:J12"/>
    <mergeCell ref="A16:J16"/>
    <mergeCell ref="A20:J20"/>
    <mergeCell ref="A93:J93"/>
    <mergeCell ref="A101:J101"/>
    <mergeCell ref="A114:J114"/>
    <mergeCell ref="A119:J119"/>
    <mergeCell ref="A123:J123"/>
    <mergeCell ref="A127:J127"/>
    <mergeCell ref="A56:J56"/>
    <mergeCell ref="A61:J61"/>
    <mergeCell ref="A66:J66"/>
    <mergeCell ref="A71:J71"/>
    <mergeCell ref="A80:J80"/>
    <mergeCell ref="A85:J85"/>
    <mergeCell ref="A157:J157"/>
    <mergeCell ref="A161:J161"/>
    <mergeCell ref="A166:J166"/>
    <mergeCell ref="A170:J170"/>
    <mergeCell ref="A174:J174"/>
    <mergeCell ref="A178:J178"/>
    <mergeCell ref="A131:J131"/>
    <mergeCell ref="A135:J135"/>
    <mergeCell ref="A140:J140"/>
    <mergeCell ref="A145:J145"/>
    <mergeCell ref="A149:J149"/>
    <mergeCell ref="A153:J153"/>
    <mergeCell ref="A211:J211"/>
    <mergeCell ref="A215:J215"/>
    <mergeCell ref="A220:J220"/>
    <mergeCell ref="A225:J225"/>
    <mergeCell ref="A229:J229"/>
    <mergeCell ref="A233:J233"/>
    <mergeCell ref="A182:J182"/>
    <mergeCell ref="A187:J187"/>
    <mergeCell ref="A195:J195"/>
    <mergeCell ref="A199:J199"/>
    <mergeCell ref="A203:J203"/>
    <mergeCell ref="A207:J207"/>
    <mergeCell ref="A292:J292"/>
    <mergeCell ref="A302:J302"/>
    <mergeCell ref="A306:J306"/>
    <mergeCell ref="A311:J311"/>
    <mergeCell ref="A316:J316"/>
    <mergeCell ref="A321:J321"/>
    <mergeCell ref="A238:J238"/>
    <mergeCell ref="B260:J260"/>
    <mergeCell ref="A265:J265"/>
    <mergeCell ref="A276:J276"/>
    <mergeCell ref="A282:J282"/>
    <mergeCell ref="A288:J288"/>
    <mergeCell ref="A374:J374"/>
    <mergeCell ref="A378:J378"/>
    <mergeCell ref="A382:J382"/>
    <mergeCell ref="A386:J386"/>
    <mergeCell ref="A391:J391"/>
    <mergeCell ref="A396:J396"/>
    <mergeCell ref="A330:J330"/>
    <mergeCell ref="A335:J335"/>
    <mergeCell ref="A344:J344"/>
    <mergeCell ref="A352:J352"/>
    <mergeCell ref="A365:J365"/>
    <mergeCell ref="A370:J370"/>
    <mergeCell ref="A425:J425"/>
    <mergeCell ref="A429:J429"/>
    <mergeCell ref="A433:J433"/>
    <mergeCell ref="A437:J437"/>
    <mergeCell ref="A441:J441"/>
    <mergeCell ref="A449:J449"/>
    <mergeCell ref="A400:J400"/>
    <mergeCell ref="A404:J404"/>
    <mergeCell ref="A408:J408"/>
    <mergeCell ref="A412:J412"/>
    <mergeCell ref="A416:J416"/>
    <mergeCell ref="A420:J420"/>
    <mergeCell ref="A480:J480"/>
    <mergeCell ref="A484:J484"/>
    <mergeCell ref="A488:J488"/>
    <mergeCell ref="A493:J493"/>
    <mergeCell ref="A501:J501"/>
    <mergeCell ref="A505:J505"/>
    <mergeCell ref="A453:J453"/>
    <mergeCell ref="A457:J457"/>
    <mergeCell ref="A461:J461"/>
    <mergeCell ref="A465:J465"/>
    <mergeCell ref="A469:J469"/>
    <mergeCell ref="A475:J475"/>
    <mergeCell ref="A545:J545"/>
    <mergeCell ref="A549:J549"/>
    <mergeCell ref="A553:J553"/>
    <mergeCell ref="A557:J557"/>
    <mergeCell ref="A561:J561"/>
    <mergeCell ref="A570:J570"/>
    <mergeCell ref="A509:J509"/>
    <mergeCell ref="A513:J513"/>
    <mergeCell ref="B514:J514"/>
    <mergeCell ref="A519:J519"/>
    <mergeCell ref="A531:J531"/>
    <mergeCell ref="A537:J537"/>
    <mergeCell ref="A605:J605"/>
    <mergeCell ref="A614:J614"/>
    <mergeCell ref="A618:J618"/>
    <mergeCell ref="A627:J627"/>
    <mergeCell ref="A632:J632"/>
    <mergeCell ref="A640:J640"/>
    <mergeCell ref="A574:J574"/>
    <mergeCell ref="A579:J579"/>
    <mergeCell ref="A583:J583"/>
    <mergeCell ref="A587:J587"/>
    <mergeCell ref="A591:J591"/>
    <mergeCell ref="A600:J600"/>
    <mergeCell ref="A675:J675"/>
    <mergeCell ref="A680:J680"/>
    <mergeCell ref="A686:J686"/>
    <mergeCell ref="A690:J690"/>
    <mergeCell ref="A694:J694"/>
    <mergeCell ref="A699:J699"/>
    <mergeCell ref="A644:J644"/>
    <mergeCell ref="A648:J648"/>
    <mergeCell ref="A653:J653"/>
    <mergeCell ref="A658:J658"/>
    <mergeCell ref="A662:J662"/>
    <mergeCell ref="A666:J666"/>
    <mergeCell ref="A731:J731"/>
    <mergeCell ref="A735:J735"/>
    <mergeCell ref="A740:J740"/>
    <mergeCell ref="A745:J745"/>
    <mergeCell ref="A751:J751"/>
    <mergeCell ref="A755:J755"/>
    <mergeCell ref="A707:J707"/>
    <mergeCell ref="A711:J711"/>
    <mergeCell ref="A715:J715"/>
    <mergeCell ref="A719:J719"/>
    <mergeCell ref="A723:J723"/>
    <mergeCell ref="A727:J727"/>
    <mergeCell ref="A786:J786"/>
    <mergeCell ref="A790:J790"/>
    <mergeCell ref="A795:J795"/>
    <mergeCell ref="B820:J820"/>
    <mergeCell ref="A825:J825"/>
    <mergeCell ref="A836:J836"/>
    <mergeCell ref="A759:J759"/>
    <mergeCell ref="A763:J763"/>
    <mergeCell ref="A767:J767"/>
    <mergeCell ref="A771:J771"/>
    <mergeCell ref="A777:J777"/>
    <mergeCell ref="A782:J782"/>
    <mergeCell ref="A868:J868"/>
    <mergeCell ref="A872:J872"/>
    <mergeCell ref="A876:J876"/>
    <mergeCell ref="A882:J882"/>
    <mergeCell ref="A889:J889"/>
    <mergeCell ref="A896:J896"/>
    <mergeCell ref="A842:J842"/>
    <mergeCell ref="A847:J847"/>
    <mergeCell ref="A851:J851"/>
    <mergeCell ref="A855:J855"/>
    <mergeCell ref="A859:J859"/>
    <mergeCell ref="A864:J864"/>
    <mergeCell ref="A933:J933"/>
    <mergeCell ref="A937:J937"/>
    <mergeCell ref="A941:J941"/>
    <mergeCell ref="A950:J950"/>
    <mergeCell ref="A954:J954"/>
    <mergeCell ref="A960:J960"/>
    <mergeCell ref="A900:J900"/>
    <mergeCell ref="A904:J904"/>
    <mergeCell ref="A912:J912"/>
    <mergeCell ref="A917:J917"/>
    <mergeCell ref="A922:J922"/>
    <mergeCell ref="A927:J927"/>
    <mergeCell ref="A993:J993"/>
    <mergeCell ref="A999:J999"/>
    <mergeCell ref="A1003:J1003"/>
    <mergeCell ref="A1007:J1007"/>
    <mergeCell ref="A1011:J1011"/>
    <mergeCell ref="A1016:J1016"/>
    <mergeCell ref="A965:J965"/>
    <mergeCell ref="A970:J970"/>
    <mergeCell ref="A975:J975"/>
    <mergeCell ref="A979:J979"/>
    <mergeCell ref="A983:J983"/>
    <mergeCell ref="A989:J989"/>
    <mergeCell ref="A1068:J1068"/>
    <mergeCell ref="A1074:J1074"/>
    <mergeCell ref="A1078:J1078"/>
    <mergeCell ref="A1082:J1082"/>
    <mergeCell ref="A1086:J1086"/>
    <mergeCell ref="A1091:J1091"/>
    <mergeCell ref="A1020:J1020"/>
    <mergeCell ref="A1024:J1024"/>
    <mergeCell ref="A1029:J1029"/>
    <mergeCell ref="B1046:J1046"/>
    <mergeCell ref="A1051:J1051"/>
    <mergeCell ref="A1062:J1062"/>
    <mergeCell ref="A1129:J1129"/>
    <mergeCell ref="A1133:J1133"/>
    <mergeCell ref="A1138:J1138"/>
    <mergeCell ref="A1143:J1143"/>
    <mergeCell ref="A1147:J1147"/>
    <mergeCell ref="A1151:J1151"/>
    <mergeCell ref="A1095:J1095"/>
    <mergeCell ref="A1099:J1099"/>
    <mergeCell ref="A1103:J1103"/>
    <mergeCell ref="A1112:J1112"/>
    <mergeCell ref="A1117:J1117"/>
    <mergeCell ref="A1125:J1125"/>
    <mergeCell ref="A1181:J1181"/>
    <mergeCell ref="A1185:J1185"/>
    <mergeCell ref="A1190:J1190"/>
    <mergeCell ref="A1202:J1202"/>
    <mergeCell ref="A1208:J1208"/>
    <mergeCell ref="A1214:J1214"/>
    <mergeCell ref="A1155:J1155"/>
    <mergeCell ref="A1159:J1159"/>
    <mergeCell ref="A1164:J1164"/>
    <mergeCell ref="A1169:J1169"/>
    <mergeCell ref="A1173:J1173"/>
    <mergeCell ref="A1177:J1177"/>
    <mergeCell ref="A1247:J1247"/>
    <mergeCell ref="A1251:J1251"/>
    <mergeCell ref="A1255:J1255"/>
    <mergeCell ref="A1266:J1266"/>
    <mergeCell ref="A1270:J1270"/>
    <mergeCell ref="A1274:J1274"/>
    <mergeCell ref="A1219:J1219"/>
    <mergeCell ref="A1225:J1225"/>
    <mergeCell ref="A1229:J1229"/>
    <mergeCell ref="A1233:J1233"/>
    <mergeCell ref="A1238:J1238"/>
    <mergeCell ref="A1242:J1242"/>
    <mergeCell ref="A1305:J1305"/>
    <mergeCell ref="B1330:J1330"/>
    <mergeCell ref="A1335:J1335"/>
    <mergeCell ref="A1346:J1346"/>
    <mergeCell ref="A1352:J1352"/>
    <mergeCell ref="A1357:J1357"/>
    <mergeCell ref="A1278:J1278"/>
    <mergeCell ref="A1282:J1282"/>
    <mergeCell ref="A1287:J1287"/>
    <mergeCell ref="A1292:J1292"/>
    <mergeCell ref="A1296:J1296"/>
    <mergeCell ref="A1300:J1300"/>
    <mergeCell ref="A1386:J1386"/>
    <mergeCell ref="A1392:J1392"/>
    <mergeCell ref="A1397:J1397"/>
    <mergeCell ref="A1402:J1402"/>
    <mergeCell ref="A1406:J1406"/>
    <mergeCell ref="A1410:J1410"/>
    <mergeCell ref="A1361:J1361"/>
    <mergeCell ref="A1365:J1365"/>
    <mergeCell ref="A1369:J1369"/>
    <mergeCell ref="A1374:J1374"/>
    <mergeCell ref="A1378:J1378"/>
    <mergeCell ref="A1382:J1382"/>
    <mergeCell ref="A1441:J1441"/>
    <mergeCell ref="A1447:J1447"/>
    <mergeCell ref="A1451:J1451"/>
    <mergeCell ref="A1455:J1455"/>
    <mergeCell ref="A1459:J1459"/>
    <mergeCell ref="A1464:J1464"/>
    <mergeCell ref="A1415:J1415"/>
    <mergeCell ref="A1420:J1420"/>
    <mergeCell ref="A1425:J1425"/>
    <mergeCell ref="A1429:J1429"/>
    <mergeCell ref="A1433:J1433"/>
    <mergeCell ref="A1437:J1437"/>
    <mergeCell ref="A1516:J1516"/>
    <mergeCell ref="A1520:J1520"/>
    <mergeCell ref="A1524:J1524"/>
    <mergeCell ref="A1528:J1528"/>
    <mergeCell ref="A1533:J1533"/>
    <mergeCell ref="A1537:J1537"/>
    <mergeCell ref="A1468:J1468"/>
    <mergeCell ref="A1472:J1472"/>
    <mergeCell ref="B1489:J1489"/>
    <mergeCell ref="A1494:J1494"/>
    <mergeCell ref="A1505:J1505"/>
    <mergeCell ref="A1511:J1511"/>
    <mergeCell ref="A1575:J1575"/>
    <mergeCell ref="A1580:J1580"/>
    <mergeCell ref="A1590:J1590"/>
    <mergeCell ref="A1596:J1596"/>
    <mergeCell ref="A1602:J1602"/>
    <mergeCell ref="A1606:J1606"/>
    <mergeCell ref="A1541:J1541"/>
    <mergeCell ref="A1545:J1545"/>
    <mergeCell ref="A1551:J1551"/>
    <mergeCell ref="A1559:J1559"/>
    <mergeCell ref="A1563:J1563"/>
    <mergeCell ref="A1567:J1567"/>
    <mergeCell ref="A1634:J1634"/>
    <mergeCell ref="A1638:J1638"/>
    <mergeCell ref="A1642:J1642"/>
    <mergeCell ref="A1648:J1648"/>
    <mergeCell ref="A1652:J1652"/>
    <mergeCell ref="A1656:J1656"/>
    <mergeCell ref="A1610:J1610"/>
    <mergeCell ref="A1614:J1614"/>
    <mergeCell ref="A1618:J1618"/>
    <mergeCell ref="A1622:J1622"/>
    <mergeCell ref="A1626:J1626"/>
    <mergeCell ref="A1630:J1630"/>
    <mergeCell ref="A1692:J1692"/>
    <mergeCell ref="A1703:J1703"/>
    <mergeCell ref="A1709:J1709"/>
    <mergeCell ref="A1714:J1714"/>
    <mergeCell ref="A1718:J1718"/>
    <mergeCell ref="A1722:J1722"/>
    <mergeCell ref="A1660:J1660"/>
    <mergeCell ref="A1665:J1665"/>
    <mergeCell ref="A1669:J1669"/>
    <mergeCell ref="A1673:J1673"/>
    <mergeCell ref="A1678:J1678"/>
    <mergeCell ref="B1687:J1687"/>
    <mergeCell ref="A1756:J1756"/>
    <mergeCell ref="A1760:J1760"/>
    <mergeCell ref="A1764:J1764"/>
    <mergeCell ref="A1771:J1771"/>
    <mergeCell ref="A1776:J1776"/>
    <mergeCell ref="A1780:J1780"/>
    <mergeCell ref="A1726:J1726"/>
    <mergeCell ref="A1731:J1731"/>
    <mergeCell ref="A1735:J1735"/>
    <mergeCell ref="A1739:J1739"/>
    <mergeCell ref="A1743:J1743"/>
    <mergeCell ref="A1749:J1749"/>
    <mergeCell ref="A1829:J1829"/>
    <mergeCell ref="A1833:J1833"/>
    <mergeCell ref="A1839:J1839"/>
    <mergeCell ref="A1849:J1849"/>
    <mergeCell ref="A1855:J1855"/>
    <mergeCell ref="A1859:J1859"/>
    <mergeCell ref="A1785:J1785"/>
    <mergeCell ref="A1791:J1791"/>
    <mergeCell ref="A1804:J1804"/>
    <mergeCell ref="A1810:J1810"/>
    <mergeCell ref="A1814:J1814"/>
    <mergeCell ref="A1818:J1818"/>
    <mergeCell ref="A1891:J1891"/>
    <mergeCell ref="A1895:J1895"/>
    <mergeCell ref="A1899:J1899"/>
    <mergeCell ref="A1903:J1903"/>
    <mergeCell ref="A1908:J1908"/>
    <mergeCell ref="A1912:J1912"/>
    <mergeCell ref="A1863:J1863"/>
    <mergeCell ref="A1867:J1867"/>
    <mergeCell ref="A1873:J1873"/>
    <mergeCell ref="A1877:J1877"/>
    <mergeCell ref="A1881:J1881"/>
    <mergeCell ref="A1885:J1885"/>
    <mergeCell ref="A1955:J1955"/>
    <mergeCell ref="A1960:J1960"/>
    <mergeCell ref="A1964:J1964"/>
    <mergeCell ref="A1968:J1968"/>
    <mergeCell ref="A1974:J1974"/>
    <mergeCell ref="A1978:J1978"/>
    <mergeCell ref="A1916:J1916"/>
    <mergeCell ref="A1920:J1920"/>
    <mergeCell ref="A1924:J1924"/>
    <mergeCell ref="B1933:J1933"/>
    <mergeCell ref="A1938:J1938"/>
    <mergeCell ref="A1949:J1949"/>
    <mergeCell ref="A2010:J2010"/>
    <mergeCell ref="A2014:J2014"/>
    <mergeCell ref="A2019:J2019"/>
    <mergeCell ref="A2023:J2023"/>
    <mergeCell ref="A2028:J2028"/>
    <mergeCell ref="A2032:J2032"/>
    <mergeCell ref="A1983:J1983"/>
    <mergeCell ref="A1987:J1987"/>
    <mergeCell ref="A1991:J1991"/>
    <mergeCell ref="A1995:J1995"/>
    <mergeCell ref="A2001:J2001"/>
    <mergeCell ref="A2006:J2006"/>
    <mergeCell ref="A2071:J2071"/>
    <mergeCell ref="A2075:J2075"/>
    <mergeCell ref="A2079:J2079"/>
    <mergeCell ref="A2083:J2083"/>
    <mergeCell ref="A2087:J2087"/>
    <mergeCell ref="A2091:J2091"/>
    <mergeCell ref="A2037:J2037"/>
    <mergeCell ref="A2041:J2041"/>
    <mergeCell ref="A2045:J2045"/>
    <mergeCell ref="A2057:J2057"/>
    <mergeCell ref="A2062:J2062"/>
    <mergeCell ref="A2067:J2067"/>
    <mergeCell ref="A2205:J2205"/>
    <mergeCell ref="A2213:J2213"/>
    <mergeCell ref="A2218:J2218"/>
    <mergeCell ref="B2227:J2227"/>
    <mergeCell ref="B2228:J2228"/>
    <mergeCell ref="A2233:J2233"/>
    <mergeCell ref="A2095:J2095"/>
    <mergeCell ref="A2101:J2101"/>
    <mergeCell ref="A2105:J2105"/>
    <mergeCell ref="A2109:J2109"/>
    <mergeCell ref="A2113:J2113"/>
    <mergeCell ref="A2201:J2201"/>
    <mergeCell ref="A2269:J2269"/>
    <mergeCell ref="A2283:J2283"/>
    <mergeCell ref="A2317:J2317"/>
    <mergeCell ref="A2321:J2321"/>
    <mergeCell ref="A2326:J2326"/>
    <mergeCell ref="A2333:J2333"/>
    <mergeCell ref="A2237:J2237"/>
    <mergeCell ref="A2243:J2243"/>
    <mergeCell ref="A2248:J2248"/>
    <mergeCell ref="A2254:J2254"/>
    <mergeCell ref="A2259:J2259"/>
    <mergeCell ref="A2265:J2265"/>
  </mergeCells>
  <printOptions horizontalCentered="1"/>
  <pageMargins left="0" right="0" top="0.39370078740157483" bottom="0.78740157480314965" header="0" footer="0"/>
  <pageSetup paperSize="9" scale="54" fitToHeight="0" orientation="portrait" r:id="rId1"/>
  <headerFooter>
    <oddFooter>&amp;C&amp;P/&amp;N&amp;R&amp;G</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I415"/>
  <sheetViews>
    <sheetView view="pageBreakPreview" topLeftCell="A252" zoomScaleNormal="100" zoomScaleSheetLayoutView="100" workbookViewId="0">
      <selection activeCell="A263" sqref="A263:I263"/>
    </sheetView>
  </sheetViews>
  <sheetFormatPr defaultRowHeight="15"/>
  <cols>
    <col min="1" max="1" width="10.28515625" customWidth="1"/>
    <col min="2" max="2" width="45.85546875" customWidth="1"/>
    <col min="3" max="3" width="3" customWidth="1"/>
    <col min="4" max="4" width="7.28515625" customWidth="1"/>
    <col min="5" max="6" width="6.140625" customWidth="1"/>
    <col min="7" max="9" width="12.42578125" customWidth="1"/>
  </cols>
  <sheetData>
    <row r="1" spans="1:9" ht="113.1" customHeight="1">
      <c r="A1" s="495"/>
      <c r="B1" s="495"/>
      <c r="C1" s="495"/>
      <c r="D1" s="495"/>
      <c r="E1" s="495"/>
      <c r="F1" s="495"/>
      <c r="G1" s="495"/>
      <c r="H1" s="495"/>
      <c r="I1" s="495"/>
    </row>
    <row r="2" spans="1:9" ht="9.9499999999999993" customHeight="1">
      <c r="A2" s="1"/>
      <c r="B2" s="1"/>
      <c r="C2" s="1"/>
      <c r="D2" s="559"/>
      <c r="E2" s="559"/>
      <c r="F2" s="559"/>
      <c r="G2" s="1"/>
      <c r="H2" s="1"/>
      <c r="I2" s="1"/>
    </row>
    <row r="3" spans="1:9" ht="20.100000000000001" customHeight="1">
      <c r="A3" s="560" t="s">
        <v>833</v>
      </c>
      <c r="B3" s="560"/>
      <c r="C3" s="560"/>
      <c r="D3" s="560"/>
      <c r="E3" s="560"/>
      <c r="F3" s="560"/>
      <c r="G3" s="560"/>
      <c r="H3" s="560"/>
      <c r="I3" s="560"/>
    </row>
    <row r="4" spans="1:9" ht="15" customHeight="1">
      <c r="A4" s="554" t="s">
        <v>834</v>
      </c>
      <c r="B4" s="554"/>
      <c r="C4" s="554"/>
      <c r="D4" s="555" t="s">
        <v>835</v>
      </c>
      <c r="E4" s="555"/>
      <c r="F4" s="434" t="s">
        <v>836</v>
      </c>
      <c r="G4" s="434" t="s">
        <v>837</v>
      </c>
      <c r="H4" s="434" t="s">
        <v>8</v>
      </c>
      <c r="I4" s="434" t="s">
        <v>838</v>
      </c>
    </row>
    <row r="5" spans="1:9" ht="39.75" customHeight="1">
      <c r="A5" s="435" t="s">
        <v>839</v>
      </c>
      <c r="B5" s="556" t="s">
        <v>840</v>
      </c>
      <c r="C5" s="556"/>
      <c r="D5" s="557" t="s">
        <v>29</v>
      </c>
      <c r="E5" s="557"/>
      <c r="F5" s="435" t="s">
        <v>20</v>
      </c>
      <c r="G5" s="436">
        <v>1</v>
      </c>
      <c r="H5" s="437">
        <v>445</v>
      </c>
      <c r="I5" s="437">
        <v>445</v>
      </c>
    </row>
    <row r="6" spans="1:9" ht="39.75" customHeight="1">
      <c r="A6" s="435" t="s">
        <v>841</v>
      </c>
      <c r="B6" s="556" t="s">
        <v>842</v>
      </c>
      <c r="C6" s="556"/>
      <c r="D6" s="557" t="s">
        <v>29</v>
      </c>
      <c r="E6" s="557"/>
      <c r="F6" s="435" t="s">
        <v>40</v>
      </c>
      <c r="G6" s="436">
        <v>4</v>
      </c>
      <c r="H6" s="437">
        <v>10.85</v>
      </c>
      <c r="I6" s="437">
        <v>43.4</v>
      </c>
    </row>
    <row r="7" spans="1:9" ht="39.75" customHeight="1">
      <c r="A7" s="435" t="s">
        <v>843</v>
      </c>
      <c r="B7" s="556" t="s">
        <v>844</v>
      </c>
      <c r="C7" s="556"/>
      <c r="D7" s="557" t="s">
        <v>29</v>
      </c>
      <c r="E7" s="557"/>
      <c r="F7" s="435" t="s">
        <v>328</v>
      </c>
      <c r="G7" s="436">
        <v>0.11</v>
      </c>
      <c r="H7" s="437">
        <v>23.4</v>
      </c>
      <c r="I7" s="437">
        <v>2.5739999999999998</v>
      </c>
    </row>
    <row r="8" spans="1:9" ht="39.75" customHeight="1">
      <c r="A8" s="435" t="s">
        <v>845</v>
      </c>
      <c r="B8" s="556" t="s">
        <v>846</v>
      </c>
      <c r="C8" s="556"/>
      <c r="D8" s="557" t="s">
        <v>29</v>
      </c>
      <c r="E8" s="557"/>
      <c r="F8" s="435" t="s">
        <v>40</v>
      </c>
      <c r="G8" s="436">
        <v>1</v>
      </c>
      <c r="H8" s="437">
        <v>6.12</v>
      </c>
      <c r="I8" s="437">
        <v>6.12</v>
      </c>
    </row>
    <row r="9" spans="1:9" ht="15" customHeight="1">
      <c r="A9" s="433"/>
      <c r="B9" s="433"/>
      <c r="C9" s="433"/>
      <c r="D9" s="433"/>
      <c r="E9" s="433"/>
      <c r="F9" s="433"/>
      <c r="G9" s="558" t="s">
        <v>847</v>
      </c>
      <c r="H9" s="558"/>
      <c r="I9" s="438">
        <v>497.09</v>
      </c>
    </row>
    <row r="10" spans="1:9" ht="15" customHeight="1">
      <c r="A10" s="554" t="s">
        <v>848</v>
      </c>
      <c r="B10" s="554"/>
      <c r="C10" s="554"/>
      <c r="D10" s="555" t="s">
        <v>835</v>
      </c>
      <c r="E10" s="555"/>
      <c r="F10" s="434" t="s">
        <v>836</v>
      </c>
      <c r="G10" s="434" t="s">
        <v>837</v>
      </c>
      <c r="H10" s="434" t="s">
        <v>8</v>
      </c>
      <c r="I10" s="434" t="s">
        <v>838</v>
      </c>
    </row>
    <row r="11" spans="1:9" ht="29.25" customHeight="1">
      <c r="A11" s="435" t="s">
        <v>849</v>
      </c>
      <c r="B11" s="556" t="s">
        <v>850</v>
      </c>
      <c r="C11" s="556"/>
      <c r="D11" s="557" t="s">
        <v>29</v>
      </c>
      <c r="E11" s="557"/>
      <c r="F11" s="435" t="s">
        <v>851</v>
      </c>
      <c r="G11" s="436">
        <v>1</v>
      </c>
      <c r="H11" s="437">
        <v>24.39</v>
      </c>
      <c r="I11" s="437">
        <v>24.39</v>
      </c>
    </row>
    <row r="12" spans="1:9" ht="15" customHeight="1">
      <c r="A12" s="435" t="s">
        <v>852</v>
      </c>
      <c r="B12" s="556" t="s">
        <v>853</v>
      </c>
      <c r="C12" s="556"/>
      <c r="D12" s="557" t="s">
        <v>29</v>
      </c>
      <c r="E12" s="557"/>
      <c r="F12" s="435" t="s">
        <v>851</v>
      </c>
      <c r="G12" s="436">
        <v>2</v>
      </c>
      <c r="H12" s="437">
        <v>19.8</v>
      </c>
      <c r="I12" s="437">
        <v>39.6</v>
      </c>
    </row>
    <row r="13" spans="1:9" ht="18" customHeight="1">
      <c r="A13" s="433"/>
      <c r="B13" s="433"/>
      <c r="C13" s="433"/>
      <c r="D13" s="433"/>
      <c r="E13" s="433"/>
      <c r="F13" s="433"/>
      <c r="G13" s="558" t="s">
        <v>854</v>
      </c>
      <c r="H13" s="558"/>
      <c r="I13" s="438">
        <v>63.99</v>
      </c>
    </row>
    <row r="14" spans="1:9" ht="15" customHeight="1">
      <c r="A14" s="554" t="s">
        <v>855</v>
      </c>
      <c r="B14" s="554"/>
      <c r="C14" s="554"/>
      <c r="D14" s="555" t="s">
        <v>835</v>
      </c>
      <c r="E14" s="555"/>
      <c r="F14" s="434" t="s">
        <v>836</v>
      </c>
      <c r="G14" s="434" t="s">
        <v>837</v>
      </c>
      <c r="H14" s="434" t="s">
        <v>8</v>
      </c>
      <c r="I14" s="434" t="s">
        <v>838</v>
      </c>
    </row>
    <row r="15" spans="1:9" ht="42" customHeight="1">
      <c r="A15" s="435" t="s">
        <v>856</v>
      </c>
      <c r="B15" s="556" t="s">
        <v>857</v>
      </c>
      <c r="C15" s="556"/>
      <c r="D15" s="557" t="s">
        <v>29</v>
      </c>
      <c r="E15" s="557"/>
      <c r="F15" s="435" t="s">
        <v>60</v>
      </c>
      <c r="G15" s="436">
        <v>0.01</v>
      </c>
      <c r="H15" s="437">
        <v>390.79</v>
      </c>
      <c r="I15" s="437">
        <v>3.9079000000000002</v>
      </c>
    </row>
    <row r="16" spans="1:9" ht="15" customHeight="1">
      <c r="A16" s="433"/>
      <c r="B16" s="433"/>
      <c r="C16" s="433"/>
      <c r="D16" s="433"/>
      <c r="E16" s="433"/>
      <c r="F16" s="433"/>
      <c r="G16" s="558" t="s">
        <v>858</v>
      </c>
      <c r="H16" s="558"/>
      <c r="I16" s="438">
        <v>3.91</v>
      </c>
    </row>
    <row r="17" spans="1:9" ht="16.5" customHeight="1">
      <c r="A17" s="552" t="s">
        <v>859</v>
      </c>
      <c r="B17" s="552"/>
      <c r="C17" s="552"/>
      <c r="D17" s="433"/>
      <c r="E17" s="433"/>
      <c r="F17" s="433"/>
      <c r="G17" s="553" t="s">
        <v>860</v>
      </c>
      <c r="H17" s="553"/>
      <c r="I17" s="429">
        <v>564.99</v>
      </c>
    </row>
    <row r="18" spans="1:9" ht="9.9499999999999993" customHeight="1">
      <c r="A18" s="433"/>
      <c r="B18" s="433"/>
      <c r="C18" s="433"/>
      <c r="D18" s="559"/>
      <c r="E18" s="559"/>
      <c r="F18" s="559"/>
      <c r="G18" s="433"/>
      <c r="H18" s="433"/>
      <c r="I18" s="433"/>
    </row>
    <row r="19" spans="1:9" ht="20.100000000000001" customHeight="1">
      <c r="A19" s="560" t="s">
        <v>861</v>
      </c>
      <c r="B19" s="560"/>
      <c r="C19" s="560"/>
      <c r="D19" s="560"/>
      <c r="E19" s="560"/>
      <c r="F19" s="560"/>
      <c r="G19" s="560"/>
      <c r="H19" s="560"/>
      <c r="I19" s="560"/>
    </row>
    <row r="20" spans="1:9" ht="15" customHeight="1">
      <c r="A20" s="554" t="s">
        <v>862</v>
      </c>
      <c r="B20" s="554"/>
      <c r="C20" s="554"/>
      <c r="D20" s="555" t="s">
        <v>835</v>
      </c>
      <c r="E20" s="555"/>
      <c r="F20" s="434" t="s">
        <v>836</v>
      </c>
      <c r="G20" s="434" t="s">
        <v>837</v>
      </c>
      <c r="H20" s="434" t="s">
        <v>8</v>
      </c>
      <c r="I20" s="434" t="s">
        <v>838</v>
      </c>
    </row>
    <row r="21" spans="1:9" ht="24" customHeight="1">
      <c r="A21" s="435" t="s">
        <v>863</v>
      </c>
      <c r="B21" s="556" t="s">
        <v>23</v>
      </c>
      <c r="C21" s="556"/>
      <c r="D21" s="557" t="s">
        <v>864</v>
      </c>
      <c r="E21" s="557"/>
      <c r="F21" s="435" t="s">
        <v>24</v>
      </c>
      <c r="G21" s="436">
        <v>1</v>
      </c>
      <c r="H21" s="437">
        <v>700</v>
      </c>
      <c r="I21" s="437">
        <v>700</v>
      </c>
    </row>
    <row r="22" spans="1:9" ht="15" customHeight="1">
      <c r="A22" s="433"/>
      <c r="B22" s="433"/>
      <c r="C22" s="433"/>
      <c r="D22" s="433"/>
      <c r="E22" s="433"/>
      <c r="F22" s="433"/>
      <c r="G22" s="558" t="s">
        <v>865</v>
      </c>
      <c r="H22" s="558"/>
      <c r="I22" s="438">
        <v>700</v>
      </c>
    </row>
    <row r="23" spans="1:9" ht="28.5" customHeight="1">
      <c r="A23" s="552" t="s">
        <v>866</v>
      </c>
      <c r="B23" s="552"/>
      <c r="C23" s="552"/>
      <c r="D23" s="433"/>
      <c r="E23" s="433"/>
      <c r="F23" s="433"/>
      <c r="G23" s="553" t="s">
        <v>860</v>
      </c>
      <c r="H23" s="553"/>
      <c r="I23" s="429">
        <v>700</v>
      </c>
    </row>
    <row r="24" spans="1:9" ht="2.1" customHeight="1">
      <c r="A24" s="552"/>
      <c r="B24" s="552"/>
      <c r="C24" s="552"/>
      <c r="D24" s="433"/>
      <c r="E24" s="433"/>
      <c r="F24" s="433"/>
      <c r="G24" s="433"/>
      <c r="H24" s="433"/>
      <c r="I24" s="433"/>
    </row>
    <row r="25" spans="1:9" ht="9.9499999999999993" customHeight="1">
      <c r="A25" s="433"/>
      <c r="B25" s="433"/>
      <c r="C25" s="433"/>
      <c r="D25" s="559"/>
      <c r="E25" s="559"/>
      <c r="F25" s="559"/>
      <c r="G25" s="433"/>
      <c r="H25" s="433"/>
      <c r="I25" s="433"/>
    </row>
    <row r="26" spans="1:9" ht="20.100000000000001" customHeight="1">
      <c r="A26" s="560" t="s">
        <v>867</v>
      </c>
      <c r="B26" s="560"/>
      <c r="C26" s="560"/>
      <c r="D26" s="560"/>
      <c r="E26" s="560"/>
      <c r="F26" s="560"/>
      <c r="G26" s="560"/>
      <c r="H26" s="560"/>
      <c r="I26" s="560"/>
    </row>
    <row r="27" spans="1:9" ht="15" customHeight="1">
      <c r="A27" s="554" t="s">
        <v>848</v>
      </c>
      <c r="B27" s="554"/>
      <c r="C27" s="554"/>
      <c r="D27" s="555" t="s">
        <v>835</v>
      </c>
      <c r="E27" s="555"/>
      <c r="F27" s="434" t="s">
        <v>836</v>
      </c>
      <c r="G27" s="434" t="s">
        <v>837</v>
      </c>
      <c r="H27" s="434" t="s">
        <v>8</v>
      </c>
      <c r="I27" s="434" t="s">
        <v>838</v>
      </c>
    </row>
    <row r="28" spans="1:9" ht="15" customHeight="1">
      <c r="A28" s="435" t="s">
        <v>868</v>
      </c>
      <c r="B28" s="556" t="s">
        <v>869</v>
      </c>
      <c r="C28" s="556"/>
      <c r="D28" s="557" t="s">
        <v>29</v>
      </c>
      <c r="E28" s="557"/>
      <c r="F28" s="435" t="s">
        <v>851</v>
      </c>
      <c r="G28" s="436">
        <v>1.3</v>
      </c>
      <c r="H28" s="437">
        <v>24.66</v>
      </c>
      <c r="I28" s="437">
        <v>32.058</v>
      </c>
    </row>
    <row r="29" spans="1:9" ht="15" customHeight="1">
      <c r="A29" s="435" t="s">
        <v>852</v>
      </c>
      <c r="B29" s="556" t="s">
        <v>853</v>
      </c>
      <c r="C29" s="556"/>
      <c r="D29" s="557" t="s">
        <v>29</v>
      </c>
      <c r="E29" s="557"/>
      <c r="F29" s="435" t="s">
        <v>851</v>
      </c>
      <c r="G29" s="436">
        <v>9.1</v>
      </c>
      <c r="H29" s="437">
        <v>19.8</v>
      </c>
      <c r="I29" s="437">
        <v>180.18</v>
      </c>
    </row>
    <row r="30" spans="1:9" ht="18" customHeight="1">
      <c r="A30" s="433"/>
      <c r="B30" s="433"/>
      <c r="C30" s="433"/>
      <c r="D30" s="433"/>
      <c r="E30" s="433"/>
      <c r="F30" s="433"/>
      <c r="G30" s="558" t="s">
        <v>854</v>
      </c>
      <c r="H30" s="558"/>
      <c r="I30" s="438">
        <v>212.24</v>
      </c>
    </row>
    <row r="31" spans="1:9" ht="15" customHeight="1">
      <c r="A31" s="552" t="s">
        <v>870</v>
      </c>
      <c r="B31" s="552"/>
      <c r="C31" s="552"/>
      <c r="D31" s="433"/>
      <c r="E31" s="433"/>
      <c r="F31" s="433"/>
      <c r="G31" s="553" t="s">
        <v>860</v>
      </c>
      <c r="H31" s="553"/>
      <c r="I31" s="429">
        <v>212.24</v>
      </c>
    </row>
    <row r="32" spans="1:9" ht="9.9499999999999993" customHeight="1">
      <c r="A32" s="433"/>
      <c r="B32" s="433"/>
      <c r="C32" s="433"/>
      <c r="D32" s="559"/>
      <c r="E32" s="559"/>
      <c r="F32" s="559"/>
      <c r="G32" s="433"/>
      <c r="H32" s="433"/>
      <c r="I32" s="433"/>
    </row>
    <row r="33" spans="1:9" ht="20.100000000000001" customHeight="1">
      <c r="A33" s="560" t="s">
        <v>871</v>
      </c>
      <c r="B33" s="560"/>
      <c r="C33" s="560"/>
      <c r="D33" s="560"/>
      <c r="E33" s="560"/>
      <c r="F33" s="560"/>
      <c r="G33" s="560"/>
      <c r="H33" s="560"/>
      <c r="I33" s="560"/>
    </row>
    <row r="34" spans="1:9" ht="15" customHeight="1">
      <c r="A34" s="554" t="s">
        <v>848</v>
      </c>
      <c r="B34" s="554"/>
      <c r="C34" s="554"/>
      <c r="D34" s="555" t="s">
        <v>835</v>
      </c>
      <c r="E34" s="555"/>
      <c r="F34" s="434" t="s">
        <v>836</v>
      </c>
      <c r="G34" s="434" t="s">
        <v>837</v>
      </c>
      <c r="H34" s="434" t="s">
        <v>8</v>
      </c>
      <c r="I34" s="434" t="s">
        <v>838</v>
      </c>
    </row>
    <row r="35" spans="1:9" ht="15" customHeight="1">
      <c r="A35" s="435" t="s">
        <v>868</v>
      </c>
      <c r="B35" s="556" t="s">
        <v>869</v>
      </c>
      <c r="C35" s="556"/>
      <c r="D35" s="557" t="s">
        <v>29</v>
      </c>
      <c r="E35" s="557"/>
      <c r="F35" s="435" t="s">
        <v>851</v>
      </c>
      <c r="G35" s="436">
        <v>0.05</v>
      </c>
      <c r="H35" s="437">
        <v>24.66</v>
      </c>
      <c r="I35" s="437">
        <v>1.2330000000000001</v>
      </c>
    </row>
    <row r="36" spans="1:9" ht="15" customHeight="1">
      <c r="A36" s="435" t="s">
        <v>852</v>
      </c>
      <c r="B36" s="556" t="s">
        <v>853</v>
      </c>
      <c r="C36" s="556"/>
      <c r="D36" s="557" t="s">
        <v>29</v>
      </c>
      <c r="E36" s="557"/>
      <c r="F36" s="435" t="s">
        <v>851</v>
      </c>
      <c r="G36" s="436">
        <v>0.5</v>
      </c>
      <c r="H36" s="437">
        <v>19.8</v>
      </c>
      <c r="I36" s="437">
        <v>9.9</v>
      </c>
    </row>
    <row r="37" spans="1:9" ht="18" customHeight="1">
      <c r="A37" s="433"/>
      <c r="B37" s="433"/>
      <c r="C37" s="433"/>
      <c r="D37" s="433"/>
      <c r="E37" s="433"/>
      <c r="F37" s="433"/>
      <c r="G37" s="558" t="s">
        <v>854</v>
      </c>
      <c r="H37" s="558"/>
      <c r="I37" s="438">
        <v>11.13</v>
      </c>
    </row>
    <row r="38" spans="1:9" ht="15" customHeight="1">
      <c r="A38" s="552" t="s">
        <v>872</v>
      </c>
      <c r="B38" s="552"/>
      <c r="C38" s="552"/>
      <c r="D38" s="433"/>
      <c r="E38" s="433"/>
      <c r="F38" s="433"/>
      <c r="G38" s="553" t="s">
        <v>860</v>
      </c>
      <c r="H38" s="553"/>
      <c r="I38" s="429">
        <v>11.13</v>
      </c>
    </row>
    <row r="39" spans="1:9" ht="9.9499999999999993" customHeight="1">
      <c r="A39" s="433"/>
      <c r="B39" s="433"/>
      <c r="C39" s="433"/>
      <c r="D39" s="559"/>
      <c r="E39" s="559"/>
      <c r="F39" s="559"/>
      <c r="G39" s="433"/>
      <c r="H39" s="433"/>
      <c r="I39" s="433"/>
    </row>
    <row r="40" spans="1:9" ht="27" customHeight="1">
      <c r="A40" s="560" t="s">
        <v>873</v>
      </c>
      <c r="B40" s="560"/>
      <c r="C40" s="560"/>
      <c r="D40" s="560"/>
      <c r="E40" s="560"/>
      <c r="F40" s="560"/>
      <c r="G40" s="560"/>
      <c r="H40" s="560"/>
      <c r="I40" s="560"/>
    </row>
    <row r="41" spans="1:9" ht="15" customHeight="1">
      <c r="A41" s="554" t="s">
        <v>874</v>
      </c>
      <c r="B41" s="554"/>
      <c r="C41" s="554"/>
      <c r="D41" s="555" t="s">
        <v>835</v>
      </c>
      <c r="E41" s="555"/>
      <c r="F41" s="434" t="s">
        <v>836</v>
      </c>
      <c r="G41" s="434" t="s">
        <v>837</v>
      </c>
      <c r="H41" s="434" t="s">
        <v>8</v>
      </c>
      <c r="I41" s="434" t="s">
        <v>838</v>
      </c>
    </row>
    <row r="42" spans="1:9" ht="60.75" customHeight="1">
      <c r="A42" s="435" t="s">
        <v>875</v>
      </c>
      <c r="B42" s="556" t="s">
        <v>876</v>
      </c>
      <c r="C42" s="556"/>
      <c r="D42" s="557" t="s">
        <v>29</v>
      </c>
      <c r="E42" s="557"/>
      <c r="F42" s="435" t="s">
        <v>877</v>
      </c>
      <c r="G42" s="436">
        <v>3.0000000000000001E-3</v>
      </c>
      <c r="H42" s="437">
        <v>354.67</v>
      </c>
      <c r="I42" s="437">
        <v>1.0640099999999999</v>
      </c>
    </row>
    <row r="43" spans="1:9" ht="60.75" customHeight="1">
      <c r="A43" s="435" t="s">
        <v>878</v>
      </c>
      <c r="B43" s="556" t="s">
        <v>879</v>
      </c>
      <c r="C43" s="556"/>
      <c r="D43" s="557" t="s">
        <v>29</v>
      </c>
      <c r="E43" s="557"/>
      <c r="F43" s="435" t="s">
        <v>877</v>
      </c>
      <c r="G43" s="436">
        <v>8.0000000000000002E-3</v>
      </c>
      <c r="H43" s="437">
        <v>209.48</v>
      </c>
      <c r="I43" s="437">
        <v>1.67584</v>
      </c>
    </row>
    <row r="44" spans="1:9" ht="15" customHeight="1">
      <c r="A44" s="433"/>
      <c r="B44" s="433"/>
      <c r="C44" s="433"/>
      <c r="D44" s="433"/>
      <c r="E44" s="433"/>
      <c r="F44" s="433"/>
      <c r="G44" s="558" t="s">
        <v>880</v>
      </c>
      <c r="H44" s="558"/>
      <c r="I44" s="438">
        <v>2.74</v>
      </c>
    </row>
    <row r="45" spans="1:9" ht="15" customHeight="1">
      <c r="A45" s="554" t="s">
        <v>848</v>
      </c>
      <c r="B45" s="554"/>
      <c r="C45" s="554"/>
      <c r="D45" s="555" t="s">
        <v>835</v>
      </c>
      <c r="E45" s="555"/>
      <c r="F45" s="434" t="s">
        <v>836</v>
      </c>
      <c r="G45" s="434" t="s">
        <v>837</v>
      </c>
      <c r="H45" s="434" t="s">
        <v>8</v>
      </c>
      <c r="I45" s="434" t="s">
        <v>838</v>
      </c>
    </row>
    <row r="46" spans="1:9" ht="15" customHeight="1">
      <c r="A46" s="435" t="s">
        <v>852</v>
      </c>
      <c r="B46" s="556" t="s">
        <v>853</v>
      </c>
      <c r="C46" s="556"/>
      <c r="D46" s="557" t="s">
        <v>29</v>
      </c>
      <c r="E46" s="557"/>
      <c r="F46" s="435" t="s">
        <v>851</v>
      </c>
      <c r="G46" s="436">
        <v>8.0000000000000002E-3</v>
      </c>
      <c r="H46" s="437">
        <v>19.8</v>
      </c>
      <c r="I46" s="437">
        <v>0.15840000000000001</v>
      </c>
    </row>
    <row r="47" spans="1:9" ht="18" customHeight="1">
      <c r="A47" s="433"/>
      <c r="B47" s="433"/>
      <c r="C47" s="433"/>
      <c r="D47" s="433"/>
      <c r="E47" s="433"/>
      <c r="F47" s="433"/>
      <c r="G47" s="558" t="s">
        <v>854</v>
      </c>
      <c r="H47" s="558"/>
      <c r="I47" s="438">
        <v>0.16</v>
      </c>
    </row>
    <row r="48" spans="1:9" ht="15" customHeight="1">
      <c r="A48" s="552" t="s">
        <v>881</v>
      </c>
      <c r="B48" s="552"/>
      <c r="C48" s="552"/>
      <c r="D48" s="433"/>
      <c r="E48" s="433"/>
      <c r="F48" s="433"/>
      <c r="G48" s="553" t="s">
        <v>860</v>
      </c>
      <c r="H48" s="553"/>
      <c r="I48" s="429">
        <v>2.9</v>
      </c>
    </row>
    <row r="49" spans="1:9" ht="9.9499999999999993" customHeight="1">
      <c r="A49" s="433"/>
      <c r="B49" s="433"/>
      <c r="C49" s="433"/>
      <c r="D49" s="559"/>
      <c r="E49" s="559"/>
      <c r="F49" s="559"/>
      <c r="G49" s="433"/>
      <c r="H49" s="433"/>
      <c r="I49" s="433"/>
    </row>
    <row r="50" spans="1:9" ht="29.25" customHeight="1">
      <c r="A50" s="560" t="s">
        <v>882</v>
      </c>
      <c r="B50" s="560"/>
      <c r="C50" s="560"/>
      <c r="D50" s="560"/>
      <c r="E50" s="560"/>
      <c r="F50" s="560"/>
      <c r="G50" s="560"/>
      <c r="H50" s="560"/>
      <c r="I50" s="560"/>
    </row>
    <row r="51" spans="1:9" ht="15" customHeight="1">
      <c r="A51" s="554" t="s">
        <v>874</v>
      </c>
      <c r="B51" s="554"/>
      <c r="C51" s="554"/>
      <c r="D51" s="555" t="s">
        <v>835</v>
      </c>
      <c r="E51" s="555"/>
      <c r="F51" s="434" t="s">
        <v>836</v>
      </c>
      <c r="G51" s="434" t="s">
        <v>837</v>
      </c>
      <c r="H51" s="434" t="s">
        <v>8</v>
      </c>
      <c r="I51" s="434" t="s">
        <v>838</v>
      </c>
    </row>
    <row r="52" spans="1:9" ht="42.75" customHeight="1">
      <c r="A52" s="435" t="s">
        <v>883</v>
      </c>
      <c r="B52" s="556" t="s">
        <v>884</v>
      </c>
      <c r="C52" s="556"/>
      <c r="D52" s="557" t="s">
        <v>29</v>
      </c>
      <c r="E52" s="557"/>
      <c r="F52" s="435" t="s">
        <v>877</v>
      </c>
      <c r="G52" s="436">
        <v>7.9399999999999991E-3</v>
      </c>
      <c r="H52" s="437">
        <v>308.91000000000003</v>
      </c>
      <c r="I52" s="437">
        <v>2.4527454</v>
      </c>
    </row>
    <row r="53" spans="1:9" ht="15" customHeight="1">
      <c r="A53" s="433"/>
      <c r="B53" s="433"/>
      <c r="C53" s="433"/>
      <c r="D53" s="433"/>
      <c r="E53" s="433"/>
      <c r="F53" s="433"/>
      <c r="G53" s="558" t="s">
        <v>880</v>
      </c>
      <c r="H53" s="558"/>
      <c r="I53" s="438">
        <v>2.4500000000000002</v>
      </c>
    </row>
    <row r="54" spans="1:9" ht="15" customHeight="1">
      <c r="A54" s="554" t="s">
        <v>848</v>
      </c>
      <c r="B54" s="554"/>
      <c r="C54" s="554"/>
      <c r="D54" s="555" t="s">
        <v>835</v>
      </c>
      <c r="E54" s="555"/>
      <c r="F54" s="434" t="s">
        <v>836</v>
      </c>
      <c r="G54" s="434" t="s">
        <v>837</v>
      </c>
      <c r="H54" s="434" t="s">
        <v>8</v>
      </c>
      <c r="I54" s="434" t="s">
        <v>838</v>
      </c>
    </row>
    <row r="55" spans="1:9" ht="15" customHeight="1">
      <c r="A55" s="435" t="s">
        <v>852</v>
      </c>
      <c r="B55" s="556" t="s">
        <v>853</v>
      </c>
      <c r="C55" s="556"/>
      <c r="D55" s="557" t="s">
        <v>29</v>
      </c>
      <c r="E55" s="557"/>
      <c r="F55" s="435" t="s">
        <v>851</v>
      </c>
      <c r="G55" s="436">
        <v>6.8999999999999999E-3</v>
      </c>
      <c r="H55" s="437">
        <v>19.8</v>
      </c>
      <c r="I55" s="437">
        <v>0.13661999999999999</v>
      </c>
    </row>
    <row r="56" spans="1:9" ht="18" customHeight="1">
      <c r="A56" s="433"/>
      <c r="B56" s="433"/>
      <c r="C56" s="433"/>
      <c r="D56" s="433"/>
      <c r="E56" s="433"/>
      <c r="F56" s="433"/>
      <c r="G56" s="558" t="s">
        <v>854</v>
      </c>
      <c r="H56" s="558"/>
      <c r="I56" s="438">
        <v>0.14000000000000001</v>
      </c>
    </row>
    <row r="57" spans="1:9" ht="15" customHeight="1">
      <c r="A57" s="552" t="s">
        <v>885</v>
      </c>
      <c r="B57" s="552"/>
      <c r="C57" s="552"/>
      <c r="D57" s="433"/>
      <c r="E57" s="433"/>
      <c r="F57" s="433"/>
      <c r="G57" s="553" t="s">
        <v>860</v>
      </c>
      <c r="H57" s="553"/>
      <c r="I57" s="429">
        <v>2.59</v>
      </c>
    </row>
    <row r="58" spans="1:9" ht="9.9499999999999993" customHeight="1">
      <c r="A58" s="433"/>
      <c r="B58" s="433"/>
      <c r="C58" s="433"/>
      <c r="D58" s="559"/>
      <c r="E58" s="559"/>
      <c r="F58" s="559"/>
      <c r="G58" s="433"/>
      <c r="H58" s="433"/>
      <c r="I58" s="433"/>
    </row>
    <row r="59" spans="1:9" ht="20.100000000000001" customHeight="1">
      <c r="A59" s="560" t="s">
        <v>886</v>
      </c>
      <c r="B59" s="560"/>
      <c r="C59" s="560"/>
      <c r="D59" s="560"/>
      <c r="E59" s="560"/>
      <c r="F59" s="560"/>
      <c r="G59" s="560"/>
      <c r="H59" s="560"/>
      <c r="I59" s="560"/>
    </row>
    <row r="60" spans="1:9" ht="15" customHeight="1">
      <c r="A60" s="554" t="s">
        <v>874</v>
      </c>
      <c r="B60" s="554"/>
      <c r="C60" s="554"/>
      <c r="D60" s="555" t="s">
        <v>835</v>
      </c>
      <c r="E60" s="555"/>
      <c r="F60" s="434" t="s">
        <v>836</v>
      </c>
      <c r="G60" s="434" t="s">
        <v>837</v>
      </c>
      <c r="H60" s="434" t="s">
        <v>8</v>
      </c>
      <c r="I60" s="434" t="s">
        <v>838</v>
      </c>
    </row>
    <row r="61" spans="1:9" ht="57" customHeight="1">
      <c r="A61" s="435" t="s">
        <v>887</v>
      </c>
      <c r="B61" s="556" t="s">
        <v>888</v>
      </c>
      <c r="C61" s="556"/>
      <c r="D61" s="557" t="s">
        <v>29</v>
      </c>
      <c r="E61" s="557"/>
      <c r="F61" s="435" t="s">
        <v>877</v>
      </c>
      <c r="G61" s="436">
        <v>0.08</v>
      </c>
      <c r="H61" s="437">
        <v>296.32</v>
      </c>
      <c r="I61" s="437">
        <v>23.7056</v>
      </c>
    </row>
    <row r="62" spans="1:9" ht="78" customHeight="1">
      <c r="A62" s="435" t="s">
        <v>889</v>
      </c>
      <c r="B62" s="556" t="s">
        <v>890</v>
      </c>
      <c r="C62" s="556"/>
      <c r="D62" s="557" t="s">
        <v>29</v>
      </c>
      <c r="E62" s="557"/>
      <c r="F62" s="435" t="s">
        <v>877</v>
      </c>
      <c r="G62" s="436">
        <v>0.04</v>
      </c>
      <c r="H62" s="437">
        <v>163.69</v>
      </c>
      <c r="I62" s="437">
        <v>6.5476000000000001</v>
      </c>
    </row>
    <row r="63" spans="1:9" ht="15" customHeight="1">
      <c r="A63" s="433"/>
      <c r="B63" s="433"/>
      <c r="C63" s="433"/>
      <c r="D63" s="433"/>
      <c r="E63" s="433"/>
      <c r="F63" s="433"/>
      <c r="G63" s="558" t="s">
        <v>880</v>
      </c>
      <c r="H63" s="558"/>
      <c r="I63" s="438">
        <v>30.26</v>
      </c>
    </row>
    <row r="64" spans="1:9" ht="15" customHeight="1">
      <c r="A64" s="554" t="s">
        <v>834</v>
      </c>
      <c r="B64" s="554"/>
      <c r="C64" s="554"/>
      <c r="D64" s="555" t="s">
        <v>835</v>
      </c>
      <c r="E64" s="555"/>
      <c r="F64" s="434" t="s">
        <v>836</v>
      </c>
      <c r="G64" s="434" t="s">
        <v>837</v>
      </c>
      <c r="H64" s="434" t="s">
        <v>8</v>
      </c>
      <c r="I64" s="434" t="s">
        <v>838</v>
      </c>
    </row>
    <row r="65" spans="1:9" ht="38.25" customHeight="1">
      <c r="A65" s="435" t="s">
        <v>891</v>
      </c>
      <c r="B65" s="556" t="s">
        <v>892</v>
      </c>
      <c r="C65" s="556"/>
      <c r="D65" s="557" t="s">
        <v>29</v>
      </c>
      <c r="E65" s="557"/>
      <c r="F65" s="435" t="s">
        <v>60</v>
      </c>
      <c r="G65" s="436">
        <v>1.05</v>
      </c>
      <c r="H65" s="437">
        <v>64.5</v>
      </c>
      <c r="I65" s="437">
        <v>67.724999999999994</v>
      </c>
    </row>
    <row r="66" spans="1:9" ht="15" customHeight="1">
      <c r="A66" s="433"/>
      <c r="B66" s="433"/>
      <c r="C66" s="433"/>
      <c r="D66" s="433"/>
      <c r="E66" s="433"/>
      <c r="F66" s="433"/>
      <c r="G66" s="558" t="s">
        <v>847</v>
      </c>
      <c r="H66" s="558"/>
      <c r="I66" s="438">
        <v>67.73</v>
      </c>
    </row>
    <row r="67" spans="1:9" ht="15" customHeight="1">
      <c r="A67" s="554" t="s">
        <v>848</v>
      </c>
      <c r="B67" s="554"/>
      <c r="C67" s="554"/>
      <c r="D67" s="555" t="s">
        <v>835</v>
      </c>
      <c r="E67" s="555"/>
      <c r="F67" s="434" t="s">
        <v>836</v>
      </c>
      <c r="G67" s="434" t="s">
        <v>837</v>
      </c>
      <c r="H67" s="434" t="s">
        <v>8</v>
      </c>
      <c r="I67" s="434" t="s">
        <v>838</v>
      </c>
    </row>
    <row r="68" spans="1:9" ht="15" customHeight="1">
      <c r="A68" s="435" t="s">
        <v>852</v>
      </c>
      <c r="B68" s="556" t="s">
        <v>853</v>
      </c>
      <c r="C68" s="556"/>
      <c r="D68" s="557" t="s">
        <v>29</v>
      </c>
      <c r="E68" s="557"/>
      <c r="F68" s="435" t="s">
        <v>851</v>
      </c>
      <c r="G68" s="436">
        <v>0.32</v>
      </c>
      <c r="H68" s="437">
        <v>19.8</v>
      </c>
      <c r="I68" s="437">
        <v>6.3360000000000003</v>
      </c>
    </row>
    <row r="69" spans="1:9" ht="18" customHeight="1">
      <c r="A69" s="433"/>
      <c r="B69" s="433"/>
      <c r="C69" s="433"/>
      <c r="D69" s="433"/>
      <c r="E69" s="433"/>
      <c r="F69" s="433"/>
      <c r="G69" s="558" t="s">
        <v>854</v>
      </c>
      <c r="H69" s="558"/>
      <c r="I69" s="438">
        <v>6.34</v>
      </c>
    </row>
    <row r="70" spans="1:9" ht="15" customHeight="1">
      <c r="A70" s="552" t="s">
        <v>893</v>
      </c>
      <c r="B70" s="552"/>
      <c r="C70" s="552"/>
      <c r="D70" s="433"/>
      <c r="E70" s="433"/>
      <c r="F70" s="433"/>
      <c r="G70" s="553" t="s">
        <v>860</v>
      </c>
      <c r="H70" s="553"/>
      <c r="I70" s="429">
        <v>104.33</v>
      </c>
    </row>
    <row r="71" spans="1:9" ht="9.75" customHeight="1">
      <c r="A71" s="552"/>
      <c r="B71" s="552"/>
      <c r="C71" s="552"/>
      <c r="D71" s="433"/>
      <c r="E71" s="433"/>
      <c r="F71" s="433"/>
      <c r="G71" s="433"/>
      <c r="H71" s="433"/>
      <c r="I71" s="433"/>
    </row>
    <row r="72" spans="1:9" ht="9.9499999999999993" customHeight="1">
      <c r="A72" s="433"/>
      <c r="B72" s="433"/>
      <c r="C72" s="433"/>
      <c r="D72" s="559"/>
      <c r="E72" s="559"/>
      <c r="F72" s="559"/>
      <c r="G72" s="433"/>
      <c r="H72" s="433"/>
      <c r="I72" s="433"/>
    </row>
    <row r="73" spans="1:9" ht="30.75" customHeight="1">
      <c r="A73" s="560" t="s">
        <v>894</v>
      </c>
      <c r="B73" s="560"/>
      <c r="C73" s="560"/>
      <c r="D73" s="560"/>
      <c r="E73" s="560"/>
      <c r="F73" s="560"/>
      <c r="G73" s="560"/>
      <c r="H73" s="560"/>
      <c r="I73" s="560"/>
    </row>
    <row r="74" spans="1:9" ht="12.95" customHeight="1">
      <c r="A74" s="564" t="s">
        <v>895</v>
      </c>
      <c r="B74" s="564"/>
      <c r="C74" s="565" t="s">
        <v>896</v>
      </c>
      <c r="D74" s="565"/>
      <c r="E74" s="566" t="s">
        <v>897</v>
      </c>
      <c r="F74" s="566"/>
      <c r="G74" s="566" t="s">
        <v>898</v>
      </c>
      <c r="H74" s="566"/>
      <c r="I74" s="566" t="s">
        <v>899</v>
      </c>
    </row>
    <row r="75" spans="1:9" ht="12" customHeight="1">
      <c r="A75" s="564"/>
      <c r="B75" s="564"/>
      <c r="C75" s="565"/>
      <c r="D75" s="565"/>
      <c r="E75" s="434" t="s">
        <v>900</v>
      </c>
      <c r="F75" s="434" t="s">
        <v>901</v>
      </c>
      <c r="G75" s="434" t="s">
        <v>900</v>
      </c>
      <c r="H75" s="434" t="s">
        <v>901</v>
      </c>
      <c r="I75" s="566"/>
    </row>
    <row r="76" spans="1:9" ht="26.25" customHeight="1">
      <c r="A76" s="431" t="s">
        <v>902</v>
      </c>
      <c r="B76" s="430" t="s">
        <v>903</v>
      </c>
      <c r="C76" s="563">
        <v>1</v>
      </c>
      <c r="D76" s="563"/>
      <c r="E76" s="440">
        <v>0.76</v>
      </c>
      <c r="F76" s="440">
        <v>0.24</v>
      </c>
      <c r="G76" s="441">
        <v>346.76339999999999</v>
      </c>
      <c r="H76" s="441">
        <v>81.125100000000003</v>
      </c>
      <c r="I76" s="441">
        <v>283.01020799999998</v>
      </c>
    </row>
    <row r="77" spans="1:9" ht="26.25" customHeight="1">
      <c r="A77" s="431" t="s">
        <v>904</v>
      </c>
      <c r="B77" s="430" t="s">
        <v>905</v>
      </c>
      <c r="C77" s="563">
        <v>1</v>
      </c>
      <c r="D77" s="563"/>
      <c r="E77" s="440">
        <v>1</v>
      </c>
      <c r="F77" s="440">
        <v>0</v>
      </c>
      <c r="G77" s="441">
        <v>280.73719999999997</v>
      </c>
      <c r="H77" s="441">
        <v>89.770300000000006</v>
      </c>
      <c r="I77" s="441">
        <v>280.73719999999997</v>
      </c>
    </row>
    <row r="78" spans="1:9" ht="26.25" customHeight="1">
      <c r="A78" s="431" t="s">
        <v>906</v>
      </c>
      <c r="B78" s="430" t="s">
        <v>907</v>
      </c>
      <c r="C78" s="563">
        <v>1</v>
      </c>
      <c r="D78" s="563"/>
      <c r="E78" s="440">
        <v>0.88</v>
      </c>
      <c r="F78" s="440">
        <v>0.12</v>
      </c>
      <c r="G78" s="441">
        <v>229.67740000000001</v>
      </c>
      <c r="H78" s="441">
        <v>103.4821</v>
      </c>
      <c r="I78" s="441">
        <v>214.533964</v>
      </c>
    </row>
    <row r="79" spans="1:9" ht="26.25" customHeight="1">
      <c r="A79" s="431" t="s">
        <v>908</v>
      </c>
      <c r="B79" s="430" t="s">
        <v>909</v>
      </c>
      <c r="C79" s="563">
        <v>1</v>
      </c>
      <c r="D79" s="563"/>
      <c r="E79" s="440">
        <v>0.71</v>
      </c>
      <c r="F79" s="440">
        <v>0.28999999999999998</v>
      </c>
      <c r="G79" s="441">
        <v>199.58199999999999</v>
      </c>
      <c r="H79" s="441">
        <v>71.465199999999996</v>
      </c>
      <c r="I79" s="441">
        <v>162.42812799999999</v>
      </c>
    </row>
    <row r="80" spans="1:9" ht="15" customHeight="1">
      <c r="A80" s="442"/>
      <c r="B80" s="442"/>
      <c r="C80" s="442"/>
      <c r="D80" s="442"/>
      <c r="E80" s="442"/>
      <c r="F80" s="442"/>
      <c r="G80" s="493" t="s">
        <v>910</v>
      </c>
      <c r="H80" s="493"/>
      <c r="I80" s="443">
        <v>940.70950000000005</v>
      </c>
    </row>
    <row r="81" spans="1:9" ht="20.100000000000001" customHeight="1">
      <c r="A81" s="561" t="s">
        <v>911</v>
      </c>
      <c r="B81" s="561"/>
      <c r="C81" s="561"/>
      <c r="D81" s="561"/>
      <c r="E81" s="561"/>
      <c r="F81" s="427" t="s">
        <v>836</v>
      </c>
      <c r="G81" s="427" t="s">
        <v>912</v>
      </c>
      <c r="H81" s="427" t="s">
        <v>913</v>
      </c>
      <c r="I81" s="427" t="s">
        <v>899</v>
      </c>
    </row>
    <row r="82" spans="1:9" ht="15" customHeight="1">
      <c r="A82" s="431" t="s">
        <v>914</v>
      </c>
      <c r="B82" s="562" t="s">
        <v>915</v>
      </c>
      <c r="C82" s="562"/>
      <c r="D82" s="562"/>
      <c r="E82" s="562"/>
      <c r="F82" s="431" t="s">
        <v>916</v>
      </c>
      <c r="G82" s="439">
        <v>1</v>
      </c>
      <c r="H82" s="432">
        <v>18.947800000000001</v>
      </c>
      <c r="I82" s="432">
        <v>18.947800000000001</v>
      </c>
    </row>
    <row r="83" spans="1:9" ht="15" customHeight="1">
      <c r="A83" s="442"/>
      <c r="B83" s="442"/>
      <c r="C83" s="442"/>
      <c r="D83" s="442"/>
      <c r="E83" s="442"/>
      <c r="F83" s="442"/>
      <c r="G83" s="493" t="s">
        <v>917</v>
      </c>
      <c r="H83" s="493"/>
      <c r="I83" s="429">
        <v>18.95</v>
      </c>
    </row>
    <row r="84" spans="1:9" ht="15" customHeight="1">
      <c r="A84" s="433"/>
      <c r="B84" s="433"/>
      <c r="C84" s="433"/>
      <c r="D84" s="433"/>
      <c r="E84" s="433"/>
      <c r="F84" s="433"/>
      <c r="G84" s="553" t="s">
        <v>918</v>
      </c>
      <c r="H84" s="553"/>
      <c r="I84" s="441">
        <v>959.65949999999998</v>
      </c>
    </row>
    <row r="85" spans="1:9" ht="15" customHeight="1">
      <c r="A85" s="433"/>
      <c r="B85" s="433"/>
      <c r="C85" s="433"/>
      <c r="D85" s="433"/>
      <c r="E85" s="433"/>
      <c r="F85" s="433"/>
      <c r="G85" s="553" t="s">
        <v>919</v>
      </c>
      <c r="H85" s="553"/>
      <c r="I85" s="441">
        <v>84.62</v>
      </c>
    </row>
    <row r="86" spans="1:9" ht="15" customHeight="1">
      <c r="A86" s="433"/>
      <c r="B86" s="433"/>
      <c r="C86" s="433"/>
      <c r="D86" s="433"/>
      <c r="E86" s="433"/>
      <c r="F86" s="433"/>
      <c r="G86" s="553" t="s">
        <v>920</v>
      </c>
      <c r="H86" s="553"/>
      <c r="I86" s="441">
        <v>11.34</v>
      </c>
    </row>
    <row r="87" spans="1:9" ht="15" customHeight="1">
      <c r="A87" s="433"/>
      <c r="B87" s="433"/>
      <c r="C87" s="433"/>
      <c r="D87" s="433"/>
      <c r="E87" s="433"/>
      <c r="F87" s="433"/>
      <c r="G87" s="553" t="s">
        <v>921</v>
      </c>
      <c r="H87" s="553"/>
      <c r="I87" s="441">
        <v>6.1699999999999998E-2</v>
      </c>
    </row>
    <row r="88" spans="1:9" ht="15" customHeight="1">
      <c r="A88" s="433"/>
      <c r="B88" s="433"/>
      <c r="C88" s="433"/>
      <c r="D88" s="433"/>
      <c r="E88" s="433"/>
      <c r="F88" s="433"/>
      <c r="G88" s="553" t="s">
        <v>922</v>
      </c>
      <c r="H88" s="553"/>
      <c r="I88" s="432">
        <v>11.4017</v>
      </c>
    </row>
    <row r="89" spans="1:9" ht="24.75" customHeight="1">
      <c r="A89" s="552" t="s">
        <v>923</v>
      </c>
      <c r="B89" s="552"/>
      <c r="C89" s="552"/>
      <c r="D89" s="433"/>
      <c r="E89" s="433"/>
      <c r="F89" s="433"/>
      <c r="G89" s="553" t="s">
        <v>860</v>
      </c>
      <c r="H89" s="553"/>
      <c r="I89" s="429">
        <v>11.4</v>
      </c>
    </row>
    <row r="90" spans="1:9" ht="2.1" customHeight="1">
      <c r="A90" s="552"/>
      <c r="B90" s="552"/>
      <c r="C90" s="552"/>
      <c r="D90" s="433"/>
      <c r="E90" s="433"/>
      <c r="F90" s="433"/>
      <c r="G90" s="433"/>
      <c r="H90" s="433"/>
      <c r="I90" s="433"/>
    </row>
    <row r="91" spans="1:9" ht="9.9499999999999993" customHeight="1">
      <c r="A91" s="433"/>
      <c r="B91" s="433"/>
      <c r="C91" s="433"/>
      <c r="D91" s="559"/>
      <c r="E91" s="559"/>
      <c r="F91" s="559"/>
      <c r="G91" s="433"/>
      <c r="H91" s="433"/>
      <c r="I91" s="433"/>
    </row>
    <row r="92" spans="1:9" ht="28.5" customHeight="1">
      <c r="A92" s="560" t="s">
        <v>924</v>
      </c>
      <c r="B92" s="560"/>
      <c r="C92" s="560"/>
      <c r="D92" s="560"/>
      <c r="E92" s="560"/>
      <c r="F92" s="560"/>
      <c r="G92" s="560"/>
      <c r="H92" s="560"/>
      <c r="I92" s="560"/>
    </row>
    <row r="93" spans="1:9" ht="15" customHeight="1">
      <c r="A93" s="554" t="s">
        <v>874</v>
      </c>
      <c r="B93" s="554"/>
      <c r="C93" s="554"/>
      <c r="D93" s="555" t="s">
        <v>835</v>
      </c>
      <c r="E93" s="555"/>
      <c r="F93" s="434" t="s">
        <v>836</v>
      </c>
      <c r="G93" s="434" t="s">
        <v>837</v>
      </c>
      <c r="H93" s="434" t="s">
        <v>8</v>
      </c>
      <c r="I93" s="434" t="s">
        <v>838</v>
      </c>
    </row>
    <row r="94" spans="1:9" ht="70.5" customHeight="1">
      <c r="A94" s="435" t="s">
        <v>925</v>
      </c>
      <c r="B94" s="556" t="s">
        <v>926</v>
      </c>
      <c r="C94" s="556"/>
      <c r="D94" s="557" t="s">
        <v>29</v>
      </c>
      <c r="E94" s="557"/>
      <c r="F94" s="435" t="s">
        <v>927</v>
      </c>
      <c r="G94" s="436">
        <v>2.8000000000000001E-2</v>
      </c>
      <c r="H94" s="437">
        <v>69.290000000000006</v>
      </c>
      <c r="I94" s="437">
        <v>1.9401200000000001</v>
      </c>
    </row>
    <row r="95" spans="1:9" ht="70.5" customHeight="1">
      <c r="A95" s="435" t="s">
        <v>928</v>
      </c>
      <c r="B95" s="556" t="s">
        <v>929</v>
      </c>
      <c r="C95" s="556"/>
      <c r="D95" s="557" t="s">
        <v>29</v>
      </c>
      <c r="E95" s="557"/>
      <c r="F95" s="435" t="s">
        <v>877</v>
      </c>
      <c r="G95" s="436">
        <v>2E-3</v>
      </c>
      <c r="H95" s="437">
        <v>365.18</v>
      </c>
      <c r="I95" s="437">
        <v>0.73036000000000001</v>
      </c>
    </row>
    <row r="96" spans="1:9" ht="51.75" customHeight="1">
      <c r="A96" s="435" t="s">
        <v>930</v>
      </c>
      <c r="B96" s="556" t="s">
        <v>931</v>
      </c>
      <c r="C96" s="556"/>
      <c r="D96" s="557" t="s">
        <v>29</v>
      </c>
      <c r="E96" s="557"/>
      <c r="F96" s="435" t="s">
        <v>927</v>
      </c>
      <c r="G96" s="436">
        <v>2.1999999999999999E-2</v>
      </c>
      <c r="H96" s="437">
        <v>105.01</v>
      </c>
      <c r="I96" s="437">
        <v>2.3102200000000002</v>
      </c>
    </row>
    <row r="97" spans="1:9" ht="51.75" customHeight="1">
      <c r="A97" s="435" t="s">
        <v>932</v>
      </c>
      <c r="B97" s="556" t="s">
        <v>933</v>
      </c>
      <c r="C97" s="556"/>
      <c r="D97" s="557" t="s">
        <v>29</v>
      </c>
      <c r="E97" s="557"/>
      <c r="F97" s="435" t="s">
        <v>877</v>
      </c>
      <c r="G97" s="436">
        <v>8.0000000000000002E-3</v>
      </c>
      <c r="H97" s="437">
        <v>298.69</v>
      </c>
      <c r="I97" s="437">
        <v>2.3895200000000001</v>
      </c>
    </row>
    <row r="98" spans="1:9" ht="51.75" customHeight="1">
      <c r="A98" s="435" t="s">
        <v>934</v>
      </c>
      <c r="B98" s="556" t="s">
        <v>935</v>
      </c>
      <c r="C98" s="556"/>
      <c r="D98" s="557" t="s">
        <v>29</v>
      </c>
      <c r="E98" s="557"/>
      <c r="F98" s="435" t="s">
        <v>927</v>
      </c>
      <c r="G98" s="436">
        <v>2.5999999999999999E-2</v>
      </c>
      <c r="H98" s="437">
        <v>93.1</v>
      </c>
      <c r="I98" s="437">
        <v>2.4205999999999999</v>
      </c>
    </row>
    <row r="99" spans="1:9" ht="51.75" customHeight="1">
      <c r="A99" s="435" t="s">
        <v>936</v>
      </c>
      <c r="B99" s="556" t="s">
        <v>937</v>
      </c>
      <c r="C99" s="556"/>
      <c r="D99" s="557" t="s">
        <v>29</v>
      </c>
      <c r="E99" s="557"/>
      <c r="F99" s="435" t="s">
        <v>877</v>
      </c>
      <c r="G99" s="436">
        <v>4.0000000000000001E-3</v>
      </c>
      <c r="H99" s="437">
        <v>236.64</v>
      </c>
      <c r="I99" s="437">
        <v>0.94655999999999996</v>
      </c>
    </row>
    <row r="100" spans="1:9" ht="51.75" customHeight="1">
      <c r="A100" s="435" t="s">
        <v>938</v>
      </c>
      <c r="B100" s="556" t="s">
        <v>939</v>
      </c>
      <c r="C100" s="556"/>
      <c r="D100" s="557" t="s">
        <v>29</v>
      </c>
      <c r="E100" s="557"/>
      <c r="F100" s="435" t="s">
        <v>927</v>
      </c>
      <c r="G100" s="436">
        <v>2.1000000000000001E-2</v>
      </c>
      <c r="H100" s="437">
        <v>70.67</v>
      </c>
      <c r="I100" s="437">
        <v>1.48407</v>
      </c>
    </row>
    <row r="101" spans="1:9" ht="51.75" customHeight="1">
      <c r="A101" s="435" t="s">
        <v>940</v>
      </c>
      <c r="B101" s="556" t="s">
        <v>941</v>
      </c>
      <c r="C101" s="556"/>
      <c r="D101" s="557" t="s">
        <v>29</v>
      </c>
      <c r="E101" s="557"/>
      <c r="F101" s="435" t="s">
        <v>877</v>
      </c>
      <c r="G101" s="436">
        <v>8.9999999999999993E-3</v>
      </c>
      <c r="H101" s="437">
        <v>181.02</v>
      </c>
      <c r="I101" s="437">
        <v>1.6291800000000001</v>
      </c>
    </row>
    <row r="102" spans="1:9" ht="15" customHeight="1">
      <c r="A102" s="433"/>
      <c r="B102" s="433"/>
      <c r="C102" s="433"/>
      <c r="D102" s="433"/>
      <c r="E102" s="433"/>
      <c r="F102" s="433"/>
      <c r="G102" s="558" t="s">
        <v>880</v>
      </c>
      <c r="H102" s="558"/>
      <c r="I102" s="438">
        <v>13.85</v>
      </c>
    </row>
    <row r="103" spans="1:9" ht="15" customHeight="1">
      <c r="A103" s="554" t="s">
        <v>848</v>
      </c>
      <c r="B103" s="554"/>
      <c r="C103" s="554"/>
      <c r="D103" s="555" t="s">
        <v>835</v>
      </c>
      <c r="E103" s="555"/>
      <c r="F103" s="434" t="s">
        <v>836</v>
      </c>
      <c r="G103" s="434" t="s">
        <v>837</v>
      </c>
      <c r="H103" s="434" t="s">
        <v>8</v>
      </c>
      <c r="I103" s="434" t="s">
        <v>838</v>
      </c>
    </row>
    <row r="104" spans="1:9" ht="15" customHeight="1">
      <c r="A104" s="435" t="s">
        <v>852</v>
      </c>
      <c r="B104" s="556" t="s">
        <v>853</v>
      </c>
      <c r="C104" s="556"/>
      <c r="D104" s="557" t="s">
        <v>29</v>
      </c>
      <c r="E104" s="557"/>
      <c r="F104" s="435" t="s">
        <v>851</v>
      </c>
      <c r="G104" s="436">
        <v>0.03</v>
      </c>
      <c r="H104" s="437">
        <v>19.8</v>
      </c>
      <c r="I104" s="437">
        <v>0.59399999999999997</v>
      </c>
    </row>
    <row r="105" spans="1:9" ht="18" customHeight="1">
      <c r="A105" s="433"/>
      <c r="B105" s="433"/>
      <c r="C105" s="433"/>
      <c r="D105" s="433"/>
      <c r="E105" s="433"/>
      <c r="F105" s="433"/>
      <c r="G105" s="558" t="s">
        <v>854</v>
      </c>
      <c r="H105" s="558"/>
      <c r="I105" s="438">
        <v>0.59</v>
      </c>
    </row>
    <row r="106" spans="1:9" ht="15" customHeight="1">
      <c r="A106" s="552" t="s">
        <v>942</v>
      </c>
      <c r="B106" s="552"/>
      <c r="C106" s="552"/>
      <c r="D106" s="433"/>
      <c r="E106" s="433"/>
      <c r="F106" s="433"/>
      <c r="G106" s="553" t="s">
        <v>860</v>
      </c>
      <c r="H106" s="553"/>
      <c r="I106" s="429">
        <v>14.44</v>
      </c>
    </row>
    <row r="107" spans="1:9" ht="9.9499999999999993" customHeight="1">
      <c r="A107" s="433"/>
      <c r="B107" s="433"/>
      <c r="C107" s="433"/>
      <c r="D107" s="559"/>
      <c r="E107" s="559"/>
      <c r="F107" s="559"/>
      <c r="G107" s="433"/>
      <c r="H107" s="433"/>
      <c r="I107" s="433"/>
    </row>
    <row r="108" spans="1:9" ht="20.100000000000001" customHeight="1">
      <c r="A108" s="560" t="s">
        <v>943</v>
      </c>
      <c r="B108" s="560"/>
      <c r="C108" s="560"/>
      <c r="D108" s="560"/>
      <c r="E108" s="560"/>
      <c r="F108" s="560"/>
      <c r="G108" s="560"/>
      <c r="H108" s="560"/>
      <c r="I108" s="560"/>
    </row>
    <row r="109" spans="1:9" ht="15" customHeight="1">
      <c r="A109" s="554" t="s">
        <v>874</v>
      </c>
      <c r="B109" s="554"/>
      <c r="C109" s="554"/>
      <c r="D109" s="555" t="s">
        <v>835</v>
      </c>
      <c r="E109" s="555"/>
      <c r="F109" s="434" t="s">
        <v>836</v>
      </c>
      <c r="G109" s="434" t="s">
        <v>837</v>
      </c>
      <c r="H109" s="434" t="s">
        <v>8</v>
      </c>
      <c r="I109" s="434" t="s">
        <v>838</v>
      </c>
    </row>
    <row r="110" spans="1:9" ht="66" customHeight="1">
      <c r="A110" s="435" t="s">
        <v>944</v>
      </c>
      <c r="B110" s="556" t="s">
        <v>945</v>
      </c>
      <c r="C110" s="556"/>
      <c r="D110" s="557" t="s">
        <v>29</v>
      </c>
      <c r="E110" s="557"/>
      <c r="F110" s="435" t="s">
        <v>877</v>
      </c>
      <c r="G110" s="436">
        <v>4.5999999999999999E-3</v>
      </c>
      <c r="H110" s="437">
        <v>298.73</v>
      </c>
      <c r="I110" s="437">
        <v>1.374158</v>
      </c>
    </row>
    <row r="111" spans="1:9" ht="15" customHeight="1">
      <c r="A111" s="433"/>
      <c r="B111" s="433"/>
      <c r="C111" s="433"/>
      <c r="D111" s="433"/>
      <c r="E111" s="433"/>
      <c r="F111" s="433"/>
      <c r="G111" s="558" t="s">
        <v>880</v>
      </c>
      <c r="H111" s="558"/>
      <c r="I111" s="438">
        <v>1.37</v>
      </c>
    </row>
    <row r="112" spans="1:9" ht="15" customHeight="1">
      <c r="A112" s="552" t="s">
        <v>946</v>
      </c>
      <c r="B112" s="552"/>
      <c r="C112" s="552"/>
      <c r="D112" s="433"/>
      <c r="E112" s="433"/>
      <c r="F112" s="433"/>
      <c r="G112" s="553" t="s">
        <v>860</v>
      </c>
      <c r="H112" s="553"/>
      <c r="I112" s="429">
        <v>1.37</v>
      </c>
    </row>
    <row r="113" spans="1:9" ht="9.9499999999999993" customHeight="1">
      <c r="A113" s="433"/>
      <c r="B113" s="433"/>
      <c r="C113" s="433"/>
      <c r="D113" s="559"/>
      <c r="E113" s="559"/>
      <c r="F113" s="559"/>
      <c r="G113" s="433"/>
      <c r="H113" s="433"/>
      <c r="I113" s="433"/>
    </row>
    <row r="114" spans="1:9" ht="28.5" customHeight="1">
      <c r="A114" s="560" t="s">
        <v>947</v>
      </c>
      <c r="B114" s="560"/>
      <c r="C114" s="560"/>
      <c r="D114" s="560"/>
      <c r="E114" s="560"/>
      <c r="F114" s="560"/>
      <c r="G114" s="560"/>
      <c r="H114" s="560"/>
      <c r="I114" s="560"/>
    </row>
    <row r="115" spans="1:9" ht="15" customHeight="1">
      <c r="A115" s="554" t="s">
        <v>874</v>
      </c>
      <c r="B115" s="554"/>
      <c r="C115" s="554"/>
      <c r="D115" s="555" t="s">
        <v>835</v>
      </c>
      <c r="E115" s="555"/>
      <c r="F115" s="434" t="s">
        <v>836</v>
      </c>
      <c r="G115" s="434" t="s">
        <v>837</v>
      </c>
      <c r="H115" s="434" t="s">
        <v>8</v>
      </c>
      <c r="I115" s="434" t="s">
        <v>838</v>
      </c>
    </row>
    <row r="116" spans="1:9" ht="62.25" customHeight="1">
      <c r="A116" s="435" t="s">
        <v>948</v>
      </c>
      <c r="B116" s="556" t="s">
        <v>949</v>
      </c>
      <c r="C116" s="556"/>
      <c r="D116" s="557" t="s">
        <v>29</v>
      </c>
      <c r="E116" s="557"/>
      <c r="F116" s="435" t="s">
        <v>927</v>
      </c>
      <c r="G116" s="436">
        <v>0.1217</v>
      </c>
      <c r="H116" s="437">
        <v>0.76</v>
      </c>
      <c r="I116" s="437">
        <v>9.2492000000000005E-2</v>
      </c>
    </row>
    <row r="117" spans="1:9" ht="62.25" customHeight="1">
      <c r="A117" s="435" t="s">
        <v>950</v>
      </c>
      <c r="B117" s="556" t="s">
        <v>951</v>
      </c>
      <c r="C117" s="556"/>
      <c r="D117" s="557" t="s">
        <v>29</v>
      </c>
      <c r="E117" s="557"/>
      <c r="F117" s="435" t="s">
        <v>877</v>
      </c>
      <c r="G117" s="436">
        <v>1.35E-2</v>
      </c>
      <c r="H117" s="437">
        <v>10.9</v>
      </c>
      <c r="I117" s="437">
        <v>0.14715</v>
      </c>
    </row>
    <row r="118" spans="1:9" ht="44.25" customHeight="1">
      <c r="A118" s="435" t="s">
        <v>952</v>
      </c>
      <c r="B118" s="556" t="s">
        <v>953</v>
      </c>
      <c r="C118" s="556"/>
      <c r="D118" s="557" t="s">
        <v>29</v>
      </c>
      <c r="E118" s="557"/>
      <c r="F118" s="435" t="s">
        <v>927</v>
      </c>
      <c r="G118" s="436">
        <v>0.12970000000000001</v>
      </c>
      <c r="H118" s="437">
        <v>0.57999999999999996</v>
      </c>
      <c r="I118" s="437">
        <v>7.5226000000000001E-2</v>
      </c>
    </row>
    <row r="119" spans="1:9" ht="44.25" customHeight="1">
      <c r="A119" s="435" t="s">
        <v>954</v>
      </c>
      <c r="B119" s="556" t="s">
        <v>955</v>
      </c>
      <c r="C119" s="556"/>
      <c r="D119" s="557" t="s">
        <v>29</v>
      </c>
      <c r="E119" s="557"/>
      <c r="F119" s="435" t="s">
        <v>877</v>
      </c>
      <c r="G119" s="436">
        <v>5.4999999999999997E-3</v>
      </c>
      <c r="H119" s="437">
        <v>10.43</v>
      </c>
      <c r="I119" s="437">
        <v>5.7364999999999999E-2</v>
      </c>
    </row>
    <row r="120" spans="1:9" ht="15" customHeight="1">
      <c r="A120" s="433"/>
      <c r="B120" s="433"/>
      <c r="C120" s="433"/>
      <c r="D120" s="433"/>
      <c r="E120" s="433"/>
      <c r="F120" s="433"/>
      <c r="G120" s="558" t="s">
        <v>880</v>
      </c>
      <c r="H120" s="558"/>
      <c r="I120" s="438">
        <v>0.38</v>
      </c>
    </row>
    <row r="121" spans="1:9" ht="15" customHeight="1">
      <c r="A121" s="554" t="s">
        <v>834</v>
      </c>
      <c r="B121" s="554"/>
      <c r="C121" s="554"/>
      <c r="D121" s="555" t="s">
        <v>835</v>
      </c>
      <c r="E121" s="555"/>
      <c r="F121" s="434" t="s">
        <v>836</v>
      </c>
      <c r="G121" s="434" t="s">
        <v>837</v>
      </c>
      <c r="H121" s="434" t="s">
        <v>8</v>
      </c>
      <c r="I121" s="434" t="s">
        <v>838</v>
      </c>
    </row>
    <row r="122" spans="1:9" ht="33.75" customHeight="1">
      <c r="A122" s="435" t="s">
        <v>956</v>
      </c>
      <c r="B122" s="556" t="s">
        <v>957</v>
      </c>
      <c r="C122" s="556"/>
      <c r="D122" s="557" t="s">
        <v>29</v>
      </c>
      <c r="E122" s="557"/>
      <c r="F122" s="435" t="s">
        <v>60</v>
      </c>
      <c r="G122" s="436">
        <v>5.6800000000000003E-2</v>
      </c>
      <c r="H122" s="437">
        <v>129</v>
      </c>
      <c r="I122" s="437">
        <v>7.3272000000000004</v>
      </c>
    </row>
    <row r="123" spans="1:9" ht="33.75" customHeight="1">
      <c r="A123" s="435" t="s">
        <v>958</v>
      </c>
      <c r="B123" s="556" t="s">
        <v>959</v>
      </c>
      <c r="C123" s="556"/>
      <c r="D123" s="557" t="s">
        <v>29</v>
      </c>
      <c r="E123" s="557"/>
      <c r="F123" s="435" t="s">
        <v>60</v>
      </c>
      <c r="G123" s="436">
        <v>8.6999999999999994E-3</v>
      </c>
      <c r="H123" s="437">
        <v>83.33</v>
      </c>
      <c r="I123" s="437">
        <v>0.72497100000000003</v>
      </c>
    </row>
    <row r="124" spans="1:9" ht="15" customHeight="1">
      <c r="A124" s="433"/>
      <c r="B124" s="433"/>
      <c r="C124" s="433"/>
      <c r="D124" s="433"/>
      <c r="E124" s="433"/>
      <c r="F124" s="433"/>
      <c r="G124" s="558" t="s">
        <v>847</v>
      </c>
      <c r="H124" s="558"/>
      <c r="I124" s="438">
        <v>8.0500000000000007</v>
      </c>
    </row>
    <row r="125" spans="1:9" ht="15" customHeight="1">
      <c r="A125" s="554" t="s">
        <v>848</v>
      </c>
      <c r="B125" s="554"/>
      <c r="C125" s="554"/>
      <c r="D125" s="555" t="s">
        <v>835</v>
      </c>
      <c r="E125" s="555"/>
      <c r="F125" s="434" t="s">
        <v>836</v>
      </c>
      <c r="G125" s="434" t="s">
        <v>837</v>
      </c>
      <c r="H125" s="434" t="s">
        <v>8</v>
      </c>
      <c r="I125" s="434" t="s">
        <v>838</v>
      </c>
    </row>
    <row r="126" spans="1:9" ht="15" customHeight="1">
      <c r="A126" s="435" t="s">
        <v>960</v>
      </c>
      <c r="B126" s="556" t="s">
        <v>961</v>
      </c>
      <c r="C126" s="556"/>
      <c r="D126" s="557" t="s">
        <v>29</v>
      </c>
      <c r="E126" s="557"/>
      <c r="F126" s="435" t="s">
        <v>851</v>
      </c>
      <c r="G126" s="436">
        <v>0.27029999999999998</v>
      </c>
      <c r="H126" s="437">
        <v>24.51</v>
      </c>
      <c r="I126" s="437">
        <v>6.6250530000000003</v>
      </c>
    </row>
    <row r="127" spans="1:9" ht="15" customHeight="1">
      <c r="A127" s="435" t="s">
        <v>852</v>
      </c>
      <c r="B127" s="556" t="s">
        <v>853</v>
      </c>
      <c r="C127" s="556"/>
      <c r="D127" s="557" t="s">
        <v>29</v>
      </c>
      <c r="E127" s="557"/>
      <c r="F127" s="435" t="s">
        <v>851</v>
      </c>
      <c r="G127" s="436">
        <v>0.27029999999999998</v>
      </c>
      <c r="H127" s="437">
        <v>19.8</v>
      </c>
      <c r="I127" s="437">
        <v>5.3519399999999999</v>
      </c>
    </row>
    <row r="128" spans="1:9" ht="18" customHeight="1">
      <c r="A128" s="433"/>
      <c r="B128" s="433"/>
      <c r="C128" s="433"/>
      <c r="D128" s="433"/>
      <c r="E128" s="433"/>
      <c r="F128" s="433"/>
      <c r="G128" s="558" t="s">
        <v>854</v>
      </c>
      <c r="H128" s="558"/>
      <c r="I128" s="438">
        <v>11.98</v>
      </c>
    </row>
    <row r="129" spans="1:9" ht="15" customHeight="1">
      <c r="A129" s="552" t="s">
        <v>962</v>
      </c>
      <c r="B129" s="552"/>
      <c r="C129" s="552"/>
      <c r="D129" s="433"/>
      <c r="E129" s="433"/>
      <c r="F129" s="433"/>
      <c r="G129" s="553" t="s">
        <v>860</v>
      </c>
      <c r="H129" s="553"/>
      <c r="I129" s="429">
        <v>20.41</v>
      </c>
    </row>
    <row r="130" spans="1:9" ht="9.9499999999999993" customHeight="1">
      <c r="A130" s="433"/>
      <c r="B130" s="433"/>
      <c r="C130" s="433"/>
      <c r="D130" s="559"/>
      <c r="E130" s="559"/>
      <c r="F130" s="559"/>
      <c r="G130" s="433"/>
      <c r="H130" s="433"/>
      <c r="I130" s="433"/>
    </row>
    <row r="131" spans="1:9" ht="20.100000000000001" customHeight="1">
      <c r="A131" s="560" t="s">
        <v>963</v>
      </c>
      <c r="B131" s="560"/>
      <c r="C131" s="560"/>
      <c r="D131" s="560"/>
      <c r="E131" s="560"/>
      <c r="F131" s="560"/>
      <c r="G131" s="560"/>
      <c r="H131" s="560"/>
      <c r="I131" s="560"/>
    </row>
    <row r="132" spans="1:9" ht="15" customHeight="1">
      <c r="A132" s="554" t="s">
        <v>874</v>
      </c>
      <c r="B132" s="554"/>
      <c r="C132" s="554"/>
      <c r="D132" s="555" t="s">
        <v>835</v>
      </c>
      <c r="E132" s="555"/>
      <c r="F132" s="434" t="s">
        <v>836</v>
      </c>
      <c r="G132" s="434" t="s">
        <v>837</v>
      </c>
      <c r="H132" s="434" t="s">
        <v>8</v>
      </c>
      <c r="I132" s="434" t="s">
        <v>838</v>
      </c>
    </row>
    <row r="133" spans="1:9" ht="65.25" customHeight="1">
      <c r="A133" s="435" t="s">
        <v>964</v>
      </c>
      <c r="B133" s="556" t="s">
        <v>965</v>
      </c>
      <c r="C133" s="556"/>
      <c r="D133" s="557" t="s">
        <v>29</v>
      </c>
      <c r="E133" s="557"/>
      <c r="F133" s="435" t="s">
        <v>927</v>
      </c>
      <c r="G133" s="436">
        <v>4.8999999999999998E-3</v>
      </c>
      <c r="H133" s="437">
        <v>65.45</v>
      </c>
      <c r="I133" s="437">
        <v>0.32070500000000002</v>
      </c>
    </row>
    <row r="134" spans="1:9" ht="65.25" customHeight="1">
      <c r="A134" s="435" t="s">
        <v>966</v>
      </c>
      <c r="B134" s="556" t="s">
        <v>967</v>
      </c>
      <c r="C134" s="556"/>
      <c r="D134" s="557" t="s">
        <v>29</v>
      </c>
      <c r="E134" s="557"/>
      <c r="F134" s="435" t="s">
        <v>877</v>
      </c>
      <c r="G134" s="436">
        <v>1E-3</v>
      </c>
      <c r="H134" s="437">
        <v>305.55</v>
      </c>
      <c r="I134" s="437">
        <v>0.30554999999999999</v>
      </c>
    </row>
    <row r="135" spans="1:9" ht="50.25" customHeight="1">
      <c r="A135" s="435" t="s">
        <v>968</v>
      </c>
      <c r="B135" s="556" t="s">
        <v>969</v>
      </c>
      <c r="C135" s="556"/>
      <c r="D135" s="557" t="s">
        <v>29</v>
      </c>
      <c r="E135" s="557"/>
      <c r="F135" s="435" t="s">
        <v>927</v>
      </c>
      <c r="G135" s="436">
        <v>4.1000000000000003E-3</v>
      </c>
      <c r="H135" s="437">
        <v>49.49</v>
      </c>
      <c r="I135" s="437">
        <v>0.20290900000000001</v>
      </c>
    </row>
    <row r="136" spans="1:9" ht="50.25" customHeight="1">
      <c r="A136" s="435" t="s">
        <v>970</v>
      </c>
      <c r="B136" s="556" t="s">
        <v>971</v>
      </c>
      <c r="C136" s="556"/>
      <c r="D136" s="557" t="s">
        <v>29</v>
      </c>
      <c r="E136" s="557"/>
      <c r="F136" s="435" t="s">
        <v>877</v>
      </c>
      <c r="G136" s="436">
        <v>1.6999999999999999E-3</v>
      </c>
      <c r="H136" s="437">
        <v>150.81</v>
      </c>
      <c r="I136" s="437">
        <v>0.25637700000000002</v>
      </c>
    </row>
    <row r="137" spans="1:9" ht="50.25" customHeight="1">
      <c r="A137" s="435" t="s">
        <v>972</v>
      </c>
      <c r="B137" s="556" t="s">
        <v>973</v>
      </c>
      <c r="C137" s="556"/>
      <c r="D137" s="557" t="s">
        <v>29</v>
      </c>
      <c r="E137" s="557"/>
      <c r="F137" s="435" t="s">
        <v>927</v>
      </c>
      <c r="G137" s="436">
        <v>4.0000000000000001E-3</v>
      </c>
      <c r="H137" s="437">
        <v>5.4</v>
      </c>
      <c r="I137" s="437">
        <v>2.1600000000000001E-2</v>
      </c>
    </row>
    <row r="138" spans="1:9" ht="50.25" customHeight="1">
      <c r="A138" s="435" t="s">
        <v>974</v>
      </c>
      <c r="B138" s="556" t="s">
        <v>975</v>
      </c>
      <c r="C138" s="556"/>
      <c r="D138" s="557" t="s">
        <v>29</v>
      </c>
      <c r="E138" s="557"/>
      <c r="F138" s="435" t="s">
        <v>877</v>
      </c>
      <c r="G138" s="436">
        <v>2E-3</v>
      </c>
      <c r="H138" s="437">
        <v>11.36</v>
      </c>
      <c r="I138" s="437">
        <v>2.2720000000000001E-2</v>
      </c>
    </row>
    <row r="139" spans="1:9" ht="15" customHeight="1">
      <c r="A139" s="433"/>
      <c r="B139" s="433"/>
      <c r="C139" s="433"/>
      <c r="D139" s="433"/>
      <c r="E139" s="433"/>
      <c r="F139" s="433"/>
      <c r="G139" s="558" t="s">
        <v>880</v>
      </c>
      <c r="H139" s="558"/>
      <c r="I139" s="438">
        <v>1.1299999999999999</v>
      </c>
    </row>
    <row r="140" spans="1:9" ht="15" customHeight="1">
      <c r="A140" s="554" t="s">
        <v>834</v>
      </c>
      <c r="B140" s="554"/>
      <c r="C140" s="554"/>
      <c r="D140" s="555" t="s">
        <v>835</v>
      </c>
      <c r="E140" s="555"/>
      <c r="F140" s="434" t="s">
        <v>836</v>
      </c>
      <c r="G140" s="434" t="s">
        <v>837</v>
      </c>
      <c r="H140" s="434" t="s">
        <v>8</v>
      </c>
      <c r="I140" s="434" t="s">
        <v>838</v>
      </c>
    </row>
    <row r="141" spans="1:9" ht="15" customHeight="1">
      <c r="A141" s="435" t="s">
        <v>976</v>
      </c>
      <c r="B141" s="556" t="s">
        <v>977</v>
      </c>
      <c r="C141" s="556"/>
      <c r="D141" s="557" t="s">
        <v>864</v>
      </c>
      <c r="E141" s="557"/>
      <c r="F141" s="435" t="s">
        <v>328</v>
      </c>
      <c r="G141" s="436">
        <v>1.2</v>
      </c>
      <c r="H141" s="437">
        <v>5.32</v>
      </c>
      <c r="I141" s="437">
        <v>6.3840000000000003</v>
      </c>
    </row>
    <row r="142" spans="1:9" ht="15" customHeight="1">
      <c r="A142" s="433"/>
      <c r="B142" s="433"/>
      <c r="C142" s="433"/>
      <c r="D142" s="433"/>
      <c r="E142" s="433"/>
      <c r="F142" s="433"/>
      <c r="G142" s="558" t="s">
        <v>847</v>
      </c>
      <c r="H142" s="558"/>
      <c r="I142" s="438">
        <v>6.38</v>
      </c>
    </row>
    <row r="143" spans="1:9" ht="15" customHeight="1">
      <c r="A143" s="554" t="s">
        <v>848</v>
      </c>
      <c r="B143" s="554"/>
      <c r="C143" s="554"/>
      <c r="D143" s="555" t="s">
        <v>835</v>
      </c>
      <c r="E143" s="555"/>
      <c r="F143" s="434" t="s">
        <v>836</v>
      </c>
      <c r="G143" s="434" t="s">
        <v>837</v>
      </c>
      <c r="H143" s="434" t="s">
        <v>8</v>
      </c>
      <c r="I143" s="434" t="s">
        <v>838</v>
      </c>
    </row>
    <row r="144" spans="1:9" ht="15" customHeight="1">
      <c r="A144" s="435" t="s">
        <v>852</v>
      </c>
      <c r="B144" s="556" t="s">
        <v>853</v>
      </c>
      <c r="C144" s="556"/>
      <c r="D144" s="557" t="s">
        <v>29</v>
      </c>
      <c r="E144" s="557"/>
      <c r="F144" s="435" t="s">
        <v>851</v>
      </c>
      <c r="G144" s="436">
        <v>5.7999999999999996E-3</v>
      </c>
      <c r="H144" s="437">
        <v>19.8</v>
      </c>
      <c r="I144" s="437">
        <v>0.11484</v>
      </c>
    </row>
    <row r="145" spans="1:9" ht="18" customHeight="1">
      <c r="A145" s="433"/>
      <c r="B145" s="433"/>
      <c r="C145" s="433"/>
      <c r="D145" s="433"/>
      <c r="E145" s="433"/>
      <c r="F145" s="433"/>
      <c r="G145" s="558" t="s">
        <v>854</v>
      </c>
      <c r="H145" s="558"/>
      <c r="I145" s="438">
        <v>0.11</v>
      </c>
    </row>
    <row r="146" spans="1:9" ht="15" customHeight="1">
      <c r="A146" s="552" t="s">
        <v>978</v>
      </c>
      <c r="B146" s="552"/>
      <c r="C146" s="552"/>
      <c r="D146" s="433"/>
      <c r="E146" s="433"/>
      <c r="F146" s="433"/>
      <c r="G146" s="553" t="s">
        <v>860</v>
      </c>
      <c r="H146" s="553"/>
      <c r="I146" s="429">
        <v>7.62</v>
      </c>
    </row>
    <row r="147" spans="1:9" ht="11.25" customHeight="1">
      <c r="A147" s="552"/>
      <c r="B147" s="552"/>
      <c r="C147" s="552"/>
      <c r="D147" s="433"/>
      <c r="E147" s="433"/>
      <c r="F147" s="433"/>
      <c r="G147" s="433"/>
      <c r="H147" s="433"/>
      <c r="I147" s="433"/>
    </row>
    <row r="148" spans="1:9" ht="9.9499999999999993" customHeight="1">
      <c r="A148" s="433"/>
      <c r="B148" s="433"/>
      <c r="C148" s="433"/>
      <c r="D148" s="559"/>
      <c r="E148" s="559"/>
      <c r="F148" s="559"/>
      <c r="G148" s="433"/>
      <c r="H148" s="433"/>
      <c r="I148" s="433"/>
    </row>
    <row r="149" spans="1:9" ht="34.5" customHeight="1">
      <c r="A149" s="560" t="s">
        <v>979</v>
      </c>
      <c r="B149" s="560"/>
      <c r="C149" s="560"/>
      <c r="D149" s="560"/>
      <c r="E149" s="560"/>
      <c r="F149" s="560"/>
      <c r="G149" s="560"/>
      <c r="H149" s="560"/>
      <c r="I149" s="560"/>
    </row>
    <row r="150" spans="1:9" ht="15" customHeight="1">
      <c r="A150" s="554" t="s">
        <v>874</v>
      </c>
      <c r="B150" s="554"/>
      <c r="C150" s="554"/>
      <c r="D150" s="555" t="s">
        <v>835</v>
      </c>
      <c r="E150" s="555"/>
      <c r="F150" s="434" t="s">
        <v>836</v>
      </c>
      <c r="G150" s="434" t="s">
        <v>837</v>
      </c>
      <c r="H150" s="434" t="s">
        <v>8</v>
      </c>
      <c r="I150" s="434" t="s">
        <v>838</v>
      </c>
    </row>
    <row r="151" spans="1:9" ht="66.75" customHeight="1">
      <c r="A151" s="435" t="s">
        <v>944</v>
      </c>
      <c r="B151" s="556" t="s">
        <v>945</v>
      </c>
      <c r="C151" s="556"/>
      <c r="D151" s="557" t="s">
        <v>29</v>
      </c>
      <c r="E151" s="557"/>
      <c r="F151" s="435" t="s">
        <v>877</v>
      </c>
      <c r="G151" s="436">
        <v>4.6399999999999997E-2</v>
      </c>
      <c r="H151" s="437">
        <v>298.73</v>
      </c>
      <c r="I151" s="437">
        <v>13.861072</v>
      </c>
    </row>
    <row r="152" spans="1:9" ht="56.25" customHeight="1">
      <c r="A152" s="435" t="s">
        <v>934</v>
      </c>
      <c r="B152" s="556" t="s">
        <v>935</v>
      </c>
      <c r="C152" s="556"/>
      <c r="D152" s="557" t="s">
        <v>29</v>
      </c>
      <c r="E152" s="557"/>
      <c r="F152" s="435" t="s">
        <v>927</v>
      </c>
      <c r="G152" s="436">
        <v>9.9000000000000005E-2</v>
      </c>
      <c r="H152" s="437">
        <v>93.1</v>
      </c>
      <c r="I152" s="437">
        <v>9.2169000000000008</v>
      </c>
    </row>
    <row r="153" spans="1:9" ht="56.25" customHeight="1">
      <c r="A153" s="435" t="s">
        <v>936</v>
      </c>
      <c r="B153" s="556" t="s">
        <v>937</v>
      </c>
      <c r="C153" s="556"/>
      <c r="D153" s="557" t="s">
        <v>29</v>
      </c>
      <c r="E153" s="557"/>
      <c r="F153" s="435" t="s">
        <v>877</v>
      </c>
      <c r="G153" s="436">
        <v>4.19E-2</v>
      </c>
      <c r="H153" s="437">
        <v>236.64</v>
      </c>
      <c r="I153" s="437">
        <v>9.9152159999999991</v>
      </c>
    </row>
    <row r="154" spans="1:9" ht="56.25" customHeight="1">
      <c r="A154" s="435" t="s">
        <v>980</v>
      </c>
      <c r="B154" s="556" t="s">
        <v>981</v>
      </c>
      <c r="C154" s="556"/>
      <c r="D154" s="557" t="s">
        <v>29</v>
      </c>
      <c r="E154" s="557"/>
      <c r="F154" s="435" t="s">
        <v>927</v>
      </c>
      <c r="G154" s="436">
        <v>6.0699999999999997E-2</v>
      </c>
      <c r="H154" s="437">
        <v>87.54</v>
      </c>
      <c r="I154" s="437">
        <v>5.3136780000000003</v>
      </c>
    </row>
    <row r="155" spans="1:9" ht="56.25" customHeight="1">
      <c r="A155" s="435" t="s">
        <v>982</v>
      </c>
      <c r="B155" s="556" t="s">
        <v>983</v>
      </c>
      <c r="C155" s="556"/>
      <c r="D155" s="557" t="s">
        <v>29</v>
      </c>
      <c r="E155" s="557"/>
      <c r="F155" s="435" t="s">
        <v>877</v>
      </c>
      <c r="G155" s="436">
        <v>8.0500000000000002E-2</v>
      </c>
      <c r="H155" s="437">
        <v>257.45</v>
      </c>
      <c r="I155" s="437">
        <v>20.724724999999999</v>
      </c>
    </row>
    <row r="156" spans="1:9" ht="56.25" customHeight="1">
      <c r="A156" s="435" t="s">
        <v>984</v>
      </c>
      <c r="B156" s="556" t="s">
        <v>985</v>
      </c>
      <c r="C156" s="556"/>
      <c r="D156" s="557" t="s">
        <v>29</v>
      </c>
      <c r="E156" s="557"/>
      <c r="F156" s="435" t="s">
        <v>927</v>
      </c>
      <c r="G156" s="436">
        <v>0.1071</v>
      </c>
      <c r="H156" s="437">
        <v>54.66</v>
      </c>
      <c r="I156" s="437">
        <v>5.8540859999999997</v>
      </c>
    </row>
    <row r="157" spans="1:9" ht="56.25" customHeight="1">
      <c r="A157" s="435" t="s">
        <v>986</v>
      </c>
      <c r="B157" s="556" t="s">
        <v>987</v>
      </c>
      <c r="C157" s="556"/>
      <c r="D157" s="557" t="s">
        <v>29</v>
      </c>
      <c r="E157" s="557"/>
      <c r="F157" s="435" t="s">
        <v>877</v>
      </c>
      <c r="G157" s="436">
        <v>3.4099999999999998E-2</v>
      </c>
      <c r="H157" s="437">
        <v>160.94</v>
      </c>
      <c r="I157" s="437">
        <v>5.488054</v>
      </c>
    </row>
    <row r="158" spans="1:9" ht="56.25" customHeight="1">
      <c r="A158" s="435" t="s">
        <v>988</v>
      </c>
      <c r="B158" s="556" t="s">
        <v>989</v>
      </c>
      <c r="C158" s="556"/>
      <c r="D158" s="557" t="s">
        <v>29</v>
      </c>
      <c r="E158" s="557"/>
      <c r="F158" s="435" t="s">
        <v>927</v>
      </c>
      <c r="G158" s="436">
        <v>9.4899999999999998E-2</v>
      </c>
      <c r="H158" s="437">
        <v>153.12</v>
      </c>
      <c r="I158" s="437">
        <v>14.531088</v>
      </c>
    </row>
    <row r="159" spans="1:9" ht="56.25" customHeight="1">
      <c r="A159" s="435" t="s">
        <v>990</v>
      </c>
      <c r="B159" s="556" t="s">
        <v>991</v>
      </c>
      <c r="C159" s="556"/>
      <c r="D159" s="557" t="s">
        <v>29</v>
      </c>
      <c r="E159" s="557"/>
      <c r="F159" s="435" t="s">
        <v>877</v>
      </c>
      <c r="G159" s="436">
        <v>4.6399999999999997E-2</v>
      </c>
      <c r="H159" s="437">
        <v>427.12</v>
      </c>
      <c r="I159" s="437">
        <v>19.818368</v>
      </c>
    </row>
    <row r="160" spans="1:9" ht="15" customHeight="1">
      <c r="A160" s="433"/>
      <c r="B160" s="433"/>
      <c r="C160" s="433"/>
      <c r="D160" s="433"/>
      <c r="E160" s="433"/>
      <c r="F160" s="433"/>
      <c r="G160" s="558" t="s">
        <v>880</v>
      </c>
      <c r="H160" s="558"/>
      <c r="I160" s="438">
        <v>104.72</v>
      </c>
    </row>
    <row r="161" spans="1:9" ht="15" customHeight="1">
      <c r="A161" s="554" t="s">
        <v>848</v>
      </c>
      <c r="B161" s="554"/>
      <c r="C161" s="554"/>
      <c r="D161" s="555" t="s">
        <v>835</v>
      </c>
      <c r="E161" s="555"/>
      <c r="F161" s="434" t="s">
        <v>836</v>
      </c>
      <c r="G161" s="434" t="s">
        <v>837</v>
      </c>
      <c r="H161" s="434" t="s">
        <v>8</v>
      </c>
      <c r="I161" s="434" t="s">
        <v>838</v>
      </c>
    </row>
    <row r="162" spans="1:9" ht="15" customHeight="1">
      <c r="A162" s="435" t="s">
        <v>992</v>
      </c>
      <c r="B162" s="556" t="s">
        <v>993</v>
      </c>
      <c r="C162" s="556"/>
      <c r="D162" s="557" t="s">
        <v>29</v>
      </c>
      <c r="E162" s="557"/>
      <c r="F162" s="435" t="s">
        <v>851</v>
      </c>
      <c r="G162" s="436">
        <v>1.1301000000000001</v>
      </c>
      <c r="H162" s="437">
        <v>25.35</v>
      </c>
      <c r="I162" s="437">
        <v>28.648035</v>
      </c>
    </row>
    <row r="163" spans="1:9" ht="18" customHeight="1">
      <c r="A163" s="433"/>
      <c r="B163" s="433"/>
      <c r="C163" s="433"/>
      <c r="D163" s="433"/>
      <c r="E163" s="433"/>
      <c r="F163" s="433"/>
      <c r="G163" s="558" t="s">
        <v>854</v>
      </c>
      <c r="H163" s="558"/>
      <c r="I163" s="438">
        <v>28.65</v>
      </c>
    </row>
    <row r="164" spans="1:9" ht="27.75" customHeight="1">
      <c r="A164" s="552" t="s">
        <v>994</v>
      </c>
      <c r="B164" s="552"/>
      <c r="C164" s="552"/>
      <c r="D164" s="433"/>
      <c r="E164" s="433"/>
      <c r="F164" s="433"/>
      <c r="G164" s="553" t="s">
        <v>860</v>
      </c>
      <c r="H164" s="553"/>
      <c r="I164" s="429">
        <v>133.37</v>
      </c>
    </row>
    <row r="165" spans="1:9" ht="2.1" customHeight="1">
      <c r="A165" s="552"/>
      <c r="B165" s="552"/>
      <c r="C165" s="552"/>
      <c r="D165" s="433"/>
      <c r="E165" s="433"/>
      <c r="F165" s="433"/>
      <c r="G165" s="433"/>
      <c r="H165" s="433"/>
      <c r="I165" s="433"/>
    </row>
    <row r="166" spans="1:9" ht="9.9499999999999993" customHeight="1">
      <c r="A166" s="433"/>
      <c r="B166" s="433"/>
      <c r="C166" s="433"/>
      <c r="D166" s="559"/>
      <c r="E166" s="559"/>
      <c r="F166" s="559"/>
      <c r="G166" s="433"/>
      <c r="H166" s="433"/>
      <c r="I166" s="433"/>
    </row>
    <row r="167" spans="1:9" ht="31.5" customHeight="1">
      <c r="A167" s="560" t="s">
        <v>995</v>
      </c>
      <c r="B167" s="560"/>
      <c r="C167" s="560"/>
      <c r="D167" s="560"/>
      <c r="E167" s="560"/>
      <c r="F167" s="560"/>
      <c r="G167" s="560"/>
      <c r="H167" s="560"/>
      <c r="I167" s="560"/>
    </row>
    <row r="168" spans="1:9" ht="15" customHeight="1">
      <c r="A168" s="554" t="s">
        <v>874</v>
      </c>
      <c r="B168" s="554"/>
      <c r="C168" s="554"/>
      <c r="D168" s="555" t="s">
        <v>835</v>
      </c>
      <c r="E168" s="555"/>
      <c r="F168" s="434" t="s">
        <v>836</v>
      </c>
      <c r="G168" s="434" t="s">
        <v>837</v>
      </c>
      <c r="H168" s="434" t="s">
        <v>8</v>
      </c>
      <c r="I168" s="434" t="s">
        <v>838</v>
      </c>
    </row>
    <row r="169" spans="1:9" ht="52.5" customHeight="1">
      <c r="A169" s="435" t="s">
        <v>996</v>
      </c>
      <c r="B169" s="556" t="s">
        <v>997</v>
      </c>
      <c r="C169" s="556"/>
      <c r="D169" s="557" t="s">
        <v>29</v>
      </c>
      <c r="E169" s="557"/>
      <c r="F169" s="435" t="s">
        <v>877</v>
      </c>
      <c r="G169" s="436">
        <v>3.4799999999999998E-2</v>
      </c>
      <c r="H169" s="437">
        <v>225.89</v>
      </c>
      <c r="I169" s="437">
        <v>7.8609720000000003</v>
      </c>
    </row>
    <row r="170" spans="1:9" ht="15" customHeight="1">
      <c r="A170" s="433"/>
      <c r="B170" s="433"/>
      <c r="C170" s="433"/>
      <c r="D170" s="433"/>
      <c r="E170" s="433"/>
      <c r="F170" s="433"/>
      <c r="G170" s="558" t="s">
        <v>880</v>
      </c>
      <c r="H170" s="558"/>
      <c r="I170" s="438">
        <v>7.86</v>
      </c>
    </row>
    <row r="171" spans="1:9" ht="15" customHeight="1">
      <c r="A171" s="552" t="s">
        <v>998</v>
      </c>
      <c r="B171" s="552"/>
      <c r="C171" s="552"/>
      <c r="D171" s="433"/>
      <c r="E171" s="433"/>
      <c r="F171" s="433"/>
      <c r="G171" s="553" t="s">
        <v>860</v>
      </c>
      <c r="H171" s="553"/>
      <c r="I171" s="429">
        <v>7.86</v>
      </c>
    </row>
    <row r="172" spans="1:9" ht="9.9499999999999993" customHeight="1">
      <c r="A172" s="433"/>
      <c r="B172" s="433"/>
      <c r="C172" s="433"/>
      <c r="D172" s="559"/>
      <c r="E172" s="559"/>
      <c r="F172" s="559"/>
      <c r="G172" s="433"/>
      <c r="H172" s="433"/>
      <c r="I172" s="433"/>
    </row>
    <row r="173" spans="1:9" ht="20.100000000000001" customHeight="1">
      <c r="A173" s="560" t="s">
        <v>999</v>
      </c>
      <c r="B173" s="560"/>
      <c r="C173" s="560"/>
      <c r="D173" s="560"/>
      <c r="E173" s="560"/>
      <c r="F173" s="560"/>
      <c r="G173" s="560"/>
      <c r="H173" s="560"/>
      <c r="I173" s="560"/>
    </row>
    <row r="174" spans="1:9" ht="15" customHeight="1">
      <c r="A174" s="554" t="s">
        <v>874</v>
      </c>
      <c r="B174" s="554"/>
      <c r="C174" s="554"/>
      <c r="D174" s="555" t="s">
        <v>835</v>
      </c>
      <c r="E174" s="555"/>
      <c r="F174" s="434" t="s">
        <v>836</v>
      </c>
      <c r="G174" s="434" t="s">
        <v>837</v>
      </c>
      <c r="H174" s="434" t="s">
        <v>8</v>
      </c>
      <c r="I174" s="434" t="s">
        <v>838</v>
      </c>
    </row>
    <row r="175" spans="1:9" ht="69.75" customHeight="1">
      <c r="A175" s="435" t="s">
        <v>944</v>
      </c>
      <c r="B175" s="556" t="s">
        <v>945</v>
      </c>
      <c r="C175" s="556"/>
      <c r="D175" s="557" t="s">
        <v>29</v>
      </c>
      <c r="E175" s="557"/>
      <c r="F175" s="435" t="s">
        <v>877</v>
      </c>
      <c r="G175" s="436">
        <v>5.9172000000000001E-3</v>
      </c>
      <c r="H175" s="437">
        <v>298.73</v>
      </c>
      <c r="I175" s="437">
        <v>1.7676451559999999</v>
      </c>
    </row>
    <row r="176" spans="1:9" ht="15" customHeight="1">
      <c r="A176" s="433"/>
      <c r="B176" s="433"/>
      <c r="C176" s="433"/>
      <c r="D176" s="433"/>
      <c r="E176" s="433"/>
      <c r="F176" s="433"/>
      <c r="G176" s="558" t="s">
        <v>880</v>
      </c>
      <c r="H176" s="558"/>
      <c r="I176" s="438">
        <v>1.77</v>
      </c>
    </row>
    <row r="177" spans="1:9" ht="15" customHeight="1">
      <c r="A177" s="552" t="s">
        <v>1000</v>
      </c>
      <c r="B177" s="552"/>
      <c r="C177" s="552"/>
      <c r="D177" s="433"/>
      <c r="E177" s="433"/>
      <c r="F177" s="433"/>
      <c r="G177" s="553" t="s">
        <v>860</v>
      </c>
      <c r="H177" s="553"/>
      <c r="I177" s="429">
        <v>1.77</v>
      </c>
    </row>
    <row r="178" spans="1:9" ht="9.9499999999999993" customHeight="1">
      <c r="A178" s="433"/>
      <c r="B178" s="433"/>
      <c r="C178" s="433"/>
      <c r="D178" s="559"/>
      <c r="E178" s="559"/>
      <c r="F178" s="559"/>
      <c r="G178" s="433"/>
      <c r="H178" s="433"/>
      <c r="I178" s="433"/>
    </row>
    <row r="179" spans="1:9" ht="20.100000000000001" customHeight="1">
      <c r="A179" s="560" t="s">
        <v>1001</v>
      </c>
      <c r="B179" s="560"/>
      <c r="C179" s="560"/>
      <c r="D179" s="560"/>
      <c r="E179" s="560"/>
      <c r="F179" s="560"/>
      <c r="G179" s="560"/>
      <c r="H179" s="560"/>
      <c r="I179" s="560"/>
    </row>
    <row r="180" spans="1:9" ht="15" customHeight="1">
      <c r="A180" s="554" t="s">
        <v>874</v>
      </c>
      <c r="B180" s="554"/>
      <c r="C180" s="554"/>
      <c r="D180" s="555" t="s">
        <v>835</v>
      </c>
      <c r="E180" s="555"/>
      <c r="F180" s="434" t="s">
        <v>836</v>
      </c>
      <c r="G180" s="434" t="s">
        <v>837</v>
      </c>
      <c r="H180" s="434" t="s">
        <v>8</v>
      </c>
      <c r="I180" s="434" t="s">
        <v>838</v>
      </c>
    </row>
    <row r="181" spans="1:9" ht="42" customHeight="1">
      <c r="A181" s="435" t="s">
        <v>954</v>
      </c>
      <c r="B181" s="556" t="s">
        <v>955</v>
      </c>
      <c r="C181" s="556"/>
      <c r="D181" s="557" t="s">
        <v>29</v>
      </c>
      <c r="E181" s="557"/>
      <c r="F181" s="435" t="s">
        <v>877</v>
      </c>
      <c r="G181" s="436">
        <v>5.0000000000000001E-3</v>
      </c>
      <c r="H181" s="437">
        <v>10.43</v>
      </c>
      <c r="I181" s="437">
        <v>5.2150000000000002E-2</v>
      </c>
    </row>
    <row r="182" spans="1:9" ht="15" customHeight="1">
      <c r="A182" s="433"/>
      <c r="B182" s="433"/>
      <c r="C182" s="433"/>
      <c r="D182" s="433"/>
      <c r="E182" s="433"/>
      <c r="F182" s="433"/>
      <c r="G182" s="558" t="s">
        <v>880</v>
      </c>
      <c r="H182" s="558"/>
      <c r="I182" s="438">
        <v>0.05</v>
      </c>
    </row>
    <row r="183" spans="1:9" ht="15" customHeight="1">
      <c r="A183" s="554" t="s">
        <v>848</v>
      </c>
      <c r="B183" s="554"/>
      <c r="C183" s="554"/>
      <c r="D183" s="555" t="s">
        <v>835</v>
      </c>
      <c r="E183" s="555"/>
      <c r="F183" s="434" t="s">
        <v>836</v>
      </c>
      <c r="G183" s="434" t="s">
        <v>837</v>
      </c>
      <c r="H183" s="434" t="s">
        <v>8</v>
      </c>
      <c r="I183" s="434" t="s">
        <v>838</v>
      </c>
    </row>
    <row r="184" spans="1:9" ht="15" customHeight="1">
      <c r="A184" s="435" t="s">
        <v>868</v>
      </c>
      <c r="B184" s="556" t="s">
        <v>869</v>
      </c>
      <c r="C184" s="556"/>
      <c r="D184" s="557" t="s">
        <v>29</v>
      </c>
      <c r="E184" s="557"/>
      <c r="F184" s="435" t="s">
        <v>851</v>
      </c>
      <c r="G184" s="436">
        <v>8.9999999999999993E-3</v>
      </c>
      <c r="H184" s="437">
        <v>24.66</v>
      </c>
      <c r="I184" s="437">
        <v>0.22194</v>
      </c>
    </row>
    <row r="185" spans="1:9" ht="15" customHeight="1">
      <c r="A185" s="435" t="s">
        <v>852</v>
      </c>
      <c r="B185" s="556" t="s">
        <v>853</v>
      </c>
      <c r="C185" s="556"/>
      <c r="D185" s="557" t="s">
        <v>29</v>
      </c>
      <c r="E185" s="557"/>
      <c r="F185" s="435" t="s">
        <v>851</v>
      </c>
      <c r="G185" s="436">
        <v>1.9E-2</v>
      </c>
      <c r="H185" s="437">
        <v>19.8</v>
      </c>
      <c r="I185" s="437">
        <v>0.37619999999999998</v>
      </c>
    </row>
    <row r="186" spans="1:9" ht="18" customHeight="1">
      <c r="A186" s="433"/>
      <c r="B186" s="433"/>
      <c r="C186" s="433"/>
      <c r="D186" s="433"/>
      <c r="E186" s="433"/>
      <c r="F186" s="433"/>
      <c r="G186" s="558" t="s">
        <v>854</v>
      </c>
      <c r="H186" s="558"/>
      <c r="I186" s="438">
        <v>0.6</v>
      </c>
    </row>
    <row r="187" spans="1:9" ht="15" customHeight="1">
      <c r="A187" s="552" t="s">
        <v>1002</v>
      </c>
      <c r="B187" s="552"/>
      <c r="C187" s="552"/>
      <c r="D187" s="433"/>
      <c r="E187" s="433"/>
      <c r="F187" s="433"/>
      <c r="G187" s="553" t="s">
        <v>860</v>
      </c>
      <c r="H187" s="553"/>
      <c r="I187" s="429">
        <v>0.65</v>
      </c>
    </row>
    <row r="188" spans="1:9" ht="9.9499999999999993" customHeight="1">
      <c r="A188" s="433"/>
      <c r="B188" s="433"/>
      <c r="C188" s="433"/>
      <c r="D188" s="559"/>
      <c r="E188" s="559"/>
      <c r="F188" s="559"/>
      <c r="G188" s="433"/>
      <c r="H188" s="433"/>
      <c r="I188" s="433"/>
    </row>
    <row r="189" spans="1:9" ht="32.25" customHeight="1">
      <c r="A189" s="560" t="s">
        <v>1003</v>
      </c>
      <c r="B189" s="560"/>
      <c r="C189" s="560"/>
      <c r="D189" s="560"/>
      <c r="E189" s="560"/>
      <c r="F189" s="560"/>
      <c r="G189" s="560"/>
      <c r="H189" s="560"/>
      <c r="I189" s="560"/>
    </row>
    <row r="190" spans="1:9" ht="15" customHeight="1">
      <c r="A190" s="554" t="s">
        <v>834</v>
      </c>
      <c r="B190" s="554"/>
      <c r="C190" s="554"/>
      <c r="D190" s="555" t="s">
        <v>835</v>
      </c>
      <c r="E190" s="555"/>
      <c r="F190" s="434" t="s">
        <v>836</v>
      </c>
      <c r="G190" s="434" t="s">
        <v>837</v>
      </c>
      <c r="H190" s="434" t="s">
        <v>8</v>
      </c>
      <c r="I190" s="434" t="s">
        <v>838</v>
      </c>
    </row>
    <row r="191" spans="1:9" ht="33" customHeight="1">
      <c r="A191" s="435" t="s">
        <v>1004</v>
      </c>
      <c r="B191" s="556" t="s">
        <v>1005</v>
      </c>
      <c r="C191" s="556"/>
      <c r="D191" s="557" t="s">
        <v>29</v>
      </c>
      <c r="E191" s="557"/>
      <c r="F191" s="435" t="s">
        <v>1006</v>
      </c>
      <c r="G191" s="436">
        <v>2.1299999999999999E-2</v>
      </c>
      <c r="H191" s="437">
        <v>9.09</v>
      </c>
      <c r="I191" s="437">
        <v>0.19361700000000001</v>
      </c>
    </row>
    <row r="192" spans="1:9" ht="33" customHeight="1">
      <c r="A192" s="435" t="s">
        <v>1007</v>
      </c>
      <c r="B192" s="556" t="s">
        <v>1008</v>
      </c>
      <c r="C192" s="556"/>
      <c r="D192" s="557" t="s">
        <v>29</v>
      </c>
      <c r="E192" s="557"/>
      <c r="F192" s="435" t="s">
        <v>328</v>
      </c>
      <c r="G192" s="436">
        <v>0.2994</v>
      </c>
      <c r="H192" s="437">
        <v>23.4</v>
      </c>
      <c r="I192" s="437">
        <v>7.00596</v>
      </c>
    </row>
    <row r="193" spans="1:9" ht="33" customHeight="1">
      <c r="A193" s="435" t="s">
        <v>1009</v>
      </c>
      <c r="B193" s="556" t="s">
        <v>1010</v>
      </c>
      <c r="C193" s="556"/>
      <c r="D193" s="557" t="s">
        <v>29</v>
      </c>
      <c r="E193" s="557"/>
      <c r="F193" s="435" t="s">
        <v>40</v>
      </c>
      <c r="G193" s="436">
        <v>3.125</v>
      </c>
      <c r="H193" s="437">
        <v>5.51</v>
      </c>
      <c r="I193" s="437">
        <v>17.21875</v>
      </c>
    </row>
    <row r="194" spans="1:9" ht="33" customHeight="1">
      <c r="A194" s="435" t="s">
        <v>1011</v>
      </c>
      <c r="B194" s="556" t="s">
        <v>1012</v>
      </c>
      <c r="C194" s="556"/>
      <c r="D194" s="557" t="s">
        <v>29</v>
      </c>
      <c r="E194" s="557"/>
      <c r="F194" s="435" t="s">
        <v>40</v>
      </c>
      <c r="G194" s="436">
        <v>2.5</v>
      </c>
      <c r="H194" s="437">
        <v>3.8</v>
      </c>
      <c r="I194" s="437">
        <v>9.5</v>
      </c>
    </row>
    <row r="195" spans="1:9" ht="15" customHeight="1">
      <c r="A195" s="433"/>
      <c r="B195" s="433"/>
      <c r="C195" s="433"/>
      <c r="D195" s="433"/>
      <c r="E195" s="433"/>
      <c r="F195" s="433"/>
      <c r="G195" s="558" t="s">
        <v>847</v>
      </c>
      <c r="H195" s="558"/>
      <c r="I195" s="438">
        <v>33.92</v>
      </c>
    </row>
    <row r="196" spans="1:9" ht="15" customHeight="1">
      <c r="A196" s="554" t="s">
        <v>848</v>
      </c>
      <c r="B196" s="554"/>
      <c r="C196" s="554"/>
      <c r="D196" s="555" t="s">
        <v>835</v>
      </c>
      <c r="E196" s="555"/>
      <c r="F196" s="434" t="s">
        <v>836</v>
      </c>
      <c r="G196" s="434" t="s">
        <v>837</v>
      </c>
      <c r="H196" s="434" t="s">
        <v>8</v>
      </c>
      <c r="I196" s="434" t="s">
        <v>838</v>
      </c>
    </row>
    <row r="197" spans="1:9" ht="24.75" customHeight="1">
      <c r="A197" s="435" t="s">
        <v>849</v>
      </c>
      <c r="B197" s="556" t="s">
        <v>850</v>
      </c>
      <c r="C197" s="556"/>
      <c r="D197" s="557" t="s">
        <v>29</v>
      </c>
      <c r="E197" s="557"/>
      <c r="F197" s="435" t="s">
        <v>851</v>
      </c>
      <c r="G197" s="436">
        <v>1.6268</v>
      </c>
      <c r="H197" s="437">
        <v>24.39</v>
      </c>
      <c r="I197" s="437">
        <v>39.677652000000002</v>
      </c>
    </row>
    <row r="198" spans="1:9" ht="15" customHeight="1">
      <c r="A198" s="435" t="s">
        <v>868</v>
      </c>
      <c r="B198" s="556" t="s">
        <v>869</v>
      </c>
      <c r="C198" s="556"/>
      <c r="D198" s="557" t="s">
        <v>29</v>
      </c>
      <c r="E198" s="557"/>
      <c r="F198" s="435" t="s">
        <v>851</v>
      </c>
      <c r="G198" s="436">
        <v>0.156</v>
      </c>
      <c r="H198" s="437">
        <v>24.66</v>
      </c>
      <c r="I198" s="437">
        <v>3.8469600000000002</v>
      </c>
    </row>
    <row r="199" spans="1:9" ht="15" customHeight="1">
      <c r="A199" s="435" t="s">
        <v>852</v>
      </c>
      <c r="B199" s="556" t="s">
        <v>853</v>
      </c>
      <c r="C199" s="556"/>
      <c r="D199" s="557" t="s">
        <v>29</v>
      </c>
      <c r="E199" s="557"/>
      <c r="F199" s="435" t="s">
        <v>851</v>
      </c>
      <c r="G199" s="436">
        <v>1.7827999999999999</v>
      </c>
      <c r="H199" s="437">
        <v>19.8</v>
      </c>
      <c r="I199" s="437">
        <v>35.299439999999997</v>
      </c>
    </row>
    <row r="200" spans="1:9" ht="18" customHeight="1">
      <c r="A200" s="433"/>
      <c r="B200" s="433"/>
      <c r="C200" s="433"/>
      <c r="D200" s="433"/>
      <c r="E200" s="433"/>
      <c r="F200" s="433"/>
      <c r="G200" s="558" t="s">
        <v>854</v>
      </c>
      <c r="H200" s="558"/>
      <c r="I200" s="438">
        <v>78.83</v>
      </c>
    </row>
    <row r="201" spans="1:9" ht="15" customHeight="1">
      <c r="A201" s="552" t="s">
        <v>1013</v>
      </c>
      <c r="B201" s="552"/>
      <c r="C201" s="552"/>
      <c r="D201" s="433"/>
      <c r="E201" s="433"/>
      <c r="F201" s="433"/>
      <c r="G201" s="553" t="s">
        <v>860</v>
      </c>
      <c r="H201" s="553"/>
      <c r="I201" s="429">
        <v>112.75</v>
      </c>
    </row>
    <row r="202" spans="1:9" ht="9.9499999999999993" customHeight="1">
      <c r="A202" s="433"/>
      <c r="B202" s="433"/>
      <c r="C202" s="433"/>
      <c r="D202" s="559"/>
      <c r="E202" s="559"/>
      <c r="F202" s="559"/>
      <c r="G202" s="433"/>
      <c r="H202" s="433"/>
      <c r="I202" s="433"/>
    </row>
    <row r="203" spans="1:9" ht="20.100000000000001" customHeight="1">
      <c r="A203" s="560" t="s">
        <v>1014</v>
      </c>
      <c r="B203" s="560"/>
      <c r="C203" s="560"/>
      <c r="D203" s="560"/>
      <c r="E203" s="560"/>
      <c r="F203" s="560"/>
      <c r="G203" s="560"/>
      <c r="H203" s="560"/>
      <c r="I203" s="560"/>
    </row>
    <row r="204" spans="1:9" ht="15" customHeight="1">
      <c r="A204" s="554" t="s">
        <v>848</v>
      </c>
      <c r="B204" s="554"/>
      <c r="C204" s="554"/>
      <c r="D204" s="555" t="s">
        <v>835</v>
      </c>
      <c r="E204" s="555"/>
      <c r="F204" s="434" t="s">
        <v>836</v>
      </c>
      <c r="G204" s="434" t="s">
        <v>837</v>
      </c>
      <c r="H204" s="434" t="s">
        <v>8</v>
      </c>
      <c r="I204" s="434" t="s">
        <v>838</v>
      </c>
    </row>
    <row r="205" spans="1:9" ht="15" customHeight="1">
      <c r="A205" s="435" t="s">
        <v>868</v>
      </c>
      <c r="B205" s="556" t="s">
        <v>869</v>
      </c>
      <c r="C205" s="556"/>
      <c r="D205" s="557" t="s">
        <v>29</v>
      </c>
      <c r="E205" s="557"/>
      <c r="F205" s="435" t="s">
        <v>851</v>
      </c>
      <c r="G205" s="436">
        <v>1.65</v>
      </c>
      <c r="H205" s="437">
        <v>24.66</v>
      </c>
      <c r="I205" s="437">
        <v>40.689</v>
      </c>
    </row>
    <row r="206" spans="1:9" ht="15" customHeight="1">
      <c r="A206" s="435" t="s">
        <v>852</v>
      </c>
      <c r="B206" s="556" t="s">
        <v>853</v>
      </c>
      <c r="C206" s="556"/>
      <c r="D206" s="557" t="s">
        <v>29</v>
      </c>
      <c r="E206" s="557"/>
      <c r="F206" s="435" t="s">
        <v>851</v>
      </c>
      <c r="G206" s="436">
        <v>4.5</v>
      </c>
      <c r="H206" s="437">
        <v>19.8</v>
      </c>
      <c r="I206" s="437">
        <v>89.1</v>
      </c>
    </row>
    <row r="207" spans="1:9" ht="18" customHeight="1">
      <c r="A207" s="433"/>
      <c r="B207" s="433"/>
      <c r="C207" s="433"/>
      <c r="D207" s="433"/>
      <c r="E207" s="433"/>
      <c r="F207" s="433"/>
      <c r="G207" s="558" t="s">
        <v>854</v>
      </c>
      <c r="H207" s="558"/>
      <c r="I207" s="438">
        <v>129.79</v>
      </c>
    </row>
    <row r="208" spans="1:9" ht="15" customHeight="1">
      <c r="A208" s="552" t="s">
        <v>1015</v>
      </c>
      <c r="B208" s="552"/>
      <c r="C208" s="552"/>
      <c r="D208" s="433"/>
      <c r="E208" s="433"/>
      <c r="F208" s="433"/>
      <c r="G208" s="553" t="s">
        <v>860</v>
      </c>
      <c r="H208" s="553"/>
      <c r="I208" s="429">
        <v>129.79</v>
      </c>
    </row>
    <row r="209" spans="1:9" ht="9.9499999999999993" customHeight="1">
      <c r="A209" s="433"/>
      <c r="B209" s="433"/>
      <c r="C209" s="433"/>
      <c r="D209" s="559"/>
      <c r="E209" s="559"/>
      <c r="F209" s="559"/>
      <c r="G209" s="433"/>
      <c r="H209" s="433"/>
      <c r="I209" s="433"/>
    </row>
    <row r="210" spans="1:9" ht="30.75" customHeight="1">
      <c r="A210" s="560" t="s">
        <v>1016</v>
      </c>
      <c r="B210" s="560"/>
      <c r="C210" s="560"/>
      <c r="D210" s="560"/>
      <c r="E210" s="560"/>
      <c r="F210" s="560"/>
      <c r="G210" s="560"/>
      <c r="H210" s="560"/>
      <c r="I210" s="560"/>
    </row>
    <row r="211" spans="1:9" ht="15" customHeight="1">
      <c r="A211" s="554" t="s">
        <v>834</v>
      </c>
      <c r="B211" s="554"/>
      <c r="C211" s="554"/>
      <c r="D211" s="555" t="s">
        <v>835</v>
      </c>
      <c r="E211" s="555"/>
      <c r="F211" s="434" t="s">
        <v>836</v>
      </c>
      <c r="G211" s="434" t="s">
        <v>837</v>
      </c>
      <c r="H211" s="434" t="s">
        <v>8</v>
      </c>
      <c r="I211" s="434" t="s">
        <v>838</v>
      </c>
    </row>
    <row r="212" spans="1:9" ht="48.75" customHeight="1">
      <c r="A212" s="435" t="s">
        <v>1017</v>
      </c>
      <c r="B212" s="556" t="s">
        <v>1018</v>
      </c>
      <c r="C212" s="556"/>
      <c r="D212" s="557" t="s">
        <v>29</v>
      </c>
      <c r="E212" s="557"/>
      <c r="F212" s="435" t="s">
        <v>20</v>
      </c>
      <c r="G212" s="436">
        <v>1</v>
      </c>
      <c r="H212" s="437">
        <v>52.99</v>
      </c>
      <c r="I212" s="437">
        <v>52.99</v>
      </c>
    </row>
    <row r="213" spans="1:9" ht="15" customHeight="1">
      <c r="A213" s="433"/>
      <c r="B213" s="433"/>
      <c r="C213" s="433"/>
      <c r="D213" s="433"/>
      <c r="E213" s="433"/>
      <c r="F213" s="433"/>
      <c r="G213" s="558" t="s">
        <v>847</v>
      </c>
      <c r="H213" s="558"/>
      <c r="I213" s="438">
        <v>52.99</v>
      </c>
    </row>
    <row r="214" spans="1:9" ht="15" customHeight="1">
      <c r="A214" s="554" t="s">
        <v>848</v>
      </c>
      <c r="B214" s="554"/>
      <c r="C214" s="554"/>
      <c r="D214" s="555" t="s">
        <v>835</v>
      </c>
      <c r="E214" s="555"/>
      <c r="F214" s="434" t="s">
        <v>836</v>
      </c>
      <c r="G214" s="434" t="s">
        <v>837</v>
      </c>
      <c r="H214" s="434" t="s">
        <v>8</v>
      </c>
      <c r="I214" s="434" t="s">
        <v>838</v>
      </c>
    </row>
    <row r="215" spans="1:9" ht="15" customHeight="1">
      <c r="A215" s="435" t="s">
        <v>1019</v>
      </c>
      <c r="B215" s="556" t="s">
        <v>1020</v>
      </c>
      <c r="C215" s="556"/>
      <c r="D215" s="557" t="s">
        <v>29</v>
      </c>
      <c r="E215" s="557"/>
      <c r="F215" s="435" t="s">
        <v>851</v>
      </c>
      <c r="G215" s="436">
        <v>0.5</v>
      </c>
      <c r="H215" s="437">
        <v>24.51</v>
      </c>
      <c r="I215" s="437">
        <v>12.255000000000001</v>
      </c>
    </row>
    <row r="216" spans="1:9" ht="18" customHeight="1">
      <c r="A216" s="433"/>
      <c r="B216" s="433"/>
      <c r="C216" s="433"/>
      <c r="D216" s="433"/>
      <c r="E216" s="433"/>
      <c r="F216" s="433"/>
      <c r="G216" s="558" t="s">
        <v>854</v>
      </c>
      <c r="H216" s="558"/>
      <c r="I216" s="438">
        <v>12.26</v>
      </c>
    </row>
    <row r="217" spans="1:9" ht="15" customHeight="1">
      <c r="A217" s="552" t="s">
        <v>1021</v>
      </c>
      <c r="B217" s="552"/>
      <c r="C217" s="552"/>
      <c r="D217" s="433"/>
      <c r="E217" s="433"/>
      <c r="F217" s="433"/>
      <c r="G217" s="553" t="s">
        <v>860</v>
      </c>
      <c r="H217" s="553"/>
      <c r="I217" s="429">
        <v>65.25</v>
      </c>
    </row>
    <row r="218" spans="1:9" ht="9.9499999999999993" customHeight="1">
      <c r="A218" s="433"/>
      <c r="B218" s="433"/>
      <c r="C218" s="433"/>
      <c r="D218" s="559"/>
      <c r="E218" s="559"/>
      <c r="F218" s="559"/>
      <c r="G218" s="433"/>
      <c r="H218" s="433"/>
      <c r="I218" s="433"/>
    </row>
    <row r="219" spans="1:9" ht="20.100000000000001" customHeight="1">
      <c r="A219" s="560" t="s">
        <v>1022</v>
      </c>
      <c r="B219" s="560"/>
      <c r="C219" s="560"/>
      <c r="D219" s="560"/>
      <c r="E219" s="560"/>
      <c r="F219" s="560"/>
      <c r="G219" s="560"/>
      <c r="H219" s="560"/>
      <c r="I219" s="560"/>
    </row>
    <row r="220" spans="1:9" ht="15" customHeight="1">
      <c r="A220" s="554" t="s">
        <v>834</v>
      </c>
      <c r="B220" s="554"/>
      <c r="C220" s="554"/>
      <c r="D220" s="555" t="s">
        <v>835</v>
      </c>
      <c r="E220" s="555"/>
      <c r="F220" s="434" t="s">
        <v>836</v>
      </c>
      <c r="G220" s="434" t="s">
        <v>837</v>
      </c>
      <c r="H220" s="434" t="s">
        <v>8</v>
      </c>
      <c r="I220" s="434" t="s">
        <v>838</v>
      </c>
    </row>
    <row r="221" spans="1:9" ht="43.5" customHeight="1">
      <c r="A221" s="435" t="s">
        <v>1023</v>
      </c>
      <c r="B221" s="556" t="s">
        <v>1024</v>
      </c>
      <c r="C221" s="556"/>
      <c r="D221" s="557" t="s">
        <v>29</v>
      </c>
      <c r="E221" s="557"/>
      <c r="F221" s="435" t="s">
        <v>115</v>
      </c>
      <c r="G221" s="436">
        <v>4</v>
      </c>
      <c r="H221" s="437">
        <v>0.39</v>
      </c>
      <c r="I221" s="437">
        <v>1.56</v>
      </c>
    </row>
    <row r="222" spans="1:9" ht="43.5" customHeight="1">
      <c r="A222" s="435" t="s">
        <v>1025</v>
      </c>
      <c r="B222" s="556" t="s">
        <v>1026</v>
      </c>
      <c r="C222" s="556"/>
      <c r="D222" s="557" t="s">
        <v>29</v>
      </c>
      <c r="E222" s="557"/>
      <c r="F222" s="435" t="s">
        <v>115</v>
      </c>
      <c r="G222" s="436">
        <v>1</v>
      </c>
      <c r="H222" s="437">
        <v>146.85</v>
      </c>
      <c r="I222" s="437">
        <v>146.85</v>
      </c>
    </row>
    <row r="223" spans="1:9" ht="15" customHeight="1">
      <c r="A223" s="433"/>
      <c r="B223" s="433"/>
      <c r="C223" s="433"/>
      <c r="D223" s="433"/>
      <c r="E223" s="433"/>
      <c r="F223" s="433"/>
      <c r="G223" s="558" t="s">
        <v>847</v>
      </c>
      <c r="H223" s="558"/>
      <c r="I223" s="438">
        <v>148.41</v>
      </c>
    </row>
    <row r="224" spans="1:9" ht="15" customHeight="1">
      <c r="A224" s="554" t="s">
        <v>848</v>
      </c>
      <c r="B224" s="554"/>
      <c r="C224" s="554"/>
      <c r="D224" s="555" t="s">
        <v>835</v>
      </c>
      <c r="E224" s="555"/>
      <c r="F224" s="434" t="s">
        <v>836</v>
      </c>
      <c r="G224" s="434" t="s">
        <v>837</v>
      </c>
      <c r="H224" s="434" t="s">
        <v>8</v>
      </c>
      <c r="I224" s="434" t="s">
        <v>838</v>
      </c>
    </row>
    <row r="225" spans="1:9" ht="15" customHeight="1">
      <c r="A225" s="435" t="s">
        <v>852</v>
      </c>
      <c r="B225" s="556" t="s">
        <v>853</v>
      </c>
      <c r="C225" s="556"/>
      <c r="D225" s="557" t="s">
        <v>29</v>
      </c>
      <c r="E225" s="557"/>
      <c r="F225" s="435" t="s">
        <v>851</v>
      </c>
      <c r="G225" s="436">
        <v>0.4</v>
      </c>
      <c r="H225" s="437">
        <v>19.8</v>
      </c>
      <c r="I225" s="437">
        <v>7.92</v>
      </c>
    </row>
    <row r="226" spans="1:9" ht="18" customHeight="1">
      <c r="A226" s="433"/>
      <c r="B226" s="433"/>
      <c r="C226" s="433"/>
      <c r="D226" s="433"/>
      <c r="E226" s="433"/>
      <c r="F226" s="433"/>
      <c r="G226" s="558" t="s">
        <v>854</v>
      </c>
      <c r="H226" s="558"/>
      <c r="I226" s="438">
        <v>7.92</v>
      </c>
    </row>
    <row r="227" spans="1:9" ht="15" customHeight="1">
      <c r="A227" s="552" t="s">
        <v>1027</v>
      </c>
      <c r="B227" s="552"/>
      <c r="C227" s="552"/>
      <c r="D227" s="433"/>
      <c r="E227" s="433"/>
      <c r="F227" s="433"/>
      <c r="G227" s="553" t="s">
        <v>860</v>
      </c>
      <c r="H227" s="553"/>
      <c r="I227" s="429">
        <v>156.33000000000001</v>
      </c>
    </row>
    <row r="228" spans="1:9" ht="9.9499999999999993" customHeight="1">
      <c r="A228" s="433"/>
      <c r="B228" s="433"/>
      <c r="C228" s="433"/>
      <c r="D228" s="559"/>
      <c r="E228" s="559"/>
      <c r="F228" s="559"/>
      <c r="G228" s="433"/>
      <c r="H228" s="433"/>
      <c r="I228" s="433"/>
    </row>
    <row r="229" spans="1:9" ht="27.75" customHeight="1">
      <c r="A229" s="560" t="s">
        <v>1028</v>
      </c>
      <c r="B229" s="560"/>
      <c r="C229" s="560"/>
      <c r="D229" s="560"/>
      <c r="E229" s="560"/>
      <c r="F229" s="560"/>
      <c r="G229" s="560"/>
      <c r="H229" s="560"/>
      <c r="I229" s="560"/>
    </row>
    <row r="230" spans="1:9" ht="15" customHeight="1">
      <c r="A230" s="554" t="s">
        <v>874</v>
      </c>
      <c r="B230" s="554"/>
      <c r="C230" s="554"/>
      <c r="D230" s="555" t="s">
        <v>835</v>
      </c>
      <c r="E230" s="555"/>
      <c r="F230" s="434" t="s">
        <v>836</v>
      </c>
      <c r="G230" s="434" t="s">
        <v>837</v>
      </c>
      <c r="H230" s="434" t="s">
        <v>8</v>
      </c>
      <c r="I230" s="434" t="s">
        <v>838</v>
      </c>
    </row>
    <row r="231" spans="1:9" ht="69" customHeight="1">
      <c r="A231" s="435" t="s">
        <v>1029</v>
      </c>
      <c r="B231" s="556" t="s">
        <v>1030</v>
      </c>
      <c r="C231" s="556"/>
      <c r="D231" s="557" t="s">
        <v>29</v>
      </c>
      <c r="E231" s="557"/>
      <c r="F231" s="435" t="s">
        <v>877</v>
      </c>
      <c r="G231" s="436">
        <v>3.333E-3</v>
      </c>
      <c r="H231" s="437">
        <v>244.65</v>
      </c>
      <c r="I231" s="437">
        <v>0.81541845000000002</v>
      </c>
    </row>
    <row r="232" spans="1:9" ht="42" customHeight="1">
      <c r="A232" s="435" t="s">
        <v>1031</v>
      </c>
      <c r="B232" s="556" t="s">
        <v>1032</v>
      </c>
      <c r="C232" s="556"/>
      <c r="D232" s="557" t="s">
        <v>29</v>
      </c>
      <c r="E232" s="557"/>
      <c r="F232" s="435" t="s">
        <v>877</v>
      </c>
      <c r="G232" s="436">
        <v>3.333E-3</v>
      </c>
      <c r="H232" s="437">
        <v>195.11</v>
      </c>
      <c r="I232" s="437">
        <v>0.65030162999999996</v>
      </c>
    </row>
    <row r="233" spans="1:9" ht="15" customHeight="1">
      <c r="A233" s="433"/>
      <c r="B233" s="433"/>
      <c r="C233" s="433"/>
      <c r="D233" s="433"/>
      <c r="E233" s="433"/>
      <c r="F233" s="433"/>
      <c r="G233" s="558" t="s">
        <v>880</v>
      </c>
      <c r="H233" s="558"/>
      <c r="I233" s="438">
        <v>1.47</v>
      </c>
    </row>
    <row r="234" spans="1:9" ht="15" customHeight="1">
      <c r="A234" s="554" t="s">
        <v>834</v>
      </c>
      <c r="B234" s="554"/>
      <c r="C234" s="554"/>
      <c r="D234" s="555" t="s">
        <v>835</v>
      </c>
      <c r="E234" s="555"/>
      <c r="F234" s="434" t="s">
        <v>836</v>
      </c>
      <c r="G234" s="434" t="s">
        <v>837</v>
      </c>
      <c r="H234" s="434" t="s">
        <v>8</v>
      </c>
      <c r="I234" s="434" t="s">
        <v>838</v>
      </c>
    </row>
    <row r="235" spans="1:9" ht="15" customHeight="1">
      <c r="A235" s="435" t="s">
        <v>1033</v>
      </c>
      <c r="B235" s="556" t="s">
        <v>1034</v>
      </c>
      <c r="C235" s="556"/>
      <c r="D235" s="557" t="s">
        <v>29</v>
      </c>
      <c r="E235" s="557"/>
      <c r="F235" s="435" t="s">
        <v>1006</v>
      </c>
      <c r="G235" s="436">
        <v>0.13</v>
      </c>
      <c r="H235" s="437">
        <v>23.73</v>
      </c>
      <c r="I235" s="437">
        <v>3.0849000000000002</v>
      </c>
    </row>
    <row r="236" spans="1:9" ht="33.75" customHeight="1">
      <c r="A236" s="435" t="s">
        <v>1035</v>
      </c>
      <c r="B236" s="556" t="s">
        <v>1036</v>
      </c>
      <c r="C236" s="556"/>
      <c r="D236" s="557" t="s">
        <v>29</v>
      </c>
      <c r="E236" s="557"/>
      <c r="F236" s="435" t="s">
        <v>328</v>
      </c>
      <c r="G236" s="436">
        <v>0.4</v>
      </c>
      <c r="H236" s="437">
        <v>11.94</v>
      </c>
      <c r="I236" s="437">
        <v>4.7759999999999998</v>
      </c>
    </row>
    <row r="237" spans="1:9" ht="33.75" customHeight="1">
      <c r="A237" s="435" t="s">
        <v>1037</v>
      </c>
      <c r="B237" s="556" t="s">
        <v>1038</v>
      </c>
      <c r="C237" s="556"/>
      <c r="D237" s="557" t="s">
        <v>29</v>
      </c>
      <c r="E237" s="557"/>
      <c r="F237" s="435" t="s">
        <v>1006</v>
      </c>
      <c r="G237" s="436">
        <v>0.6</v>
      </c>
      <c r="H237" s="437">
        <v>16.25</v>
      </c>
      <c r="I237" s="437">
        <v>9.75</v>
      </c>
    </row>
    <row r="238" spans="1:9" ht="15" customHeight="1">
      <c r="A238" s="435" t="s">
        <v>1039</v>
      </c>
      <c r="B238" s="556" t="s">
        <v>1040</v>
      </c>
      <c r="C238" s="556"/>
      <c r="D238" s="557" t="s">
        <v>29</v>
      </c>
      <c r="E238" s="557"/>
      <c r="F238" s="435" t="s">
        <v>1006</v>
      </c>
      <c r="G238" s="436">
        <v>0.03</v>
      </c>
      <c r="H238" s="437">
        <v>18.739999999999998</v>
      </c>
      <c r="I238" s="437">
        <v>0.56220000000000003</v>
      </c>
    </row>
    <row r="239" spans="1:9" ht="15" customHeight="1">
      <c r="A239" s="433"/>
      <c r="B239" s="433"/>
      <c r="C239" s="433"/>
      <c r="D239" s="433"/>
      <c r="E239" s="433"/>
      <c r="F239" s="433"/>
      <c r="G239" s="558" t="s">
        <v>847</v>
      </c>
      <c r="H239" s="558"/>
      <c r="I239" s="438">
        <v>18.170000000000002</v>
      </c>
    </row>
    <row r="240" spans="1:9" ht="15" customHeight="1">
      <c r="A240" s="554" t="s">
        <v>848</v>
      </c>
      <c r="B240" s="554"/>
      <c r="C240" s="554"/>
      <c r="D240" s="555" t="s">
        <v>835</v>
      </c>
      <c r="E240" s="555"/>
      <c r="F240" s="434" t="s">
        <v>836</v>
      </c>
      <c r="G240" s="434" t="s">
        <v>837</v>
      </c>
      <c r="H240" s="434" t="s">
        <v>8</v>
      </c>
      <c r="I240" s="434" t="s">
        <v>838</v>
      </c>
    </row>
    <row r="241" spans="1:9" ht="15" customHeight="1">
      <c r="A241" s="435" t="s">
        <v>852</v>
      </c>
      <c r="B241" s="556" t="s">
        <v>853</v>
      </c>
      <c r="C241" s="556"/>
      <c r="D241" s="557" t="s">
        <v>29</v>
      </c>
      <c r="E241" s="557"/>
      <c r="F241" s="435" t="s">
        <v>851</v>
      </c>
      <c r="G241" s="436">
        <v>3.3329999999999999E-2</v>
      </c>
      <c r="H241" s="437">
        <v>19.8</v>
      </c>
      <c r="I241" s="437">
        <v>0.65993400000000002</v>
      </c>
    </row>
    <row r="242" spans="1:9" ht="18" customHeight="1">
      <c r="A242" s="433"/>
      <c r="B242" s="433"/>
      <c r="C242" s="433"/>
      <c r="D242" s="433"/>
      <c r="E242" s="433"/>
      <c r="F242" s="433"/>
      <c r="G242" s="558" t="s">
        <v>854</v>
      </c>
      <c r="H242" s="558"/>
      <c r="I242" s="438">
        <v>0.66</v>
      </c>
    </row>
    <row r="243" spans="1:9" ht="15" customHeight="1">
      <c r="A243" s="552" t="s">
        <v>1041</v>
      </c>
      <c r="B243" s="552"/>
      <c r="C243" s="552"/>
      <c r="D243" s="433"/>
      <c r="E243" s="433"/>
      <c r="F243" s="433"/>
      <c r="G243" s="553" t="s">
        <v>860</v>
      </c>
      <c r="H243" s="553"/>
      <c r="I243" s="429">
        <v>20.3</v>
      </c>
    </row>
    <row r="244" spans="1:9" ht="9.9499999999999993" customHeight="1">
      <c r="A244" s="433"/>
      <c r="B244" s="433"/>
      <c r="C244" s="433"/>
      <c r="D244" s="559"/>
      <c r="E244" s="559"/>
      <c r="F244" s="559"/>
      <c r="G244" s="433"/>
      <c r="H244" s="433"/>
      <c r="I244" s="433"/>
    </row>
    <row r="245" spans="1:9" ht="30" customHeight="1">
      <c r="A245" s="560" t="s">
        <v>1042</v>
      </c>
      <c r="B245" s="560"/>
      <c r="C245" s="560"/>
      <c r="D245" s="560"/>
      <c r="E245" s="560"/>
      <c r="F245" s="560"/>
      <c r="G245" s="560"/>
      <c r="H245" s="560"/>
      <c r="I245" s="560"/>
    </row>
    <row r="246" spans="1:9" ht="15" customHeight="1">
      <c r="A246" s="554" t="s">
        <v>834</v>
      </c>
      <c r="B246" s="554"/>
      <c r="C246" s="554"/>
      <c r="D246" s="555" t="s">
        <v>835</v>
      </c>
      <c r="E246" s="555"/>
      <c r="F246" s="434" t="s">
        <v>836</v>
      </c>
      <c r="G246" s="434" t="s">
        <v>837</v>
      </c>
      <c r="H246" s="434" t="s">
        <v>8</v>
      </c>
      <c r="I246" s="434" t="s">
        <v>838</v>
      </c>
    </row>
    <row r="247" spans="1:9" ht="15" customHeight="1">
      <c r="A247" s="435" t="s">
        <v>1043</v>
      </c>
      <c r="B247" s="556" t="s">
        <v>1044</v>
      </c>
      <c r="C247" s="556"/>
      <c r="D247" s="557" t="s">
        <v>29</v>
      </c>
      <c r="E247" s="557"/>
      <c r="F247" s="435" t="s">
        <v>328</v>
      </c>
      <c r="G247" s="436">
        <v>4</v>
      </c>
      <c r="H247" s="437">
        <v>1.76</v>
      </c>
      <c r="I247" s="437">
        <v>7.04</v>
      </c>
    </row>
    <row r="248" spans="1:9" ht="28.5" customHeight="1">
      <c r="A248" s="435" t="s">
        <v>1045</v>
      </c>
      <c r="B248" s="556" t="s">
        <v>1046</v>
      </c>
      <c r="C248" s="556"/>
      <c r="D248" s="557" t="s">
        <v>29</v>
      </c>
      <c r="E248" s="557"/>
      <c r="F248" s="435" t="s">
        <v>115</v>
      </c>
      <c r="G248" s="436">
        <v>6.56</v>
      </c>
      <c r="H248" s="437">
        <v>10.27</v>
      </c>
      <c r="I248" s="437">
        <v>67.371200000000002</v>
      </c>
    </row>
    <row r="249" spans="1:9" ht="15" customHeight="1">
      <c r="A249" s="435" t="s">
        <v>1047</v>
      </c>
      <c r="B249" s="556" t="s">
        <v>1048</v>
      </c>
      <c r="C249" s="556"/>
      <c r="D249" s="557" t="s">
        <v>29</v>
      </c>
      <c r="E249" s="557"/>
      <c r="F249" s="435" t="s">
        <v>328</v>
      </c>
      <c r="G249" s="436">
        <v>0.33</v>
      </c>
      <c r="H249" s="437">
        <v>5.57</v>
      </c>
      <c r="I249" s="437">
        <v>1.8381000000000001</v>
      </c>
    </row>
    <row r="250" spans="1:9" ht="15" customHeight="1">
      <c r="A250" s="433"/>
      <c r="B250" s="433"/>
      <c r="C250" s="433"/>
      <c r="D250" s="433"/>
      <c r="E250" s="433"/>
      <c r="F250" s="433"/>
      <c r="G250" s="558" t="s">
        <v>847</v>
      </c>
      <c r="H250" s="558"/>
      <c r="I250" s="438">
        <v>76.25</v>
      </c>
    </row>
    <row r="251" spans="1:9" ht="15" customHeight="1">
      <c r="A251" s="554" t="s">
        <v>848</v>
      </c>
      <c r="B251" s="554"/>
      <c r="C251" s="554"/>
      <c r="D251" s="555" t="s">
        <v>835</v>
      </c>
      <c r="E251" s="555"/>
      <c r="F251" s="434" t="s">
        <v>836</v>
      </c>
      <c r="G251" s="434" t="s">
        <v>837</v>
      </c>
      <c r="H251" s="434" t="s">
        <v>8</v>
      </c>
      <c r="I251" s="434" t="s">
        <v>838</v>
      </c>
    </row>
    <row r="252" spans="1:9" ht="15" customHeight="1">
      <c r="A252" s="435" t="s">
        <v>868</v>
      </c>
      <c r="B252" s="556" t="s">
        <v>869</v>
      </c>
      <c r="C252" s="556"/>
      <c r="D252" s="557" t="s">
        <v>29</v>
      </c>
      <c r="E252" s="557"/>
      <c r="F252" s="435" t="s">
        <v>851</v>
      </c>
      <c r="G252" s="436">
        <v>0.5</v>
      </c>
      <c r="H252" s="437">
        <v>24.66</v>
      </c>
      <c r="I252" s="437">
        <v>12.33</v>
      </c>
    </row>
    <row r="253" spans="1:9" ht="15" customHeight="1">
      <c r="A253" s="435" t="s">
        <v>852</v>
      </c>
      <c r="B253" s="556" t="s">
        <v>853</v>
      </c>
      <c r="C253" s="556"/>
      <c r="D253" s="557" t="s">
        <v>29</v>
      </c>
      <c r="E253" s="557"/>
      <c r="F253" s="435" t="s">
        <v>851</v>
      </c>
      <c r="G253" s="436">
        <v>1.2</v>
      </c>
      <c r="H253" s="437">
        <v>19.8</v>
      </c>
      <c r="I253" s="437">
        <v>23.76</v>
      </c>
    </row>
    <row r="254" spans="1:9" ht="18" customHeight="1">
      <c r="A254" s="433"/>
      <c r="B254" s="433"/>
      <c r="C254" s="433"/>
      <c r="D254" s="433"/>
      <c r="E254" s="433"/>
      <c r="F254" s="433"/>
      <c r="G254" s="558" t="s">
        <v>854</v>
      </c>
      <c r="H254" s="558"/>
      <c r="I254" s="438">
        <v>36.090000000000003</v>
      </c>
    </row>
    <row r="255" spans="1:9" ht="15" customHeight="1">
      <c r="A255" s="552" t="s">
        <v>1049</v>
      </c>
      <c r="B255" s="552"/>
      <c r="C255" s="552"/>
      <c r="D255" s="433"/>
      <c r="E255" s="433"/>
      <c r="F255" s="433"/>
      <c r="G255" s="553" t="s">
        <v>860</v>
      </c>
      <c r="H255" s="553"/>
      <c r="I255" s="429">
        <v>112.34</v>
      </c>
    </row>
    <row r="256" spans="1:9" ht="9.9499999999999993" customHeight="1">
      <c r="A256" s="433"/>
      <c r="B256" s="433"/>
      <c r="C256" s="433"/>
      <c r="D256" s="559"/>
      <c r="E256" s="559"/>
      <c r="F256" s="559"/>
      <c r="G256" s="433"/>
      <c r="H256" s="433"/>
      <c r="I256" s="433"/>
    </row>
    <row r="257" spans="1:9" ht="20.100000000000001" customHeight="1">
      <c r="A257" s="560" t="s">
        <v>1050</v>
      </c>
      <c r="B257" s="560"/>
      <c r="C257" s="560"/>
      <c r="D257" s="560"/>
      <c r="E257" s="560"/>
      <c r="F257" s="560"/>
      <c r="G257" s="560"/>
      <c r="H257" s="560"/>
      <c r="I257" s="560"/>
    </row>
    <row r="258" spans="1:9" ht="15" customHeight="1">
      <c r="A258" s="554" t="s">
        <v>834</v>
      </c>
      <c r="B258" s="554"/>
      <c r="C258" s="554"/>
      <c r="D258" s="555" t="s">
        <v>835</v>
      </c>
      <c r="E258" s="555"/>
      <c r="F258" s="434" t="s">
        <v>836</v>
      </c>
      <c r="G258" s="434" t="s">
        <v>837</v>
      </c>
      <c r="H258" s="434" t="s">
        <v>8</v>
      </c>
      <c r="I258" s="434" t="s">
        <v>838</v>
      </c>
    </row>
    <row r="259" spans="1:9" ht="15" customHeight="1">
      <c r="A259" s="435" t="s">
        <v>188</v>
      </c>
      <c r="B259" s="556" t="s">
        <v>1051</v>
      </c>
      <c r="C259" s="556"/>
      <c r="D259" s="557" t="s">
        <v>864</v>
      </c>
      <c r="E259" s="557"/>
      <c r="F259" s="435" t="s">
        <v>44</v>
      </c>
      <c r="G259" s="436">
        <v>1</v>
      </c>
      <c r="H259" s="437">
        <v>56.1</v>
      </c>
      <c r="I259" s="437">
        <v>56.1</v>
      </c>
    </row>
    <row r="260" spans="1:9" ht="15" customHeight="1">
      <c r="A260" s="433"/>
      <c r="B260" s="433"/>
      <c r="C260" s="433"/>
      <c r="D260" s="433"/>
      <c r="E260" s="433"/>
      <c r="F260" s="433"/>
      <c r="G260" s="558" t="s">
        <v>847</v>
      </c>
      <c r="H260" s="558"/>
      <c r="I260" s="438">
        <v>56.1</v>
      </c>
    </row>
    <row r="261" spans="1:9" ht="15" customHeight="1">
      <c r="A261" s="433"/>
      <c r="B261" s="433"/>
      <c r="C261" s="433"/>
      <c r="D261" s="433"/>
      <c r="E261" s="433"/>
      <c r="F261" s="433"/>
      <c r="G261" s="553" t="s">
        <v>860</v>
      </c>
      <c r="H261" s="553"/>
      <c r="I261" s="429">
        <v>56.1</v>
      </c>
    </row>
    <row r="262" spans="1:9" ht="9.9499999999999993" customHeight="1">
      <c r="A262" s="433"/>
      <c r="B262" s="433"/>
      <c r="C262" s="433"/>
      <c r="D262" s="559"/>
      <c r="E262" s="559"/>
      <c r="F262" s="559"/>
      <c r="G262" s="433"/>
      <c r="H262" s="433"/>
      <c r="I262" s="433"/>
    </row>
    <row r="263" spans="1:9" ht="28.5" customHeight="1">
      <c r="A263" s="560" t="s">
        <v>1052</v>
      </c>
      <c r="B263" s="560"/>
      <c r="C263" s="560"/>
      <c r="D263" s="560"/>
      <c r="E263" s="560"/>
      <c r="F263" s="560"/>
      <c r="G263" s="560"/>
      <c r="H263" s="560"/>
      <c r="I263" s="560"/>
    </row>
    <row r="264" spans="1:9" ht="15" customHeight="1">
      <c r="A264" s="554" t="s">
        <v>874</v>
      </c>
      <c r="B264" s="554"/>
      <c r="C264" s="554"/>
      <c r="D264" s="555" t="s">
        <v>835</v>
      </c>
      <c r="E264" s="555"/>
      <c r="F264" s="434" t="s">
        <v>836</v>
      </c>
      <c r="G264" s="434" t="s">
        <v>837</v>
      </c>
      <c r="H264" s="434" t="s">
        <v>8</v>
      </c>
      <c r="I264" s="434" t="s">
        <v>838</v>
      </c>
    </row>
    <row r="265" spans="1:9" ht="41.25" customHeight="1">
      <c r="A265" s="435" t="s">
        <v>1053</v>
      </c>
      <c r="B265" s="556" t="s">
        <v>1054</v>
      </c>
      <c r="C265" s="556"/>
      <c r="D265" s="557" t="s">
        <v>29</v>
      </c>
      <c r="E265" s="557"/>
      <c r="F265" s="435" t="s">
        <v>927</v>
      </c>
      <c r="G265" s="436">
        <v>2.1999999999999999E-2</v>
      </c>
      <c r="H265" s="437">
        <v>32.46</v>
      </c>
      <c r="I265" s="437">
        <v>0.71411999999999998</v>
      </c>
    </row>
    <row r="266" spans="1:9" ht="41.25" customHeight="1">
      <c r="A266" s="435" t="s">
        <v>1055</v>
      </c>
      <c r="B266" s="556" t="s">
        <v>1056</v>
      </c>
      <c r="C266" s="556"/>
      <c r="D266" s="557" t="s">
        <v>29</v>
      </c>
      <c r="E266" s="557"/>
      <c r="F266" s="435" t="s">
        <v>877</v>
      </c>
      <c r="G266" s="436">
        <v>5.0000000000000001E-3</v>
      </c>
      <c r="H266" s="437">
        <v>33.729999999999997</v>
      </c>
      <c r="I266" s="437">
        <v>0.16864999999999999</v>
      </c>
    </row>
    <row r="267" spans="1:9" ht="15" customHeight="1">
      <c r="A267" s="433"/>
      <c r="B267" s="433"/>
      <c r="C267" s="433"/>
      <c r="D267" s="433"/>
      <c r="E267" s="433"/>
      <c r="F267" s="433"/>
      <c r="G267" s="558" t="s">
        <v>880</v>
      </c>
      <c r="H267" s="558"/>
      <c r="I267" s="438">
        <v>0.88</v>
      </c>
    </row>
    <row r="268" spans="1:9" ht="15" customHeight="1">
      <c r="A268" s="554" t="s">
        <v>848</v>
      </c>
      <c r="B268" s="554"/>
      <c r="C268" s="554"/>
      <c r="D268" s="555" t="s">
        <v>835</v>
      </c>
      <c r="E268" s="555"/>
      <c r="F268" s="434" t="s">
        <v>836</v>
      </c>
      <c r="G268" s="434" t="s">
        <v>837</v>
      </c>
      <c r="H268" s="434" t="s">
        <v>8</v>
      </c>
      <c r="I268" s="434" t="s">
        <v>838</v>
      </c>
    </row>
    <row r="269" spans="1:9" ht="33.75" customHeight="1">
      <c r="A269" s="435" t="s">
        <v>1057</v>
      </c>
      <c r="B269" s="556" t="s">
        <v>1058</v>
      </c>
      <c r="C269" s="556"/>
      <c r="D269" s="557" t="s">
        <v>29</v>
      </c>
      <c r="E269" s="557"/>
      <c r="F269" s="435" t="s">
        <v>851</v>
      </c>
      <c r="G269" s="436">
        <v>5.0000000000000001E-3</v>
      </c>
      <c r="H269" s="437">
        <v>19.68</v>
      </c>
      <c r="I269" s="437">
        <v>9.8400000000000001E-2</v>
      </c>
    </row>
    <row r="270" spans="1:9" ht="33.75" customHeight="1">
      <c r="A270" s="435" t="s">
        <v>849</v>
      </c>
      <c r="B270" s="556" t="s">
        <v>850</v>
      </c>
      <c r="C270" s="556"/>
      <c r="D270" s="557" t="s">
        <v>29</v>
      </c>
      <c r="E270" s="557"/>
      <c r="F270" s="435" t="s">
        <v>851</v>
      </c>
      <c r="G270" s="436">
        <v>5.0000000000000001E-3</v>
      </c>
      <c r="H270" s="437">
        <v>24.39</v>
      </c>
      <c r="I270" s="437">
        <v>0.12195</v>
      </c>
    </row>
    <row r="271" spans="1:9" ht="18" customHeight="1">
      <c r="A271" s="433"/>
      <c r="B271" s="433"/>
      <c r="C271" s="433"/>
      <c r="D271" s="433"/>
      <c r="E271" s="433"/>
      <c r="F271" s="433"/>
      <c r="G271" s="558" t="s">
        <v>854</v>
      </c>
      <c r="H271" s="558"/>
      <c r="I271" s="438">
        <v>0.22</v>
      </c>
    </row>
    <row r="272" spans="1:9" ht="15" customHeight="1">
      <c r="A272" s="552" t="s">
        <v>1059</v>
      </c>
      <c r="B272" s="552"/>
      <c r="C272" s="552"/>
      <c r="D272" s="433"/>
      <c r="E272" s="433"/>
      <c r="F272" s="433"/>
      <c r="G272" s="553" t="s">
        <v>860</v>
      </c>
      <c r="H272" s="553"/>
      <c r="I272" s="429">
        <v>1.1000000000000001</v>
      </c>
    </row>
    <row r="273" spans="1:9" ht="13.5" customHeight="1">
      <c r="A273" s="552"/>
      <c r="B273" s="552"/>
      <c r="C273" s="552"/>
      <c r="D273" s="433"/>
      <c r="E273" s="433"/>
      <c r="F273" s="433"/>
      <c r="G273" s="433"/>
      <c r="H273" s="433"/>
      <c r="I273" s="433"/>
    </row>
    <row r="274" spans="1:9" ht="9.9499999999999993" customHeight="1">
      <c r="A274" s="433"/>
      <c r="B274" s="433"/>
      <c r="C274" s="433"/>
      <c r="D274" s="559"/>
      <c r="E274" s="559"/>
      <c r="F274" s="559"/>
      <c r="G274" s="433"/>
      <c r="H274" s="433"/>
      <c r="I274" s="433"/>
    </row>
    <row r="275" spans="1:9" ht="20.100000000000001" customHeight="1">
      <c r="A275" s="560" t="s">
        <v>1060</v>
      </c>
      <c r="B275" s="560"/>
      <c r="C275" s="560"/>
      <c r="D275" s="560"/>
      <c r="E275" s="560"/>
      <c r="F275" s="560"/>
      <c r="G275" s="560"/>
      <c r="H275" s="560"/>
      <c r="I275" s="560"/>
    </row>
    <row r="276" spans="1:9" ht="15" customHeight="1">
      <c r="A276" s="554" t="s">
        <v>874</v>
      </c>
      <c r="B276" s="554"/>
      <c r="C276" s="554"/>
      <c r="D276" s="555" t="s">
        <v>835</v>
      </c>
      <c r="E276" s="555"/>
      <c r="F276" s="434" t="s">
        <v>836</v>
      </c>
      <c r="G276" s="434" t="s">
        <v>837</v>
      </c>
      <c r="H276" s="434" t="s">
        <v>8</v>
      </c>
      <c r="I276" s="434" t="s">
        <v>838</v>
      </c>
    </row>
    <row r="277" spans="1:9" ht="64.5" customHeight="1">
      <c r="A277" s="435" t="s">
        <v>948</v>
      </c>
      <c r="B277" s="556" t="s">
        <v>949</v>
      </c>
      <c r="C277" s="556"/>
      <c r="D277" s="557" t="s">
        <v>29</v>
      </c>
      <c r="E277" s="557"/>
      <c r="F277" s="435" t="s">
        <v>927</v>
      </c>
      <c r="G277" s="436">
        <v>8.3599999999999994E-2</v>
      </c>
      <c r="H277" s="437">
        <v>0.76</v>
      </c>
      <c r="I277" s="437">
        <v>6.3535999999999995E-2</v>
      </c>
    </row>
    <row r="278" spans="1:9" ht="64.5" customHeight="1">
      <c r="A278" s="435" t="s">
        <v>950</v>
      </c>
      <c r="B278" s="556" t="s">
        <v>951</v>
      </c>
      <c r="C278" s="556"/>
      <c r="D278" s="557" t="s">
        <v>29</v>
      </c>
      <c r="E278" s="557"/>
      <c r="F278" s="435" t="s">
        <v>877</v>
      </c>
      <c r="G278" s="436">
        <v>5.2400000000000002E-2</v>
      </c>
      <c r="H278" s="437">
        <v>10.9</v>
      </c>
      <c r="I278" s="437">
        <v>0.57116</v>
      </c>
    </row>
    <row r="279" spans="1:9" ht="41.25" customHeight="1">
      <c r="A279" s="435" t="s">
        <v>1061</v>
      </c>
      <c r="B279" s="556" t="s">
        <v>1062</v>
      </c>
      <c r="C279" s="556"/>
      <c r="D279" s="557" t="s">
        <v>29</v>
      </c>
      <c r="E279" s="557"/>
      <c r="F279" s="435" t="s">
        <v>927</v>
      </c>
      <c r="G279" s="436">
        <v>8.9599999999999999E-2</v>
      </c>
      <c r="H279" s="437">
        <v>90.95</v>
      </c>
      <c r="I279" s="437">
        <v>8.1491199999999999</v>
      </c>
    </row>
    <row r="280" spans="1:9" ht="41.25" customHeight="1">
      <c r="A280" s="435" t="s">
        <v>1063</v>
      </c>
      <c r="B280" s="556" t="s">
        <v>1064</v>
      </c>
      <c r="C280" s="556"/>
      <c r="D280" s="557" t="s">
        <v>29</v>
      </c>
      <c r="E280" s="557"/>
      <c r="F280" s="435" t="s">
        <v>877</v>
      </c>
      <c r="G280" s="436">
        <v>3.2599999999999997E-2</v>
      </c>
      <c r="H280" s="437">
        <v>232.73</v>
      </c>
      <c r="I280" s="437">
        <v>7.5869980000000004</v>
      </c>
    </row>
    <row r="281" spans="1:9" ht="15" customHeight="1">
      <c r="A281" s="433"/>
      <c r="B281" s="433"/>
      <c r="C281" s="433"/>
      <c r="D281" s="433"/>
      <c r="E281" s="433"/>
      <c r="F281" s="433"/>
      <c r="G281" s="558" t="s">
        <v>880</v>
      </c>
      <c r="H281" s="558"/>
      <c r="I281" s="438">
        <v>16.37</v>
      </c>
    </row>
    <row r="282" spans="1:9" ht="15" customHeight="1">
      <c r="A282" s="554" t="s">
        <v>848</v>
      </c>
      <c r="B282" s="554"/>
      <c r="C282" s="554"/>
      <c r="D282" s="555" t="s">
        <v>835</v>
      </c>
      <c r="E282" s="555"/>
      <c r="F282" s="434" t="s">
        <v>836</v>
      </c>
      <c r="G282" s="434" t="s">
        <v>837</v>
      </c>
      <c r="H282" s="434" t="s">
        <v>8</v>
      </c>
      <c r="I282" s="434" t="s">
        <v>838</v>
      </c>
    </row>
    <row r="283" spans="1:9" ht="36" customHeight="1">
      <c r="A283" s="435" t="s">
        <v>1065</v>
      </c>
      <c r="B283" s="556" t="s">
        <v>1066</v>
      </c>
      <c r="C283" s="556"/>
      <c r="D283" s="557" t="s">
        <v>29</v>
      </c>
      <c r="E283" s="557"/>
      <c r="F283" s="435" t="s">
        <v>851</v>
      </c>
      <c r="G283" s="436">
        <v>0.13600000000000001</v>
      </c>
      <c r="H283" s="437">
        <v>32.380000000000003</v>
      </c>
      <c r="I283" s="437">
        <v>4.4036799999999996</v>
      </c>
    </row>
    <row r="284" spans="1:9" ht="18" customHeight="1">
      <c r="A284" s="433"/>
      <c r="B284" s="433"/>
      <c r="C284" s="433"/>
      <c r="D284" s="433"/>
      <c r="E284" s="433"/>
      <c r="F284" s="433"/>
      <c r="G284" s="558" t="s">
        <v>854</v>
      </c>
      <c r="H284" s="558"/>
      <c r="I284" s="438">
        <v>4.4000000000000004</v>
      </c>
    </row>
    <row r="285" spans="1:9" ht="15" customHeight="1">
      <c r="A285" s="552" t="s">
        <v>1067</v>
      </c>
      <c r="B285" s="552"/>
      <c r="C285" s="552"/>
      <c r="D285" s="433"/>
      <c r="E285" s="433"/>
      <c r="F285" s="433"/>
      <c r="G285" s="553" t="s">
        <v>860</v>
      </c>
      <c r="H285" s="553"/>
      <c r="I285" s="429">
        <v>20.77</v>
      </c>
    </row>
    <row r="286" spans="1:9" ht="9.9499999999999993" customHeight="1">
      <c r="A286" s="433"/>
      <c r="B286" s="433"/>
      <c r="C286" s="433"/>
      <c r="D286" s="559"/>
      <c r="E286" s="559"/>
      <c r="F286" s="559"/>
      <c r="G286" s="433"/>
      <c r="H286" s="433"/>
      <c r="I286" s="433"/>
    </row>
    <row r="287" spans="1:9" ht="31.5" customHeight="1">
      <c r="A287" s="560" t="s">
        <v>1068</v>
      </c>
      <c r="B287" s="560"/>
      <c r="C287" s="560"/>
      <c r="D287" s="560"/>
      <c r="E287" s="560"/>
      <c r="F287" s="560"/>
      <c r="G287" s="560"/>
      <c r="H287" s="560"/>
      <c r="I287" s="560"/>
    </row>
    <row r="288" spans="1:9" ht="15" customHeight="1">
      <c r="A288" s="554" t="s">
        <v>848</v>
      </c>
      <c r="B288" s="554"/>
      <c r="C288" s="554"/>
      <c r="D288" s="555" t="s">
        <v>835</v>
      </c>
      <c r="E288" s="555"/>
      <c r="F288" s="434" t="s">
        <v>836</v>
      </c>
      <c r="G288" s="434" t="s">
        <v>837</v>
      </c>
      <c r="H288" s="434" t="s">
        <v>8</v>
      </c>
      <c r="I288" s="434" t="s">
        <v>838</v>
      </c>
    </row>
    <row r="289" spans="1:9" ht="15" customHeight="1">
      <c r="A289" s="435" t="s">
        <v>852</v>
      </c>
      <c r="B289" s="556" t="s">
        <v>853</v>
      </c>
      <c r="C289" s="556"/>
      <c r="D289" s="557" t="s">
        <v>29</v>
      </c>
      <c r="E289" s="557"/>
      <c r="F289" s="435" t="s">
        <v>851</v>
      </c>
      <c r="G289" s="436">
        <v>3.5</v>
      </c>
      <c r="H289" s="437">
        <v>19.8</v>
      </c>
      <c r="I289" s="437">
        <v>69.3</v>
      </c>
    </row>
    <row r="290" spans="1:9" ht="18" customHeight="1">
      <c r="A290" s="433"/>
      <c r="B290" s="433"/>
      <c r="C290" s="433"/>
      <c r="D290" s="433"/>
      <c r="E290" s="433"/>
      <c r="F290" s="433"/>
      <c r="G290" s="558" t="s">
        <v>854</v>
      </c>
      <c r="H290" s="558"/>
      <c r="I290" s="438">
        <v>69.3</v>
      </c>
    </row>
    <row r="291" spans="1:9" ht="15" customHeight="1">
      <c r="A291" s="552" t="s">
        <v>1069</v>
      </c>
      <c r="B291" s="552"/>
      <c r="C291" s="552"/>
      <c r="D291" s="433"/>
      <c r="E291" s="433"/>
      <c r="F291" s="433"/>
      <c r="G291" s="553" t="s">
        <v>860</v>
      </c>
      <c r="H291" s="553"/>
      <c r="I291" s="429">
        <v>69.3</v>
      </c>
    </row>
    <row r="292" spans="1:9" ht="9.9499999999999993" customHeight="1">
      <c r="A292" s="433"/>
      <c r="B292" s="433"/>
      <c r="C292" s="433"/>
      <c r="D292" s="559"/>
      <c r="E292" s="559"/>
      <c r="F292" s="559"/>
      <c r="G292" s="433"/>
      <c r="H292" s="433"/>
      <c r="I292" s="433"/>
    </row>
    <row r="293" spans="1:9" ht="20.100000000000001" customHeight="1">
      <c r="A293" s="560" t="s">
        <v>1070</v>
      </c>
      <c r="B293" s="560"/>
      <c r="C293" s="560"/>
      <c r="D293" s="560"/>
      <c r="E293" s="560"/>
      <c r="F293" s="560"/>
      <c r="G293" s="560"/>
      <c r="H293" s="560"/>
      <c r="I293" s="560"/>
    </row>
    <row r="294" spans="1:9" ht="15" customHeight="1">
      <c r="A294" s="554" t="s">
        <v>874</v>
      </c>
      <c r="B294" s="554"/>
      <c r="C294" s="554"/>
      <c r="D294" s="555" t="s">
        <v>835</v>
      </c>
      <c r="E294" s="555"/>
      <c r="F294" s="434" t="s">
        <v>836</v>
      </c>
      <c r="G294" s="434" t="s">
        <v>837</v>
      </c>
      <c r="H294" s="434" t="s">
        <v>8</v>
      </c>
      <c r="I294" s="434" t="s">
        <v>838</v>
      </c>
    </row>
    <row r="295" spans="1:9" ht="63" customHeight="1">
      <c r="A295" s="435" t="s">
        <v>1071</v>
      </c>
      <c r="B295" s="556" t="s">
        <v>1072</v>
      </c>
      <c r="C295" s="556"/>
      <c r="D295" s="557" t="s">
        <v>29</v>
      </c>
      <c r="E295" s="557"/>
      <c r="F295" s="435" t="s">
        <v>927</v>
      </c>
      <c r="G295" s="436">
        <v>0.25</v>
      </c>
      <c r="H295" s="437">
        <v>73.16</v>
      </c>
      <c r="I295" s="437">
        <v>18.29</v>
      </c>
    </row>
    <row r="296" spans="1:9" ht="15" customHeight="1">
      <c r="A296" s="433"/>
      <c r="B296" s="433"/>
      <c r="C296" s="433"/>
      <c r="D296" s="433"/>
      <c r="E296" s="433"/>
      <c r="F296" s="433"/>
      <c r="G296" s="558" t="s">
        <v>880</v>
      </c>
      <c r="H296" s="558"/>
      <c r="I296" s="438">
        <v>18.29</v>
      </c>
    </row>
    <row r="297" spans="1:9" ht="15" customHeight="1">
      <c r="A297" s="554" t="s">
        <v>848</v>
      </c>
      <c r="B297" s="554"/>
      <c r="C297" s="554"/>
      <c r="D297" s="555" t="s">
        <v>835</v>
      </c>
      <c r="E297" s="555"/>
      <c r="F297" s="434" t="s">
        <v>836</v>
      </c>
      <c r="G297" s="434" t="s">
        <v>837</v>
      </c>
      <c r="H297" s="434" t="s">
        <v>8</v>
      </c>
      <c r="I297" s="434" t="s">
        <v>838</v>
      </c>
    </row>
    <row r="298" spans="1:9" ht="15" customHeight="1">
      <c r="A298" s="435" t="s">
        <v>852</v>
      </c>
      <c r="B298" s="556" t="s">
        <v>853</v>
      </c>
      <c r="C298" s="556"/>
      <c r="D298" s="557" t="s">
        <v>29</v>
      </c>
      <c r="E298" s="557"/>
      <c r="F298" s="435" t="s">
        <v>851</v>
      </c>
      <c r="G298" s="436">
        <v>0.7</v>
      </c>
      <c r="H298" s="437">
        <v>19.8</v>
      </c>
      <c r="I298" s="437">
        <v>13.86</v>
      </c>
    </row>
    <row r="299" spans="1:9" ht="18" customHeight="1">
      <c r="A299" s="433"/>
      <c r="B299" s="433"/>
      <c r="C299" s="433"/>
      <c r="D299" s="433"/>
      <c r="E299" s="433"/>
      <c r="F299" s="433"/>
      <c r="G299" s="558" t="s">
        <v>854</v>
      </c>
      <c r="H299" s="558"/>
      <c r="I299" s="438">
        <v>13.86</v>
      </c>
    </row>
    <row r="300" spans="1:9" ht="15" customHeight="1">
      <c r="A300" s="552" t="s">
        <v>1073</v>
      </c>
      <c r="B300" s="552"/>
      <c r="C300" s="552"/>
      <c r="D300" s="433"/>
      <c r="E300" s="433"/>
      <c r="F300" s="433"/>
      <c r="G300" s="553" t="s">
        <v>860</v>
      </c>
      <c r="H300" s="553"/>
      <c r="I300" s="429">
        <v>32.15</v>
      </c>
    </row>
    <row r="301" spans="1:9" ht="9.9499999999999993" customHeight="1">
      <c r="A301" s="433"/>
      <c r="B301" s="433"/>
      <c r="C301" s="433"/>
      <c r="D301" s="559"/>
      <c r="E301" s="559"/>
      <c r="F301" s="559"/>
      <c r="G301" s="433"/>
      <c r="H301" s="433"/>
      <c r="I301" s="433"/>
    </row>
    <row r="302" spans="1:9" ht="20.100000000000001" customHeight="1">
      <c r="A302" s="560" t="s">
        <v>1074</v>
      </c>
      <c r="B302" s="560"/>
      <c r="C302" s="560"/>
      <c r="D302" s="560"/>
      <c r="E302" s="560"/>
      <c r="F302" s="560"/>
      <c r="G302" s="560"/>
      <c r="H302" s="560"/>
      <c r="I302" s="560"/>
    </row>
    <row r="303" spans="1:9" ht="15" customHeight="1">
      <c r="A303" s="554" t="s">
        <v>848</v>
      </c>
      <c r="B303" s="554"/>
      <c r="C303" s="554"/>
      <c r="D303" s="555" t="s">
        <v>835</v>
      </c>
      <c r="E303" s="555"/>
      <c r="F303" s="434" t="s">
        <v>836</v>
      </c>
      <c r="G303" s="434" t="s">
        <v>837</v>
      </c>
      <c r="H303" s="434" t="s">
        <v>8</v>
      </c>
      <c r="I303" s="434" t="s">
        <v>838</v>
      </c>
    </row>
    <row r="304" spans="1:9" ht="15" customHeight="1">
      <c r="A304" s="435" t="s">
        <v>852</v>
      </c>
      <c r="B304" s="556" t="s">
        <v>853</v>
      </c>
      <c r="C304" s="556"/>
      <c r="D304" s="557" t="s">
        <v>29</v>
      </c>
      <c r="E304" s="557"/>
      <c r="F304" s="435" t="s">
        <v>851</v>
      </c>
      <c r="G304" s="436">
        <v>49.374000000000002</v>
      </c>
      <c r="H304" s="437">
        <v>19.8</v>
      </c>
      <c r="I304" s="437">
        <v>977.60519999999997</v>
      </c>
    </row>
    <row r="305" spans="1:9" ht="18" customHeight="1">
      <c r="A305" s="433"/>
      <c r="B305" s="433"/>
      <c r="C305" s="433"/>
      <c r="D305" s="433"/>
      <c r="E305" s="433"/>
      <c r="F305" s="433"/>
      <c r="G305" s="558" t="s">
        <v>854</v>
      </c>
      <c r="H305" s="558"/>
      <c r="I305" s="438">
        <v>977.61</v>
      </c>
    </row>
    <row r="306" spans="1:9" ht="15" customHeight="1">
      <c r="A306" s="552" t="s">
        <v>1075</v>
      </c>
      <c r="B306" s="552"/>
      <c r="C306" s="552"/>
      <c r="D306" s="433"/>
      <c r="E306" s="433"/>
      <c r="F306" s="433"/>
      <c r="G306" s="553" t="s">
        <v>860</v>
      </c>
      <c r="H306" s="553"/>
      <c r="I306" s="429">
        <v>977.61</v>
      </c>
    </row>
    <row r="307" spans="1:9" ht="9.9499999999999993" customHeight="1">
      <c r="A307" s="433"/>
      <c r="B307" s="433"/>
      <c r="C307" s="433"/>
      <c r="D307" s="559"/>
      <c r="E307" s="559"/>
      <c r="F307" s="559"/>
      <c r="G307" s="433"/>
      <c r="H307" s="433"/>
      <c r="I307" s="433"/>
    </row>
    <row r="308" spans="1:9" ht="20.100000000000001" customHeight="1">
      <c r="A308" s="560" t="s">
        <v>1076</v>
      </c>
      <c r="B308" s="560"/>
      <c r="C308" s="560"/>
      <c r="D308" s="560"/>
      <c r="E308" s="560"/>
      <c r="F308" s="560"/>
      <c r="G308" s="560"/>
      <c r="H308" s="560"/>
      <c r="I308" s="560"/>
    </row>
    <row r="309" spans="1:9" ht="15" customHeight="1">
      <c r="A309" s="554" t="s">
        <v>834</v>
      </c>
      <c r="B309" s="554"/>
      <c r="C309" s="554"/>
      <c r="D309" s="555" t="s">
        <v>835</v>
      </c>
      <c r="E309" s="555"/>
      <c r="F309" s="434" t="s">
        <v>836</v>
      </c>
      <c r="G309" s="434" t="s">
        <v>837</v>
      </c>
      <c r="H309" s="434" t="s">
        <v>8</v>
      </c>
      <c r="I309" s="434" t="s">
        <v>838</v>
      </c>
    </row>
    <row r="310" spans="1:9" ht="38.25" customHeight="1">
      <c r="A310" s="435" t="s">
        <v>1077</v>
      </c>
      <c r="B310" s="556" t="s">
        <v>1078</v>
      </c>
      <c r="C310" s="556"/>
      <c r="D310" s="557" t="s">
        <v>29</v>
      </c>
      <c r="E310" s="557"/>
      <c r="F310" s="435" t="s">
        <v>60</v>
      </c>
      <c r="G310" s="436">
        <v>1.1000000000000001</v>
      </c>
      <c r="H310" s="437">
        <v>82.92</v>
      </c>
      <c r="I310" s="437">
        <v>91.212000000000003</v>
      </c>
    </row>
    <row r="311" spans="1:9" ht="15" customHeight="1">
      <c r="A311" s="433"/>
      <c r="B311" s="433"/>
      <c r="C311" s="433"/>
      <c r="D311" s="433"/>
      <c r="E311" s="433"/>
      <c r="F311" s="433"/>
      <c r="G311" s="558" t="s">
        <v>847</v>
      </c>
      <c r="H311" s="558"/>
      <c r="I311" s="438">
        <v>91.21</v>
      </c>
    </row>
    <row r="312" spans="1:9" ht="15" customHeight="1">
      <c r="A312" s="554" t="s">
        <v>848</v>
      </c>
      <c r="B312" s="554"/>
      <c r="C312" s="554"/>
      <c r="D312" s="555" t="s">
        <v>835</v>
      </c>
      <c r="E312" s="555"/>
      <c r="F312" s="434" t="s">
        <v>836</v>
      </c>
      <c r="G312" s="434" t="s">
        <v>837</v>
      </c>
      <c r="H312" s="434" t="s">
        <v>8</v>
      </c>
      <c r="I312" s="434" t="s">
        <v>838</v>
      </c>
    </row>
    <row r="313" spans="1:9" ht="15" customHeight="1">
      <c r="A313" s="435" t="s">
        <v>868</v>
      </c>
      <c r="B313" s="556" t="s">
        <v>869</v>
      </c>
      <c r="C313" s="556"/>
      <c r="D313" s="557" t="s">
        <v>29</v>
      </c>
      <c r="E313" s="557"/>
      <c r="F313" s="435" t="s">
        <v>851</v>
      </c>
      <c r="G313" s="436">
        <v>6</v>
      </c>
      <c r="H313" s="437">
        <v>24.66</v>
      </c>
      <c r="I313" s="437">
        <v>147.96</v>
      </c>
    </row>
    <row r="314" spans="1:9" ht="15" customHeight="1">
      <c r="A314" s="435" t="s">
        <v>852</v>
      </c>
      <c r="B314" s="556" t="s">
        <v>853</v>
      </c>
      <c r="C314" s="556"/>
      <c r="D314" s="557" t="s">
        <v>29</v>
      </c>
      <c r="E314" s="557"/>
      <c r="F314" s="435" t="s">
        <v>851</v>
      </c>
      <c r="G314" s="436">
        <v>6</v>
      </c>
      <c r="H314" s="437">
        <v>19.8</v>
      </c>
      <c r="I314" s="437">
        <v>118.8</v>
      </c>
    </row>
    <row r="315" spans="1:9" ht="18" customHeight="1">
      <c r="A315" s="433"/>
      <c r="B315" s="433"/>
      <c r="C315" s="433"/>
      <c r="D315" s="433"/>
      <c r="E315" s="433"/>
      <c r="F315" s="433"/>
      <c r="G315" s="558" t="s">
        <v>854</v>
      </c>
      <c r="H315" s="558"/>
      <c r="I315" s="438">
        <v>266.76</v>
      </c>
    </row>
    <row r="316" spans="1:9" ht="15" customHeight="1">
      <c r="A316" s="554" t="s">
        <v>855</v>
      </c>
      <c r="B316" s="554"/>
      <c r="C316" s="554"/>
      <c r="D316" s="555" t="s">
        <v>835</v>
      </c>
      <c r="E316" s="555"/>
      <c r="F316" s="434" t="s">
        <v>836</v>
      </c>
      <c r="G316" s="434" t="s">
        <v>837</v>
      </c>
      <c r="H316" s="434" t="s">
        <v>8</v>
      </c>
      <c r="I316" s="434" t="s">
        <v>838</v>
      </c>
    </row>
    <row r="317" spans="1:9" ht="49.5" customHeight="1">
      <c r="A317" s="435" t="s">
        <v>1079</v>
      </c>
      <c r="B317" s="556" t="s">
        <v>1080</v>
      </c>
      <c r="C317" s="556"/>
      <c r="D317" s="557" t="s">
        <v>29</v>
      </c>
      <c r="E317" s="557"/>
      <c r="F317" s="435" t="s">
        <v>60</v>
      </c>
      <c r="G317" s="436">
        <v>0.3</v>
      </c>
      <c r="H317" s="437">
        <v>498.27</v>
      </c>
      <c r="I317" s="437">
        <v>149.48099999999999</v>
      </c>
    </row>
    <row r="318" spans="1:9" ht="15" customHeight="1">
      <c r="A318" s="433"/>
      <c r="B318" s="433"/>
      <c r="C318" s="433"/>
      <c r="D318" s="433"/>
      <c r="E318" s="433"/>
      <c r="F318" s="433"/>
      <c r="G318" s="558" t="s">
        <v>858</v>
      </c>
      <c r="H318" s="558"/>
      <c r="I318" s="438">
        <v>149.47999999999999</v>
      </c>
    </row>
    <row r="319" spans="1:9" ht="15" customHeight="1">
      <c r="A319" s="552" t="s">
        <v>1081</v>
      </c>
      <c r="B319" s="552"/>
      <c r="C319" s="552"/>
      <c r="D319" s="433"/>
      <c r="E319" s="433"/>
      <c r="F319" s="433"/>
      <c r="G319" s="553" t="s">
        <v>860</v>
      </c>
      <c r="H319" s="553"/>
      <c r="I319" s="429">
        <v>507.45</v>
      </c>
    </row>
    <row r="320" spans="1:9" ht="9.9499999999999993" customHeight="1">
      <c r="A320" s="433"/>
      <c r="B320" s="433"/>
      <c r="C320" s="433"/>
      <c r="D320" s="559"/>
      <c r="E320" s="559"/>
      <c r="F320" s="559"/>
      <c r="G320" s="433"/>
      <c r="H320" s="433"/>
      <c r="I320" s="433"/>
    </row>
    <row r="321" spans="1:9" ht="20.100000000000001" customHeight="1">
      <c r="A321" s="560" t="s">
        <v>1082</v>
      </c>
      <c r="B321" s="560"/>
      <c r="C321" s="560"/>
      <c r="D321" s="560"/>
      <c r="E321" s="560"/>
      <c r="F321" s="560"/>
      <c r="G321" s="560"/>
      <c r="H321" s="560"/>
      <c r="I321" s="560"/>
    </row>
    <row r="322" spans="1:9" ht="15" customHeight="1">
      <c r="A322" s="554" t="s">
        <v>834</v>
      </c>
      <c r="B322" s="554"/>
      <c r="C322" s="554"/>
      <c r="D322" s="555" t="s">
        <v>835</v>
      </c>
      <c r="E322" s="555"/>
      <c r="F322" s="434" t="s">
        <v>836</v>
      </c>
      <c r="G322" s="434" t="s">
        <v>837</v>
      </c>
      <c r="H322" s="434" t="s">
        <v>8</v>
      </c>
      <c r="I322" s="434" t="s">
        <v>838</v>
      </c>
    </row>
    <row r="323" spans="1:9" ht="33" customHeight="1">
      <c r="A323" s="435" t="s">
        <v>1083</v>
      </c>
      <c r="B323" s="556" t="s">
        <v>1084</v>
      </c>
      <c r="C323" s="556"/>
      <c r="D323" s="557" t="s">
        <v>29</v>
      </c>
      <c r="E323" s="557"/>
      <c r="F323" s="435" t="s">
        <v>60</v>
      </c>
      <c r="G323" s="436">
        <v>1.1499999999999999</v>
      </c>
      <c r="H323" s="437">
        <v>88.69</v>
      </c>
      <c r="I323" s="437">
        <v>101.9935</v>
      </c>
    </row>
    <row r="324" spans="1:9" ht="15" customHeight="1">
      <c r="A324" s="433"/>
      <c r="B324" s="433"/>
      <c r="C324" s="433"/>
      <c r="D324" s="433"/>
      <c r="E324" s="433"/>
      <c r="F324" s="433"/>
      <c r="G324" s="558" t="s">
        <v>847</v>
      </c>
      <c r="H324" s="558"/>
      <c r="I324" s="438">
        <v>101.99</v>
      </c>
    </row>
    <row r="325" spans="1:9" ht="15" customHeight="1">
      <c r="A325" s="554" t="s">
        <v>848</v>
      </c>
      <c r="B325" s="554"/>
      <c r="C325" s="554"/>
      <c r="D325" s="555" t="s">
        <v>835</v>
      </c>
      <c r="E325" s="555"/>
      <c r="F325" s="434" t="s">
        <v>836</v>
      </c>
      <c r="G325" s="434" t="s">
        <v>837</v>
      </c>
      <c r="H325" s="434" t="s">
        <v>8</v>
      </c>
      <c r="I325" s="434" t="s">
        <v>838</v>
      </c>
    </row>
    <row r="326" spans="1:9" ht="15" customHeight="1">
      <c r="A326" s="435" t="s">
        <v>852</v>
      </c>
      <c r="B326" s="556" t="s">
        <v>853</v>
      </c>
      <c r="C326" s="556"/>
      <c r="D326" s="557" t="s">
        <v>29</v>
      </c>
      <c r="E326" s="557"/>
      <c r="F326" s="435" t="s">
        <v>851</v>
      </c>
      <c r="G326" s="436">
        <v>2</v>
      </c>
      <c r="H326" s="437">
        <v>19.8</v>
      </c>
      <c r="I326" s="437">
        <v>39.6</v>
      </c>
    </row>
    <row r="327" spans="1:9" ht="18" customHeight="1">
      <c r="A327" s="433"/>
      <c r="B327" s="433"/>
      <c r="C327" s="433"/>
      <c r="D327" s="433"/>
      <c r="E327" s="433"/>
      <c r="F327" s="433"/>
      <c r="G327" s="558" t="s">
        <v>854</v>
      </c>
      <c r="H327" s="558"/>
      <c r="I327" s="438">
        <v>39.6</v>
      </c>
    </row>
    <row r="328" spans="1:9" ht="15" customHeight="1">
      <c r="A328" s="552" t="s">
        <v>1085</v>
      </c>
      <c r="B328" s="552"/>
      <c r="C328" s="552"/>
      <c r="D328" s="433"/>
      <c r="E328" s="433"/>
      <c r="F328" s="433"/>
      <c r="G328" s="553" t="s">
        <v>860</v>
      </c>
      <c r="H328" s="553"/>
      <c r="I328" s="429">
        <v>141.59</v>
      </c>
    </row>
    <row r="329" spans="1:9" ht="9.9499999999999993" customHeight="1">
      <c r="A329" s="433"/>
      <c r="B329" s="433"/>
      <c r="C329" s="433"/>
      <c r="D329" s="559"/>
      <c r="E329" s="559"/>
      <c r="F329" s="559"/>
      <c r="G329" s="433"/>
      <c r="H329" s="433"/>
      <c r="I329" s="433"/>
    </row>
    <row r="330" spans="1:9" ht="20.100000000000001" customHeight="1">
      <c r="A330" s="560" t="s">
        <v>1086</v>
      </c>
      <c r="B330" s="560"/>
      <c r="C330" s="560"/>
      <c r="D330" s="560"/>
      <c r="E330" s="560"/>
      <c r="F330" s="560"/>
      <c r="G330" s="560"/>
      <c r="H330" s="560"/>
      <c r="I330" s="560"/>
    </row>
    <row r="331" spans="1:9" ht="15" customHeight="1">
      <c r="A331" s="554" t="s">
        <v>834</v>
      </c>
      <c r="B331" s="554"/>
      <c r="C331" s="554"/>
      <c r="D331" s="555" t="s">
        <v>835</v>
      </c>
      <c r="E331" s="555"/>
      <c r="F331" s="434" t="s">
        <v>836</v>
      </c>
      <c r="G331" s="434" t="s">
        <v>837</v>
      </c>
      <c r="H331" s="434" t="s">
        <v>8</v>
      </c>
      <c r="I331" s="434" t="s">
        <v>838</v>
      </c>
    </row>
    <row r="332" spans="1:9" ht="31.5" customHeight="1">
      <c r="A332" s="435" t="s">
        <v>956</v>
      </c>
      <c r="B332" s="556" t="s">
        <v>957</v>
      </c>
      <c r="C332" s="556"/>
      <c r="D332" s="557" t="s">
        <v>29</v>
      </c>
      <c r="E332" s="557"/>
      <c r="F332" s="435" t="s">
        <v>60</v>
      </c>
      <c r="G332" s="436">
        <v>1.2</v>
      </c>
      <c r="H332" s="437">
        <v>129</v>
      </c>
      <c r="I332" s="437">
        <v>154.80000000000001</v>
      </c>
    </row>
    <row r="333" spans="1:9" ht="15" customHeight="1">
      <c r="A333" s="433"/>
      <c r="B333" s="433"/>
      <c r="C333" s="433"/>
      <c r="D333" s="433"/>
      <c r="E333" s="433"/>
      <c r="F333" s="433"/>
      <c r="G333" s="558" t="s">
        <v>847</v>
      </c>
      <c r="H333" s="558"/>
      <c r="I333" s="438">
        <v>154.80000000000001</v>
      </c>
    </row>
    <row r="334" spans="1:9" ht="15" customHeight="1">
      <c r="A334" s="554" t="s">
        <v>848</v>
      </c>
      <c r="B334" s="554"/>
      <c r="C334" s="554"/>
      <c r="D334" s="555" t="s">
        <v>835</v>
      </c>
      <c r="E334" s="555"/>
      <c r="F334" s="434" t="s">
        <v>836</v>
      </c>
      <c r="G334" s="434" t="s">
        <v>837</v>
      </c>
      <c r="H334" s="434" t="s">
        <v>8</v>
      </c>
      <c r="I334" s="434" t="s">
        <v>838</v>
      </c>
    </row>
    <row r="335" spans="1:9" ht="15" customHeight="1">
      <c r="A335" s="435" t="s">
        <v>852</v>
      </c>
      <c r="B335" s="556" t="s">
        <v>853</v>
      </c>
      <c r="C335" s="556"/>
      <c r="D335" s="557" t="s">
        <v>29</v>
      </c>
      <c r="E335" s="557"/>
      <c r="F335" s="435" t="s">
        <v>851</v>
      </c>
      <c r="G335" s="436">
        <v>1.3</v>
      </c>
      <c r="H335" s="437">
        <v>19.8</v>
      </c>
      <c r="I335" s="437">
        <v>25.74</v>
      </c>
    </row>
    <row r="336" spans="1:9" ht="18" customHeight="1">
      <c r="A336" s="433"/>
      <c r="B336" s="433"/>
      <c r="C336" s="433"/>
      <c r="D336" s="433"/>
      <c r="E336" s="433"/>
      <c r="F336" s="433"/>
      <c r="G336" s="558" t="s">
        <v>854</v>
      </c>
      <c r="H336" s="558"/>
      <c r="I336" s="438">
        <v>25.74</v>
      </c>
    </row>
    <row r="337" spans="1:9" ht="15" customHeight="1">
      <c r="A337" s="552" t="s">
        <v>1087</v>
      </c>
      <c r="B337" s="552"/>
      <c r="C337" s="552"/>
      <c r="D337" s="433"/>
      <c r="E337" s="433"/>
      <c r="F337" s="433"/>
      <c r="G337" s="553" t="s">
        <v>860</v>
      </c>
      <c r="H337" s="553"/>
      <c r="I337" s="429">
        <v>180.54</v>
      </c>
    </row>
    <row r="338" spans="1:9" ht="9.9499999999999993" customHeight="1">
      <c r="A338" s="433"/>
      <c r="B338" s="433"/>
      <c r="C338" s="433"/>
      <c r="D338" s="559"/>
      <c r="E338" s="559"/>
      <c r="F338" s="559"/>
      <c r="G338" s="433"/>
      <c r="H338" s="433"/>
      <c r="I338" s="433"/>
    </row>
    <row r="339" spans="1:9" ht="20.100000000000001" customHeight="1">
      <c r="A339" s="560" t="s">
        <v>1088</v>
      </c>
      <c r="B339" s="560"/>
      <c r="C339" s="560"/>
      <c r="D339" s="560"/>
      <c r="E339" s="560"/>
      <c r="F339" s="560"/>
      <c r="G339" s="560"/>
      <c r="H339" s="560"/>
      <c r="I339" s="560"/>
    </row>
    <row r="340" spans="1:9" ht="15" customHeight="1">
      <c r="A340" s="554" t="s">
        <v>834</v>
      </c>
      <c r="B340" s="554"/>
      <c r="C340" s="554"/>
      <c r="D340" s="555" t="s">
        <v>835</v>
      </c>
      <c r="E340" s="555"/>
      <c r="F340" s="434" t="s">
        <v>836</v>
      </c>
      <c r="G340" s="434" t="s">
        <v>837</v>
      </c>
      <c r="H340" s="434" t="s">
        <v>8</v>
      </c>
      <c r="I340" s="434" t="s">
        <v>838</v>
      </c>
    </row>
    <row r="341" spans="1:9" ht="42.75" customHeight="1">
      <c r="A341" s="435" t="s">
        <v>1089</v>
      </c>
      <c r="B341" s="556" t="s">
        <v>1090</v>
      </c>
      <c r="C341" s="556"/>
      <c r="D341" s="557" t="s">
        <v>29</v>
      </c>
      <c r="E341" s="557"/>
      <c r="F341" s="435" t="s">
        <v>20</v>
      </c>
      <c r="G341" s="436">
        <v>1.08</v>
      </c>
      <c r="H341" s="437">
        <v>30.11</v>
      </c>
      <c r="I341" s="437">
        <v>32.518799999999999</v>
      </c>
    </row>
    <row r="342" spans="1:9" ht="15" customHeight="1">
      <c r="A342" s="433"/>
      <c r="B342" s="433"/>
      <c r="C342" s="433"/>
      <c r="D342" s="433"/>
      <c r="E342" s="433"/>
      <c r="F342" s="433"/>
      <c r="G342" s="558" t="s">
        <v>847</v>
      </c>
      <c r="H342" s="558"/>
      <c r="I342" s="438">
        <v>32.520000000000003</v>
      </c>
    </row>
    <row r="343" spans="1:9" ht="15" customHeight="1">
      <c r="A343" s="554" t="s">
        <v>848</v>
      </c>
      <c r="B343" s="554"/>
      <c r="C343" s="554"/>
      <c r="D343" s="555" t="s">
        <v>835</v>
      </c>
      <c r="E343" s="555"/>
      <c r="F343" s="434" t="s">
        <v>836</v>
      </c>
      <c r="G343" s="434" t="s">
        <v>837</v>
      </c>
      <c r="H343" s="434" t="s">
        <v>8</v>
      </c>
      <c r="I343" s="434" t="s">
        <v>838</v>
      </c>
    </row>
    <row r="344" spans="1:9" ht="15" customHeight="1">
      <c r="A344" s="435" t="s">
        <v>852</v>
      </c>
      <c r="B344" s="556" t="s">
        <v>853</v>
      </c>
      <c r="C344" s="556"/>
      <c r="D344" s="557" t="s">
        <v>29</v>
      </c>
      <c r="E344" s="557"/>
      <c r="F344" s="435" t="s">
        <v>851</v>
      </c>
      <c r="G344" s="436">
        <v>0.03</v>
      </c>
      <c r="H344" s="437">
        <v>19.8</v>
      </c>
      <c r="I344" s="437">
        <v>0.59399999999999997</v>
      </c>
    </row>
    <row r="345" spans="1:9" ht="18" customHeight="1">
      <c r="A345" s="433"/>
      <c r="B345" s="433"/>
      <c r="C345" s="433"/>
      <c r="D345" s="433"/>
      <c r="E345" s="433"/>
      <c r="F345" s="433"/>
      <c r="G345" s="558" t="s">
        <v>854</v>
      </c>
      <c r="H345" s="558"/>
      <c r="I345" s="438">
        <v>0.59</v>
      </c>
    </row>
    <row r="346" spans="1:9" ht="15" customHeight="1">
      <c r="A346" s="552" t="s">
        <v>1091</v>
      </c>
      <c r="B346" s="552"/>
      <c r="C346" s="552"/>
      <c r="D346" s="433"/>
      <c r="E346" s="433"/>
      <c r="F346" s="433"/>
      <c r="G346" s="553" t="s">
        <v>860</v>
      </c>
      <c r="H346" s="553"/>
      <c r="I346" s="429">
        <v>33.11</v>
      </c>
    </row>
    <row r="347" spans="1:9" ht="9.9499999999999993" customHeight="1">
      <c r="A347" s="433"/>
      <c r="B347" s="433"/>
      <c r="C347" s="433"/>
      <c r="D347" s="559"/>
      <c r="E347" s="559"/>
      <c r="F347" s="559"/>
      <c r="G347" s="433"/>
      <c r="H347" s="433"/>
      <c r="I347" s="433"/>
    </row>
    <row r="348" spans="1:9" ht="20.100000000000001" customHeight="1">
      <c r="A348" s="560" t="s">
        <v>1092</v>
      </c>
      <c r="B348" s="560"/>
      <c r="C348" s="560"/>
      <c r="D348" s="560"/>
      <c r="E348" s="560"/>
      <c r="F348" s="560"/>
      <c r="G348" s="560"/>
      <c r="H348" s="560"/>
      <c r="I348" s="560"/>
    </row>
    <row r="349" spans="1:9" ht="15" customHeight="1">
      <c r="A349" s="554" t="s">
        <v>834</v>
      </c>
      <c r="B349" s="554"/>
      <c r="C349" s="554"/>
      <c r="D349" s="555" t="s">
        <v>835</v>
      </c>
      <c r="E349" s="555"/>
      <c r="F349" s="434" t="s">
        <v>836</v>
      </c>
      <c r="G349" s="434" t="s">
        <v>837</v>
      </c>
      <c r="H349" s="434" t="s">
        <v>8</v>
      </c>
      <c r="I349" s="434" t="s">
        <v>838</v>
      </c>
    </row>
    <row r="350" spans="1:9" ht="30.75" customHeight="1">
      <c r="A350" s="435" t="s">
        <v>1093</v>
      </c>
      <c r="B350" s="556" t="s">
        <v>1094</v>
      </c>
      <c r="C350" s="556"/>
      <c r="D350" s="557" t="s">
        <v>29</v>
      </c>
      <c r="E350" s="557"/>
      <c r="F350" s="435" t="s">
        <v>60</v>
      </c>
      <c r="G350" s="436">
        <v>4.0000000000000001E-3</v>
      </c>
      <c r="H350" s="437">
        <v>83.33</v>
      </c>
      <c r="I350" s="437">
        <v>0.33332000000000001</v>
      </c>
    </row>
    <row r="351" spans="1:9" ht="30.75" customHeight="1">
      <c r="A351" s="435" t="s">
        <v>1095</v>
      </c>
      <c r="B351" s="556" t="s">
        <v>1096</v>
      </c>
      <c r="C351" s="556"/>
      <c r="D351" s="557" t="s">
        <v>29</v>
      </c>
      <c r="E351" s="557"/>
      <c r="F351" s="435" t="s">
        <v>40</v>
      </c>
      <c r="G351" s="436">
        <v>1.05</v>
      </c>
      <c r="H351" s="437">
        <v>16.649999999999999</v>
      </c>
      <c r="I351" s="437">
        <v>17.482500000000002</v>
      </c>
    </row>
    <row r="352" spans="1:9" ht="15" customHeight="1">
      <c r="A352" s="433"/>
      <c r="B352" s="433"/>
      <c r="C352" s="433"/>
      <c r="D352" s="433"/>
      <c r="E352" s="433"/>
      <c r="F352" s="433"/>
      <c r="G352" s="558" t="s">
        <v>847</v>
      </c>
      <c r="H352" s="558"/>
      <c r="I352" s="438">
        <v>17.809999999999999</v>
      </c>
    </row>
    <row r="353" spans="1:9" ht="15" customHeight="1">
      <c r="A353" s="554" t="s">
        <v>848</v>
      </c>
      <c r="B353" s="554"/>
      <c r="C353" s="554"/>
      <c r="D353" s="555" t="s">
        <v>835</v>
      </c>
      <c r="E353" s="555"/>
      <c r="F353" s="434" t="s">
        <v>836</v>
      </c>
      <c r="G353" s="434" t="s">
        <v>837</v>
      </c>
      <c r="H353" s="434" t="s">
        <v>8</v>
      </c>
      <c r="I353" s="434" t="s">
        <v>838</v>
      </c>
    </row>
    <row r="354" spans="1:9" ht="15" customHeight="1">
      <c r="A354" s="435" t="s">
        <v>852</v>
      </c>
      <c r="B354" s="556" t="s">
        <v>853</v>
      </c>
      <c r="C354" s="556"/>
      <c r="D354" s="557" t="s">
        <v>29</v>
      </c>
      <c r="E354" s="557"/>
      <c r="F354" s="435" t="s">
        <v>851</v>
      </c>
      <c r="G354" s="436">
        <v>0.5</v>
      </c>
      <c r="H354" s="437">
        <v>19.8</v>
      </c>
      <c r="I354" s="437">
        <v>9.9</v>
      </c>
    </row>
    <row r="355" spans="1:9" ht="18" customHeight="1">
      <c r="A355" s="433"/>
      <c r="B355" s="433"/>
      <c r="C355" s="433"/>
      <c r="D355" s="433"/>
      <c r="E355" s="433"/>
      <c r="F355" s="433"/>
      <c r="G355" s="558" t="s">
        <v>854</v>
      </c>
      <c r="H355" s="558"/>
      <c r="I355" s="438">
        <v>9.9</v>
      </c>
    </row>
    <row r="356" spans="1:9" ht="15" customHeight="1">
      <c r="A356" s="552" t="s">
        <v>1097</v>
      </c>
      <c r="B356" s="552"/>
      <c r="C356" s="552"/>
      <c r="D356" s="433"/>
      <c r="E356" s="433"/>
      <c r="F356" s="433"/>
      <c r="G356" s="553" t="s">
        <v>860</v>
      </c>
      <c r="H356" s="553"/>
      <c r="I356" s="429">
        <v>27.71</v>
      </c>
    </row>
    <row r="357" spans="1:9" ht="9.9499999999999993" customHeight="1">
      <c r="A357" s="433"/>
      <c r="B357" s="433"/>
      <c r="C357" s="433"/>
      <c r="D357" s="559"/>
      <c r="E357" s="559"/>
      <c r="F357" s="559"/>
      <c r="G357" s="433"/>
      <c r="H357" s="433"/>
      <c r="I357" s="433"/>
    </row>
    <row r="358" spans="1:9" ht="20.100000000000001" customHeight="1">
      <c r="A358" s="560" t="s">
        <v>1098</v>
      </c>
      <c r="B358" s="560"/>
      <c r="C358" s="560"/>
      <c r="D358" s="560"/>
      <c r="E358" s="560"/>
      <c r="F358" s="560"/>
      <c r="G358" s="560"/>
      <c r="H358" s="560"/>
      <c r="I358" s="560"/>
    </row>
    <row r="359" spans="1:9" ht="15" customHeight="1">
      <c r="A359" s="554" t="s">
        <v>834</v>
      </c>
      <c r="B359" s="554"/>
      <c r="C359" s="554"/>
      <c r="D359" s="555" t="s">
        <v>835</v>
      </c>
      <c r="E359" s="555"/>
      <c r="F359" s="434" t="s">
        <v>836</v>
      </c>
      <c r="G359" s="434" t="s">
        <v>837</v>
      </c>
      <c r="H359" s="434" t="s">
        <v>8</v>
      </c>
      <c r="I359" s="434" t="s">
        <v>838</v>
      </c>
    </row>
    <row r="360" spans="1:9" ht="33.75" customHeight="1">
      <c r="A360" s="435" t="s">
        <v>1099</v>
      </c>
      <c r="B360" s="556" t="s">
        <v>1100</v>
      </c>
      <c r="C360" s="556"/>
      <c r="D360" s="557" t="s">
        <v>29</v>
      </c>
      <c r="E360" s="557"/>
      <c r="F360" s="435" t="s">
        <v>115</v>
      </c>
      <c r="G360" s="436">
        <v>1</v>
      </c>
      <c r="H360" s="437">
        <v>9.81</v>
      </c>
      <c r="I360" s="437">
        <v>9.81</v>
      </c>
    </row>
    <row r="361" spans="1:9" ht="15" customHeight="1">
      <c r="A361" s="433"/>
      <c r="B361" s="433"/>
      <c r="C361" s="433"/>
      <c r="D361" s="433"/>
      <c r="E361" s="433"/>
      <c r="F361" s="433"/>
      <c r="G361" s="558" t="s">
        <v>847</v>
      </c>
      <c r="H361" s="558"/>
      <c r="I361" s="438">
        <v>9.81</v>
      </c>
    </row>
    <row r="362" spans="1:9" ht="15" customHeight="1">
      <c r="A362" s="554" t="s">
        <v>848</v>
      </c>
      <c r="B362" s="554"/>
      <c r="C362" s="554"/>
      <c r="D362" s="555" t="s">
        <v>835</v>
      </c>
      <c r="E362" s="555"/>
      <c r="F362" s="434" t="s">
        <v>836</v>
      </c>
      <c r="G362" s="434" t="s">
        <v>837</v>
      </c>
      <c r="H362" s="434" t="s">
        <v>8</v>
      </c>
      <c r="I362" s="434" t="s">
        <v>838</v>
      </c>
    </row>
    <row r="363" spans="1:9" ht="27" customHeight="1">
      <c r="A363" s="435" t="s">
        <v>1101</v>
      </c>
      <c r="B363" s="556" t="s">
        <v>1102</v>
      </c>
      <c r="C363" s="556"/>
      <c r="D363" s="557" t="s">
        <v>29</v>
      </c>
      <c r="E363" s="557"/>
      <c r="F363" s="435" t="s">
        <v>851</v>
      </c>
      <c r="G363" s="436">
        <v>0.1</v>
      </c>
      <c r="H363" s="437">
        <v>24.04</v>
      </c>
      <c r="I363" s="437">
        <v>2.4039999999999999</v>
      </c>
    </row>
    <row r="364" spans="1:9" ht="15" customHeight="1">
      <c r="A364" s="435" t="s">
        <v>852</v>
      </c>
      <c r="B364" s="556" t="s">
        <v>853</v>
      </c>
      <c r="C364" s="556"/>
      <c r="D364" s="557" t="s">
        <v>29</v>
      </c>
      <c r="E364" s="557"/>
      <c r="F364" s="435" t="s">
        <v>851</v>
      </c>
      <c r="G364" s="436">
        <v>0.1</v>
      </c>
      <c r="H364" s="437">
        <v>19.8</v>
      </c>
      <c r="I364" s="437">
        <v>1.98</v>
      </c>
    </row>
    <row r="365" spans="1:9" ht="18" customHeight="1">
      <c r="A365" s="433"/>
      <c r="B365" s="433"/>
      <c r="C365" s="433"/>
      <c r="D365" s="433"/>
      <c r="E365" s="433"/>
      <c r="F365" s="433"/>
      <c r="G365" s="558" t="s">
        <v>854</v>
      </c>
      <c r="H365" s="558"/>
      <c r="I365" s="438">
        <v>4.38</v>
      </c>
    </row>
    <row r="366" spans="1:9" ht="15" customHeight="1">
      <c r="A366" s="552" t="s">
        <v>1103</v>
      </c>
      <c r="B366" s="552"/>
      <c r="C366" s="552"/>
      <c r="D366" s="433"/>
      <c r="E366" s="433"/>
      <c r="F366" s="433"/>
      <c r="G366" s="553" t="s">
        <v>860</v>
      </c>
      <c r="H366" s="553"/>
      <c r="I366" s="429">
        <v>14.19</v>
      </c>
    </row>
    <row r="367" spans="1:9" ht="2.1" customHeight="1">
      <c r="A367" s="552"/>
      <c r="B367" s="552"/>
      <c r="C367" s="552"/>
      <c r="D367" s="433"/>
      <c r="E367" s="433"/>
      <c r="F367" s="433"/>
      <c r="G367" s="433"/>
      <c r="H367" s="433"/>
      <c r="I367" s="433"/>
    </row>
    <row r="368" spans="1:9" ht="9.9499999999999993" customHeight="1">
      <c r="A368" s="433"/>
      <c r="B368" s="433"/>
      <c r="C368" s="433"/>
      <c r="D368" s="559"/>
      <c r="E368" s="559"/>
      <c r="F368" s="559"/>
      <c r="G368" s="433"/>
      <c r="H368" s="433"/>
      <c r="I368" s="433"/>
    </row>
    <row r="369" spans="1:9" ht="20.100000000000001" customHeight="1">
      <c r="A369" s="560" t="s">
        <v>1104</v>
      </c>
      <c r="B369" s="560"/>
      <c r="C369" s="560"/>
      <c r="D369" s="560"/>
      <c r="E369" s="560"/>
      <c r="F369" s="560"/>
      <c r="G369" s="560"/>
      <c r="H369" s="560"/>
      <c r="I369" s="560"/>
    </row>
    <row r="370" spans="1:9" ht="15" customHeight="1">
      <c r="A370" s="554" t="s">
        <v>874</v>
      </c>
      <c r="B370" s="554"/>
      <c r="C370" s="554"/>
      <c r="D370" s="555" t="s">
        <v>835</v>
      </c>
      <c r="E370" s="555"/>
      <c r="F370" s="434" t="s">
        <v>836</v>
      </c>
      <c r="G370" s="434" t="s">
        <v>837</v>
      </c>
      <c r="H370" s="434" t="s">
        <v>8</v>
      </c>
      <c r="I370" s="434" t="s">
        <v>838</v>
      </c>
    </row>
    <row r="371" spans="1:9" ht="67.5" customHeight="1">
      <c r="A371" s="435" t="s">
        <v>944</v>
      </c>
      <c r="B371" s="556" t="s">
        <v>945</v>
      </c>
      <c r="C371" s="556"/>
      <c r="D371" s="557" t="s">
        <v>29</v>
      </c>
      <c r="E371" s="557"/>
      <c r="F371" s="435" t="s">
        <v>877</v>
      </c>
      <c r="G371" s="436">
        <v>4.6296000000000002E-3</v>
      </c>
      <c r="H371" s="437">
        <v>298.73</v>
      </c>
      <c r="I371" s="437">
        <v>1.383000408</v>
      </c>
    </row>
    <row r="372" spans="1:9" ht="15" customHeight="1">
      <c r="A372" s="433"/>
      <c r="B372" s="433"/>
      <c r="C372" s="433"/>
      <c r="D372" s="433"/>
      <c r="E372" s="433"/>
      <c r="F372" s="433"/>
      <c r="G372" s="558" t="s">
        <v>880</v>
      </c>
      <c r="H372" s="558"/>
      <c r="I372" s="438">
        <v>1.38</v>
      </c>
    </row>
    <row r="373" spans="1:9" ht="15" customHeight="1">
      <c r="A373" s="552" t="s">
        <v>1105</v>
      </c>
      <c r="B373" s="552"/>
      <c r="C373" s="552"/>
      <c r="D373" s="433"/>
      <c r="E373" s="433"/>
      <c r="F373" s="433"/>
      <c r="G373" s="553" t="s">
        <v>860</v>
      </c>
      <c r="H373" s="553"/>
      <c r="I373" s="429">
        <v>1.38</v>
      </c>
    </row>
    <row r="374" spans="1:9" ht="9.9499999999999993" customHeight="1">
      <c r="A374" s="433"/>
      <c r="B374" s="433"/>
      <c r="C374" s="433"/>
      <c r="D374" s="559"/>
      <c r="E374" s="559"/>
      <c r="F374" s="559"/>
      <c r="G374" s="433"/>
      <c r="H374" s="433"/>
      <c r="I374" s="433"/>
    </row>
    <row r="375" spans="1:9" ht="20.100000000000001" customHeight="1">
      <c r="A375" s="560" t="s">
        <v>1106</v>
      </c>
      <c r="B375" s="560"/>
      <c r="C375" s="560"/>
      <c r="D375" s="560"/>
      <c r="E375" s="560"/>
      <c r="F375" s="560"/>
      <c r="G375" s="560"/>
      <c r="H375" s="560"/>
      <c r="I375" s="560"/>
    </row>
    <row r="376" spans="1:9" ht="15" customHeight="1">
      <c r="A376" s="554" t="s">
        <v>874</v>
      </c>
      <c r="B376" s="554"/>
      <c r="C376" s="554"/>
      <c r="D376" s="555" t="s">
        <v>835</v>
      </c>
      <c r="E376" s="555"/>
      <c r="F376" s="434" t="s">
        <v>836</v>
      </c>
      <c r="G376" s="434" t="s">
        <v>837</v>
      </c>
      <c r="H376" s="434" t="s">
        <v>8</v>
      </c>
      <c r="I376" s="434" t="s">
        <v>838</v>
      </c>
    </row>
    <row r="377" spans="1:9" ht="45.75" customHeight="1">
      <c r="A377" s="435" t="s">
        <v>1107</v>
      </c>
      <c r="B377" s="556" t="s">
        <v>1108</v>
      </c>
      <c r="C377" s="556"/>
      <c r="D377" s="557" t="s">
        <v>29</v>
      </c>
      <c r="E377" s="557"/>
      <c r="F377" s="435" t="s">
        <v>877</v>
      </c>
      <c r="G377" s="436">
        <v>1.2500000000000001E-2</v>
      </c>
      <c r="H377" s="437">
        <v>32.69</v>
      </c>
      <c r="I377" s="437">
        <v>0.40862500000000002</v>
      </c>
    </row>
    <row r="378" spans="1:9" ht="15" customHeight="1">
      <c r="A378" s="433"/>
      <c r="B378" s="433"/>
      <c r="C378" s="433"/>
      <c r="D378" s="433"/>
      <c r="E378" s="433"/>
      <c r="F378" s="433"/>
      <c r="G378" s="558" t="s">
        <v>880</v>
      </c>
      <c r="H378" s="558"/>
      <c r="I378" s="438">
        <v>0.41</v>
      </c>
    </row>
    <row r="379" spans="1:9" ht="15" customHeight="1">
      <c r="A379" s="554" t="s">
        <v>834</v>
      </c>
      <c r="B379" s="554"/>
      <c r="C379" s="554"/>
      <c r="D379" s="555" t="s">
        <v>835</v>
      </c>
      <c r="E379" s="555"/>
      <c r="F379" s="434" t="s">
        <v>836</v>
      </c>
      <c r="G379" s="434" t="s">
        <v>837</v>
      </c>
      <c r="H379" s="434" t="s">
        <v>8</v>
      </c>
      <c r="I379" s="434" t="s">
        <v>838</v>
      </c>
    </row>
    <row r="380" spans="1:9" ht="42.75" customHeight="1">
      <c r="A380" s="435" t="s">
        <v>1109</v>
      </c>
      <c r="B380" s="556" t="s">
        <v>1110</v>
      </c>
      <c r="C380" s="556"/>
      <c r="D380" s="557" t="s">
        <v>29</v>
      </c>
      <c r="E380" s="557"/>
      <c r="F380" s="435" t="s">
        <v>328</v>
      </c>
      <c r="G380" s="436">
        <v>0.31</v>
      </c>
      <c r="H380" s="437">
        <v>18.190000000000001</v>
      </c>
      <c r="I380" s="437">
        <v>5.6388999999999996</v>
      </c>
    </row>
    <row r="381" spans="1:9" ht="15" customHeight="1">
      <c r="A381" s="433"/>
      <c r="B381" s="433"/>
      <c r="C381" s="433"/>
      <c r="D381" s="433"/>
      <c r="E381" s="433"/>
      <c r="F381" s="433"/>
      <c r="G381" s="558" t="s">
        <v>847</v>
      </c>
      <c r="H381" s="558"/>
      <c r="I381" s="438">
        <v>5.64</v>
      </c>
    </row>
    <row r="382" spans="1:9" ht="15" customHeight="1">
      <c r="A382" s="554" t="s">
        <v>848</v>
      </c>
      <c r="B382" s="554"/>
      <c r="C382" s="554"/>
      <c r="D382" s="555" t="s">
        <v>835</v>
      </c>
      <c r="E382" s="555"/>
      <c r="F382" s="434" t="s">
        <v>836</v>
      </c>
      <c r="G382" s="434" t="s">
        <v>837</v>
      </c>
      <c r="H382" s="434" t="s">
        <v>8</v>
      </c>
      <c r="I382" s="434" t="s">
        <v>838</v>
      </c>
    </row>
    <row r="383" spans="1:9" ht="27" customHeight="1">
      <c r="A383" s="435" t="s">
        <v>1111</v>
      </c>
      <c r="B383" s="556" t="s">
        <v>1112</v>
      </c>
      <c r="C383" s="556"/>
      <c r="D383" s="557" t="s">
        <v>29</v>
      </c>
      <c r="E383" s="557"/>
      <c r="F383" s="435" t="s">
        <v>851</v>
      </c>
      <c r="G383" s="436">
        <v>1.2500000000000001E-2</v>
      </c>
      <c r="H383" s="437">
        <v>38.159999999999997</v>
      </c>
      <c r="I383" s="437">
        <v>0.47699999999999998</v>
      </c>
    </row>
    <row r="384" spans="1:9" ht="15" customHeight="1">
      <c r="A384" s="435" t="s">
        <v>852</v>
      </c>
      <c r="B384" s="556" t="s">
        <v>853</v>
      </c>
      <c r="C384" s="556"/>
      <c r="D384" s="557" t="s">
        <v>29</v>
      </c>
      <c r="E384" s="557"/>
      <c r="F384" s="435" t="s">
        <v>851</v>
      </c>
      <c r="G384" s="436">
        <v>7.4999999999999997E-2</v>
      </c>
      <c r="H384" s="437">
        <v>19.8</v>
      </c>
      <c r="I384" s="437">
        <v>1.4850000000000001</v>
      </c>
    </row>
    <row r="385" spans="1:9" ht="18" customHeight="1">
      <c r="A385" s="433"/>
      <c r="B385" s="433"/>
      <c r="C385" s="433"/>
      <c r="D385" s="433"/>
      <c r="E385" s="433"/>
      <c r="F385" s="433"/>
      <c r="G385" s="558" t="s">
        <v>854</v>
      </c>
      <c r="H385" s="558"/>
      <c r="I385" s="438">
        <v>1.97</v>
      </c>
    </row>
    <row r="386" spans="1:9" ht="15" customHeight="1">
      <c r="A386" s="554" t="s">
        <v>855</v>
      </c>
      <c r="B386" s="554"/>
      <c r="C386" s="554"/>
      <c r="D386" s="555" t="s">
        <v>835</v>
      </c>
      <c r="E386" s="555"/>
      <c r="F386" s="434" t="s">
        <v>836</v>
      </c>
      <c r="G386" s="434" t="s">
        <v>837</v>
      </c>
      <c r="H386" s="434" t="s">
        <v>8</v>
      </c>
      <c r="I386" s="434" t="s">
        <v>838</v>
      </c>
    </row>
    <row r="387" spans="1:9" ht="44.25" customHeight="1">
      <c r="A387" s="435" t="s">
        <v>1113</v>
      </c>
      <c r="B387" s="556" t="s">
        <v>1114</v>
      </c>
      <c r="C387" s="556"/>
      <c r="D387" s="557" t="s">
        <v>29</v>
      </c>
      <c r="E387" s="557"/>
      <c r="F387" s="435" t="s">
        <v>851</v>
      </c>
      <c r="G387" s="436">
        <v>1.2500000000000001E-2</v>
      </c>
      <c r="H387" s="437">
        <v>77.39</v>
      </c>
      <c r="I387" s="437">
        <v>0.96737499999999998</v>
      </c>
    </row>
    <row r="388" spans="1:9" ht="15" customHeight="1">
      <c r="A388" s="433"/>
      <c r="B388" s="433"/>
      <c r="C388" s="433"/>
      <c r="D388" s="433"/>
      <c r="E388" s="433"/>
      <c r="F388" s="433"/>
      <c r="G388" s="558" t="s">
        <v>858</v>
      </c>
      <c r="H388" s="558"/>
      <c r="I388" s="438">
        <v>0.97</v>
      </c>
    </row>
    <row r="389" spans="1:9" ht="15" customHeight="1">
      <c r="A389" s="552" t="s">
        <v>1115</v>
      </c>
      <c r="B389" s="552"/>
      <c r="C389" s="552"/>
      <c r="D389" s="433"/>
      <c r="E389" s="433"/>
      <c r="F389" s="433"/>
      <c r="G389" s="553" t="s">
        <v>860</v>
      </c>
      <c r="H389" s="553"/>
      <c r="I389" s="429">
        <v>8.99</v>
      </c>
    </row>
    <row r="390" spans="1:9" ht="9.9499999999999993" customHeight="1">
      <c r="A390" s="433"/>
      <c r="B390" s="433"/>
      <c r="C390" s="433"/>
      <c r="D390" s="559"/>
      <c r="E390" s="559"/>
      <c r="F390" s="559"/>
      <c r="G390" s="433"/>
      <c r="H390" s="433"/>
      <c r="I390" s="433"/>
    </row>
    <row r="391" spans="1:9" ht="20.100000000000001" customHeight="1">
      <c r="A391" s="560" t="s">
        <v>1116</v>
      </c>
      <c r="B391" s="560"/>
      <c r="C391" s="560"/>
      <c r="D391" s="560"/>
      <c r="E391" s="560"/>
      <c r="F391" s="560"/>
      <c r="G391" s="560"/>
      <c r="H391" s="560"/>
      <c r="I391" s="560"/>
    </row>
    <row r="392" spans="1:9" ht="15" customHeight="1">
      <c r="A392" s="554" t="s">
        <v>848</v>
      </c>
      <c r="B392" s="554"/>
      <c r="C392" s="554"/>
      <c r="D392" s="555" t="s">
        <v>835</v>
      </c>
      <c r="E392" s="555"/>
      <c r="F392" s="434" t="s">
        <v>836</v>
      </c>
      <c r="G392" s="434" t="s">
        <v>837</v>
      </c>
      <c r="H392" s="434" t="s">
        <v>8</v>
      </c>
      <c r="I392" s="434" t="s">
        <v>838</v>
      </c>
    </row>
    <row r="393" spans="1:9" ht="15" customHeight="1">
      <c r="A393" s="435" t="s">
        <v>960</v>
      </c>
      <c r="B393" s="556" t="s">
        <v>961</v>
      </c>
      <c r="C393" s="556"/>
      <c r="D393" s="557" t="s">
        <v>29</v>
      </c>
      <c r="E393" s="557"/>
      <c r="F393" s="435" t="s">
        <v>851</v>
      </c>
      <c r="G393" s="436">
        <v>0.45910000000000001</v>
      </c>
      <c r="H393" s="437">
        <v>24.51</v>
      </c>
      <c r="I393" s="437">
        <v>11.252541000000001</v>
      </c>
    </row>
    <row r="394" spans="1:9" ht="15" customHeight="1">
      <c r="A394" s="435" t="s">
        <v>852</v>
      </c>
      <c r="B394" s="556" t="s">
        <v>853</v>
      </c>
      <c r="C394" s="556"/>
      <c r="D394" s="557" t="s">
        <v>29</v>
      </c>
      <c r="E394" s="557"/>
      <c r="F394" s="435" t="s">
        <v>851</v>
      </c>
      <c r="G394" s="436">
        <v>0.15820000000000001</v>
      </c>
      <c r="H394" s="437">
        <v>19.8</v>
      </c>
      <c r="I394" s="437">
        <v>3.1323599999999998</v>
      </c>
    </row>
    <row r="395" spans="1:9" ht="18" customHeight="1">
      <c r="A395" s="433"/>
      <c r="B395" s="433"/>
      <c r="C395" s="433"/>
      <c r="D395" s="433"/>
      <c r="E395" s="433"/>
      <c r="F395" s="433"/>
      <c r="G395" s="558" t="s">
        <v>854</v>
      </c>
      <c r="H395" s="558"/>
      <c r="I395" s="438">
        <v>14.38</v>
      </c>
    </row>
    <row r="396" spans="1:9" ht="25.5" customHeight="1">
      <c r="A396" s="552" t="s">
        <v>1117</v>
      </c>
      <c r="B396" s="552"/>
      <c r="C396" s="552"/>
      <c r="D396" s="433"/>
      <c r="E396" s="433"/>
      <c r="F396" s="433"/>
      <c r="G396" s="553" t="s">
        <v>860</v>
      </c>
      <c r="H396" s="553"/>
      <c r="I396" s="429">
        <v>14.38</v>
      </c>
    </row>
    <row r="397" spans="1:9" ht="9.9499999999999993" customHeight="1">
      <c r="A397" s="433"/>
      <c r="B397" s="433"/>
      <c r="C397" s="433"/>
      <c r="D397" s="559"/>
      <c r="E397" s="559"/>
      <c r="F397" s="559"/>
      <c r="G397" s="433"/>
      <c r="H397" s="433"/>
      <c r="I397" s="433"/>
    </row>
    <row r="398" spans="1:9" ht="31.5" customHeight="1">
      <c r="A398" s="560" t="s">
        <v>1118</v>
      </c>
      <c r="B398" s="560"/>
      <c r="C398" s="560"/>
      <c r="D398" s="560"/>
      <c r="E398" s="560"/>
      <c r="F398" s="560"/>
      <c r="G398" s="560"/>
      <c r="H398" s="560"/>
      <c r="I398" s="560"/>
    </row>
    <row r="399" spans="1:9" ht="15" customHeight="1">
      <c r="A399" s="554" t="s">
        <v>834</v>
      </c>
      <c r="B399" s="554"/>
      <c r="C399" s="554"/>
      <c r="D399" s="555" t="s">
        <v>835</v>
      </c>
      <c r="E399" s="555"/>
      <c r="F399" s="434" t="s">
        <v>836</v>
      </c>
      <c r="G399" s="434" t="s">
        <v>837</v>
      </c>
      <c r="H399" s="434" t="s">
        <v>8</v>
      </c>
      <c r="I399" s="434" t="s">
        <v>838</v>
      </c>
    </row>
    <row r="400" spans="1:9" ht="28.5" customHeight="1">
      <c r="A400" s="435" t="s">
        <v>1045</v>
      </c>
      <c r="B400" s="556" t="s">
        <v>1046</v>
      </c>
      <c r="C400" s="556"/>
      <c r="D400" s="557" t="s">
        <v>29</v>
      </c>
      <c r="E400" s="557"/>
      <c r="F400" s="435" t="s">
        <v>115</v>
      </c>
      <c r="G400" s="436">
        <v>4</v>
      </c>
      <c r="H400" s="437">
        <v>10.27</v>
      </c>
      <c r="I400" s="437">
        <v>41.08</v>
      </c>
    </row>
    <row r="401" spans="1:9" ht="15" customHeight="1">
      <c r="A401" s="433"/>
      <c r="B401" s="433"/>
      <c r="C401" s="433"/>
      <c r="D401" s="433"/>
      <c r="E401" s="433"/>
      <c r="F401" s="433"/>
      <c r="G401" s="558" t="s">
        <v>847</v>
      </c>
      <c r="H401" s="558"/>
      <c r="I401" s="438">
        <v>41.08</v>
      </c>
    </row>
    <row r="402" spans="1:9" ht="15" customHeight="1">
      <c r="A402" s="554" t="s">
        <v>855</v>
      </c>
      <c r="B402" s="554"/>
      <c r="C402" s="554"/>
      <c r="D402" s="555" t="s">
        <v>835</v>
      </c>
      <c r="E402" s="555"/>
      <c r="F402" s="434" t="s">
        <v>836</v>
      </c>
      <c r="G402" s="434" t="s">
        <v>837</v>
      </c>
      <c r="H402" s="434" t="s">
        <v>8</v>
      </c>
      <c r="I402" s="434" t="s">
        <v>838</v>
      </c>
    </row>
    <row r="403" spans="1:9" ht="32.25" customHeight="1">
      <c r="A403" s="435" t="s">
        <v>342</v>
      </c>
      <c r="B403" s="556" t="s">
        <v>343</v>
      </c>
      <c r="C403" s="556"/>
      <c r="D403" s="557" t="s">
        <v>29</v>
      </c>
      <c r="E403" s="557"/>
      <c r="F403" s="435" t="s">
        <v>60</v>
      </c>
      <c r="G403" s="436">
        <v>0.25600000000000001</v>
      </c>
      <c r="H403" s="437">
        <v>469.42</v>
      </c>
      <c r="I403" s="437">
        <v>120.17152</v>
      </c>
    </row>
    <row r="404" spans="1:9" ht="15" customHeight="1">
      <c r="A404" s="433"/>
      <c r="B404" s="433"/>
      <c r="C404" s="433"/>
      <c r="D404" s="433"/>
      <c r="E404" s="433"/>
      <c r="F404" s="433"/>
      <c r="G404" s="558" t="s">
        <v>858</v>
      </c>
      <c r="H404" s="558"/>
      <c r="I404" s="438">
        <v>120.17</v>
      </c>
    </row>
    <row r="405" spans="1:9" ht="15" customHeight="1">
      <c r="A405" s="552" t="s">
        <v>1119</v>
      </c>
      <c r="B405" s="552"/>
      <c r="C405" s="552"/>
      <c r="D405" s="433"/>
      <c r="E405" s="433"/>
      <c r="F405" s="433"/>
      <c r="G405" s="553" t="s">
        <v>860</v>
      </c>
      <c r="H405" s="553"/>
      <c r="I405" s="429">
        <v>161.25</v>
      </c>
    </row>
    <row r="406" spans="1:9" ht="26.25" customHeight="1">
      <c r="A406" s="552"/>
      <c r="B406" s="552"/>
      <c r="C406" s="552"/>
      <c r="D406" s="433"/>
      <c r="E406" s="433"/>
      <c r="F406" s="433"/>
      <c r="G406" s="433"/>
      <c r="H406" s="433"/>
      <c r="I406" s="433"/>
    </row>
    <row r="407" spans="1:9" ht="9.9499999999999993" customHeight="1">
      <c r="A407" s="433"/>
      <c r="B407" s="433"/>
      <c r="C407" s="433"/>
      <c r="D407" s="559"/>
      <c r="E407" s="559"/>
      <c r="F407" s="559"/>
      <c r="G407" s="433"/>
      <c r="H407" s="433"/>
      <c r="I407" s="433"/>
    </row>
    <row r="408" spans="1:9" ht="31.5" customHeight="1">
      <c r="A408" s="560" t="s">
        <v>1120</v>
      </c>
      <c r="B408" s="560"/>
      <c r="C408" s="560"/>
      <c r="D408" s="560"/>
      <c r="E408" s="560"/>
      <c r="F408" s="560"/>
      <c r="G408" s="560"/>
      <c r="H408" s="560"/>
      <c r="I408" s="560"/>
    </row>
    <row r="409" spans="1:9" ht="15" customHeight="1">
      <c r="A409" s="554" t="s">
        <v>834</v>
      </c>
      <c r="B409" s="554"/>
      <c r="C409" s="554"/>
      <c r="D409" s="555" t="s">
        <v>835</v>
      </c>
      <c r="E409" s="555"/>
      <c r="F409" s="434" t="s">
        <v>836</v>
      </c>
      <c r="G409" s="434" t="s">
        <v>837</v>
      </c>
      <c r="H409" s="434" t="s">
        <v>8</v>
      </c>
      <c r="I409" s="434" t="s">
        <v>838</v>
      </c>
    </row>
    <row r="410" spans="1:9" ht="29.25" customHeight="1">
      <c r="A410" s="435" t="s">
        <v>1045</v>
      </c>
      <c r="B410" s="556" t="s">
        <v>1046</v>
      </c>
      <c r="C410" s="556"/>
      <c r="D410" s="557" t="s">
        <v>29</v>
      </c>
      <c r="E410" s="557"/>
      <c r="F410" s="435" t="s">
        <v>115</v>
      </c>
      <c r="G410" s="436">
        <v>16</v>
      </c>
      <c r="H410" s="437">
        <v>10.27</v>
      </c>
      <c r="I410" s="437">
        <v>164.32</v>
      </c>
    </row>
    <row r="411" spans="1:9" ht="15" customHeight="1">
      <c r="A411" s="433"/>
      <c r="B411" s="433"/>
      <c r="C411" s="433"/>
      <c r="D411" s="433"/>
      <c r="E411" s="433"/>
      <c r="F411" s="433"/>
      <c r="G411" s="558" t="s">
        <v>847</v>
      </c>
      <c r="H411" s="558"/>
      <c r="I411" s="438">
        <v>164.32</v>
      </c>
    </row>
    <row r="412" spans="1:9" ht="15" customHeight="1">
      <c r="A412" s="554" t="s">
        <v>855</v>
      </c>
      <c r="B412" s="554"/>
      <c r="C412" s="554"/>
      <c r="D412" s="555" t="s">
        <v>835</v>
      </c>
      <c r="E412" s="555"/>
      <c r="F412" s="434" t="s">
        <v>836</v>
      </c>
      <c r="G412" s="434" t="s">
        <v>837</v>
      </c>
      <c r="H412" s="434" t="s">
        <v>8</v>
      </c>
      <c r="I412" s="434" t="s">
        <v>838</v>
      </c>
    </row>
    <row r="413" spans="1:9" ht="37.5" customHeight="1">
      <c r="A413" s="435" t="s">
        <v>342</v>
      </c>
      <c r="B413" s="556" t="s">
        <v>343</v>
      </c>
      <c r="C413" s="556"/>
      <c r="D413" s="557" t="s">
        <v>29</v>
      </c>
      <c r="E413" s="557"/>
      <c r="F413" s="435" t="s">
        <v>60</v>
      </c>
      <c r="G413" s="436">
        <v>0.27200000000000002</v>
      </c>
      <c r="H413" s="437">
        <v>469.42</v>
      </c>
      <c r="I413" s="437">
        <v>127.68223999999999</v>
      </c>
    </row>
    <row r="414" spans="1:9" ht="15" customHeight="1">
      <c r="A414" s="433"/>
      <c r="B414" s="433"/>
      <c r="C414" s="433"/>
      <c r="D414" s="433"/>
      <c r="E414" s="433"/>
      <c r="F414" s="433"/>
      <c r="G414" s="558" t="s">
        <v>858</v>
      </c>
      <c r="H414" s="558"/>
      <c r="I414" s="438">
        <v>127.68</v>
      </c>
    </row>
    <row r="415" spans="1:9" ht="19.5" customHeight="1">
      <c r="A415" s="552" t="s">
        <v>1121</v>
      </c>
      <c r="B415" s="552"/>
      <c r="C415" s="552"/>
      <c r="D415" s="433"/>
      <c r="E415" s="433"/>
      <c r="F415" s="433"/>
      <c r="G415" s="553" t="s">
        <v>860</v>
      </c>
      <c r="H415" s="553"/>
      <c r="I415" s="429">
        <v>292</v>
      </c>
    </row>
  </sheetData>
  <mergeCells count="650">
    <mergeCell ref="A1:I1"/>
    <mergeCell ref="D2:F2"/>
    <mergeCell ref="A3:I3"/>
    <mergeCell ref="A4:C4"/>
    <mergeCell ref="D4:E4"/>
    <mergeCell ref="B8:C8"/>
    <mergeCell ref="D8:E8"/>
    <mergeCell ref="G9:H9"/>
    <mergeCell ref="A10:C10"/>
    <mergeCell ref="D10:E10"/>
    <mergeCell ref="B5:C5"/>
    <mergeCell ref="D5:E5"/>
    <mergeCell ref="B6:C6"/>
    <mergeCell ref="D6:E6"/>
    <mergeCell ref="B7:C7"/>
    <mergeCell ref="D7:E7"/>
    <mergeCell ref="A14:C14"/>
    <mergeCell ref="D14:E14"/>
    <mergeCell ref="B15:C15"/>
    <mergeCell ref="D15:E15"/>
    <mergeCell ref="G16:H16"/>
    <mergeCell ref="B11:C11"/>
    <mergeCell ref="D11:E11"/>
    <mergeCell ref="B12:C12"/>
    <mergeCell ref="D12:E12"/>
    <mergeCell ref="G13:H13"/>
    <mergeCell ref="B21:C21"/>
    <mergeCell ref="D21:E21"/>
    <mergeCell ref="G22:H22"/>
    <mergeCell ref="A23:C24"/>
    <mergeCell ref="G23:H23"/>
    <mergeCell ref="A17:C17"/>
    <mergeCell ref="G17:H17"/>
    <mergeCell ref="D18:F18"/>
    <mergeCell ref="A19:I19"/>
    <mergeCell ref="A20:C20"/>
    <mergeCell ref="D20:E20"/>
    <mergeCell ref="B29:C29"/>
    <mergeCell ref="D29:E29"/>
    <mergeCell ref="G30:H30"/>
    <mergeCell ref="A31:C31"/>
    <mergeCell ref="G31:H31"/>
    <mergeCell ref="D25:F25"/>
    <mergeCell ref="A26:I26"/>
    <mergeCell ref="A27:C27"/>
    <mergeCell ref="D27:E27"/>
    <mergeCell ref="B28:C28"/>
    <mergeCell ref="D28:E28"/>
    <mergeCell ref="B36:C36"/>
    <mergeCell ref="D36:E36"/>
    <mergeCell ref="G37:H37"/>
    <mergeCell ref="A38:C38"/>
    <mergeCell ref="G38:H38"/>
    <mergeCell ref="D32:F32"/>
    <mergeCell ref="A33:I33"/>
    <mergeCell ref="A34:C34"/>
    <mergeCell ref="D34:E34"/>
    <mergeCell ref="B35:C35"/>
    <mergeCell ref="D35:E35"/>
    <mergeCell ref="B43:C43"/>
    <mergeCell ref="D43:E43"/>
    <mergeCell ref="G44:H44"/>
    <mergeCell ref="A45:C45"/>
    <mergeCell ref="D45:E45"/>
    <mergeCell ref="D39:F39"/>
    <mergeCell ref="A40:I40"/>
    <mergeCell ref="A41:C41"/>
    <mergeCell ref="D41:E41"/>
    <mergeCell ref="B42:C42"/>
    <mergeCell ref="D42:E42"/>
    <mergeCell ref="D49:F49"/>
    <mergeCell ref="A50:I50"/>
    <mergeCell ref="A51:C51"/>
    <mergeCell ref="D51:E51"/>
    <mergeCell ref="B52:C52"/>
    <mergeCell ref="D52:E52"/>
    <mergeCell ref="B46:C46"/>
    <mergeCell ref="D46:E46"/>
    <mergeCell ref="G47:H47"/>
    <mergeCell ref="A48:C48"/>
    <mergeCell ref="G48:H48"/>
    <mergeCell ref="G56:H56"/>
    <mergeCell ref="A57:C57"/>
    <mergeCell ref="G57:H57"/>
    <mergeCell ref="D58:F58"/>
    <mergeCell ref="A59:I59"/>
    <mergeCell ref="G53:H53"/>
    <mergeCell ref="A54:C54"/>
    <mergeCell ref="D54:E54"/>
    <mergeCell ref="B55:C55"/>
    <mergeCell ref="D55:E55"/>
    <mergeCell ref="G63:H63"/>
    <mergeCell ref="A64:C64"/>
    <mergeCell ref="D64:E64"/>
    <mergeCell ref="B65:C65"/>
    <mergeCell ref="D65:E65"/>
    <mergeCell ref="A60:C60"/>
    <mergeCell ref="D60:E60"/>
    <mergeCell ref="B61:C61"/>
    <mergeCell ref="D61:E61"/>
    <mergeCell ref="B62:C62"/>
    <mergeCell ref="D62:E62"/>
    <mergeCell ref="I74:I75"/>
    <mergeCell ref="G69:H69"/>
    <mergeCell ref="A70:C71"/>
    <mergeCell ref="G70:H70"/>
    <mergeCell ref="D72:F72"/>
    <mergeCell ref="A73:I73"/>
    <mergeCell ref="G66:H66"/>
    <mergeCell ref="A67:C67"/>
    <mergeCell ref="D67:E67"/>
    <mergeCell ref="B68:C68"/>
    <mergeCell ref="D68:E68"/>
    <mergeCell ref="C76:D76"/>
    <mergeCell ref="C77:D77"/>
    <mergeCell ref="C78:D78"/>
    <mergeCell ref="C79:D79"/>
    <mergeCell ref="G80:H80"/>
    <mergeCell ref="A74:B75"/>
    <mergeCell ref="C74:D75"/>
    <mergeCell ref="E74:F74"/>
    <mergeCell ref="G74:H74"/>
    <mergeCell ref="G86:H86"/>
    <mergeCell ref="G87:H87"/>
    <mergeCell ref="G88:H88"/>
    <mergeCell ref="A89:C90"/>
    <mergeCell ref="G89:H89"/>
    <mergeCell ref="A81:E81"/>
    <mergeCell ref="B82:E82"/>
    <mergeCell ref="G83:H83"/>
    <mergeCell ref="G84:H84"/>
    <mergeCell ref="G85:H85"/>
    <mergeCell ref="B95:C95"/>
    <mergeCell ref="D95:E95"/>
    <mergeCell ref="B96:C96"/>
    <mergeCell ref="D96:E96"/>
    <mergeCell ref="B97:C97"/>
    <mergeCell ref="D97:E97"/>
    <mergeCell ref="D91:F91"/>
    <mergeCell ref="A92:I92"/>
    <mergeCell ref="A93:C93"/>
    <mergeCell ref="D93:E93"/>
    <mergeCell ref="B94:C94"/>
    <mergeCell ref="D94:E94"/>
    <mergeCell ref="B101:C101"/>
    <mergeCell ref="D101:E101"/>
    <mergeCell ref="G102:H102"/>
    <mergeCell ref="A103:C103"/>
    <mergeCell ref="D103:E103"/>
    <mergeCell ref="B98:C98"/>
    <mergeCell ref="D98:E98"/>
    <mergeCell ref="B99:C99"/>
    <mergeCell ref="D99:E99"/>
    <mergeCell ref="B100:C100"/>
    <mergeCell ref="D100:E100"/>
    <mergeCell ref="D107:F107"/>
    <mergeCell ref="A108:I108"/>
    <mergeCell ref="A109:C109"/>
    <mergeCell ref="D109:E109"/>
    <mergeCell ref="B110:C110"/>
    <mergeCell ref="D110:E110"/>
    <mergeCell ref="B104:C104"/>
    <mergeCell ref="D104:E104"/>
    <mergeCell ref="G105:H105"/>
    <mergeCell ref="A106:C106"/>
    <mergeCell ref="G106:H106"/>
    <mergeCell ref="G120:H120"/>
    <mergeCell ref="A115:C115"/>
    <mergeCell ref="D115:E115"/>
    <mergeCell ref="B116:C116"/>
    <mergeCell ref="D116:E116"/>
    <mergeCell ref="B117:C117"/>
    <mergeCell ref="D117:E117"/>
    <mergeCell ref="G111:H111"/>
    <mergeCell ref="A112:C112"/>
    <mergeCell ref="G112:H112"/>
    <mergeCell ref="D113:F113"/>
    <mergeCell ref="A114:I114"/>
    <mergeCell ref="A121:C121"/>
    <mergeCell ref="D121:E121"/>
    <mergeCell ref="B122:C122"/>
    <mergeCell ref="D122:E122"/>
    <mergeCell ref="B123:C123"/>
    <mergeCell ref="D123:E123"/>
    <mergeCell ref="B118:C118"/>
    <mergeCell ref="D118:E118"/>
    <mergeCell ref="B119:C119"/>
    <mergeCell ref="D119:E119"/>
    <mergeCell ref="B127:C127"/>
    <mergeCell ref="D127:E127"/>
    <mergeCell ref="G128:H128"/>
    <mergeCell ref="A129:C129"/>
    <mergeCell ref="G129:H129"/>
    <mergeCell ref="G124:H124"/>
    <mergeCell ref="A125:C125"/>
    <mergeCell ref="D125:E125"/>
    <mergeCell ref="B126:C126"/>
    <mergeCell ref="D126:E126"/>
    <mergeCell ref="B134:C134"/>
    <mergeCell ref="D134:E134"/>
    <mergeCell ref="B135:C135"/>
    <mergeCell ref="D135:E135"/>
    <mergeCell ref="B136:C136"/>
    <mergeCell ref="D136:E136"/>
    <mergeCell ref="D130:F130"/>
    <mergeCell ref="A131:I131"/>
    <mergeCell ref="A132:C132"/>
    <mergeCell ref="D132:E132"/>
    <mergeCell ref="B133:C133"/>
    <mergeCell ref="D133:E133"/>
    <mergeCell ref="A140:C140"/>
    <mergeCell ref="D140:E140"/>
    <mergeCell ref="B141:C141"/>
    <mergeCell ref="D141:E141"/>
    <mergeCell ref="G142:H142"/>
    <mergeCell ref="B137:C137"/>
    <mergeCell ref="D137:E137"/>
    <mergeCell ref="B138:C138"/>
    <mergeCell ref="D138:E138"/>
    <mergeCell ref="G139:H139"/>
    <mergeCell ref="A146:C147"/>
    <mergeCell ref="G146:H146"/>
    <mergeCell ref="D148:F148"/>
    <mergeCell ref="A149:I149"/>
    <mergeCell ref="A150:C150"/>
    <mergeCell ref="D150:E150"/>
    <mergeCell ref="A143:C143"/>
    <mergeCell ref="D143:E143"/>
    <mergeCell ref="B144:C144"/>
    <mergeCell ref="D144:E144"/>
    <mergeCell ref="G145:H145"/>
    <mergeCell ref="B154:C154"/>
    <mergeCell ref="D154:E154"/>
    <mergeCell ref="B155:C155"/>
    <mergeCell ref="D155:E155"/>
    <mergeCell ref="B156:C156"/>
    <mergeCell ref="D156:E156"/>
    <mergeCell ref="B151:C151"/>
    <mergeCell ref="D151:E151"/>
    <mergeCell ref="B152:C152"/>
    <mergeCell ref="D152:E152"/>
    <mergeCell ref="B153:C153"/>
    <mergeCell ref="D153:E153"/>
    <mergeCell ref="G160:H160"/>
    <mergeCell ref="A161:C161"/>
    <mergeCell ref="D161:E161"/>
    <mergeCell ref="B162:C162"/>
    <mergeCell ref="D162:E162"/>
    <mergeCell ref="B157:C157"/>
    <mergeCell ref="D157:E157"/>
    <mergeCell ref="B158:C158"/>
    <mergeCell ref="D158:E158"/>
    <mergeCell ref="B159:C159"/>
    <mergeCell ref="D159:E159"/>
    <mergeCell ref="A168:C168"/>
    <mergeCell ref="D168:E168"/>
    <mergeCell ref="B169:C169"/>
    <mergeCell ref="D169:E169"/>
    <mergeCell ref="G170:H170"/>
    <mergeCell ref="G163:H163"/>
    <mergeCell ref="A164:C165"/>
    <mergeCell ref="G164:H164"/>
    <mergeCell ref="D166:F166"/>
    <mergeCell ref="A167:I167"/>
    <mergeCell ref="B175:C175"/>
    <mergeCell ref="D175:E175"/>
    <mergeCell ref="G176:H176"/>
    <mergeCell ref="A177:C177"/>
    <mergeCell ref="G177:H177"/>
    <mergeCell ref="A171:C171"/>
    <mergeCell ref="G171:H171"/>
    <mergeCell ref="D172:F172"/>
    <mergeCell ref="A173:I173"/>
    <mergeCell ref="A174:C174"/>
    <mergeCell ref="D174:E174"/>
    <mergeCell ref="G182:H182"/>
    <mergeCell ref="A183:C183"/>
    <mergeCell ref="D183:E183"/>
    <mergeCell ref="B184:C184"/>
    <mergeCell ref="D184:E184"/>
    <mergeCell ref="D178:F178"/>
    <mergeCell ref="A179:I179"/>
    <mergeCell ref="A180:C180"/>
    <mergeCell ref="D180:E180"/>
    <mergeCell ref="B181:C181"/>
    <mergeCell ref="D181:E181"/>
    <mergeCell ref="D188:F188"/>
    <mergeCell ref="A189:I189"/>
    <mergeCell ref="A190:C190"/>
    <mergeCell ref="D190:E190"/>
    <mergeCell ref="B191:C191"/>
    <mergeCell ref="D191:E191"/>
    <mergeCell ref="B185:C185"/>
    <mergeCell ref="D185:E185"/>
    <mergeCell ref="G186:H186"/>
    <mergeCell ref="A187:C187"/>
    <mergeCell ref="G187:H187"/>
    <mergeCell ref="G195:H195"/>
    <mergeCell ref="A196:C196"/>
    <mergeCell ref="D196:E196"/>
    <mergeCell ref="B197:C197"/>
    <mergeCell ref="D197:E197"/>
    <mergeCell ref="B192:C192"/>
    <mergeCell ref="D192:E192"/>
    <mergeCell ref="B193:C193"/>
    <mergeCell ref="D193:E193"/>
    <mergeCell ref="B194:C194"/>
    <mergeCell ref="D194:E194"/>
    <mergeCell ref="A201:C201"/>
    <mergeCell ref="G201:H201"/>
    <mergeCell ref="D202:F202"/>
    <mergeCell ref="A203:I203"/>
    <mergeCell ref="A204:C204"/>
    <mergeCell ref="D204:E204"/>
    <mergeCell ref="B198:C198"/>
    <mergeCell ref="D198:E198"/>
    <mergeCell ref="B199:C199"/>
    <mergeCell ref="D199:E199"/>
    <mergeCell ref="G200:H200"/>
    <mergeCell ref="A208:C208"/>
    <mergeCell ref="G208:H208"/>
    <mergeCell ref="D209:F209"/>
    <mergeCell ref="A210:I210"/>
    <mergeCell ref="A211:C211"/>
    <mergeCell ref="D211:E211"/>
    <mergeCell ref="B205:C205"/>
    <mergeCell ref="D205:E205"/>
    <mergeCell ref="B206:C206"/>
    <mergeCell ref="D206:E206"/>
    <mergeCell ref="G207:H207"/>
    <mergeCell ref="B215:C215"/>
    <mergeCell ref="D215:E215"/>
    <mergeCell ref="G216:H216"/>
    <mergeCell ref="A217:C217"/>
    <mergeCell ref="G217:H217"/>
    <mergeCell ref="B212:C212"/>
    <mergeCell ref="D212:E212"/>
    <mergeCell ref="G213:H213"/>
    <mergeCell ref="A214:C214"/>
    <mergeCell ref="D214:E214"/>
    <mergeCell ref="B222:C222"/>
    <mergeCell ref="D222:E222"/>
    <mergeCell ref="G223:H223"/>
    <mergeCell ref="A224:C224"/>
    <mergeCell ref="D224:E224"/>
    <mergeCell ref="D218:F218"/>
    <mergeCell ref="A219:I219"/>
    <mergeCell ref="A220:C220"/>
    <mergeCell ref="D220:E220"/>
    <mergeCell ref="B221:C221"/>
    <mergeCell ref="D221:E221"/>
    <mergeCell ref="D228:F228"/>
    <mergeCell ref="A229:I229"/>
    <mergeCell ref="A230:C230"/>
    <mergeCell ref="D230:E230"/>
    <mergeCell ref="B231:C231"/>
    <mergeCell ref="D231:E231"/>
    <mergeCell ref="B225:C225"/>
    <mergeCell ref="D225:E225"/>
    <mergeCell ref="G226:H226"/>
    <mergeCell ref="A227:C227"/>
    <mergeCell ref="G227:H227"/>
    <mergeCell ref="B235:C235"/>
    <mergeCell ref="D235:E235"/>
    <mergeCell ref="B236:C236"/>
    <mergeCell ref="D236:E236"/>
    <mergeCell ref="B237:C237"/>
    <mergeCell ref="D237:E237"/>
    <mergeCell ref="B232:C232"/>
    <mergeCell ref="D232:E232"/>
    <mergeCell ref="G233:H233"/>
    <mergeCell ref="A234:C234"/>
    <mergeCell ref="D234:E234"/>
    <mergeCell ref="B241:C241"/>
    <mergeCell ref="D241:E241"/>
    <mergeCell ref="G242:H242"/>
    <mergeCell ref="A243:C243"/>
    <mergeCell ref="G243:H243"/>
    <mergeCell ref="B238:C238"/>
    <mergeCell ref="D238:E238"/>
    <mergeCell ref="G239:H239"/>
    <mergeCell ref="A240:C240"/>
    <mergeCell ref="D240:E240"/>
    <mergeCell ref="B248:C248"/>
    <mergeCell ref="D248:E248"/>
    <mergeCell ref="B249:C249"/>
    <mergeCell ref="D249:E249"/>
    <mergeCell ref="G250:H250"/>
    <mergeCell ref="D244:F244"/>
    <mergeCell ref="A245:I245"/>
    <mergeCell ref="A246:C246"/>
    <mergeCell ref="D246:E246"/>
    <mergeCell ref="B247:C247"/>
    <mergeCell ref="D247:E247"/>
    <mergeCell ref="G254:H254"/>
    <mergeCell ref="A255:C255"/>
    <mergeCell ref="G255:H255"/>
    <mergeCell ref="D256:F256"/>
    <mergeCell ref="A257:I257"/>
    <mergeCell ref="A251:C251"/>
    <mergeCell ref="D251:E251"/>
    <mergeCell ref="B252:C252"/>
    <mergeCell ref="D252:E252"/>
    <mergeCell ref="B253:C253"/>
    <mergeCell ref="D253:E253"/>
    <mergeCell ref="G267:H267"/>
    <mergeCell ref="G261:H261"/>
    <mergeCell ref="D262:F262"/>
    <mergeCell ref="A263:I263"/>
    <mergeCell ref="A264:C264"/>
    <mergeCell ref="D264:E264"/>
    <mergeCell ref="A258:C258"/>
    <mergeCell ref="D258:E258"/>
    <mergeCell ref="B259:C259"/>
    <mergeCell ref="D259:E259"/>
    <mergeCell ref="G260:H260"/>
    <mergeCell ref="A268:C268"/>
    <mergeCell ref="D268:E268"/>
    <mergeCell ref="B269:C269"/>
    <mergeCell ref="D269:E269"/>
    <mergeCell ref="B270:C270"/>
    <mergeCell ref="D270:E270"/>
    <mergeCell ref="B265:C265"/>
    <mergeCell ref="D265:E265"/>
    <mergeCell ref="B266:C266"/>
    <mergeCell ref="D266:E266"/>
    <mergeCell ref="A276:C276"/>
    <mergeCell ref="D276:E276"/>
    <mergeCell ref="B277:C277"/>
    <mergeCell ref="D277:E277"/>
    <mergeCell ref="B278:C278"/>
    <mergeCell ref="D278:E278"/>
    <mergeCell ref="G271:H271"/>
    <mergeCell ref="A272:C273"/>
    <mergeCell ref="G272:H272"/>
    <mergeCell ref="D274:F274"/>
    <mergeCell ref="A275:I275"/>
    <mergeCell ref="A282:C282"/>
    <mergeCell ref="D282:E282"/>
    <mergeCell ref="B283:C283"/>
    <mergeCell ref="D283:E283"/>
    <mergeCell ref="G284:H284"/>
    <mergeCell ref="B279:C279"/>
    <mergeCell ref="D279:E279"/>
    <mergeCell ref="B280:C280"/>
    <mergeCell ref="D280:E280"/>
    <mergeCell ref="G281:H281"/>
    <mergeCell ref="B289:C289"/>
    <mergeCell ref="D289:E289"/>
    <mergeCell ref="G290:H290"/>
    <mergeCell ref="A291:C291"/>
    <mergeCell ref="G291:H291"/>
    <mergeCell ref="A285:C285"/>
    <mergeCell ref="G285:H285"/>
    <mergeCell ref="D286:F286"/>
    <mergeCell ref="A287:I287"/>
    <mergeCell ref="A288:C288"/>
    <mergeCell ref="D288:E288"/>
    <mergeCell ref="G296:H296"/>
    <mergeCell ref="A297:C297"/>
    <mergeCell ref="D297:E297"/>
    <mergeCell ref="B298:C298"/>
    <mergeCell ref="D298:E298"/>
    <mergeCell ref="D292:F292"/>
    <mergeCell ref="A293:I293"/>
    <mergeCell ref="A294:C294"/>
    <mergeCell ref="D294:E294"/>
    <mergeCell ref="B295:C295"/>
    <mergeCell ref="D295:E295"/>
    <mergeCell ref="A303:C303"/>
    <mergeCell ref="D303:E303"/>
    <mergeCell ref="B304:C304"/>
    <mergeCell ref="D304:E304"/>
    <mergeCell ref="G305:H305"/>
    <mergeCell ref="G299:H299"/>
    <mergeCell ref="A300:C300"/>
    <mergeCell ref="G300:H300"/>
    <mergeCell ref="D301:F301"/>
    <mergeCell ref="A302:I302"/>
    <mergeCell ref="B310:C310"/>
    <mergeCell ref="D310:E310"/>
    <mergeCell ref="G311:H311"/>
    <mergeCell ref="A312:C312"/>
    <mergeCell ref="D312:E312"/>
    <mergeCell ref="A306:C306"/>
    <mergeCell ref="G306:H306"/>
    <mergeCell ref="D307:F307"/>
    <mergeCell ref="A308:I308"/>
    <mergeCell ref="A309:C309"/>
    <mergeCell ref="D309:E309"/>
    <mergeCell ref="A316:C316"/>
    <mergeCell ref="D316:E316"/>
    <mergeCell ref="B317:C317"/>
    <mergeCell ref="D317:E317"/>
    <mergeCell ref="G318:H318"/>
    <mergeCell ref="B313:C313"/>
    <mergeCell ref="D313:E313"/>
    <mergeCell ref="B314:C314"/>
    <mergeCell ref="D314:E314"/>
    <mergeCell ref="G315:H315"/>
    <mergeCell ref="B323:C323"/>
    <mergeCell ref="D323:E323"/>
    <mergeCell ref="G324:H324"/>
    <mergeCell ref="A325:C325"/>
    <mergeCell ref="D325:E325"/>
    <mergeCell ref="A319:C319"/>
    <mergeCell ref="G319:H319"/>
    <mergeCell ref="D320:F320"/>
    <mergeCell ref="A321:I321"/>
    <mergeCell ref="A322:C322"/>
    <mergeCell ref="D322:E322"/>
    <mergeCell ref="D329:F329"/>
    <mergeCell ref="A330:I330"/>
    <mergeCell ref="A331:C331"/>
    <mergeCell ref="D331:E331"/>
    <mergeCell ref="B332:C332"/>
    <mergeCell ref="D332:E332"/>
    <mergeCell ref="B326:C326"/>
    <mergeCell ref="D326:E326"/>
    <mergeCell ref="G327:H327"/>
    <mergeCell ref="A328:C328"/>
    <mergeCell ref="G328:H328"/>
    <mergeCell ref="G336:H336"/>
    <mergeCell ref="A337:C337"/>
    <mergeCell ref="G337:H337"/>
    <mergeCell ref="D338:F338"/>
    <mergeCell ref="A339:I339"/>
    <mergeCell ref="G333:H333"/>
    <mergeCell ref="A334:C334"/>
    <mergeCell ref="D334:E334"/>
    <mergeCell ref="B335:C335"/>
    <mergeCell ref="D335:E335"/>
    <mergeCell ref="A343:C343"/>
    <mergeCell ref="D343:E343"/>
    <mergeCell ref="B344:C344"/>
    <mergeCell ref="D344:E344"/>
    <mergeCell ref="G345:H345"/>
    <mergeCell ref="A340:C340"/>
    <mergeCell ref="D340:E340"/>
    <mergeCell ref="B341:C341"/>
    <mergeCell ref="D341:E341"/>
    <mergeCell ref="G342:H342"/>
    <mergeCell ref="B350:C350"/>
    <mergeCell ref="D350:E350"/>
    <mergeCell ref="B351:C351"/>
    <mergeCell ref="D351:E351"/>
    <mergeCell ref="G352:H352"/>
    <mergeCell ref="A346:C346"/>
    <mergeCell ref="G346:H346"/>
    <mergeCell ref="D347:F347"/>
    <mergeCell ref="A348:I348"/>
    <mergeCell ref="A349:C349"/>
    <mergeCell ref="D349:E349"/>
    <mergeCell ref="A356:C356"/>
    <mergeCell ref="G356:H356"/>
    <mergeCell ref="D357:F357"/>
    <mergeCell ref="A358:I358"/>
    <mergeCell ref="A359:C359"/>
    <mergeCell ref="D359:E359"/>
    <mergeCell ref="A353:C353"/>
    <mergeCell ref="D353:E353"/>
    <mergeCell ref="B354:C354"/>
    <mergeCell ref="D354:E354"/>
    <mergeCell ref="G355:H355"/>
    <mergeCell ref="B363:C363"/>
    <mergeCell ref="D363:E363"/>
    <mergeCell ref="B364:C364"/>
    <mergeCell ref="D364:E364"/>
    <mergeCell ref="G365:H365"/>
    <mergeCell ref="B360:C360"/>
    <mergeCell ref="D360:E360"/>
    <mergeCell ref="G361:H361"/>
    <mergeCell ref="A362:C362"/>
    <mergeCell ref="D362:E362"/>
    <mergeCell ref="B371:C371"/>
    <mergeCell ref="D371:E371"/>
    <mergeCell ref="G372:H372"/>
    <mergeCell ref="A373:C373"/>
    <mergeCell ref="G373:H373"/>
    <mergeCell ref="A366:C367"/>
    <mergeCell ref="G366:H366"/>
    <mergeCell ref="D368:F368"/>
    <mergeCell ref="A369:I369"/>
    <mergeCell ref="A370:C370"/>
    <mergeCell ref="D370:E370"/>
    <mergeCell ref="G378:H378"/>
    <mergeCell ref="A379:C379"/>
    <mergeCell ref="D379:E379"/>
    <mergeCell ref="B380:C380"/>
    <mergeCell ref="D380:E380"/>
    <mergeCell ref="D374:F374"/>
    <mergeCell ref="A375:I375"/>
    <mergeCell ref="A376:C376"/>
    <mergeCell ref="D376:E376"/>
    <mergeCell ref="B377:C377"/>
    <mergeCell ref="D377:E377"/>
    <mergeCell ref="B384:C384"/>
    <mergeCell ref="D384:E384"/>
    <mergeCell ref="G385:H385"/>
    <mergeCell ref="A386:C386"/>
    <mergeCell ref="D386:E386"/>
    <mergeCell ref="G381:H381"/>
    <mergeCell ref="A382:C382"/>
    <mergeCell ref="D382:E382"/>
    <mergeCell ref="B383:C383"/>
    <mergeCell ref="D383:E383"/>
    <mergeCell ref="D390:F390"/>
    <mergeCell ref="A391:I391"/>
    <mergeCell ref="A392:C392"/>
    <mergeCell ref="D392:E392"/>
    <mergeCell ref="B393:C393"/>
    <mergeCell ref="D393:E393"/>
    <mergeCell ref="B387:C387"/>
    <mergeCell ref="D387:E387"/>
    <mergeCell ref="G388:H388"/>
    <mergeCell ref="A389:C389"/>
    <mergeCell ref="G389:H389"/>
    <mergeCell ref="D397:F397"/>
    <mergeCell ref="A398:I398"/>
    <mergeCell ref="A399:C399"/>
    <mergeCell ref="D399:E399"/>
    <mergeCell ref="B400:C400"/>
    <mergeCell ref="D400:E400"/>
    <mergeCell ref="B394:C394"/>
    <mergeCell ref="D394:E394"/>
    <mergeCell ref="G395:H395"/>
    <mergeCell ref="A396:C396"/>
    <mergeCell ref="G396:H396"/>
    <mergeCell ref="G404:H404"/>
    <mergeCell ref="A405:C406"/>
    <mergeCell ref="G405:H405"/>
    <mergeCell ref="D407:F407"/>
    <mergeCell ref="A408:I408"/>
    <mergeCell ref="G401:H401"/>
    <mergeCell ref="A402:C402"/>
    <mergeCell ref="D402:E402"/>
    <mergeCell ref="B403:C403"/>
    <mergeCell ref="D403:E403"/>
    <mergeCell ref="A415:C415"/>
    <mergeCell ref="G415:H415"/>
    <mergeCell ref="A412:C412"/>
    <mergeCell ref="D412:E412"/>
    <mergeCell ref="B413:C413"/>
    <mergeCell ref="D413:E413"/>
    <mergeCell ref="G414:H414"/>
    <mergeCell ref="A409:C409"/>
    <mergeCell ref="D409:E409"/>
    <mergeCell ref="B410:C410"/>
    <mergeCell ref="D410:E410"/>
    <mergeCell ref="G411:H411"/>
  </mergeCells>
  <printOptions horizontalCentered="1"/>
  <pageMargins left="0" right="0" top="0.39370078740157483" bottom="0.78740157480314965" header="0" footer="0"/>
  <pageSetup paperSize="9" scale="85" orientation="portrait" r:id="rId1"/>
  <headerFooter>
    <oddFooter>&amp;C&amp;P/&amp;N&amp;R&amp;G</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5DC62-229F-4EAB-9A53-5FB279270695}">
  <sheetPr>
    <outlinePr summaryBelow="0"/>
  </sheetPr>
  <dimension ref="A1:K87"/>
  <sheetViews>
    <sheetView view="pageBreakPreview" topLeftCell="A82" zoomScaleNormal="100" zoomScaleSheetLayoutView="100" workbookViewId="0">
      <selection activeCell="D601" sqref="D601"/>
    </sheetView>
  </sheetViews>
  <sheetFormatPr defaultRowHeight="15"/>
  <cols>
    <col min="1" max="1" width="7.42578125" style="3" customWidth="1"/>
    <col min="2" max="2" width="55" style="3" customWidth="1"/>
    <col min="3" max="3" width="7.42578125" style="3" customWidth="1"/>
    <col min="4" max="4" width="8.28515625" style="3" customWidth="1"/>
    <col min="5" max="5" width="7.42578125" style="3" customWidth="1"/>
    <col min="6" max="8" width="10" style="3" customWidth="1"/>
    <col min="9" max="9" width="7" style="3" customWidth="1"/>
    <col min="10" max="10" width="10.140625" style="3" bestFit="1" customWidth="1"/>
    <col min="11" max="11" width="3.85546875" style="3" customWidth="1"/>
    <col min="12" max="16384" width="9.140625" style="3"/>
  </cols>
  <sheetData>
    <row r="1" spans="1:11" ht="99" customHeight="1">
      <c r="A1" s="569"/>
      <c r="B1" s="569"/>
      <c r="C1" s="569"/>
      <c r="D1" s="569"/>
      <c r="E1" s="569"/>
      <c r="F1" s="569"/>
      <c r="G1" s="569"/>
      <c r="H1" s="569"/>
      <c r="I1" s="569"/>
      <c r="J1" s="569"/>
      <c r="K1" s="569"/>
    </row>
    <row r="2" spans="1:11" ht="9.9499999999999993" customHeight="1">
      <c r="A2" s="2"/>
      <c r="B2" s="570" t="s">
        <v>1122</v>
      </c>
      <c r="C2" s="570"/>
      <c r="D2" s="2"/>
      <c r="E2" s="2"/>
      <c r="F2" s="2"/>
      <c r="G2" s="2"/>
      <c r="H2" s="2"/>
      <c r="I2" s="2"/>
      <c r="J2" s="2"/>
      <c r="K2" s="2"/>
    </row>
    <row r="3" spans="1:11" ht="21.95" customHeight="1">
      <c r="A3" s="444" t="s">
        <v>1</v>
      </c>
      <c r="B3" s="445" t="s">
        <v>3</v>
      </c>
      <c r="C3" s="444" t="s">
        <v>835</v>
      </c>
      <c r="D3" s="444" t="s">
        <v>1123</v>
      </c>
      <c r="E3" s="444" t="s">
        <v>1124</v>
      </c>
      <c r="F3" s="444" t="s">
        <v>1125</v>
      </c>
      <c r="G3" s="444" t="s">
        <v>8</v>
      </c>
      <c r="H3" s="444" t="s">
        <v>1126</v>
      </c>
      <c r="I3" s="444" t="s">
        <v>1127</v>
      </c>
      <c r="J3" s="444" t="s">
        <v>1128</v>
      </c>
      <c r="K3" s="444" t="s">
        <v>1129</v>
      </c>
    </row>
    <row r="4" spans="1:11" ht="48">
      <c r="A4" s="446" t="s">
        <v>83</v>
      </c>
      <c r="B4" s="447" t="s">
        <v>84</v>
      </c>
      <c r="C4" s="446" t="s">
        <v>1132</v>
      </c>
      <c r="D4" s="446" t="s">
        <v>855</v>
      </c>
      <c r="E4" s="446" t="s">
        <v>20</v>
      </c>
      <c r="F4" s="448">
        <v>21794.04</v>
      </c>
      <c r="G4" s="448">
        <v>24</v>
      </c>
      <c r="H4" s="448">
        <v>523056.96</v>
      </c>
      <c r="I4" s="457">
        <f>H4/$I$87</f>
        <v>0.15692504516060304</v>
      </c>
      <c r="J4" s="457">
        <f>I4</f>
        <v>0.15692504516060304</v>
      </c>
      <c r="K4" s="446" t="s">
        <v>1131</v>
      </c>
    </row>
    <row r="5" spans="1:11" ht="60">
      <c r="A5" s="446" t="s">
        <v>104</v>
      </c>
      <c r="B5" s="447" t="s">
        <v>105</v>
      </c>
      <c r="C5" s="446" t="s">
        <v>29</v>
      </c>
      <c r="D5" s="446" t="s">
        <v>855</v>
      </c>
      <c r="E5" s="446" t="s">
        <v>40</v>
      </c>
      <c r="F5" s="448">
        <v>7072.95</v>
      </c>
      <c r="G5" s="448">
        <v>66.39</v>
      </c>
      <c r="H5" s="448">
        <v>469573.15049999999</v>
      </c>
      <c r="I5" s="457">
        <f t="shared" ref="I5:I68" si="0">H5/$I$87</f>
        <v>0.14087908867213839</v>
      </c>
      <c r="J5" s="457">
        <f>I5+J4</f>
        <v>0.2978041338327414</v>
      </c>
      <c r="K5" s="446" t="s">
        <v>1131</v>
      </c>
    </row>
    <row r="6" spans="1:11" ht="36">
      <c r="A6" s="446" t="s">
        <v>52</v>
      </c>
      <c r="B6" s="447" t="s">
        <v>53</v>
      </c>
      <c r="C6" s="446" t="s">
        <v>29</v>
      </c>
      <c r="D6" s="446" t="s">
        <v>855</v>
      </c>
      <c r="E6" s="446" t="s">
        <v>54</v>
      </c>
      <c r="F6" s="448">
        <v>79968.179999999993</v>
      </c>
      <c r="G6" s="448">
        <v>2.67</v>
      </c>
      <c r="H6" s="448">
        <v>213515.04060000001</v>
      </c>
      <c r="I6" s="457">
        <f t="shared" si="0"/>
        <v>6.4057760341479808E-2</v>
      </c>
      <c r="J6" s="457">
        <f t="shared" ref="J6:J69" si="1">I6+J5</f>
        <v>0.36186189417422121</v>
      </c>
      <c r="K6" s="446" t="s">
        <v>1131</v>
      </c>
    </row>
    <row r="7" spans="1:11" ht="36">
      <c r="A7" s="446" t="s">
        <v>326</v>
      </c>
      <c r="B7" s="447" t="s">
        <v>327</v>
      </c>
      <c r="C7" s="446" t="s">
        <v>29</v>
      </c>
      <c r="D7" s="446" t="s">
        <v>855</v>
      </c>
      <c r="E7" s="446" t="s">
        <v>328</v>
      </c>
      <c r="F7" s="448">
        <v>10662.24</v>
      </c>
      <c r="G7" s="448">
        <v>17.8</v>
      </c>
      <c r="H7" s="448">
        <v>189787.872</v>
      </c>
      <c r="I7" s="457">
        <f t="shared" si="0"/>
        <v>5.6939248804823761E-2</v>
      </c>
      <c r="J7" s="457">
        <f t="shared" si="1"/>
        <v>0.41880114297904497</v>
      </c>
      <c r="K7" s="446" t="s">
        <v>1131</v>
      </c>
    </row>
    <row r="8" spans="1:11" ht="36">
      <c r="A8" s="446" t="s">
        <v>68</v>
      </c>
      <c r="B8" s="447" t="s">
        <v>69</v>
      </c>
      <c r="C8" s="446" t="s">
        <v>1132</v>
      </c>
      <c r="D8" s="446" t="s">
        <v>855</v>
      </c>
      <c r="E8" s="446" t="s">
        <v>44</v>
      </c>
      <c r="F8" s="448">
        <v>1148.83</v>
      </c>
      <c r="G8" s="448">
        <v>122.66</v>
      </c>
      <c r="H8" s="448">
        <v>140915.4878</v>
      </c>
      <c r="I8" s="457">
        <f t="shared" si="0"/>
        <v>4.2276790059047116E-2</v>
      </c>
      <c r="J8" s="457">
        <f t="shared" si="1"/>
        <v>0.46107793303809208</v>
      </c>
      <c r="K8" s="446" t="s">
        <v>1131</v>
      </c>
    </row>
    <row r="9" spans="1:11" ht="36">
      <c r="A9" s="446" t="s">
        <v>79</v>
      </c>
      <c r="B9" s="447" t="s">
        <v>80</v>
      </c>
      <c r="C9" s="446" t="s">
        <v>1132</v>
      </c>
      <c r="D9" s="446" t="s">
        <v>855</v>
      </c>
      <c r="E9" s="446" t="s">
        <v>81</v>
      </c>
      <c r="F9" s="448">
        <v>74687.64</v>
      </c>
      <c r="G9" s="448">
        <v>1.61</v>
      </c>
      <c r="H9" s="448">
        <v>120247.1004</v>
      </c>
      <c r="I9" s="457">
        <f t="shared" si="0"/>
        <v>3.6075959415015846E-2</v>
      </c>
      <c r="J9" s="457">
        <f t="shared" si="1"/>
        <v>0.49715389245310793</v>
      </c>
      <c r="K9" s="446" t="s">
        <v>1131</v>
      </c>
    </row>
    <row r="10" spans="1:11" ht="36">
      <c r="A10" s="446" t="s">
        <v>128</v>
      </c>
      <c r="B10" s="447" t="s">
        <v>129</v>
      </c>
      <c r="C10" s="446" t="s">
        <v>29</v>
      </c>
      <c r="D10" s="446" t="s">
        <v>855</v>
      </c>
      <c r="E10" s="446" t="s">
        <v>60</v>
      </c>
      <c r="F10" s="448">
        <v>205.54</v>
      </c>
      <c r="G10" s="448">
        <v>555.79999999999995</v>
      </c>
      <c r="H10" s="448">
        <v>114239.132</v>
      </c>
      <c r="I10" s="457">
        <f t="shared" si="0"/>
        <v>3.4273477496997821E-2</v>
      </c>
      <c r="J10" s="457">
        <f t="shared" si="1"/>
        <v>0.53142736995010575</v>
      </c>
      <c r="K10" s="446" t="s">
        <v>1131</v>
      </c>
    </row>
    <row r="11" spans="1:11" ht="48">
      <c r="A11" s="446" t="s">
        <v>804</v>
      </c>
      <c r="B11" s="447" t="s">
        <v>805</v>
      </c>
      <c r="C11" s="446" t="s">
        <v>1132</v>
      </c>
      <c r="D11" s="446" t="s">
        <v>855</v>
      </c>
      <c r="E11" s="446" t="s">
        <v>20</v>
      </c>
      <c r="F11" s="448">
        <v>5609.46</v>
      </c>
      <c r="G11" s="448">
        <v>16.91</v>
      </c>
      <c r="H11" s="448">
        <v>94855.968599999993</v>
      </c>
      <c r="I11" s="457">
        <f t="shared" si="0"/>
        <v>2.8458233604821435E-2</v>
      </c>
      <c r="J11" s="457">
        <f t="shared" si="1"/>
        <v>0.55988560355492722</v>
      </c>
      <c r="K11" s="446" t="s">
        <v>1131</v>
      </c>
    </row>
    <row r="12" spans="1:11" ht="48">
      <c r="A12" s="446" t="s">
        <v>750</v>
      </c>
      <c r="B12" s="447" t="s">
        <v>751</v>
      </c>
      <c r="C12" s="446" t="s">
        <v>1132</v>
      </c>
      <c r="D12" s="446" t="s">
        <v>855</v>
      </c>
      <c r="E12" s="446" t="s">
        <v>60</v>
      </c>
      <c r="F12" s="448">
        <v>151.18</v>
      </c>
      <c r="G12" s="448">
        <v>596.61</v>
      </c>
      <c r="H12" s="448">
        <v>90195.499800000005</v>
      </c>
      <c r="I12" s="457">
        <f t="shared" si="0"/>
        <v>2.7060022066044513E-2</v>
      </c>
      <c r="J12" s="457">
        <f t="shared" si="1"/>
        <v>0.58694562562097174</v>
      </c>
      <c r="K12" s="446" t="s">
        <v>1131</v>
      </c>
    </row>
    <row r="13" spans="1:11" ht="36">
      <c r="A13" s="446" t="s">
        <v>110</v>
      </c>
      <c r="B13" s="447" t="s">
        <v>111</v>
      </c>
      <c r="C13" s="446" t="s">
        <v>29</v>
      </c>
      <c r="D13" s="446" t="s">
        <v>855</v>
      </c>
      <c r="E13" s="446" t="s">
        <v>40</v>
      </c>
      <c r="F13" s="448">
        <v>1882.97</v>
      </c>
      <c r="G13" s="448">
        <v>46.76</v>
      </c>
      <c r="H13" s="448">
        <v>88047.677200000006</v>
      </c>
      <c r="I13" s="457">
        <f t="shared" si="0"/>
        <v>2.6415642611650171E-2</v>
      </c>
      <c r="J13" s="457">
        <f t="shared" si="1"/>
        <v>0.61336126823262194</v>
      </c>
      <c r="K13" s="446" t="s">
        <v>1131</v>
      </c>
    </row>
    <row r="14" spans="1:11" ht="24">
      <c r="A14" s="446" t="s">
        <v>65</v>
      </c>
      <c r="B14" s="447" t="s">
        <v>66</v>
      </c>
      <c r="C14" s="446" t="s">
        <v>29</v>
      </c>
      <c r="D14" s="446" t="s">
        <v>855</v>
      </c>
      <c r="E14" s="446" t="s">
        <v>20</v>
      </c>
      <c r="F14" s="448">
        <v>25119.65</v>
      </c>
      <c r="G14" s="448">
        <v>3.28</v>
      </c>
      <c r="H14" s="448">
        <v>82392.452000000005</v>
      </c>
      <c r="I14" s="457">
        <f t="shared" si="0"/>
        <v>2.4718989019843686E-2</v>
      </c>
      <c r="J14" s="457">
        <f t="shared" si="1"/>
        <v>0.63808025725246564</v>
      </c>
      <c r="K14" s="446" t="s">
        <v>1131</v>
      </c>
    </row>
    <row r="15" spans="1:11" ht="48">
      <c r="A15" s="446" t="s">
        <v>49</v>
      </c>
      <c r="B15" s="447" t="s">
        <v>50</v>
      </c>
      <c r="C15" s="446" t="s">
        <v>1132</v>
      </c>
      <c r="D15" s="446" t="s">
        <v>855</v>
      </c>
      <c r="E15" s="446" t="s">
        <v>44</v>
      </c>
      <c r="F15" s="448">
        <v>23373.34</v>
      </c>
      <c r="G15" s="448">
        <v>3.41</v>
      </c>
      <c r="H15" s="448">
        <v>79703.089399999997</v>
      </c>
      <c r="I15" s="457">
        <f t="shared" si="0"/>
        <v>2.391213932710996E-2</v>
      </c>
      <c r="J15" s="457">
        <f t="shared" si="1"/>
        <v>0.66199239657957565</v>
      </c>
      <c r="K15" s="446" t="s">
        <v>1131</v>
      </c>
    </row>
    <row r="16" spans="1:11" ht="36">
      <c r="A16" s="446" t="s">
        <v>333</v>
      </c>
      <c r="B16" s="447" t="s">
        <v>334</v>
      </c>
      <c r="C16" s="446" t="s">
        <v>29</v>
      </c>
      <c r="D16" s="446" t="s">
        <v>855</v>
      </c>
      <c r="E16" s="446" t="s">
        <v>20</v>
      </c>
      <c r="F16" s="448">
        <v>615.05999999999995</v>
      </c>
      <c r="G16" s="448">
        <v>124.18</v>
      </c>
      <c r="H16" s="448">
        <v>76378.150800000003</v>
      </c>
      <c r="I16" s="457">
        <f t="shared" si="0"/>
        <v>2.2914607165486049E-2</v>
      </c>
      <c r="J16" s="457">
        <f t="shared" si="1"/>
        <v>0.68490700374506175</v>
      </c>
      <c r="K16" s="446" t="s">
        <v>1131</v>
      </c>
    </row>
    <row r="17" spans="1:11" ht="48">
      <c r="A17" s="446" t="s">
        <v>75</v>
      </c>
      <c r="B17" s="447" t="s">
        <v>76</v>
      </c>
      <c r="C17" s="446" t="s">
        <v>1132</v>
      </c>
      <c r="D17" s="446" t="s">
        <v>855</v>
      </c>
      <c r="E17" s="446" t="s">
        <v>60</v>
      </c>
      <c r="F17" s="448">
        <v>4304.4799999999996</v>
      </c>
      <c r="G17" s="448">
        <v>16.98</v>
      </c>
      <c r="H17" s="448">
        <v>73090.070399999997</v>
      </c>
      <c r="I17" s="457">
        <f t="shared" si="0"/>
        <v>2.1928133024578536E-2</v>
      </c>
      <c r="J17" s="457">
        <f t="shared" si="1"/>
        <v>0.70683513676964027</v>
      </c>
      <c r="K17" s="446" t="s">
        <v>1131</v>
      </c>
    </row>
    <row r="18" spans="1:11" ht="48">
      <c r="A18" s="446" t="s">
        <v>477</v>
      </c>
      <c r="B18" s="447" t="s">
        <v>478</v>
      </c>
      <c r="C18" s="446" t="s">
        <v>29</v>
      </c>
      <c r="D18" s="446" t="s">
        <v>855</v>
      </c>
      <c r="E18" s="446" t="s">
        <v>115</v>
      </c>
      <c r="F18" s="448">
        <v>21</v>
      </c>
      <c r="G18" s="448">
        <v>3028.11</v>
      </c>
      <c r="H18" s="448">
        <v>63590.31</v>
      </c>
      <c r="I18" s="457">
        <f t="shared" si="0"/>
        <v>1.9078060386629299E-2</v>
      </c>
      <c r="J18" s="457">
        <f t="shared" si="1"/>
        <v>0.72591319715626956</v>
      </c>
      <c r="K18" s="446" t="s">
        <v>1131</v>
      </c>
    </row>
    <row r="19" spans="1:11" ht="60">
      <c r="A19" s="446" t="s">
        <v>131</v>
      </c>
      <c r="B19" s="447" t="s">
        <v>132</v>
      </c>
      <c r="C19" s="446" t="s">
        <v>1132</v>
      </c>
      <c r="D19" s="446" t="s">
        <v>855</v>
      </c>
      <c r="E19" s="446" t="s">
        <v>60</v>
      </c>
      <c r="F19" s="448">
        <v>382.98</v>
      </c>
      <c r="G19" s="448">
        <v>152.59</v>
      </c>
      <c r="H19" s="448">
        <v>58438.9182</v>
      </c>
      <c r="I19" s="457">
        <f t="shared" si="0"/>
        <v>1.7532564479539259E-2</v>
      </c>
      <c r="J19" s="457">
        <f t="shared" si="1"/>
        <v>0.74344576163580878</v>
      </c>
      <c r="K19" s="446" t="s">
        <v>1131</v>
      </c>
    </row>
    <row r="20" spans="1:11" ht="36">
      <c r="A20" s="446" t="s">
        <v>125</v>
      </c>
      <c r="B20" s="447" t="s">
        <v>126</v>
      </c>
      <c r="C20" s="446" t="s">
        <v>29</v>
      </c>
      <c r="D20" s="446" t="s">
        <v>855</v>
      </c>
      <c r="E20" s="446" t="s">
        <v>60</v>
      </c>
      <c r="F20" s="448">
        <v>109.91</v>
      </c>
      <c r="G20" s="448">
        <v>512.76</v>
      </c>
      <c r="H20" s="448">
        <v>56357.4516</v>
      </c>
      <c r="I20" s="457">
        <f t="shared" si="0"/>
        <v>1.6908092834605429E-2</v>
      </c>
      <c r="J20" s="457">
        <f t="shared" si="1"/>
        <v>0.76035385447041426</v>
      </c>
      <c r="K20" s="446" t="s">
        <v>1131</v>
      </c>
    </row>
    <row r="21" spans="1:11" ht="36">
      <c r="A21" s="446" t="s">
        <v>42</v>
      </c>
      <c r="B21" s="447" t="s">
        <v>43</v>
      </c>
      <c r="C21" s="446" t="s">
        <v>1132</v>
      </c>
      <c r="D21" s="446" t="s">
        <v>855</v>
      </c>
      <c r="E21" s="446" t="s">
        <v>44</v>
      </c>
      <c r="F21" s="448">
        <v>213.83</v>
      </c>
      <c r="G21" s="448">
        <v>249.53</v>
      </c>
      <c r="H21" s="448">
        <v>53356.999900000003</v>
      </c>
      <c r="I21" s="457">
        <f t="shared" si="0"/>
        <v>1.6007911679335636E-2</v>
      </c>
      <c r="J21" s="457">
        <f t="shared" si="1"/>
        <v>0.77636176614974994</v>
      </c>
      <c r="K21" s="446" t="s">
        <v>1131</v>
      </c>
    </row>
    <row r="22" spans="1:11" ht="36">
      <c r="A22" s="446" t="s">
        <v>86</v>
      </c>
      <c r="B22" s="447" t="s">
        <v>87</v>
      </c>
      <c r="C22" s="446" t="s">
        <v>1132</v>
      </c>
      <c r="D22" s="446" t="s">
        <v>855</v>
      </c>
      <c r="E22" s="446" t="s">
        <v>20</v>
      </c>
      <c r="F22" s="448">
        <v>5774.99</v>
      </c>
      <c r="G22" s="448">
        <v>8.9600000000000009</v>
      </c>
      <c r="H22" s="448">
        <v>51743.910400000001</v>
      </c>
      <c r="I22" s="457">
        <f t="shared" si="0"/>
        <v>1.552396028972867E-2</v>
      </c>
      <c r="J22" s="457">
        <f t="shared" si="1"/>
        <v>0.79188572643947863</v>
      </c>
      <c r="K22" s="446" t="s">
        <v>1131</v>
      </c>
    </row>
    <row r="23" spans="1:11" ht="60">
      <c r="A23" s="446" t="s">
        <v>780</v>
      </c>
      <c r="B23" s="447" t="s">
        <v>781</v>
      </c>
      <c r="C23" s="446" t="s">
        <v>29</v>
      </c>
      <c r="D23" s="446" t="s">
        <v>855</v>
      </c>
      <c r="E23" s="446" t="s">
        <v>40</v>
      </c>
      <c r="F23" s="448">
        <v>85.9</v>
      </c>
      <c r="G23" s="448">
        <v>595.67999999999995</v>
      </c>
      <c r="H23" s="448">
        <v>51168.911999999997</v>
      </c>
      <c r="I23" s="457">
        <f t="shared" si="0"/>
        <v>1.5351452022393358E-2</v>
      </c>
      <c r="J23" s="457">
        <f t="shared" si="1"/>
        <v>0.80723717846187204</v>
      </c>
      <c r="K23" s="446" t="s">
        <v>1131</v>
      </c>
    </row>
    <row r="24" spans="1:11" ht="60">
      <c r="A24" s="446" t="s">
        <v>17</v>
      </c>
      <c r="B24" s="447" t="s">
        <v>19</v>
      </c>
      <c r="C24" s="446" t="s">
        <v>1132</v>
      </c>
      <c r="D24" s="446" t="s">
        <v>855</v>
      </c>
      <c r="E24" s="446" t="s">
        <v>20</v>
      </c>
      <c r="F24" s="448">
        <v>74.88</v>
      </c>
      <c r="G24" s="448">
        <v>664.26</v>
      </c>
      <c r="H24" s="448">
        <v>49739.788800000002</v>
      </c>
      <c r="I24" s="457">
        <f t="shared" si="0"/>
        <v>1.4922693321428811E-2</v>
      </c>
      <c r="J24" s="457">
        <f t="shared" si="1"/>
        <v>0.82215987178330086</v>
      </c>
      <c r="K24" s="446" t="s">
        <v>1131</v>
      </c>
    </row>
    <row r="25" spans="1:11" ht="48">
      <c r="A25" s="446" t="s">
        <v>101</v>
      </c>
      <c r="B25" s="447" t="s">
        <v>102</v>
      </c>
      <c r="C25" s="446" t="s">
        <v>1132</v>
      </c>
      <c r="D25" s="446" t="s">
        <v>855</v>
      </c>
      <c r="E25" s="446" t="s">
        <v>60</v>
      </c>
      <c r="F25" s="448">
        <v>347.53</v>
      </c>
      <c r="G25" s="448">
        <v>132.56</v>
      </c>
      <c r="H25" s="448">
        <v>46068.576800000003</v>
      </c>
      <c r="I25" s="457">
        <f t="shared" si="0"/>
        <v>1.3821273872017131E-2</v>
      </c>
      <c r="J25" s="457">
        <f t="shared" si="1"/>
        <v>0.835981145655318</v>
      </c>
      <c r="K25" s="446" t="s">
        <v>1131</v>
      </c>
    </row>
    <row r="26" spans="1:11" ht="48">
      <c r="A26" s="446" t="s">
        <v>134</v>
      </c>
      <c r="B26" s="447" t="s">
        <v>135</v>
      </c>
      <c r="C26" s="446" t="s">
        <v>1132</v>
      </c>
      <c r="D26" s="446" t="s">
        <v>855</v>
      </c>
      <c r="E26" s="446" t="s">
        <v>136</v>
      </c>
      <c r="F26" s="448">
        <v>597.85</v>
      </c>
      <c r="G26" s="448">
        <v>76.709999999999994</v>
      </c>
      <c r="H26" s="448">
        <v>45861.073499999999</v>
      </c>
      <c r="I26" s="457">
        <f t="shared" si="0"/>
        <v>1.3759019725311053E-2</v>
      </c>
      <c r="J26" s="457">
        <f t="shared" si="1"/>
        <v>0.84974016538062902</v>
      </c>
      <c r="K26" s="446" t="s">
        <v>1131</v>
      </c>
    </row>
    <row r="27" spans="1:11" ht="48">
      <c r="A27" s="446" t="s">
        <v>89</v>
      </c>
      <c r="B27" s="447" t="s">
        <v>90</v>
      </c>
      <c r="C27" s="446" t="s">
        <v>1132</v>
      </c>
      <c r="D27" s="446" t="s">
        <v>855</v>
      </c>
      <c r="E27" s="446" t="s">
        <v>60</v>
      </c>
      <c r="F27" s="448">
        <v>288.75</v>
      </c>
      <c r="G27" s="448">
        <v>156.80000000000001</v>
      </c>
      <c r="H27" s="448">
        <v>45276</v>
      </c>
      <c r="I27" s="457">
        <f t="shared" si="0"/>
        <v>1.3583488774705268E-2</v>
      </c>
      <c r="J27" s="457">
        <f t="shared" si="1"/>
        <v>0.8633236541553343</v>
      </c>
      <c r="K27" s="446" t="s">
        <v>1131</v>
      </c>
    </row>
    <row r="28" spans="1:11" ht="36">
      <c r="A28" s="446" t="s">
        <v>342</v>
      </c>
      <c r="B28" s="447" t="s">
        <v>343</v>
      </c>
      <c r="C28" s="446" t="s">
        <v>29</v>
      </c>
      <c r="D28" s="446" t="s">
        <v>855</v>
      </c>
      <c r="E28" s="446" t="s">
        <v>60</v>
      </c>
      <c r="F28" s="448">
        <v>67.53</v>
      </c>
      <c r="G28" s="448">
        <v>551.9</v>
      </c>
      <c r="H28" s="448">
        <v>37269.807000000001</v>
      </c>
      <c r="I28" s="457">
        <f t="shared" si="0"/>
        <v>1.1181509078097267E-2</v>
      </c>
      <c r="J28" s="457">
        <f t="shared" si="1"/>
        <v>0.87450516323343153</v>
      </c>
      <c r="K28" s="446" t="s">
        <v>1137</v>
      </c>
    </row>
    <row r="29" spans="1:11" ht="60">
      <c r="A29" s="446" t="s">
        <v>58</v>
      </c>
      <c r="B29" s="447" t="s">
        <v>59</v>
      </c>
      <c r="C29" s="446" t="s">
        <v>1132</v>
      </c>
      <c r="D29" s="446" t="s">
        <v>855</v>
      </c>
      <c r="E29" s="446" t="s">
        <v>60</v>
      </c>
      <c r="F29" s="448">
        <v>10793.73</v>
      </c>
      <c r="G29" s="448">
        <v>3.05</v>
      </c>
      <c r="H29" s="448">
        <v>32920.876499999998</v>
      </c>
      <c r="I29" s="457">
        <f t="shared" si="0"/>
        <v>9.8767637686900007E-3</v>
      </c>
      <c r="J29" s="457">
        <f t="shared" si="1"/>
        <v>0.88438192700212148</v>
      </c>
      <c r="K29" s="446" t="s">
        <v>1137</v>
      </c>
    </row>
    <row r="30" spans="1:11" ht="48">
      <c r="A30" s="446" t="s">
        <v>167</v>
      </c>
      <c r="B30" s="447" t="s">
        <v>168</v>
      </c>
      <c r="C30" s="446" t="s">
        <v>1132</v>
      </c>
      <c r="D30" s="446" t="s">
        <v>855</v>
      </c>
      <c r="E30" s="446" t="s">
        <v>136</v>
      </c>
      <c r="F30" s="448">
        <v>249.11</v>
      </c>
      <c r="G30" s="448">
        <v>132.08000000000001</v>
      </c>
      <c r="H30" s="448">
        <v>32902.448799999998</v>
      </c>
      <c r="I30" s="457">
        <f t="shared" si="0"/>
        <v>9.871235178353097E-3</v>
      </c>
      <c r="J30" s="457">
        <f t="shared" si="1"/>
        <v>0.89425316218047457</v>
      </c>
      <c r="K30" s="446" t="s">
        <v>1137</v>
      </c>
    </row>
    <row r="31" spans="1:11" ht="36">
      <c r="A31" s="446" t="s">
        <v>71</v>
      </c>
      <c r="B31" s="447" t="s">
        <v>72</v>
      </c>
      <c r="C31" s="446" t="s">
        <v>1132</v>
      </c>
      <c r="D31" s="446" t="s">
        <v>855</v>
      </c>
      <c r="E31" s="446" t="s">
        <v>73</v>
      </c>
      <c r="F31" s="448">
        <v>2387.92</v>
      </c>
      <c r="G31" s="448">
        <v>13.4</v>
      </c>
      <c r="H31" s="448">
        <v>31998.128000000001</v>
      </c>
      <c r="I31" s="457">
        <f t="shared" si="0"/>
        <v>9.5999251811021806E-3</v>
      </c>
      <c r="J31" s="457">
        <f t="shared" si="1"/>
        <v>0.90385308736157677</v>
      </c>
      <c r="K31" s="446" t="s">
        <v>1137</v>
      </c>
    </row>
    <row r="32" spans="1:11" ht="36">
      <c r="A32" s="446" t="s">
        <v>22</v>
      </c>
      <c r="B32" s="447" t="s">
        <v>23</v>
      </c>
      <c r="C32" s="446" t="s">
        <v>1132</v>
      </c>
      <c r="D32" s="446" t="s">
        <v>855</v>
      </c>
      <c r="E32" s="446" t="s">
        <v>24</v>
      </c>
      <c r="F32" s="448">
        <v>37</v>
      </c>
      <c r="G32" s="448">
        <v>822.99</v>
      </c>
      <c r="H32" s="448">
        <v>30450.63</v>
      </c>
      <c r="I32" s="457">
        <f t="shared" si="0"/>
        <v>9.1356522393255483E-3</v>
      </c>
      <c r="J32" s="457">
        <f t="shared" si="1"/>
        <v>0.91298873960090232</v>
      </c>
      <c r="K32" s="446" t="s">
        <v>1137</v>
      </c>
    </row>
    <row r="33" spans="1:11" ht="48">
      <c r="A33" s="446" t="s">
        <v>747</v>
      </c>
      <c r="B33" s="447" t="s">
        <v>748</v>
      </c>
      <c r="C33" s="446" t="s">
        <v>1132</v>
      </c>
      <c r="D33" s="446" t="s">
        <v>855</v>
      </c>
      <c r="E33" s="446" t="s">
        <v>54</v>
      </c>
      <c r="F33" s="448">
        <v>22.34</v>
      </c>
      <c r="G33" s="448">
        <v>1149.3800000000001</v>
      </c>
      <c r="H33" s="448">
        <v>25677.1492</v>
      </c>
      <c r="I33" s="457">
        <f t="shared" si="0"/>
        <v>7.7035353813197363E-3</v>
      </c>
      <c r="J33" s="457">
        <f t="shared" si="1"/>
        <v>0.92069227498222206</v>
      </c>
      <c r="K33" s="446" t="s">
        <v>1137</v>
      </c>
    </row>
    <row r="34" spans="1:11" ht="60">
      <c r="A34" s="446" t="s">
        <v>339</v>
      </c>
      <c r="B34" s="447" t="s">
        <v>340</v>
      </c>
      <c r="C34" s="446" t="s">
        <v>29</v>
      </c>
      <c r="D34" s="446" t="s">
        <v>855</v>
      </c>
      <c r="E34" s="446" t="s">
        <v>20</v>
      </c>
      <c r="F34" s="448">
        <v>615.05999999999995</v>
      </c>
      <c r="G34" s="448">
        <v>29.19</v>
      </c>
      <c r="H34" s="448">
        <v>17953.6014</v>
      </c>
      <c r="I34" s="457">
        <f t="shared" si="0"/>
        <v>5.386353544536461E-3</v>
      </c>
      <c r="J34" s="457">
        <f t="shared" si="1"/>
        <v>0.92607862852675848</v>
      </c>
      <c r="K34" s="446" t="s">
        <v>1137</v>
      </c>
    </row>
    <row r="35" spans="1:11" ht="24">
      <c r="A35" s="446" t="s">
        <v>737</v>
      </c>
      <c r="B35" s="447" t="s">
        <v>738</v>
      </c>
      <c r="C35" s="446" t="s">
        <v>29</v>
      </c>
      <c r="D35" s="446" t="s">
        <v>855</v>
      </c>
      <c r="E35" s="446" t="s">
        <v>54</v>
      </c>
      <c r="F35" s="448">
        <v>14.52</v>
      </c>
      <c r="G35" s="448">
        <v>1149.3599999999999</v>
      </c>
      <c r="H35" s="448">
        <v>16688.707200000001</v>
      </c>
      <c r="I35" s="457">
        <f t="shared" si="0"/>
        <v>5.0068660419547448E-3</v>
      </c>
      <c r="J35" s="457">
        <f t="shared" si="1"/>
        <v>0.93108549456871326</v>
      </c>
      <c r="K35" s="446" t="s">
        <v>1137</v>
      </c>
    </row>
    <row r="36" spans="1:11" ht="36">
      <c r="A36" s="446" t="s">
        <v>722</v>
      </c>
      <c r="B36" s="447" t="s">
        <v>723</v>
      </c>
      <c r="C36" s="446" t="s">
        <v>29</v>
      </c>
      <c r="D36" s="446" t="s">
        <v>855</v>
      </c>
      <c r="E36" s="446" t="s">
        <v>40</v>
      </c>
      <c r="F36" s="448">
        <v>12</v>
      </c>
      <c r="G36" s="448">
        <v>1385.6</v>
      </c>
      <c r="H36" s="448">
        <v>16627.2</v>
      </c>
      <c r="I36" s="457">
        <f t="shared" si="0"/>
        <v>4.9884129462580496E-3</v>
      </c>
      <c r="J36" s="457">
        <f t="shared" si="1"/>
        <v>0.93607390751497133</v>
      </c>
      <c r="K36" s="446" t="s">
        <v>1137</v>
      </c>
    </row>
    <row r="37" spans="1:11" ht="48">
      <c r="A37" s="446" t="s">
        <v>159</v>
      </c>
      <c r="B37" s="447" t="s">
        <v>160</v>
      </c>
      <c r="C37" s="446" t="s">
        <v>29</v>
      </c>
      <c r="D37" s="446" t="s">
        <v>855</v>
      </c>
      <c r="E37" s="446" t="s">
        <v>40</v>
      </c>
      <c r="F37" s="448">
        <v>2536.9</v>
      </c>
      <c r="G37" s="448">
        <v>6.44</v>
      </c>
      <c r="H37" s="448">
        <v>16337.636</v>
      </c>
      <c r="I37" s="457">
        <f t="shared" si="0"/>
        <v>4.9015393411790068E-3</v>
      </c>
      <c r="J37" s="457">
        <f t="shared" si="1"/>
        <v>0.94097544685615031</v>
      </c>
      <c r="K37" s="446" t="s">
        <v>1137</v>
      </c>
    </row>
    <row r="38" spans="1:11" ht="36">
      <c r="A38" s="446" t="s">
        <v>281</v>
      </c>
      <c r="B38" s="447" t="s">
        <v>282</v>
      </c>
      <c r="C38" s="446" t="s">
        <v>29</v>
      </c>
      <c r="D38" s="446" t="s">
        <v>855</v>
      </c>
      <c r="E38" s="446" t="s">
        <v>60</v>
      </c>
      <c r="F38" s="448">
        <v>222.19</v>
      </c>
      <c r="G38" s="448">
        <v>72.06</v>
      </c>
      <c r="H38" s="448">
        <v>16011.011399999999</v>
      </c>
      <c r="I38" s="457">
        <f t="shared" si="0"/>
        <v>4.80354699230449E-3</v>
      </c>
      <c r="J38" s="457">
        <f t="shared" si="1"/>
        <v>0.94577899384845476</v>
      </c>
      <c r="K38" s="446" t="s">
        <v>1137</v>
      </c>
    </row>
    <row r="39" spans="1:11" ht="24">
      <c r="A39" s="446" t="s">
        <v>145</v>
      </c>
      <c r="B39" s="447" t="s">
        <v>146</v>
      </c>
      <c r="C39" s="446" t="s">
        <v>1136</v>
      </c>
      <c r="D39" s="446" t="s">
        <v>855</v>
      </c>
      <c r="E39" s="446" t="s">
        <v>143</v>
      </c>
      <c r="F39" s="448">
        <v>31.08</v>
      </c>
      <c r="G39" s="448">
        <v>408.26</v>
      </c>
      <c r="H39" s="448">
        <v>12688.720799999999</v>
      </c>
      <c r="I39" s="457">
        <f t="shared" si="0"/>
        <v>3.8068092709640702E-3</v>
      </c>
      <c r="J39" s="457">
        <f t="shared" si="1"/>
        <v>0.94958580311941887</v>
      </c>
      <c r="K39" s="446" t="s">
        <v>1137</v>
      </c>
    </row>
    <row r="40" spans="1:11" ht="60">
      <c r="A40" s="446" t="s">
        <v>107</v>
      </c>
      <c r="B40" s="447" t="s">
        <v>108</v>
      </c>
      <c r="C40" s="446" t="s">
        <v>29</v>
      </c>
      <c r="D40" s="446" t="s">
        <v>855</v>
      </c>
      <c r="E40" s="446" t="s">
        <v>40</v>
      </c>
      <c r="F40" s="448">
        <v>176.8</v>
      </c>
      <c r="G40" s="448">
        <v>63.85</v>
      </c>
      <c r="H40" s="448">
        <v>11288.68</v>
      </c>
      <c r="I40" s="457">
        <f t="shared" si="0"/>
        <v>3.3867757324242396E-3</v>
      </c>
      <c r="J40" s="457">
        <f t="shared" si="1"/>
        <v>0.95297257885184306</v>
      </c>
      <c r="K40" s="446" t="s">
        <v>1137</v>
      </c>
    </row>
    <row r="41" spans="1:11" ht="36">
      <c r="A41" s="446" t="s">
        <v>148</v>
      </c>
      <c r="B41" s="447" t="s">
        <v>149</v>
      </c>
      <c r="C41" s="446" t="s">
        <v>1136</v>
      </c>
      <c r="D41" s="446" t="s">
        <v>855</v>
      </c>
      <c r="E41" s="446" t="s">
        <v>150</v>
      </c>
      <c r="F41" s="448">
        <v>78</v>
      </c>
      <c r="G41" s="448">
        <v>142.82</v>
      </c>
      <c r="H41" s="448">
        <v>11139.96</v>
      </c>
      <c r="I41" s="457">
        <f t="shared" si="0"/>
        <v>3.3421574699767139E-3</v>
      </c>
      <c r="J41" s="457">
        <f t="shared" si="1"/>
        <v>0.95631473632181974</v>
      </c>
      <c r="K41" s="446" t="s">
        <v>1137</v>
      </c>
    </row>
    <row r="42" spans="1:11" ht="24">
      <c r="A42" s="446" t="s">
        <v>122</v>
      </c>
      <c r="B42" s="447" t="s">
        <v>123</v>
      </c>
      <c r="C42" s="446" t="s">
        <v>29</v>
      </c>
      <c r="D42" s="446" t="s">
        <v>855</v>
      </c>
      <c r="E42" s="446" t="s">
        <v>60</v>
      </c>
      <c r="F42" s="448">
        <v>119.36</v>
      </c>
      <c r="G42" s="448">
        <v>92.08</v>
      </c>
      <c r="H42" s="448">
        <v>10990.668799999999</v>
      </c>
      <c r="I42" s="457">
        <f t="shared" si="0"/>
        <v>3.2973678388396373E-3</v>
      </c>
      <c r="J42" s="457">
        <f t="shared" si="1"/>
        <v>0.95961210416065934</v>
      </c>
      <c r="K42" s="446" t="s">
        <v>1137</v>
      </c>
    </row>
    <row r="43" spans="1:11" ht="48">
      <c r="A43" s="446" t="s">
        <v>95</v>
      </c>
      <c r="B43" s="447" t="s">
        <v>96</v>
      </c>
      <c r="C43" s="446" t="s">
        <v>1132</v>
      </c>
      <c r="D43" s="446" t="s">
        <v>855</v>
      </c>
      <c r="E43" s="446" t="s">
        <v>54</v>
      </c>
      <c r="F43" s="448">
        <v>4874.34</v>
      </c>
      <c r="G43" s="448">
        <v>2.08</v>
      </c>
      <c r="H43" s="448">
        <v>10138.627200000001</v>
      </c>
      <c r="I43" s="457">
        <f t="shared" si="0"/>
        <v>3.0417423969017034E-3</v>
      </c>
      <c r="J43" s="457">
        <f t="shared" si="1"/>
        <v>0.96265384655756103</v>
      </c>
      <c r="K43" s="446" t="s">
        <v>1137</v>
      </c>
    </row>
    <row r="44" spans="1:11" ht="36">
      <c r="A44" s="446" t="s">
        <v>822</v>
      </c>
      <c r="B44" s="447" t="s">
        <v>823</v>
      </c>
      <c r="C44" s="446" t="s">
        <v>1132</v>
      </c>
      <c r="D44" s="446" t="s">
        <v>1146</v>
      </c>
      <c r="E44" s="446" t="s">
        <v>154</v>
      </c>
      <c r="F44" s="448">
        <v>26</v>
      </c>
      <c r="G44" s="448">
        <v>343.3</v>
      </c>
      <c r="H44" s="448">
        <v>8925.7999999999993</v>
      </c>
      <c r="I44" s="457">
        <f t="shared" si="0"/>
        <v>2.6778757864048121E-3</v>
      </c>
      <c r="J44" s="457">
        <f t="shared" si="1"/>
        <v>0.9653317223439658</v>
      </c>
      <c r="K44" s="446" t="s">
        <v>1137</v>
      </c>
    </row>
    <row r="45" spans="1:11" ht="48">
      <c r="A45" s="446" t="s">
        <v>98</v>
      </c>
      <c r="B45" s="447" t="s">
        <v>99</v>
      </c>
      <c r="C45" s="446" t="s">
        <v>1132</v>
      </c>
      <c r="D45" s="446" t="s">
        <v>855</v>
      </c>
      <c r="E45" s="446" t="s">
        <v>20</v>
      </c>
      <c r="F45" s="448">
        <v>10245.86</v>
      </c>
      <c r="G45" s="448">
        <v>0.76</v>
      </c>
      <c r="H45" s="448">
        <v>7786.8536000000004</v>
      </c>
      <c r="I45" s="457">
        <f t="shared" si="0"/>
        <v>2.3361745398417112E-3</v>
      </c>
      <c r="J45" s="457">
        <f t="shared" si="1"/>
        <v>0.9676678968838075</v>
      </c>
      <c r="K45" s="446" t="s">
        <v>1137</v>
      </c>
    </row>
    <row r="46" spans="1:11" ht="36">
      <c r="A46" s="446" t="s">
        <v>292</v>
      </c>
      <c r="B46" s="447" t="s">
        <v>293</v>
      </c>
      <c r="C46" s="446" t="s">
        <v>29</v>
      </c>
      <c r="D46" s="446" t="s">
        <v>855</v>
      </c>
      <c r="E46" s="446" t="s">
        <v>60</v>
      </c>
      <c r="F46" s="448">
        <v>460.39</v>
      </c>
      <c r="G46" s="448">
        <v>15.31</v>
      </c>
      <c r="H46" s="448">
        <v>7048.5708999999997</v>
      </c>
      <c r="I46" s="457">
        <f t="shared" si="0"/>
        <v>2.1146784984951016E-3</v>
      </c>
      <c r="J46" s="457">
        <f t="shared" si="1"/>
        <v>0.96978257538230261</v>
      </c>
      <c r="K46" s="446" t="s">
        <v>1137</v>
      </c>
    </row>
    <row r="47" spans="1:11" ht="36">
      <c r="A47" s="446" t="s">
        <v>152</v>
      </c>
      <c r="B47" s="447" t="s">
        <v>153</v>
      </c>
      <c r="C47" s="446" t="s">
        <v>1132</v>
      </c>
      <c r="D47" s="446" t="s">
        <v>855</v>
      </c>
      <c r="E47" s="446" t="s">
        <v>154</v>
      </c>
      <c r="F47" s="448">
        <v>36</v>
      </c>
      <c r="G47" s="448">
        <v>183.8</v>
      </c>
      <c r="H47" s="448">
        <v>6616.8</v>
      </c>
      <c r="I47" s="457">
        <f t="shared" si="0"/>
        <v>1.9851406600510167E-3</v>
      </c>
      <c r="J47" s="457">
        <f t="shared" si="1"/>
        <v>0.97176771604235368</v>
      </c>
      <c r="K47" s="446" t="s">
        <v>1137</v>
      </c>
    </row>
    <row r="48" spans="1:11" ht="60">
      <c r="A48" s="446" t="s">
        <v>468</v>
      </c>
      <c r="B48" s="447" t="s">
        <v>469</v>
      </c>
      <c r="C48" s="446" t="s">
        <v>29</v>
      </c>
      <c r="D48" s="446" t="s">
        <v>855</v>
      </c>
      <c r="E48" s="446" t="s">
        <v>60</v>
      </c>
      <c r="F48" s="448">
        <v>185.96</v>
      </c>
      <c r="G48" s="448">
        <v>34.44</v>
      </c>
      <c r="H48" s="448">
        <v>6404.4624000000003</v>
      </c>
      <c r="I48" s="457">
        <f t="shared" si="0"/>
        <v>1.9214361498017044E-3</v>
      </c>
      <c r="J48" s="457">
        <f t="shared" si="1"/>
        <v>0.97368915219215535</v>
      </c>
      <c r="K48" s="446" t="s">
        <v>1137</v>
      </c>
    </row>
    <row r="49" spans="1:11" ht="24">
      <c r="A49" s="446" t="s">
        <v>113</v>
      </c>
      <c r="B49" s="447" t="s">
        <v>114</v>
      </c>
      <c r="C49" s="446" t="s">
        <v>29</v>
      </c>
      <c r="D49" s="446" t="s">
        <v>855</v>
      </c>
      <c r="E49" s="446" t="s">
        <v>115</v>
      </c>
      <c r="F49" s="448">
        <v>25</v>
      </c>
      <c r="G49" s="448">
        <v>236.37</v>
      </c>
      <c r="H49" s="448">
        <v>5909.25</v>
      </c>
      <c r="I49" s="457">
        <f t="shared" si="0"/>
        <v>1.7728648962348067E-3</v>
      </c>
      <c r="J49" s="457">
        <f t="shared" si="1"/>
        <v>0.9754620170883902</v>
      </c>
      <c r="K49" s="446" t="s">
        <v>1137</v>
      </c>
    </row>
    <row r="50" spans="1:11" ht="36">
      <c r="A50" s="446" t="s">
        <v>46</v>
      </c>
      <c r="B50" s="447" t="s">
        <v>47</v>
      </c>
      <c r="C50" s="446" t="s">
        <v>1132</v>
      </c>
      <c r="D50" s="446" t="s">
        <v>1146</v>
      </c>
      <c r="E50" s="446" t="s">
        <v>40</v>
      </c>
      <c r="F50" s="448">
        <v>436.59</v>
      </c>
      <c r="G50" s="448">
        <v>13.09</v>
      </c>
      <c r="H50" s="448">
        <v>5714.9630999999999</v>
      </c>
      <c r="I50" s="457">
        <f t="shared" si="0"/>
        <v>1.7145758705871725E-3</v>
      </c>
      <c r="J50" s="457">
        <f t="shared" si="1"/>
        <v>0.97717659295897741</v>
      </c>
      <c r="K50" s="446" t="s">
        <v>1137</v>
      </c>
    </row>
    <row r="51" spans="1:11" ht="60">
      <c r="A51" s="446" t="s">
        <v>233</v>
      </c>
      <c r="B51" s="447" t="s">
        <v>234</v>
      </c>
      <c r="C51" s="446" t="s">
        <v>29</v>
      </c>
      <c r="D51" s="446" t="s">
        <v>855</v>
      </c>
      <c r="E51" s="446" t="s">
        <v>40</v>
      </c>
      <c r="F51" s="448">
        <v>76.099999999999994</v>
      </c>
      <c r="G51" s="448">
        <v>71.05</v>
      </c>
      <c r="H51" s="448">
        <v>5406.9049999999997</v>
      </c>
      <c r="I51" s="457">
        <f t="shared" si="0"/>
        <v>1.6221537541610961E-3</v>
      </c>
      <c r="J51" s="457">
        <f t="shared" si="1"/>
        <v>0.97879874671313849</v>
      </c>
      <c r="K51" s="446" t="s">
        <v>1137</v>
      </c>
    </row>
    <row r="52" spans="1:11" ht="48">
      <c r="A52" s="446" t="s">
        <v>688</v>
      </c>
      <c r="B52" s="447" t="s">
        <v>689</v>
      </c>
      <c r="C52" s="446" t="s">
        <v>1132</v>
      </c>
      <c r="D52" s="446" t="s">
        <v>855</v>
      </c>
      <c r="E52" s="446" t="s">
        <v>504</v>
      </c>
      <c r="F52" s="448">
        <v>64.38</v>
      </c>
      <c r="G52" s="448">
        <v>81.48</v>
      </c>
      <c r="H52" s="448">
        <v>5245.6823999999997</v>
      </c>
      <c r="I52" s="457">
        <f t="shared" si="0"/>
        <v>1.5737845215140248E-3</v>
      </c>
      <c r="J52" s="457">
        <f t="shared" si="1"/>
        <v>0.98037253123465251</v>
      </c>
      <c r="K52" s="446" t="s">
        <v>1137</v>
      </c>
    </row>
    <row r="53" spans="1:11" ht="48">
      <c r="A53" s="446" t="s">
        <v>772</v>
      </c>
      <c r="B53" s="447" t="s">
        <v>773</v>
      </c>
      <c r="C53" s="446" t="s">
        <v>1132</v>
      </c>
      <c r="D53" s="446" t="s">
        <v>855</v>
      </c>
      <c r="E53" s="446" t="s">
        <v>54</v>
      </c>
      <c r="F53" s="448">
        <v>3153.61</v>
      </c>
      <c r="G53" s="448">
        <v>1.62</v>
      </c>
      <c r="H53" s="448">
        <v>5108.8482000000004</v>
      </c>
      <c r="I53" s="457">
        <f t="shared" si="0"/>
        <v>1.5327321798827905E-3</v>
      </c>
      <c r="J53" s="457">
        <f t="shared" si="1"/>
        <v>0.98190526341453532</v>
      </c>
      <c r="K53" s="446" t="s">
        <v>1137</v>
      </c>
    </row>
    <row r="54" spans="1:11" ht="48">
      <c r="A54" s="446" t="s">
        <v>162</v>
      </c>
      <c r="B54" s="447" t="s">
        <v>163</v>
      </c>
      <c r="C54" s="446" t="s">
        <v>29</v>
      </c>
      <c r="D54" s="446" t="s">
        <v>855</v>
      </c>
      <c r="E54" s="446" t="s">
        <v>20</v>
      </c>
      <c r="F54" s="448">
        <v>128.63</v>
      </c>
      <c r="G54" s="448">
        <v>28.39</v>
      </c>
      <c r="H54" s="448">
        <v>3651.8056999999999</v>
      </c>
      <c r="I54" s="457">
        <f t="shared" si="0"/>
        <v>1.0955972641875323E-3</v>
      </c>
      <c r="J54" s="457">
        <f t="shared" si="1"/>
        <v>0.98300086067872283</v>
      </c>
      <c r="K54" s="446" t="s">
        <v>1137</v>
      </c>
    </row>
    <row r="55" spans="1:11" ht="60">
      <c r="A55" s="446" t="s">
        <v>757</v>
      </c>
      <c r="B55" s="447" t="s">
        <v>758</v>
      </c>
      <c r="C55" s="446" t="s">
        <v>1132</v>
      </c>
      <c r="D55" s="446" t="s">
        <v>855</v>
      </c>
      <c r="E55" s="446" t="s">
        <v>60</v>
      </c>
      <c r="F55" s="448">
        <v>17.18</v>
      </c>
      <c r="G55" s="448">
        <v>212.26</v>
      </c>
      <c r="H55" s="448">
        <v>3646.6268</v>
      </c>
      <c r="I55" s="457">
        <f t="shared" si="0"/>
        <v>1.0940435154019655E-3</v>
      </c>
      <c r="J55" s="457">
        <f t="shared" si="1"/>
        <v>0.98409490419412482</v>
      </c>
      <c r="K55" s="446" t="s">
        <v>1137</v>
      </c>
    </row>
    <row r="56" spans="1:11" ht="24">
      <c r="A56" s="446" t="s">
        <v>769</v>
      </c>
      <c r="B56" s="447" t="s">
        <v>770</v>
      </c>
      <c r="C56" s="446" t="s">
        <v>29</v>
      </c>
      <c r="D56" s="446" t="s">
        <v>855</v>
      </c>
      <c r="E56" s="446" t="s">
        <v>60</v>
      </c>
      <c r="F56" s="448">
        <v>5.15</v>
      </c>
      <c r="G56" s="448">
        <v>706.29</v>
      </c>
      <c r="H56" s="448">
        <v>3637.3935000000001</v>
      </c>
      <c r="I56" s="457">
        <f t="shared" si="0"/>
        <v>1.091273384937625E-3</v>
      </c>
      <c r="J56" s="457">
        <f t="shared" si="1"/>
        <v>0.98518617757906246</v>
      </c>
      <c r="K56" s="446" t="s">
        <v>1137</v>
      </c>
    </row>
    <row r="57" spans="1:11" ht="48">
      <c r="A57" s="446" t="s">
        <v>740</v>
      </c>
      <c r="B57" s="447" t="s">
        <v>741</v>
      </c>
      <c r="C57" s="446" t="s">
        <v>1132</v>
      </c>
      <c r="D57" s="446" t="s">
        <v>855</v>
      </c>
      <c r="E57" s="446" t="s">
        <v>60</v>
      </c>
      <c r="F57" s="448">
        <v>89.41</v>
      </c>
      <c r="G57" s="448">
        <v>37.799999999999997</v>
      </c>
      <c r="H57" s="448">
        <v>3379.6979999999999</v>
      </c>
      <c r="I57" s="457">
        <f t="shared" si="0"/>
        <v>1.0139608146676792E-3</v>
      </c>
      <c r="J57" s="457">
        <f t="shared" si="1"/>
        <v>0.98620013839373011</v>
      </c>
      <c r="K57" s="446" t="s">
        <v>1137</v>
      </c>
    </row>
    <row r="58" spans="1:11" ht="36">
      <c r="A58" s="446" t="s">
        <v>819</v>
      </c>
      <c r="B58" s="447" t="s">
        <v>820</v>
      </c>
      <c r="C58" s="446" t="s">
        <v>1132</v>
      </c>
      <c r="D58" s="446" t="s">
        <v>855</v>
      </c>
      <c r="E58" s="446" t="s">
        <v>154</v>
      </c>
      <c r="F58" s="448">
        <v>17</v>
      </c>
      <c r="G58" s="448">
        <v>189.58</v>
      </c>
      <c r="H58" s="448">
        <v>3222.86</v>
      </c>
      <c r="I58" s="457">
        <f t="shared" si="0"/>
        <v>9.6690702872264831E-4</v>
      </c>
      <c r="J58" s="457">
        <f t="shared" si="1"/>
        <v>0.9871670454224527</v>
      </c>
      <c r="K58" s="446" t="s">
        <v>1137</v>
      </c>
    </row>
    <row r="59" spans="1:11" ht="48">
      <c r="A59" s="446" t="s">
        <v>336</v>
      </c>
      <c r="B59" s="447" t="s">
        <v>337</v>
      </c>
      <c r="C59" s="446" t="s">
        <v>29</v>
      </c>
      <c r="D59" s="446" t="s">
        <v>855</v>
      </c>
      <c r="E59" s="446" t="s">
        <v>20</v>
      </c>
      <c r="F59" s="448">
        <v>615.05999999999995</v>
      </c>
      <c r="G59" s="448">
        <v>4.82</v>
      </c>
      <c r="H59" s="448">
        <v>2964.5891999999999</v>
      </c>
      <c r="I59" s="457">
        <f t="shared" si="0"/>
        <v>8.8942185970077904E-4</v>
      </c>
      <c r="J59" s="457">
        <f t="shared" si="1"/>
        <v>0.98805646728215346</v>
      </c>
      <c r="K59" s="446" t="s">
        <v>1137</v>
      </c>
    </row>
    <row r="60" spans="1:11" ht="60">
      <c r="A60" s="446" t="s">
        <v>465</v>
      </c>
      <c r="B60" s="447" t="s">
        <v>466</v>
      </c>
      <c r="C60" s="446" t="s">
        <v>29</v>
      </c>
      <c r="D60" s="446" t="s">
        <v>855</v>
      </c>
      <c r="E60" s="446" t="s">
        <v>60</v>
      </c>
      <c r="F60" s="448">
        <v>246.6</v>
      </c>
      <c r="G60" s="448">
        <v>11.8</v>
      </c>
      <c r="H60" s="448">
        <v>2909.88</v>
      </c>
      <c r="I60" s="457">
        <f t="shared" si="0"/>
        <v>8.7300826742069463E-4</v>
      </c>
      <c r="J60" s="457">
        <f t="shared" si="1"/>
        <v>0.98892947554957411</v>
      </c>
      <c r="K60" s="446" t="s">
        <v>1137</v>
      </c>
    </row>
    <row r="61" spans="1:11" ht="60">
      <c r="A61" s="446" t="s">
        <v>754</v>
      </c>
      <c r="B61" s="447" t="s">
        <v>755</v>
      </c>
      <c r="C61" s="446" t="s">
        <v>1132</v>
      </c>
      <c r="D61" s="446" t="s">
        <v>855</v>
      </c>
      <c r="E61" s="446" t="s">
        <v>60</v>
      </c>
      <c r="F61" s="448">
        <v>17.18</v>
      </c>
      <c r="G61" s="448">
        <v>166.47</v>
      </c>
      <c r="H61" s="448">
        <v>2859.9546</v>
      </c>
      <c r="I61" s="457">
        <f t="shared" si="0"/>
        <v>8.5802988791559983E-4</v>
      </c>
      <c r="J61" s="457">
        <f t="shared" si="1"/>
        <v>0.98978750543748972</v>
      </c>
      <c r="K61" s="446" t="s">
        <v>1137</v>
      </c>
    </row>
    <row r="62" spans="1:11" ht="36">
      <c r="A62" s="446" t="s">
        <v>238</v>
      </c>
      <c r="B62" s="447" t="s">
        <v>239</v>
      </c>
      <c r="C62" s="446" t="s">
        <v>29</v>
      </c>
      <c r="D62" s="446" t="s">
        <v>855</v>
      </c>
      <c r="E62" s="446" t="s">
        <v>40</v>
      </c>
      <c r="F62" s="448">
        <v>47.68</v>
      </c>
      <c r="G62" s="448">
        <v>59.16</v>
      </c>
      <c r="H62" s="448">
        <v>2820.7487999999998</v>
      </c>
      <c r="I62" s="457">
        <f t="shared" si="0"/>
        <v>8.4626755148562935E-4</v>
      </c>
      <c r="J62" s="457">
        <f t="shared" si="1"/>
        <v>0.99063377298897537</v>
      </c>
      <c r="K62" s="446" t="s">
        <v>1137</v>
      </c>
    </row>
    <row r="63" spans="1:11" ht="36">
      <c r="A63" s="446" t="s">
        <v>656</v>
      </c>
      <c r="B63" s="447" t="s">
        <v>657</v>
      </c>
      <c r="C63" s="446" t="s">
        <v>29</v>
      </c>
      <c r="D63" s="446" t="s">
        <v>855</v>
      </c>
      <c r="E63" s="446" t="s">
        <v>115</v>
      </c>
      <c r="F63" s="448">
        <v>1</v>
      </c>
      <c r="G63" s="448">
        <v>2780.78</v>
      </c>
      <c r="H63" s="448">
        <v>2780.78</v>
      </c>
      <c r="I63" s="457">
        <f t="shared" si="0"/>
        <v>8.3427630344829319E-4</v>
      </c>
      <c r="J63" s="457">
        <f t="shared" si="1"/>
        <v>0.99146804929242371</v>
      </c>
      <c r="K63" s="446" t="s">
        <v>1137</v>
      </c>
    </row>
    <row r="64" spans="1:11" ht="48">
      <c r="A64" s="446" t="s">
        <v>520</v>
      </c>
      <c r="B64" s="447" t="s">
        <v>521</v>
      </c>
      <c r="C64" s="446" t="s">
        <v>1132</v>
      </c>
      <c r="D64" s="446" t="s">
        <v>855</v>
      </c>
      <c r="E64" s="446" t="s">
        <v>20</v>
      </c>
      <c r="F64" s="448">
        <v>109.34</v>
      </c>
      <c r="G64" s="448">
        <v>24.42</v>
      </c>
      <c r="H64" s="448">
        <v>2670.0828000000001</v>
      </c>
      <c r="I64" s="457">
        <f t="shared" si="0"/>
        <v>8.0106545943399627E-4</v>
      </c>
      <c r="J64" s="457">
        <f t="shared" si="1"/>
        <v>0.99226911475185775</v>
      </c>
      <c r="K64" s="446" t="s">
        <v>1137</v>
      </c>
    </row>
    <row r="65" spans="1:11" ht="36">
      <c r="A65" s="446" t="s">
        <v>92</v>
      </c>
      <c r="B65" s="447" t="s">
        <v>93</v>
      </c>
      <c r="C65" s="446" t="s">
        <v>1132</v>
      </c>
      <c r="D65" s="446" t="s">
        <v>855</v>
      </c>
      <c r="E65" s="446" t="s">
        <v>44</v>
      </c>
      <c r="F65" s="448">
        <v>288.75</v>
      </c>
      <c r="G65" s="448">
        <v>9.24</v>
      </c>
      <c r="H65" s="448">
        <v>2668.05</v>
      </c>
      <c r="I65" s="457">
        <f t="shared" si="0"/>
        <v>8.0045558850941768E-4</v>
      </c>
      <c r="J65" s="457">
        <f t="shared" si="1"/>
        <v>0.99306957034036714</v>
      </c>
      <c r="K65" s="446" t="s">
        <v>1137</v>
      </c>
    </row>
    <row r="66" spans="1:11">
      <c r="A66" s="446" t="s">
        <v>38</v>
      </c>
      <c r="B66" s="447" t="s">
        <v>39</v>
      </c>
      <c r="C66" s="446" t="s">
        <v>29</v>
      </c>
      <c r="D66" s="446" t="s">
        <v>855</v>
      </c>
      <c r="E66" s="446" t="s">
        <v>40</v>
      </c>
      <c r="F66" s="448">
        <v>3608.25</v>
      </c>
      <c r="G66" s="448">
        <v>0.57999999999999996</v>
      </c>
      <c r="H66" s="448">
        <v>2092.7849999999999</v>
      </c>
      <c r="I66" s="457">
        <f t="shared" si="0"/>
        <v>6.2786733711837537E-4</v>
      </c>
      <c r="J66" s="457">
        <f t="shared" si="1"/>
        <v>0.99369743767748553</v>
      </c>
      <c r="K66" s="446" t="s">
        <v>1137</v>
      </c>
    </row>
    <row r="67" spans="1:11">
      <c r="A67" s="446" t="s">
        <v>117</v>
      </c>
      <c r="B67" s="447" t="s">
        <v>118</v>
      </c>
      <c r="C67" s="446" t="s">
        <v>29</v>
      </c>
      <c r="D67" s="446" t="s">
        <v>855</v>
      </c>
      <c r="E67" s="446" t="s">
        <v>20</v>
      </c>
      <c r="F67" s="448">
        <v>125</v>
      </c>
      <c r="G67" s="448">
        <v>16.22</v>
      </c>
      <c r="H67" s="448">
        <v>2027.5</v>
      </c>
      <c r="I67" s="457">
        <f t="shared" si="0"/>
        <v>6.0828084395076712E-4</v>
      </c>
      <c r="J67" s="457">
        <f t="shared" si="1"/>
        <v>0.99430571852143634</v>
      </c>
      <c r="K67" s="446" t="s">
        <v>1137</v>
      </c>
    </row>
    <row r="68" spans="1:11" ht="48">
      <c r="A68" s="446" t="s">
        <v>485</v>
      </c>
      <c r="B68" s="447" t="s">
        <v>486</v>
      </c>
      <c r="C68" s="446" t="s">
        <v>29</v>
      </c>
      <c r="D68" s="446" t="s">
        <v>855</v>
      </c>
      <c r="E68" s="446" t="s">
        <v>40</v>
      </c>
      <c r="F68" s="448">
        <v>381.27</v>
      </c>
      <c r="G68" s="448">
        <v>4.67</v>
      </c>
      <c r="H68" s="448">
        <v>1780.5309</v>
      </c>
      <c r="I68" s="457">
        <f t="shared" si="0"/>
        <v>5.3418635685939281E-4</v>
      </c>
      <c r="J68" s="457">
        <f t="shared" si="1"/>
        <v>0.99483990487829577</v>
      </c>
      <c r="K68" s="446" t="s">
        <v>1137</v>
      </c>
    </row>
    <row r="69" spans="1:11" ht="60">
      <c r="A69" s="446" t="s">
        <v>317</v>
      </c>
      <c r="B69" s="447" t="s">
        <v>318</v>
      </c>
      <c r="C69" s="446" t="s">
        <v>29</v>
      </c>
      <c r="D69" s="446" t="s">
        <v>855</v>
      </c>
      <c r="E69" s="446" t="s">
        <v>60</v>
      </c>
      <c r="F69" s="448">
        <v>60.35</v>
      </c>
      <c r="G69" s="448">
        <v>27.92</v>
      </c>
      <c r="H69" s="448">
        <v>1684.972</v>
      </c>
      <c r="I69" s="457">
        <f t="shared" ref="I69:I85" si="2">H69/$I$87</f>
        <v>5.0551723314101705E-4</v>
      </c>
      <c r="J69" s="457">
        <f t="shared" si="1"/>
        <v>0.99534542211143673</v>
      </c>
      <c r="K69" s="446" t="s">
        <v>1137</v>
      </c>
    </row>
    <row r="70" spans="1:11" ht="48">
      <c r="A70" s="446" t="s">
        <v>659</v>
      </c>
      <c r="B70" s="447" t="s">
        <v>660</v>
      </c>
      <c r="C70" s="446" t="s">
        <v>29</v>
      </c>
      <c r="D70" s="446" t="s">
        <v>855</v>
      </c>
      <c r="E70" s="446" t="s">
        <v>40</v>
      </c>
      <c r="F70" s="448">
        <v>73.08</v>
      </c>
      <c r="G70" s="448">
        <v>21.81</v>
      </c>
      <c r="H70" s="448">
        <v>1593.8748000000001</v>
      </c>
      <c r="I70" s="457">
        <f t="shared" si="2"/>
        <v>4.7818668729758827E-4</v>
      </c>
      <c r="J70" s="457">
        <f t="shared" ref="J70:J85" si="3">I70+J69</f>
        <v>0.99582360879873433</v>
      </c>
      <c r="K70" s="446" t="s">
        <v>1137</v>
      </c>
    </row>
    <row r="71" spans="1:11" ht="48">
      <c r="A71" s="446" t="s">
        <v>763</v>
      </c>
      <c r="B71" s="447" t="s">
        <v>764</v>
      </c>
      <c r="C71" s="446" t="s">
        <v>1132</v>
      </c>
      <c r="D71" s="446" t="s">
        <v>855</v>
      </c>
      <c r="E71" s="446" t="s">
        <v>40</v>
      </c>
      <c r="F71" s="448">
        <v>47.25</v>
      </c>
      <c r="G71" s="448">
        <v>32.58</v>
      </c>
      <c r="H71" s="448">
        <v>1539.405</v>
      </c>
      <c r="I71" s="457">
        <f t="shared" si="2"/>
        <v>4.6184491865944793E-4</v>
      </c>
      <c r="J71" s="457">
        <f t="shared" si="3"/>
        <v>0.99628545371739374</v>
      </c>
      <c r="K71" s="446" t="s">
        <v>1137</v>
      </c>
    </row>
    <row r="72" spans="1:11" ht="24">
      <c r="A72" s="446" t="s">
        <v>140</v>
      </c>
      <c r="B72" s="447" t="s">
        <v>142</v>
      </c>
      <c r="C72" s="446" t="s">
        <v>1136</v>
      </c>
      <c r="D72" s="446" t="s">
        <v>855</v>
      </c>
      <c r="E72" s="446" t="s">
        <v>143</v>
      </c>
      <c r="F72" s="448">
        <v>3.6</v>
      </c>
      <c r="G72" s="448">
        <v>417.78</v>
      </c>
      <c r="H72" s="448">
        <v>1504.008</v>
      </c>
      <c r="I72" s="457">
        <f t="shared" si="2"/>
        <v>4.5122528017198785E-4</v>
      </c>
      <c r="J72" s="457">
        <f t="shared" si="3"/>
        <v>0.99673667899756568</v>
      </c>
      <c r="K72" s="446" t="s">
        <v>1137</v>
      </c>
    </row>
    <row r="73" spans="1:11" ht="48">
      <c r="A73" s="446" t="s">
        <v>766</v>
      </c>
      <c r="B73" s="447" t="s">
        <v>767</v>
      </c>
      <c r="C73" s="446" t="s">
        <v>1132</v>
      </c>
      <c r="D73" s="446" t="s">
        <v>855</v>
      </c>
      <c r="E73" s="446" t="s">
        <v>150</v>
      </c>
      <c r="F73" s="448">
        <v>85.9</v>
      </c>
      <c r="G73" s="448">
        <v>16.68</v>
      </c>
      <c r="H73" s="448">
        <v>1432.8119999999999</v>
      </c>
      <c r="I73" s="457">
        <f t="shared" si="2"/>
        <v>4.2986539708152232E-4</v>
      </c>
      <c r="J73" s="457">
        <f t="shared" si="3"/>
        <v>0.99716654439464725</v>
      </c>
      <c r="K73" s="446" t="s">
        <v>1137</v>
      </c>
    </row>
    <row r="74" spans="1:11" ht="60">
      <c r="A74" s="446" t="s">
        <v>471</v>
      </c>
      <c r="B74" s="447" t="s">
        <v>472</v>
      </c>
      <c r="C74" s="446" t="s">
        <v>29</v>
      </c>
      <c r="D74" s="446" t="s">
        <v>855</v>
      </c>
      <c r="E74" s="446" t="s">
        <v>60</v>
      </c>
      <c r="F74" s="448">
        <v>51.37</v>
      </c>
      <c r="G74" s="448">
        <v>26.59</v>
      </c>
      <c r="H74" s="448">
        <v>1365.9283</v>
      </c>
      <c r="I74" s="457">
        <f t="shared" si="2"/>
        <v>4.0979926959321166E-4</v>
      </c>
      <c r="J74" s="457">
        <f t="shared" si="3"/>
        <v>0.99757634366424042</v>
      </c>
      <c r="K74" s="446" t="s">
        <v>1137</v>
      </c>
    </row>
    <row r="75" spans="1:11" ht="60">
      <c r="A75" s="446" t="s">
        <v>314</v>
      </c>
      <c r="B75" s="447" t="s">
        <v>315</v>
      </c>
      <c r="C75" s="446" t="s">
        <v>29</v>
      </c>
      <c r="D75" s="446" t="s">
        <v>855</v>
      </c>
      <c r="E75" s="446" t="s">
        <v>60</v>
      </c>
      <c r="F75" s="448">
        <v>157.35</v>
      </c>
      <c r="G75" s="448">
        <v>7.62</v>
      </c>
      <c r="H75" s="448">
        <v>1199.0070000000001</v>
      </c>
      <c r="I75" s="457">
        <f t="shared" si="2"/>
        <v>3.5972034025296052E-4</v>
      </c>
      <c r="J75" s="457">
        <f t="shared" si="3"/>
        <v>0.99793606400449342</v>
      </c>
      <c r="K75" s="446" t="s">
        <v>1137</v>
      </c>
    </row>
    <row r="76" spans="1:11" ht="36">
      <c r="A76" s="446" t="s">
        <v>775</v>
      </c>
      <c r="B76" s="447" t="s">
        <v>776</v>
      </c>
      <c r="C76" s="446" t="s">
        <v>1132</v>
      </c>
      <c r="D76" s="446" t="s">
        <v>855</v>
      </c>
      <c r="E76" s="446" t="s">
        <v>40</v>
      </c>
      <c r="F76" s="448">
        <v>101.93</v>
      </c>
      <c r="G76" s="448">
        <v>10.57</v>
      </c>
      <c r="H76" s="448">
        <v>1077.4001000000001</v>
      </c>
      <c r="I76" s="457">
        <f t="shared" si="2"/>
        <v>3.2323642027158616E-4</v>
      </c>
      <c r="J76" s="457">
        <f t="shared" si="3"/>
        <v>0.99825930042476496</v>
      </c>
      <c r="K76" s="446" t="s">
        <v>1137</v>
      </c>
    </row>
    <row r="77" spans="1:11" ht="48">
      <c r="A77" s="446" t="s">
        <v>156</v>
      </c>
      <c r="B77" s="447" t="s">
        <v>157</v>
      </c>
      <c r="C77" s="446" t="s">
        <v>1132</v>
      </c>
      <c r="D77" s="446" t="s">
        <v>855</v>
      </c>
      <c r="E77" s="446" t="s">
        <v>20</v>
      </c>
      <c r="F77" s="448">
        <v>41.76</v>
      </c>
      <c r="G77" s="448">
        <v>23.87</v>
      </c>
      <c r="H77" s="448">
        <v>996.81119999999999</v>
      </c>
      <c r="I77" s="457">
        <f t="shared" si="2"/>
        <v>2.9905852428881722E-4</v>
      </c>
      <c r="J77" s="457">
        <f t="shared" si="3"/>
        <v>0.99855835894905376</v>
      </c>
      <c r="K77" s="446" t="s">
        <v>1137</v>
      </c>
    </row>
    <row r="78" spans="1:11" ht="36">
      <c r="A78" s="446" t="s">
        <v>480</v>
      </c>
      <c r="B78" s="447" t="s">
        <v>481</v>
      </c>
      <c r="C78" s="446" t="s">
        <v>29</v>
      </c>
      <c r="D78" s="446" t="s">
        <v>855</v>
      </c>
      <c r="E78" s="446" t="s">
        <v>20</v>
      </c>
      <c r="F78" s="448">
        <v>20.16</v>
      </c>
      <c r="G78" s="448">
        <v>46.56</v>
      </c>
      <c r="H78" s="448">
        <v>938.64959999999996</v>
      </c>
      <c r="I78" s="457">
        <f t="shared" si="2"/>
        <v>2.8160915948806408E-4</v>
      </c>
      <c r="J78" s="457">
        <f t="shared" si="3"/>
        <v>0.99883996810854181</v>
      </c>
      <c r="K78" s="446" t="s">
        <v>1137</v>
      </c>
    </row>
    <row r="79" spans="1:11" ht="48">
      <c r="A79" s="446" t="s">
        <v>330</v>
      </c>
      <c r="B79" s="447" t="s">
        <v>331</v>
      </c>
      <c r="C79" s="446" t="s">
        <v>1132</v>
      </c>
      <c r="D79" s="446" t="s">
        <v>855</v>
      </c>
      <c r="E79" s="446" t="s">
        <v>20</v>
      </c>
      <c r="F79" s="448">
        <v>697.66</v>
      </c>
      <c r="G79" s="448">
        <v>1.29</v>
      </c>
      <c r="H79" s="448">
        <v>899.98140000000001</v>
      </c>
      <c r="I79" s="457">
        <f t="shared" si="2"/>
        <v>2.7000811123649465E-4</v>
      </c>
      <c r="J79" s="457">
        <f t="shared" si="3"/>
        <v>0.99910997621977826</v>
      </c>
      <c r="K79" s="446" t="s">
        <v>1137</v>
      </c>
    </row>
    <row r="80" spans="1:11" ht="36">
      <c r="A80" s="446" t="s">
        <v>278</v>
      </c>
      <c r="B80" s="447" t="s">
        <v>279</v>
      </c>
      <c r="C80" s="446" t="s">
        <v>29</v>
      </c>
      <c r="D80" s="446" t="s">
        <v>855</v>
      </c>
      <c r="E80" s="446" t="s">
        <v>115</v>
      </c>
      <c r="F80" s="448">
        <v>11</v>
      </c>
      <c r="G80" s="448">
        <v>76.099999999999994</v>
      </c>
      <c r="H80" s="448">
        <v>837.1</v>
      </c>
      <c r="I80" s="457">
        <f t="shared" si="2"/>
        <v>2.5114273463437101E-4</v>
      </c>
      <c r="J80" s="457">
        <f t="shared" si="3"/>
        <v>0.9993611189544126</v>
      </c>
      <c r="K80" s="446" t="s">
        <v>1137</v>
      </c>
    </row>
    <row r="81" spans="1:11" ht="60">
      <c r="A81" s="446" t="s">
        <v>637</v>
      </c>
      <c r="B81" s="447" t="s">
        <v>638</v>
      </c>
      <c r="C81" s="446" t="s">
        <v>29</v>
      </c>
      <c r="D81" s="446" t="s">
        <v>855</v>
      </c>
      <c r="E81" s="446" t="s">
        <v>60</v>
      </c>
      <c r="F81" s="448">
        <v>62.48</v>
      </c>
      <c r="G81" s="448">
        <v>10.039999999999999</v>
      </c>
      <c r="H81" s="448">
        <v>627.29920000000004</v>
      </c>
      <c r="I81" s="457">
        <f t="shared" si="2"/>
        <v>1.8819930297688832E-4</v>
      </c>
      <c r="J81" s="457">
        <f t="shared" si="3"/>
        <v>0.99954931825738946</v>
      </c>
      <c r="K81" s="446" t="s">
        <v>1137</v>
      </c>
    </row>
    <row r="82" spans="1:11" ht="60">
      <c r="A82" s="446" t="s">
        <v>716</v>
      </c>
      <c r="B82" s="447" t="s">
        <v>717</v>
      </c>
      <c r="C82" s="446" t="s">
        <v>29</v>
      </c>
      <c r="D82" s="446" t="s">
        <v>855</v>
      </c>
      <c r="E82" s="446" t="s">
        <v>60</v>
      </c>
      <c r="F82" s="448">
        <v>33.049999999999997</v>
      </c>
      <c r="G82" s="448">
        <v>15.93</v>
      </c>
      <c r="H82" s="448">
        <v>526.48649999999998</v>
      </c>
      <c r="I82" s="457">
        <f t="shared" si="2"/>
        <v>1.5795395933350704E-4</v>
      </c>
      <c r="J82" s="457">
        <f t="shared" si="3"/>
        <v>0.99970727221672295</v>
      </c>
      <c r="K82" s="446" t="s">
        <v>1137</v>
      </c>
    </row>
    <row r="83" spans="1:11" ht="60">
      <c r="A83" s="446" t="s">
        <v>712</v>
      </c>
      <c r="B83" s="447" t="s">
        <v>713</v>
      </c>
      <c r="C83" s="446" t="s">
        <v>29</v>
      </c>
      <c r="D83" s="446" t="s">
        <v>855</v>
      </c>
      <c r="E83" s="446" t="s">
        <v>60</v>
      </c>
      <c r="F83" s="448">
        <v>64.8</v>
      </c>
      <c r="G83" s="448">
        <v>7.58</v>
      </c>
      <c r="H83" s="448">
        <v>491.18400000000003</v>
      </c>
      <c r="I83" s="457">
        <f t="shared" si="2"/>
        <v>1.4736267228365654E-4</v>
      </c>
      <c r="J83" s="457">
        <f t="shared" si="3"/>
        <v>0.99985463488900661</v>
      </c>
      <c r="K83" s="446" t="s">
        <v>1137</v>
      </c>
    </row>
    <row r="84" spans="1:11" ht="48">
      <c r="A84" s="446" t="s">
        <v>49</v>
      </c>
      <c r="B84" s="447" t="s">
        <v>642</v>
      </c>
      <c r="C84" s="446" t="s">
        <v>1132</v>
      </c>
      <c r="D84" s="446" t="s">
        <v>855</v>
      </c>
      <c r="E84" s="446" t="s">
        <v>44</v>
      </c>
      <c r="F84" s="448">
        <v>88.09</v>
      </c>
      <c r="G84" s="448">
        <v>3.41</v>
      </c>
      <c r="H84" s="448">
        <v>300.38690000000003</v>
      </c>
      <c r="I84" s="457">
        <f t="shared" si="2"/>
        <v>9.0120639725649676E-5</v>
      </c>
      <c r="J84" s="457">
        <f t="shared" si="3"/>
        <v>0.9999447555287323</v>
      </c>
      <c r="K84" s="446" t="s">
        <v>1137</v>
      </c>
    </row>
    <row r="85" spans="1:11" ht="48">
      <c r="A85" s="446" t="s">
        <v>760</v>
      </c>
      <c r="B85" s="447" t="s">
        <v>761</v>
      </c>
      <c r="C85" s="446" t="s">
        <v>1132</v>
      </c>
      <c r="D85" s="446" t="s">
        <v>855</v>
      </c>
      <c r="E85" s="446" t="s">
        <v>20</v>
      </c>
      <c r="F85" s="448">
        <v>4.7300000000000004</v>
      </c>
      <c r="G85" s="448">
        <v>38.93</v>
      </c>
      <c r="H85" s="448">
        <v>184.13890000000001</v>
      </c>
      <c r="I85" s="457">
        <f t="shared" si="2"/>
        <v>5.5244471268145955E-5</v>
      </c>
      <c r="J85" s="457">
        <f t="shared" si="3"/>
        <v>1.0000000000000004</v>
      </c>
      <c r="K85" s="446" t="s">
        <v>1137</v>
      </c>
    </row>
    <row r="86" spans="1:11" ht="20.100000000000001" customHeight="1">
      <c r="A86" s="449"/>
      <c r="B86" s="449"/>
      <c r="C86" s="567" t="s">
        <v>1148</v>
      </c>
      <c r="D86" s="567"/>
      <c r="E86" s="567"/>
      <c r="F86" s="567"/>
      <c r="G86" s="449"/>
      <c r="H86" s="449"/>
      <c r="I86" s="449"/>
      <c r="J86" s="449"/>
      <c r="K86" s="449"/>
    </row>
    <row r="87" spans="1:11" ht="26.25" customHeight="1">
      <c r="A87" s="449"/>
      <c r="B87" s="449"/>
      <c r="C87" s="449"/>
      <c r="D87" s="449"/>
      <c r="E87" s="449"/>
      <c r="F87" s="449"/>
      <c r="G87" s="567" t="s">
        <v>1150</v>
      </c>
      <c r="H87" s="567"/>
      <c r="I87" s="568">
        <f>SUM(H4:H85)</f>
        <v>3333164.3107999982</v>
      </c>
      <c r="J87" s="568"/>
      <c r="K87" s="568"/>
    </row>
  </sheetData>
  <mergeCells count="5">
    <mergeCell ref="G87:H87"/>
    <mergeCell ref="I87:K87"/>
    <mergeCell ref="A1:K1"/>
    <mergeCell ref="B2:C2"/>
    <mergeCell ref="C86:F86"/>
  </mergeCells>
  <printOptions horizontalCentered="1"/>
  <pageMargins left="0" right="0" top="0.39370078740157483" bottom="0.78740157480314965" header="0" footer="0"/>
  <pageSetup paperSize="9" scale="73" orientation="portrait" r:id="rId1"/>
  <headerFooter>
    <oddFooter>&amp;C&amp;P/&amp;N&amp;R&amp;G</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5599B-3270-42B6-A36A-58F093CDCE8C}">
  <dimension ref="A1:K13"/>
  <sheetViews>
    <sheetView view="pageBreakPreview" zoomScaleNormal="100" zoomScaleSheetLayoutView="100" workbookViewId="0">
      <selection activeCell="D601" sqref="D601"/>
    </sheetView>
  </sheetViews>
  <sheetFormatPr defaultRowHeight="15"/>
  <cols>
    <col min="2" max="2" width="27.42578125" customWidth="1"/>
    <col min="8" max="8" width="9.85546875" bestFit="1" customWidth="1"/>
  </cols>
  <sheetData>
    <row r="1" spans="1:11">
      <c r="A1" s="576" t="s">
        <v>1590</v>
      </c>
      <c r="B1" s="577"/>
      <c r="C1" s="577"/>
      <c r="D1" s="577"/>
      <c r="E1" s="577"/>
      <c r="F1" s="577"/>
      <c r="G1" s="577"/>
      <c r="H1" s="577"/>
      <c r="I1" s="577"/>
      <c r="J1" s="577"/>
      <c r="K1" s="577"/>
    </row>
    <row r="2" spans="1:11">
      <c r="A2" s="576" t="s">
        <v>1591</v>
      </c>
      <c r="B2" s="577"/>
      <c r="C2" s="577"/>
      <c r="D2" s="577"/>
      <c r="E2" s="577"/>
      <c r="F2" s="577"/>
      <c r="G2" s="577"/>
      <c r="H2" s="577"/>
      <c r="I2" s="577"/>
      <c r="J2" s="577"/>
      <c r="K2" s="577"/>
    </row>
    <row r="3" spans="1:11">
      <c r="A3" s="576" t="s">
        <v>2061</v>
      </c>
      <c r="B3" s="577"/>
      <c r="C3" s="577"/>
      <c r="D3" s="577"/>
      <c r="E3" s="577"/>
      <c r="F3" s="577"/>
      <c r="G3" s="577"/>
      <c r="H3" s="577"/>
      <c r="I3" s="577"/>
      <c r="J3" s="577"/>
      <c r="K3" s="577"/>
    </row>
    <row r="4" spans="1:11">
      <c r="A4" s="576" t="s">
        <v>2062</v>
      </c>
      <c r="B4" s="577"/>
      <c r="C4" s="577"/>
      <c r="D4" s="577"/>
      <c r="E4" s="577"/>
      <c r="F4" s="577"/>
      <c r="G4" s="577"/>
      <c r="H4" s="577"/>
      <c r="I4" s="577"/>
      <c r="J4" s="577"/>
      <c r="K4" s="577"/>
    </row>
    <row r="5" spans="1:11" ht="39.75" customHeight="1">
      <c r="A5" s="578" t="s">
        <v>2077</v>
      </c>
      <c r="B5" s="579"/>
      <c r="C5" s="579"/>
      <c r="D5" s="579"/>
      <c r="E5" s="579"/>
      <c r="F5" s="579"/>
      <c r="G5" s="579"/>
      <c r="H5" s="579"/>
      <c r="I5" s="579"/>
      <c r="J5" s="579"/>
      <c r="K5" s="579"/>
    </row>
    <row r="6" spans="1:11">
      <c r="A6" s="450" t="s">
        <v>2063</v>
      </c>
      <c r="B6" s="450"/>
      <c r="C6" s="451"/>
      <c r="D6" s="450"/>
      <c r="E6" s="580"/>
      <c r="F6" s="581"/>
      <c r="G6" s="581"/>
      <c r="H6" s="581"/>
      <c r="I6" s="581"/>
      <c r="J6" s="581"/>
      <c r="K6" s="582"/>
    </row>
    <row r="7" spans="1:11">
      <c r="A7" s="571" t="s">
        <v>2064</v>
      </c>
      <c r="B7" s="571"/>
      <c r="C7" s="571"/>
      <c r="D7" s="571"/>
      <c r="E7" s="571"/>
      <c r="F7" s="571"/>
      <c r="G7" s="571"/>
      <c r="H7" s="571"/>
      <c r="I7" s="571"/>
      <c r="J7" s="571"/>
      <c r="K7" s="571"/>
    </row>
    <row r="8" spans="1:11" ht="45">
      <c r="A8" s="452" t="s">
        <v>2065</v>
      </c>
      <c r="B8" s="453" t="s">
        <v>2066</v>
      </c>
      <c r="C8" s="452" t="s">
        <v>2067</v>
      </c>
      <c r="D8" s="452" t="s">
        <v>2068</v>
      </c>
      <c r="E8" s="452" t="s">
        <v>2069</v>
      </c>
      <c r="F8" s="452" t="s">
        <v>2070</v>
      </c>
      <c r="G8" s="452" t="s">
        <v>2071</v>
      </c>
      <c r="H8" s="452" t="s">
        <v>2072</v>
      </c>
      <c r="I8" s="452" t="s">
        <v>2073</v>
      </c>
      <c r="J8" s="452" t="s">
        <v>2074</v>
      </c>
      <c r="K8" s="452" t="s">
        <v>2075</v>
      </c>
    </row>
    <row r="9" spans="1:11" ht="60">
      <c r="A9" s="446" t="s">
        <v>33</v>
      </c>
      <c r="B9" s="447" t="s">
        <v>34</v>
      </c>
      <c r="C9" s="446" t="s">
        <v>29</v>
      </c>
      <c r="D9" s="446" t="s">
        <v>848</v>
      </c>
      <c r="E9" s="446" t="s">
        <v>31</v>
      </c>
      <c r="F9" s="448">
        <v>17.760000000000002</v>
      </c>
      <c r="G9" s="448">
        <v>7844.27</v>
      </c>
      <c r="H9" s="448">
        <v>139314.2352</v>
      </c>
      <c r="I9" s="454">
        <f>H9/$I$13</f>
        <v>0.58392840707290394</v>
      </c>
      <c r="J9" s="454">
        <f>I9</f>
        <v>0.58392840707290394</v>
      </c>
      <c r="K9" s="455" t="s">
        <v>1131</v>
      </c>
    </row>
    <row r="10" spans="1:11" ht="60">
      <c r="A10" s="446" t="s">
        <v>28</v>
      </c>
      <c r="B10" s="447" t="s">
        <v>30</v>
      </c>
      <c r="C10" s="446" t="s">
        <v>29</v>
      </c>
      <c r="D10" s="446" t="s">
        <v>848</v>
      </c>
      <c r="E10" s="446" t="s">
        <v>31</v>
      </c>
      <c r="F10" s="448">
        <v>5.0199999999999996</v>
      </c>
      <c r="G10" s="448">
        <v>19774.259999999998</v>
      </c>
      <c r="H10" s="448">
        <v>99266.785199999998</v>
      </c>
      <c r="I10" s="454">
        <f>H10/$I$13</f>
        <v>0.41607159292709611</v>
      </c>
      <c r="J10" s="454">
        <f>I10+J9</f>
        <v>1</v>
      </c>
      <c r="K10" s="455" t="s">
        <v>1131</v>
      </c>
    </row>
    <row r="13" spans="1:11">
      <c r="A13" s="456"/>
      <c r="B13" s="456"/>
      <c r="C13" s="456"/>
      <c r="D13" s="456"/>
      <c r="E13" s="456"/>
      <c r="F13" s="456"/>
      <c r="G13" s="572" t="s">
        <v>2076</v>
      </c>
      <c r="H13" s="573"/>
      <c r="I13" s="574">
        <f>H9+H10</f>
        <v>238581.02039999998</v>
      </c>
      <c r="J13" s="575"/>
      <c r="K13" s="575"/>
    </row>
  </sheetData>
  <mergeCells count="9">
    <mergeCell ref="A7:K7"/>
    <mergeCell ref="G13:H13"/>
    <mergeCell ref="I13:K13"/>
    <mergeCell ref="A1:K1"/>
    <mergeCell ref="A2:K2"/>
    <mergeCell ref="A3:K3"/>
    <mergeCell ref="A4:K4"/>
    <mergeCell ref="A5:K5"/>
    <mergeCell ref="E6:K6"/>
  </mergeCells>
  <pageMargins left="0.51181102362204722" right="0.51181102362204722" top="0.78740157480314965" bottom="0.78740157480314965" header="0.31496062992125984" footer="0.31496062992125984"/>
  <pageSetup scale="79" orientation="portrait" r:id="rId1"/>
  <headerFooter>
    <oddFooter>&amp;C&amp;P/&amp;N&amp;R&amp;G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K254"/>
  <sheetViews>
    <sheetView view="pageBreakPreview" topLeftCell="A245" zoomScaleNormal="100" zoomScaleSheetLayoutView="100" workbookViewId="0">
      <selection activeCell="D601" sqref="D601"/>
    </sheetView>
  </sheetViews>
  <sheetFormatPr defaultRowHeight="15"/>
  <cols>
    <col min="1" max="1" width="9.28515625" customWidth="1"/>
    <col min="2" max="2" width="68.7109375" customWidth="1"/>
    <col min="3" max="3" width="9.28515625" customWidth="1"/>
    <col min="4" max="4" width="10.28515625" customWidth="1"/>
    <col min="5" max="5" width="9.28515625" customWidth="1"/>
    <col min="6" max="8" width="12.42578125" customWidth="1"/>
    <col min="9" max="10" width="8.7109375" customWidth="1"/>
    <col min="11" max="11" width="4.7109375" customWidth="1"/>
  </cols>
  <sheetData>
    <row r="1" spans="1:11" ht="99" customHeight="1">
      <c r="A1" s="495"/>
      <c r="B1" s="495"/>
      <c r="C1" s="495"/>
      <c r="D1" s="495"/>
      <c r="E1" s="495"/>
      <c r="F1" s="495"/>
      <c r="G1" s="495"/>
      <c r="H1" s="495"/>
      <c r="I1" s="495"/>
      <c r="J1" s="495"/>
      <c r="K1" s="495"/>
    </row>
    <row r="2" spans="1:11" ht="9.9499999999999993" customHeight="1">
      <c r="A2" s="1"/>
      <c r="B2" s="585" t="s">
        <v>1122</v>
      </c>
      <c r="C2" s="585"/>
      <c r="D2" s="1"/>
      <c r="E2" s="1"/>
      <c r="F2" s="1"/>
      <c r="G2" s="1"/>
      <c r="H2" s="1"/>
      <c r="I2" s="1"/>
      <c r="J2" s="1"/>
      <c r="K2" s="1"/>
    </row>
    <row r="3" spans="1:11" ht="21.95" customHeight="1">
      <c r="A3" s="458" t="s">
        <v>1</v>
      </c>
      <c r="B3" s="459" t="s">
        <v>3</v>
      </c>
      <c r="C3" s="458" t="s">
        <v>835</v>
      </c>
      <c r="D3" s="458" t="s">
        <v>1123</v>
      </c>
      <c r="E3" s="458" t="s">
        <v>1124</v>
      </c>
      <c r="F3" s="458" t="s">
        <v>1125</v>
      </c>
      <c r="G3" s="458" t="s">
        <v>8</v>
      </c>
      <c r="H3" s="458" t="s">
        <v>1126</v>
      </c>
      <c r="I3" s="458" t="s">
        <v>1127</v>
      </c>
      <c r="J3" s="458" t="s">
        <v>1128</v>
      </c>
      <c r="K3" s="458" t="s">
        <v>1129</v>
      </c>
    </row>
    <row r="4" spans="1:11" ht="36">
      <c r="A4" s="460" t="s">
        <v>178</v>
      </c>
      <c r="B4" s="461" t="s">
        <v>1130</v>
      </c>
      <c r="C4" s="460" t="s">
        <v>29</v>
      </c>
      <c r="D4" s="460" t="s">
        <v>834</v>
      </c>
      <c r="E4" s="460" t="s">
        <v>20</v>
      </c>
      <c r="F4" s="462">
        <v>16162.89</v>
      </c>
      <c r="G4" s="462">
        <v>49</v>
      </c>
      <c r="H4" s="462">
        <v>791981.61</v>
      </c>
      <c r="I4" s="463">
        <v>12.595181588042902</v>
      </c>
      <c r="J4" s="463">
        <v>12.595181588042902</v>
      </c>
      <c r="K4" s="460" t="s">
        <v>1131</v>
      </c>
    </row>
    <row r="5" spans="1:11" ht="36">
      <c r="A5" s="460" t="s">
        <v>904</v>
      </c>
      <c r="B5" s="461" t="s">
        <v>1151</v>
      </c>
      <c r="C5" s="460" t="s">
        <v>1136</v>
      </c>
      <c r="D5" s="460" t="s">
        <v>874</v>
      </c>
      <c r="E5" s="460" t="s">
        <v>877</v>
      </c>
      <c r="F5" s="462">
        <v>2387.92</v>
      </c>
      <c r="G5" s="462">
        <v>280.73719999999997</v>
      </c>
      <c r="H5" s="462">
        <v>670377.97462400002</v>
      </c>
      <c r="I5" s="463">
        <v>10.66127321190412</v>
      </c>
      <c r="J5" s="463">
        <v>23.25645472640981</v>
      </c>
      <c r="K5" s="460" t="s">
        <v>1131</v>
      </c>
    </row>
    <row r="6" spans="1:11" ht="36">
      <c r="A6" s="460" t="s">
        <v>902</v>
      </c>
      <c r="B6" s="461" t="s">
        <v>1152</v>
      </c>
      <c r="C6" s="460" t="s">
        <v>1136</v>
      </c>
      <c r="D6" s="460" t="s">
        <v>874</v>
      </c>
      <c r="E6" s="460" t="s">
        <v>877</v>
      </c>
      <c r="F6" s="462">
        <v>1814.8191999999999</v>
      </c>
      <c r="G6" s="462">
        <v>346.76339999999999</v>
      </c>
      <c r="H6" s="462">
        <v>629312.87617727998</v>
      </c>
      <c r="I6" s="463">
        <v>10.008199497392873</v>
      </c>
      <c r="J6" s="463">
        <v>33.264654284596837</v>
      </c>
      <c r="K6" s="460" t="s">
        <v>1131</v>
      </c>
    </row>
    <row r="7" spans="1:11" ht="36">
      <c r="A7" s="460" t="s">
        <v>906</v>
      </c>
      <c r="B7" s="461" t="s">
        <v>1153</v>
      </c>
      <c r="C7" s="460" t="s">
        <v>1136</v>
      </c>
      <c r="D7" s="460" t="s">
        <v>874</v>
      </c>
      <c r="E7" s="460" t="s">
        <v>877</v>
      </c>
      <c r="F7" s="462">
        <v>2101.3696</v>
      </c>
      <c r="G7" s="462">
        <v>229.67740000000001</v>
      </c>
      <c r="H7" s="462">
        <v>482637.10616704001</v>
      </c>
      <c r="I7" s="463">
        <v>7.6755595288398295</v>
      </c>
      <c r="J7" s="463">
        <v>40.94021387439367</v>
      </c>
      <c r="K7" s="460" t="s">
        <v>1131</v>
      </c>
    </row>
    <row r="8" spans="1:11" ht="24">
      <c r="A8" s="460" t="s">
        <v>184</v>
      </c>
      <c r="B8" s="461" t="s">
        <v>1133</v>
      </c>
      <c r="C8" s="460" t="s">
        <v>29</v>
      </c>
      <c r="D8" s="460" t="s">
        <v>834</v>
      </c>
      <c r="E8" s="460" t="s">
        <v>186</v>
      </c>
      <c r="F8" s="462">
        <v>737.7</v>
      </c>
      <c r="G8" s="462">
        <v>522.5</v>
      </c>
      <c r="H8" s="462">
        <v>385448.25</v>
      </c>
      <c r="I8" s="463">
        <v>6.1299285744063647</v>
      </c>
      <c r="J8" s="463">
        <v>47.070142448800041</v>
      </c>
      <c r="K8" s="460" t="s">
        <v>1131</v>
      </c>
    </row>
    <row r="9" spans="1:11" ht="36">
      <c r="A9" s="460" t="s">
        <v>908</v>
      </c>
      <c r="B9" s="461" t="s">
        <v>1154</v>
      </c>
      <c r="C9" s="460" t="s">
        <v>1136</v>
      </c>
      <c r="D9" s="460" t="s">
        <v>874</v>
      </c>
      <c r="E9" s="460" t="s">
        <v>877</v>
      </c>
      <c r="F9" s="462">
        <v>1695.4232</v>
      </c>
      <c r="G9" s="462">
        <v>199.58199999999999</v>
      </c>
      <c r="H9" s="462">
        <v>338375.9531024</v>
      </c>
      <c r="I9" s="463">
        <v>5.3813201222586686</v>
      </c>
      <c r="J9" s="463">
        <v>52.451462521720075</v>
      </c>
      <c r="K9" s="460" t="s">
        <v>1137</v>
      </c>
    </row>
    <row r="10" spans="1:11" ht="24">
      <c r="A10" s="460" t="s">
        <v>1155</v>
      </c>
      <c r="B10" s="461" t="s">
        <v>1156</v>
      </c>
      <c r="C10" s="460" t="s">
        <v>29</v>
      </c>
      <c r="D10" s="460" t="s">
        <v>1157</v>
      </c>
      <c r="E10" s="460" t="s">
        <v>851</v>
      </c>
      <c r="F10" s="462">
        <v>23578.890361693684</v>
      </c>
      <c r="G10" s="462">
        <v>14.19</v>
      </c>
      <c r="H10" s="462">
        <v>334584.4542324334</v>
      </c>
      <c r="I10" s="463">
        <v>5.321022488885478</v>
      </c>
      <c r="J10" s="463">
        <v>57.772484943295566</v>
      </c>
      <c r="K10" s="460" t="s">
        <v>1137</v>
      </c>
    </row>
    <row r="11" spans="1:11" ht="36">
      <c r="A11" s="460" t="s">
        <v>181</v>
      </c>
      <c r="B11" s="461" t="s">
        <v>1134</v>
      </c>
      <c r="C11" s="460" t="s">
        <v>29</v>
      </c>
      <c r="D11" s="460" t="s">
        <v>834</v>
      </c>
      <c r="E11" s="460" t="s">
        <v>20</v>
      </c>
      <c r="F11" s="462">
        <v>5916.65</v>
      </c>
      <c r="G11" s="462">
        <v>53.92</v>
      </c>
      <c r="H11" s="462">
        <v>319025.76799999998</v>
      </c>
      <c r="I11" s="463">
        <v>5.0735868465744378</v>
      </c>
      <c r="J11" s="463">
        <v>62.846071821676759</v>
      </c>
      <c r="K11" s="460" t="s">
        <v>1137</v>
      </c>
    </row>
    <row r="12" spans="1:11">
      <c r="A12" s="460" t="s">
        <v>1158</v>
      </c>
      <c r="B12" s="461" t="s">
        <v>1159</v>
      </c>
      <c r="C12" s="460" t="s">
        <v>29</v>
      </c>
      <c r="D12" s="460" t="s">
        <v>834</v>
      </c>
      <c r="E12" s="460" t="s">
        <v>1006</v>
      </c>
      <c r="F12" s="462">
        <v>35996.799482201197</v>
      </c>
      <c r="G12" s="462">
        <v>7.64</v>
      </c>
      <c r="H12" s="462">
        <v>275015.54804401717</v>
      </c>
      <c r="I12" s="463">
        <v>4.3736757563720872</v>
      </c>
      <c r="J12" s="463">
        <v>67.219747609155576</v>
      </c>
      <c r="K12" s="460" t="s">
        <v>1137</v>
      </c>
    </row>
    <row r="13" spans="1:11">
      <c r="A13" s="460" t="s">
        <v>191</v>
      </c>
      <c r="B13" s="461" t="s">
        <v>1135</v>
      </c>
      <c r="C13" s="460" t="s">
        <v>1136</v>
      </c>
      <c r="D13" s="460" t="s">
        <v>834</v>
      </c>
      <c r="E13" s="460" t="s">
        <v>73</v>
      </c>
      <c r="F13" s="462">
        <v>3008.78</v>
      </c>
      <c r="G13" s="462">
        <v>90.74</v>
      </c>
      <c r="H13" s="462">
        <v>273016.6972</v>
      </c>
      <c r="I13" s="463">
        <v>4.3418872791777625</v>
      </c>
      <c r="J13" s="463">
        <v>71.561634932862802</v>
      </c>
      <c r="K13" s="460" t="s">
        <v>1137</v>
      </c>
    </row>
    <row r="14" spans="1:11" ht="24">
      <c r="A14" s="460" t="s">
        <v>1160</v>
      </c>
      <c r="B14" s="461" t="s">
        <v>1161</v>
      </c>
      <c r="C14" s="460" t="s">
        <v>29</v>
      </c>
      <c r="D14" s="460" t="s">
        <v>834</v>
      </c>
      <c r="E14" s="460" t="s">
        <v>40</v>
      </c>
      <c r="F14" s="462">
        <v>7362.4792500000003</v>
      </c>
      <c r="G14" s="462">
        <v>36.61</v>
      </c>
      <c r="H14" s="462">
        <v>269540.36534249998</v>
      </c>
      <c r="I14" s="463">
        <v>4.2866018654097449</v>
      </c>
      <c r="J14" s="463">
        <v>75.848236872342525</v>
      </c>
      <c r="K14" s="460" t="s">
        <v>1137</v>
      </c>
    </row>
    <row r="15" spans="1:11" ht="24">
      <c r="A15" s="460" t="s">
        <v>188</v>
      </c>
      <c r="B15" s="461" t="s">
        <v>1051</v>
      </c>
      <c r="C15" s="460" t="s">
        <v>1132</v>
      </c>
      <c r="D15" s="460" t="s">
        <v>834</v>
      </c>
      <c r="E15" s="460" t="s">
        <v>44</v>
      </c>
      <c r="F15" s="462">
        <v>4304.4799999999996</v>
      </c>
      <c r="G15" s="462">
        <v>56.1</v>
      </c>
      <c r="H15" s="462">
        <v>241481.32800000001</v>
      </c>
      <c r="I15" s="463">
        <v>3.8403684351733229</v>
      </c>
      <c r="J15" s="463">
        <v>79.688605339322606</v>
      </c>
      <c r="K15" s="460" t="s">
        <v>1137</v>
      </c>
    </row>
    <row r="16" spans="1:11" ht="24">
      <c r="A16" s="460" t="s">
        <v>956</v>
      </c>
      <c r="B16" s="461" t="s">
        <v>957</v>
      </c>
      <c r="C16" s="460" t="s">
        <v>29</v>
      </c>
      <c r="D16" s="460" t="s">
        <v>834</v>
      </c>
      <c r="E16" s="460" t="s">
        <v>60</v>
      </c>
      <c r="F16" s="462">
        <v>1708.24552835602</v>
      </c>
      <c r="G16" s="462">
        <v>129</v>
      </c>
      <c r="H16" s="462">
        <v>220363.67315792659</v>
      </c>
      <c r="I16" s="463">
        <v>3.5045264230721478</v>
      </c>
      <c r="J16" s="463">
        <v>83.193131712173056</v>
      </c>
      <c r="K16" s="460" t="s">
        <v>1141</v>
      </c>
    </row>
    <row r="17" spans="1:11" ht="24">
      <c r="A17" s="460" t="s">
        <v>197</v>
      </c>
      <c r="B17" s="461" t="s">
        <v>1138</v>
      </c>
      <c r="C17" s="460" t="s">
        <v>29</v>
      </c>
      <c r="D17" s="460" t="s">
        <v>834</v>
      </c>
      <c r="E17" s="460" t="s">
        <v>60</v>
      </c>
      <c r="F17" s="462">
        <v>493.00405000000001</v>
      </c>
      <c r="G17" s="462">
        <v>422.5</v>
      </c>
      <c r="H17" s="462">
        <v>208294.211125</v>
      </c>
      <c r="I17" s="463">
        <v>3.3125812262957988</v>
      </c>
      <c r="J17" s="463">
        <v>86.505712920577537</v>
      </c>
      <c r="K17" s="460" t="s">
        <v>1141</v>
      </c>
    </row>
    <row r="18" spans="1:11" ht="24">
      <c r="A18" s="460" t="s">
        <v>1162</v>
      </c>
      <c r="B18" s="461" t="s">
        <v>1163</v>
      </c>
      <c r="C18" s="460" t="s">
        <v>29</v>
      </c>
      <c r="D18" s="460" t="s">
        <v>1157</v>
      </c>
      <c r="E18" s="460" t="s">
        <v>851</v>
      </c>
      <c r="F18" s="462">
        <v>8545.8146797211994</v>
      </c>
      <c r="G18" s="462">
        <v>18.850000000000001</v>
      </c>
      <c r="H18" s="462">
        <v>161088.60671274463</v>
      </c>
      <c r="I18" s="463">
        <v>2.5618527345752957</v>
      </c>
      <c r="J18" s="463">
        <v>89.067565707431299</v>
      </c>
      <c r="K18" s="460" t="s">
        <v>1141</v>
      </c>
    </row>
    <row r="19" spans="1:11">
      <c r="A19" s="460" t="s">
        <v>1164</v>
      </c>
      <c r="B19" s="461" t="s">
        <v>1165</v>
      </c>
      <c r="C19" s="460" t="s">
        <v>29</v>
      </c>
      <c r="D19" s="460" t="s">
        <v>834</v>
      </c>
      <c r="E19" s="460" t="s">
        <v>328</v>
      </c>
      <c r="F19" s="462">
        <v>11987.028081</v>
      </c>
      <c r="G19" s="462">
        <v>12.12</v>
      </c>
      <c r="H19" s="462">
        <v>145282.78034172</v>
      </c>
      <c r="I19" s="463">
        <v>2.3104867296346856</v>
      </c>
      <c r="J19" s="463">
        <v>91.378052431631488</v>
      </c>
      <c r="K19" s="460" t="s">
        <v>1141</v>
      </c>
    </row>
    <row r="20" spans="1:11" ht="24">
      <c r="A20" s="460" t="s">
        <v>1166</v>
      </c>
      <c r="B20" s="461" t="s">
        <v>1167</v>
      </c>
      <c r="C20" s="460" t="s">
        <v>29</v>
      </c>
      <c r="D20" s="460" t="s">
        <v>1157</v>
      </c>
      <c r="E20" s="460" t="s">
        <v>851</v>
      </c>
      <c r="F20" s="462">
        <v>7557.1448668843996</v>
      </c>
      <c r="G20" s="462">
        <v>18.850000000000001</v>
      </c>
      <c r="H20" s="462">
        <v>142452.18074077094</v>
      </c>
      <c r="I20" s="463">
        <v>2.2654706389492021</v>
      </c>
      <c r="J20" s="463">
        <v>93.643523058799929</v>
      </c>
      <c r="K20" s="460" t="s">
        <v>1141</v>
      </c>
    </row>
    <row r="21" spans="1:11">
      <c r="A21" s="460" t="s">
        <v>1168</v>
      </c>
      <c r="B21" s="461" t="s">
        <v>1169</v>
      </c>
      <c r="C21" s="460" t="s">
        <v>29</v>
      </c>
      <c r="D21" s="460" t="s">
        <v>834</v>
      </c>
      <c r="E21" s="460" t="s">
        <v>328</v>
      </c>
      <c r="F21" s="462">
        <v>164495.67292728115</v>
      </c>
      <c r="G21" s="462">
        <v>0.68</v>
      </c>
      <c r="H21" s="462">
        <v>111857.05759055118</v>
      </c>
      <c r="I21" s="463">
        <v>1.7789048817145698</v>
      </c>
      <c r="J21" s="463">
        <v>95.422427978832872</v>
      </c>
      <c r="K21" s="460" t="s">
        <v>1141</v>
      </c>
    </row>
    <row r="22" spans="1:11" ht="24">
      <c r="A22" s="460" t="s">
        <v>1170</v>
      </c>
      <c r="B22" s="461" t="s">
        <v>1171</v>
      </c>
      <c r="C22" s="460" t="s">
        <v>29</v>
      </c>
      <c r="D22" s="460" t="s">
        <v>1157</v>
      </c>
      <c r="E22" s="460" t="s">
        <v>31</v>
      </c>
      <c r="F22" s="462">
        <v>17.992656</v>
      </c>
      <c r="G22" s="462">
        <v>6216.69</v>
      </c>
      <c r="H22" s="462">
        <v>111854.76462864</v>
      </c>
      <c r="I22" s="463">
        <v>1.7788684158783927</v>
      </c>
      <c r="J22" s="463">
        <v>97.201296321100259</v>
      </c>
      <c r="K22" s="460" t="s">
        <v>1141</v>
      </c>
    </row>
    <row r="23" spans="1:11" ht="36">
      <c r="A23" s="460" t="s">
        <v>1172</v>
      </c>
      <c r="B23" s="461" t="s">
        <v>1173</v>
      </c>
      <c r="C23" s="460" t="s">
        <v>29</v>
      </c>
      <c r="D23" s="460" t="s">
        <v>1174</v>
      </c>
      <c r="E23" s="460" t="s">
        <v>851</v>
      </c>
      <c r="F23" s="462">
        <v>46202.14539338844</v>
      </c>
      <c r="G23" s="462">
        <v>2.2799999999999998</v>
      </c>
      <c r="H23" s="462">
        <v>105340.89149692566</v>
      </c>
      <c r="I23" s="463">
        <v>1.6752758401171752</v>
      </c>
      <c r="J23" s="463">
        <v>98.876572137411259</v>
      </c>
      <c r="K23" s="460" t="s">
        <v>1141</v>
      </c>
    </row>
    <row r="24" spans="1:11">
      <c r="A24" s="460" t="s">
        <v>502</v>
      </c>
      <c r="B24" s="461" t="s">
        <v>1139</v>
      </c>
      <c r="C24" s="460" t="s">
        <v>1136</v>
      </c>
      <c r="D24" s="460" t="s">
        <v>834</v>
      </c>
      <c r="E24" s="460" t="s">
        <v>504</v>
      </c>
      <c r="F24" s="462">
        <v>381.27</v>
      </c>
      <c r="G24" s="462">
        <v>227.86</v>
      </c>
      <c r="H24" s="462">
        <v>86876.182199999996</v>
      </c>
      <c r="I24" s="463">
        <v>1.381624619396024</v>
      </c>
      <c r="J24" s="463">
        <v>100.25819672181986</v>
      </c>
      <c r="K24" s="460" t="s">
        <v>1141</v>
      </c>
    </row>
    <row r="25" spans="1:11" ht="24">
      <c r="A25" s="460" t="s">
        <v>1175</v>
      </c>
      <c r="B25" s="461" t="s">
        <v>1176</v>
      </c>
      <c r="C25" s="460" t="s">
        <v>29</v>
      </c>
      <c r="D25" s="460" t="s">
        <v>1157</v>
      </c>
      <c r="E25" s="460" t="s">
        <v>31</v>
      </c>
      <c r="F25" s="462">
        <v>5.0656819999999998</v>
      </c>
      <c r="G25" s="462">
        <v>16392.18</v>
      </c>
      <c r="H25" s="462">
        <v>83037.571166759997</v>
      </c>
      <c r="I25" s="463">
        <v>1.3205777435607093</v>
      </c>
      <c r="J25" s="463">
        <v>101.57877444682514</v>
      </c>
      <c r="K25" s="460" t="s">
        <v>1141</v>
      </c>
    </row>
    <row r="26" spans="1:11" ht="24">
      <c r="A26" s="460" t="s">
        <v>891</v>
      </c>
      <c r="B26" s="461" t="s">
        <v>892</v>
      </c>
      <c r="C26" s="460" t="s">
        <v>29</v>
      </c>
      <c r="D26" s="460" t="s">
        <v>834</v>
      </c>
      <c r="E26" s="460" t="s">
        <v>60</v>
      </c>
      <c r="F26" s="462">
        <v>1206.2715000000001</v>
      </c>
      <c r="G26" s="462">
        <v>64.5</v>
      </c>
      <c r="H26" s="462">
        <v>77804.511750000005</v>
      </c>
      <c r="I26" s="463">
        <v>1.2373544303134358</v>
      </c>
      <c r="J26" s="463">
        <v>102.81612884930767</v>
      </c>
      <c r="K26" s="460" t="s">
        <v>1141</v>
      </c>
    </row>
    <row r="27" spans="1:11" ht="24">
      <c r="A27" s="460" t="s">
        <v>365</v>
      </c>
      <c r="B27" s="461" t="s">
        <v>1140</v>
      </c>
      <c r="C27" s="460" t="s">
        <v>29</v>
      </c>
      <c r="D27" s="460" t="s">
        <v>834</v>
      </c>
      <c r="E27" s="460" t="s">
        <v>20</v>
      </c>
      <c r="F27" s="462">
        <v>732.55</v>
      </c>
      <c r="G27" s="462">
        <v>94.4</v>
      </c>
      <c r="H27" s="462">
        <v>69152.72</v>
      </c>
      <c r="I27" s="463">
        <v>1.0997617302087179</v>
      </c>
      <c r="J27" s="463">
        <v>103.91589057951639</v>
      </c>
      <c r="K27" s="460" t="s">
        <v>1141</v>
      </c>
    </row>
    <row r="28" spans="1:11" ht="36">
      <c r="A28" s="460" t="s">
        <v>908</v>
      </c>
      <c r="B28" s="461" t="s">
        <v>1177</v>
      </c>
      <c r="C28" s="460" t="s">
        <v>1136</v>
      </c>
      <c r="D28" s="460" t="s">
        <v>874</v>
      </c>
      <c r="E28" s="460" t="s">
        <v>927</v>
      </c>
      <c r="F28" s="462">
        <v>692.49680000000001</v>
      </c>
      <c r="G28" s="462">
        <v>71.465199999999996</v>
      </c>
      <c r="H28" s="462">
        <v>49489.422311360002</v>
      </c>
      <c r="I28" s="463">
        <v>0.78704890723273369</v>
      </c>
      <c r="J28" s="463">
        <v>104.70293944999069</v>
      </c>
      <c r="K28" s="460" t="s">
        <v>1141</v>
      </c>
    </row>
    <row r="29" spans="1:11" ht="24">
      <c r="A29" s="460" t="s">
        <v>914</v>
      </c>
      <c r="B29" s="461" t="s">
        <v>915</v>
      </c>
      <c r="C29" s="460" t="s">
        <v>1136</v>
      </c>
      <c r="D29" s="460" t="s">
        <v>1157</v>
      </c>
      <c r="E29" s="460" t="s">
        <v>916</v>
      </c>
      <c r="F29" s="462">
        <v>2561.1378859000001</v>
      </c>
      <c r="G29" s="462">
        <v>18.947800000000001</v>
      </c>
      <c r="H29" s="462">
        <v>48527.928434456022</v>
      </c>
      <c r="I29" s="463">
        <v>0.77175790827204194</v>
      </c>
      <c r="J29" s="463">
        <v>105.47469738316018</v>
      </c>
      <c r="K29" s="460" t="s">
        <v>1141</v>
      </c>
    </row>
    <row r="30" spans="1:11" ht="36">
      <c r="A30" s="460" t="s">
        <v>902</v>
      </c>
      <c r="B30" s="461" t="s">
        <v>1178</v>
      </c>
      <c r="C30" s="460" t="s">
        <v>1136</v>
      </c>
      <c r="D30" s="460" t="s">
        <v>874</v>
      </c>
      <c r="E30" s="460" t="s">
        <v>927</v>
      </c>
      <c r="F30" s="462">
        <v>573.10080000000005</v>
      </c>
      <c r="G30" s="462">
        <v>81.125100000000003</v>
      </c>
      <c r="H30" s="462">
        <v>46492.859710080003</v>
      </c>
      <c r="I30" s="463">
        <v>0.73939344449659794</v>
      </c>
      <c r="J30" s="463">
        <v>106.21409083226747</v>
      </c>
      <c r="K30" s="460" t="s">
        <v>1141</v>
      </c>
    </row>
    <row r="31" spans="1:11" ht="36">
      <c r="A31" s="460" t="s">
        <v>1179</v>
      </c>
      <c r="B31" s="461" t="s">
        <v>1180</v>
      </c>
      <c r="C31" s="460" t="s">
        <v>29</v>
      </c>
      <c r="D31" s="460" t="s">
        <v>862</v>
      </c>
      <c r="E31" s="460" t="s">
        <v>115</v>
      </c>
      <c r="F31" s="462">
        <v>6.3439323230395195E-2</v>
      </c>
      <c r="G31" s="462">
        <v>690279.26</v>
      </c>
      <c r="H31" s="462">
        <v>43790.849094378005</v>
      </c>
      <c r="I31" s="463">
        <v>0.69642235283502996</v>
      </c>
      <c r="J31" s="463">
        <v>106.91051319950495</v>
      </c>
      <c r="K31" s="460" t="s">
        <v>1141</v>
      </c>
    </row>
    <row r="32" spans="1:11" ht="36">
      <c r="A32" s="460" t="s">
        <v>1181</v>
      </c>
      <c r="B32" s="461" t="s">
        <v>1182</v>
      </c>
      <c r="C32" s="460" t="s">
        <v>29</v>
      </c>
      <c r="D32" s="460" t="s">
        <v>862</v>
      </c>
      <c r="E32" s="460" t="s">
        <v>115</v>
      </c>
      <c r="F32" s="462">
        <v>7.0815532182600005E-2</v>
      </c>
      <c r="G32" s="462">
        <v>601378.1</v>
      </c>
      <c r="H32" s="462">
        <v>42586.910194460841</v>
      </c>
      <c r="I32" s="463">
        <v>0.67727565943470547</v>
      </c>
      <c r="J32" s="463">
        <v>107.58778885584708</v>
      </c>
      <c r="K32" s="460" t="s">
        <v>1141</v>
      </c>
    </row>
    <row r="33" spans="1:11" ht="36">
      <c r="A33" s="460" t="s">
        <v>1183</v>
      </c>
      <c r="B33" s="461" t="s">
        <v>1184</v>
      </c>
      <c r="C33" s="460" t="s">
        <v>29</v>
      </c>
      <c r="D33" s="460" t="s">
        <v>1174</v>
      </c>
      <c r="E33" s="460" t="s">
        <v>851</v>
      </c>
      <c r="F33" s="462">
        <v>46266.870594638443</v>
      </c>
      <c r="G33" s="462">
        <v>0.81</v>
      </c>
      <c r="H33" s="462">
        <v>37476.165181657139</v>
      </c>
      <c r="I33" s="463">
        <v>0.59599755818378475</v>
      </c>
      <c r="J33" s="463">
        <v>108.18378649065878</v>
      </c>
      <c r="K33" s="460" t="s">
        <v>1141</v>
      </c>
    </row>
    <row r="34" spans="1:11" ht="24">
      <c r="A34" s="460" t="s">
        <v>976</v>
      </c>
      <c r="B34" s="461" t="s">
        <v>977</v>
      </c>
      <c r="C34" s="460" t="s">
        <v>1132</v>
      </c>
      <c r="D34" s="460" t="s">
        <v>834</v>
      </c>
      <c r="E34" s="460" t="s">
        <v>328</v>
      </c>
      <c r="F34" s="462">
        <v>6929.9880000000003</v>
      </c>
      <c r="G34" s="462">
        <v>5.32</v>
      </c>
      <c r="H34" s="462">
        <v>36867.536160000003</v>
      </c>
      <c r="I34" s="463">
        <v>0.58631830180872246</v>
      </c>
      <c r="J34" s="463">
        <v>108.77010485353647</v>
      </c>
      <c r="K34" s="460" t="s">
        <v>1141</v>
      </c>
    </row>
    <row r="35" spans="1:11">
      <c r="A35" s="460" t="s">
        <v>672</v>
      </c>
      <c r="B35" s="461" t="s">
        <v>1142</v>
      </c>
      <c r="C35" s="460" t="s">
        <v>1136</v>
      </c>
      <c r="D35" s="460" t="s">
        <v>834</v>
      </c>
      <c r="E35" s="460" t="s">
        <v>504</v>
      </c>
      <c r="F35" s="462">
        <v>73.08</v>
      </c>
      <c r="G35" s="462">
        <v>501.47</v>
      </c>
      <c r="H35" s="462">
        <v>36647.427600000003</v>
      </c>
      <c r="I35" s="463">
        <v>0.58281783254620689</v>
      </c>
      <c r="J35" s="463">
        <v>109.35292272425077</v>
      </c>
      <c r="K35" s="460" t="s">
        <v>1141</v>
      </c>
    </row>
    <row r="36" spans="1:11">
      <c r="A36" s="460" t="s">
        <v>1185</v>
      </c>
      <c r="B36" s="461" t="s">
        <v>1186</v>
      </c>
      <c r="C36" s="460" t="s">
        <v>29</v>
      </c>
      <c r="D36" s="460" t="s">
        <v>834</v>
      </c>
      <c r="E36" s="460" t="s">
        <v>115</v>
      </c>
      <c r="F36" s="462">
        <v>8364.8160000000007</v>
      </c>
      <c r="G36" s="462">
        <v>4</v>
      </c>
      <c r="H36" s="462">
        <v>33459.264000000003</v>
      </c>
      <c r="I36" s="463">
        <v>0.53211526702276168</v>
      </c>
      <c r="J36" s="463">
        <v>109.88503792766004</v>
      </c>
      <c r="K36" s="460" t="s">
        <v>1141</v>
      </c>
    </row>
    <row r="37" spans="1:11" ht="24">
      <c r="A37" s="460" t="s">
        <v>839</v>
      </c>
      <c r="B37" s="461" t="s">
        <v>840</v>
      </c>
      <c r="C37" s="460" t="s">
        <v>29</v>
      </c>
      <c r="D37" s="460" t="s">
        <v>834</v>
      </c>
      <c r="E37" s="460" t="s">
        <v>20</v>
      </c>
      <c r="F37" s="462">
        <v>74.88</v>
      </c>
      <c r="G37" s="462">
        <v>445</v>
      </c>
      <c r="H37" s="462">
        <v>33321.599999999999</v>
      </c>
      <c r="I37" s="463">
        <v>0.52992594462405551</v>
      </c>
      <c r="J37" s="463">
        <v>110.41496387228409</v>
      </c>
      <c r="K37" s="460" t="s">
        <v>1141</v>
      </c>
    </row>
    <row r="38" spans="1:11" ht="36">
      <c r="A38" s="460" t="s">
        <v>1017</v>
      </c>
      <c r="B38" s="461" t="s">
        <v>1018</v>
      </c>
      <c r="C38" s="460" t="s">
        <v>29</v>
      </c>
      <c r="D38" s="460" t="s">
        <v>834</v>
      </c>
      <c r="E38" s="460" t="s">
        <v>20</v>
      </c>
      <c r="F38" s="462">
        <v>597.85</v>
      </c>
      <c r="G38" s="462">
        <v>52.99</v>
      </c>
      <c r="H38" s="462">
        <v>31680.071499999998</v>
      </c>
      <c r="I38" s="463">
        <v>0.50382009913674974</v>
      </c>
      <c r="J38" s="463">
        <v>110.91878394756577</v>
      </c>
      <c r="K38" s="460" t="s">
        <v>1141</v>
      </c>
    </row>
    <row r="39" spans="1:11" ht="36">
      <c r="A39" s="460" t="s">
        <v>172</v>
      </c>
      <c r="B39" s="461" t="s">
        <v>1143</v>
      </c>
      <c r="C39" s="460" t="s">
        <v>29</v>
      </c>
      <c r="D39" s="460" t="s">
        <v>862</v>
      </c>
      <c r="E39" s="460" t="s">
        <v>31</v>
      </c>
      <c r="F39" s="462">
        <v>37</v>
      </c>
      <c r="G39" s="462">
        <v>830</v>
      </c>
      <c r="H39" s="462">
        <v>30710</v>
      </c>
      <c r="I39" s="463">
        <v>0.48839268700796917</v>
      </c>
      <c r="J39" s="463">
        <v>111.40717663457374</v>
      </c>
      <c r="K39" s="460" t="s">
        <v>1141</v>
      </c>
    </row>
    <row r="40" spans="1:11" ht="24">
      <c r="A40" s="460" t="s">
        <v>1187</v>
      </c>
      <c r="B40" s="461" t="s">
        <v>1188</v>
      </c>
      <c r="C40" s="460" t="s">
        <v>29</v>
      </c>
      <c r="D40" s="460" t="s">
        <v>862</v>
      </c>
      <c r="E40" s="460" t="s">
        <v>115</v>
      </c>
      <c r="F40" s="462">
        <v>4.1400288733600001E-2</v>
      </c>
      <c r="G40" s="462">
        <v>720000</v>
      </c>
      <c r="H40" s="462">
        <v>29808.207888191999</v>
      </c>
      <c r="I40" s="463">
        <v>0.47405114768499618</v>
      </c>
      <c r="J40" s="463">
        <v>111.88122781584362</v>
      </c>
      <c r="K40" s="460" t="s">
        <v>1141</v>
      </c>
    </row>
    <row r="41" spans="1:11" ht="36">
      <c r="A41" s="460" t="s">
        <v>906</v>
      </c>
      <c r="B41" s="461" t="s">
        <v>1189</v>
      </c>
      <c r="C41" s="460" t="s">
        <v>1136</v>
      </c>
      <c r="D41" s="460" t="s">
        <v>874</v>
      </c>
      <c r="E41" s="460" t="s">
        <v>927</v>
      </c>
      <c r="F41" s="462">
        <v>286.55040000000002</v>
      </c>
      <c r="G41" s="462">
        <v>103.4821</v>
      </c>
      <c r="H41" s="462">
        <v>29652.83714784</v>
      </c>
      <c r="I41" s="463">
        <v>0.47158022833094443</v>
      </c>
      <c r="J41" s="463">
        <v>112.35280808953354</v>
      </c>
      <c r="K41" s="460" t="s">
        <v>1141</v>
      </c>
    </row>
    <row r="42" spans="1:11" ht="24">
      <c r="A42" s="460" t="s">
        <v>1190</v>
      </c>
      <c r="B42" s="461" t="s">
        <v>1191</v>
      </c>
      <c r="C42" s="460" t="s">
        <v>29</v>
      </c>
      <c r="D42" s="460" t="s">
        <v>1157</v>
      </c>
      <c r="E42" s="460" t="s">
        <v>851</v>
      </c>
      <c r="F42" s="462">
        <v>1179.7387218323663</v>
      </c>
      <c r="G42" s="462">
        <v>24.95</v>
      </c>
      <c r="H42" s="462">
        <v>29434.481109717541</v>
      </c>
      <c r="I42" s="463">
        <v>0.46810763008336892</v>
      </c>
      <c r="J42" s="463">
        <v>112.82091570196864</v>
      </c>
      <c r="K42" s="460" t="s">
        <v>1141</v>
      </c>
    </row>
    <row r="43" spans="1:11" ht="36">
      <c r="A43" s="460" t="s">
        <v>1192</v>
      </c>
      <c r="B43" s="461" t="s">
        <v>1193</v>
      </c>
      <c r="C43" s="460" t="s">
        <v>29</v>
      </c>
      <c r="D43" s="460" t="s">
        <v>1174</v>
      </c>
      <c r="E43" s="460" t="s">
        <v>851</v>
      </c>
      <c r="F43" s="462">
        <v>23180.19107520024</v>
      </c>
      <c r="G43" s="462">
        <v>1.1499999999999999</v>
      </c>
      <c r="H43" s="462">
        <v>26657.219736480278</v>
      </c>
      <c r="I43" s="463">
        <v>0.42393979730581155</v>
      </c>
      <c r="J43" s="463">
        <v>113.24485550346532</v>
      </c>
      <c r="K43" s="460" t="s">
        <v>1141</v>
      </c>
    </row>
    <row r="44" spans="1:11" ht="24">
      <c r="A44" s="460" t="s">
        <v>863</v>
      </c>
      <c r="B44" s="461" t="s">
        <v>23</v>
      </c>
      <c r="C44" s="460" t="s">
        <v>1132</v>
      </c>
      <c r="D44" s="460" t="s">
        <v>862</v>
      </c>
      <c r="E44" s="460" t="s">
        <v>24</v>
      </c>
      <c r="F44" s="462">
        <v>37</v>
      </c>
      <c r="G44" s="462">
        <v>700</v>
      </c>
      <c r="H44" s="462">
        <v>25900</v>
      </c>
      <c r="I44" s="463">
        <v>0.41189744687419089</v>
      </c>
      <c r="J44" s="463">
        <v>113.6567529503395</v>
      </c>
      <c r="K44" s="460" t="s">
        <v>1141</v>
      </c>
    </row>
    <row r="45" spans="1:11" ht="36">
      <c r="A45" s="460" t="s">
        <v>1194</v>
      </c>
      <c r="B45" s="461" t="s">
        <v>1195</v>
      </c>
      <c r="C45" s="460" t="s">
        <v>29</v>
      </c>
      <c r="D45" s="460" t="s">
        <v>1174</v>
      </c>
      <c r="E45" s="460" t="s">
        <v>851</v>
      </c>
      <c r="F45" s="462">
        <v>46202.14539338844</v>
      </c>
      <c r="G45" s="462">
        <v>0.56000000000000005</v>
      </c>
      <c r="H45" s="462">
        <v>25873.20142029753</v>
      </c>
      <c r="I45" s="463">
        <v>0.41147125897614834</v>
      </c>
      <c r="J45" s="463">
        <v>114.06822418672813</v>
      </c>
      <c r="K45" s="460" t="s">
        <v>1141</v>
      </c>
    </row>
    <row r="46" spans="1:11" ht="24">
      <c r="A46" s="460" t="s">
        <v>1196</v>
      </c>
      <c r="B46" s="461" t="s">
        <v>1197</v>
      </c>
      <c r="C46" s="460" t="s">
        <v>29</v>
      </c>
      <c r="D46" s="460" t="s">
        <v>862</v>
      </c>
      <c r="E46" s="460" t="s">
        <v>115</v>
      </c>
      <c r="F46" s="462">
        <v>1.8969354055500001E-2</v>
      </c>
      <c r="G46" s="462">
        <v>1350000</v>
      </c>
      <c r="H46" s="462">
        <v>25608.627974924999</v>
      </c>
      <c r="I46" s="463">
        <v>0.40726364790820802</v>
      </c>
      <c r="J46" s="463">
        <v>114.47548786684186</v>
      </c>
      <c r="K46" s="460" t="s">
        <v>1141</v>
      </c>
    </row>
    <row r="47" spans="1:11">
      <c r="A47" s="460" t="s">
        <v>194</v>
      </c>
      <c r="B47" s="461" t="s">
        <v>1144</v>
      </c>
      <c r="C47" s="460" t="s">
        <v>1136</v>
      </c>
      <c r="D47" s="460" t="s">
        <v>834</v>
      </c>
      <c r="E47" s="460" t="s">
        <v>73</v>
      </c>
      <c r="F47" s="462">
        <v>334.31</v>
      </c>
      <c r="G47" s="462">
        <v>74.53</v>
      </c>
      <c r="H47" s="462">
        <v>24916.124299999999</v>
      </c>
      <c r="I47" s="463">
        <v>0.39625050135791456</v>
      </c>
      <c r="J47" s="463">
        <v>114.87173829981526</v>
      </c>
      <c r="K47" s="460" t="s">
        <v>1141</v>
      </c>
    </row>
    <row r="48" spans="1:11" ht="36">
      <c r="A48" s="460" t="s">
        <v>175</v>
      </c>
      <c r="B48" s="461" t="s">
        <v>1145</v>
      </c>
      <c r="C48" s="460" t="s">
        <v>29</v>
      </c>
      <c r="D48" s="460" t="s">
        <v>862</v>
      </c>
      <c r="E48" s="460" t="s">
        <v>31</v>
      </c>
      <c r="F48" s="462">
        <v>37</v>
      </c>
      <c r="G48" s="462">
        <v>648.42999999999995</v>
      </c>
      <c r="H48" s="462">
        <v>23991.91</v>
      </c>
      <c r="I48" s="463">
        <v>0.38155237353804511</v>
      </c>
      <c r="J48" s="463">
        <v>115.25329067335331</v>
      </c>
      <c r="K48" s="460" t="s">
        <v>1141</v>
      </c>
    </row>
    <row r="49" spans="1:11" ht="24">
      <c r="A49" s="460" t="s">
        <v>1198</v>
      </c>
      <c r="B49" s="461" t="s">
        <v>1199</v>
      </c>
      <c r="C49" s="460" t="s">
        <v>29</v>
      </c>
      <c r="D49" s="460" t="s">
        <v>834</v>
      </c>
      <c r="E49" s="460" t="s">
        <v>60</v>
      </c>
      <c r="F49" s="462">
        <v>248.54449649466</v>
      </c>
      <c r="G49" s="462">
        <v>88.22</v>
      </c>
      <c r="H49" s="462">
        <v>21926.595480758904</v>
      </c>
      <c r="I49" s="463">
        <v>0.34870689950454692</v>
      </c>
      <c r="J49" s="463">
        <v>115.60199764472904</v>
      </c>
      <c r="K49" s="460" t="s">
        <v>1141</v>
      </c>
    </row>
    <row r="50" spans="1:11">
      <c r="A50" s="460" t="s">
        <v>1045</v>
      </c>
      <c r="B50" s="461" t="s">
        <v>1046</v>
      </c>
      <c r="C50" s="460" t="s">
        <v>29</v>
      </c>
      <c r="D50" s="460" t="s">
        <v>834</v>
      </c>
      <c r="E50" s="460" t="s">
        <v>115</v>
      </c>
      <c r="F50" s="462">
        <v>2118.1615999999999</v>
      </c>
      <c r="G50" s="462">
        <v>10.27</v>
      </c>
      <c r="H50" s="462">
        <v>21753.519632</v>
      </c>
      <c r="I50" s="463">
        <v>0.34595440914858644</v>
      </c>
      <c r="J50" s="463">
        <v>115.94795205973007</v>
      </c>
      <c r="K50" s="460" t="s">
        <v>1141</v>
      </c>
    </row>
    <row r="51" spans="1:11" ht="24">
      <c r="A51" s="460" t="s">
        <v>1200</v>
      </c>
      <c r="B51" s="461" t="s">
        <v>1201</v>
      </c>
      <c r="C51" s="460" t="s">
        <v>29</v>
      </c>
      <c r="D51" s="460" t="s">
        <v>1157</v>
      </c>
      <c r="E51" s="460" t="s">
        <v>851</v>
      </c>
      <c r="F51" s="462">
        <v>670.02090802149996</v>
      </c>
      <c r="G51" s="462">
        <v>32.01</v>
      </c>
      <c r="H51" s="462">
        <v>21447.369265768215</v>
      </c>
      <c r="I51" s="463">
        <v>0.3410855846616957</v>
      </c>
      <c r="J51" s="463">
        <v>116.28903765606853</v>
      </c>
      <c r="K51" s="460" t="s">
        <v>1141</v>
      </c>
    </row>
    <row r="52" spans="1:11" ht="36">
      <c r="A52" s="460" t="s">
        <v>1202</v>
      </c>
      <c r="B52" s="461" t="s">
        <v>1203</v>
      </c>
      <c r="C52" s="460" t="s">
        <v>29</v>
      </c>
      <c r="D52" s="460" t="s">
        <v>862</v>
      </c>
      <c r="E52" s="460" t="s">
        <v>115</v>
      </c>
      <c r="F52" s="462">
        <v>0.10229744261199999</v>
      </c>
      <c r="G52" s="462">
        <v>209199.3</v>
      </c>
      <c r="H52" s="462">
        <v>21400.55338622057</v>
      </c>
      <c r="I52" s="463">
        <v>0.34034105411116111</v>
      </c>
      <c r="J52" s="463">
        <v>116.62937865632735</v>
      </c>
      <c r="K52" s="460" t="s">
        <v>1141</v>
      </c>
    </row>
    <row r="53" spans="1:11" ht="36">
      <c r="A53" s="460" t="s">
        <v>1204</v>
      </c>
      <c r="B53" s="461" t="s">
        <v>1205</v>
      </c>
      <c r="C53" s="460" t="s">
        <v>29</v>
      </c>
      <c r="D53" s="460" t="s">
        <v>1174</v>
      </c>
      <c r="E53" s="460" t="s">
        <v>851</v>
      </c>
      <c r="F53" s="462">
        <v>17668.156580541505</v>
      </c>
      <c r="G53" s="462">
        <v>1.0900000000000001</v>
      </c>
      <c r="H53" s="462">
        <v>19258.290672790241</v>
      </c>
      <c r="I53" s="463">
        <v>0.30627184398777391</v>
      </c>
      <c r="J53" s="463">
        <v>116.93565048961548</v>
      </c>
      <c r="K53" s="460" t="s">
        <v>1141</v>
      </c>
    </row>
    <row r="54" spans="1:11">
      <c r="A54" s="460" t="s">
        <v>958</v>
      </c>
      <c r="B54" s="461" t="s">
        <v>959</v>
      </c>
      <c r="C54" s="460" t="s">
        <v>29</v>
      </c>
      <c r="D54" s="460" t="s">
        <v>834</v>
      </c>
      <c r="E54" s="460" t="s">
        <v>60</v>
      </c>
      <c r="F54" s="462">
        <v>189.608148</v>
      </c>
      <c r="G54" s="462">
        <v>83.33</v>
      </c>
      <c r="H54" s="462">
        <v>15800.04697284</v>
      </c>
      <c r="I54" s="463">
        <v>0.2512740929963353</v>
      </c>
      <c r="J54" s="463">
        <v>117.18692463075389</v>
      </c>
      <c r="K54" s="460" t="s">
        <v>1141</v>
      </c>
    </row>
    <row r="55" spans="1:11" ht="24">
      <c r="A55" s="460" t="s">
        <v>1206</v>
      </c>
      <c r="B55" s="461" t="s">
        <v>1207</v>
      </c>
      <c r="C55" s="460" t="s">
        <v>29</v>
      </c>
      <c r="D55" s="460" t="s">
        <v>1157</v>
      </c>
      <c r="E55" s="460" t="s">
        <v>851</v>
      </c>
      <c r="F55" s="462">
        <v>666.4618873669541</v>
      </c>
      <c r="G55" s="462">
        <v>23</v>
      </c>
      <c r="H55" s="462">
        <v>15328.623409439944</v>
      </c>
      <c r="I55" s="463">
        <v>0.24377686665807985</v>
      </c>
      <c r="J55" s="463">
        <v>117.43070144319036</v>
      </c>
      <c r="K55" s="460" t="s">
        <v>1141</v>
      </c>
    </row>
    <row r="56" spans="1:11" ht="24">
      <c r="A56" s="460" t="s">
        <v>1208</v>
      </c>
      <c r="B56" s="461" t="s">
        <v>1209</v>
      </c>
      <c r="C56" s="460" t="s">
        <v>29</v>
      </c>
      <c r="D56" s="460" t="s">
        <v>1157</v>
      </c>
      <c r="E56" s="460" t="s">
        <v>851</v>
      </c>
      <c r="F56" s="462">
        <v>768.26595321020454</v>
      </c>
      <c r="G56" s="462">
        <v>18.850000000000001</v>
      </c>
      <c r="H56" s="462">
        <v>14481.813218012356</v>
      </c>
      <c r="I56" s="463">
        <v>0.23030972550610809</v>
      </c>
      <c r="J56" s="463">
        <v>117.66101111751921</v>
      </c>
      <c r="K56" s="460" t="s">
        <v>1141</v>
      </c>
    </row>
    <row r="57" spans="1:11" ht="24">
      <c r="A57" s="460" t="s">
        <v>1077</v>
      </c>
      <c r="B57" s="461" t="s">
        <v>1078</v>
      </c>
      <c r="C57" s="460" t="s">
        <v>29</v>
      </c>
      <c r="D57" s="460" t="s">
        <v>834</v>
      </c>
      <c r="E57" s="460" t="s">
        <v>60</v>
      </c>
      <c r="F57" s="462">
        <v>166.298</v>
      </c>
      <c r="G57" s="462">
        <v>82.92</v>
      </c>
      <c r="H57" s="462">
        <v>13789.43016</v>
      </c>
      <c r="I57" s="463">
        <v>0.21929849717196778</v>
      </c>
      <c r="J57" s="463">
        <v>117.88030961214663</v>
      </c>
      <c r="K57" s="460" t="s">
        <v>1141</v>
      </c>
    </row>
    <row r="58" spans="1:11" ht="36">
      <c r="A58" s="460" t="s">
        <v>1210</v>
      </c>
      <c r="B58" s="461" t="s">
        <v>1211</v>
      </c>
      <c r="C58" s="460" t="s">
        <v>29</v>
      </c>
      <c r="D58" s="460" t="s">
        <v>1174</v>
      </c>
      <c r="E58" s="460" t="s">
        <v>851</v>
      </c>
      <c r="F58" s="462">
        <v>17668.156580541505</v>
      </c>
      <c r="G58" s="462">
        <v>0.74</v>
      </c>
      <c r="H58" s="462">
        <v>13074.435869600713</v>
      </c>
      <c r="I58" s="463">
        <v>0.20792767389995656</v>
      </c>
      <c r="J58" s="463">
        <v>118.08823735173389</v>
      </c>
      <c r="K58" s="460" t="s">
        <v>1141</v>
      </c>
    </row>
    <row r="59" spans="1:11" ht="36">
      <c r="A59" s="460" t="s">
        <v>1212</v>
      </c>
      <c r="B59" s="461" t="s">
        <v>1213</v>
      </c>
      <c r="C59" s="460" t="s">
        <v>29</v>
      </c>
      <c r="D59" s="460" t="s">
        <v>1174</v>
      </c>
      <c r="E59" s="460" t="s">
        <v>851</v>
      </c>
      <c r="F59" s="462">
        <v>23180.19107520024</v>
      </c>
      <c r="G59" s="462">
        <v>0.56000000000000005</v>
      </c>
      <c r="H59" s="462">
        <v>12980.907002112135</v>
      </c>
      <c r="I59" s="463">
        <v>0.20644024912282993</v>
      </c>
      <c r="J59" s="463">
        <v>118.29467764853325</v>
      </c>
      <c r="K59" s="460" t="s">
        <v>1141</v>
      </c>
    </row>
    <row r="60" spans="1:11" ht="24">
      <c r="A60" s="460" t="s">
        <v>1214</v>
      </c>
      <c r="B60" s="461" t="s">
        <v>1215</v>
      </c>
      <c r="C60" s="460" t="s">
        <v>29</v>
      </c>
      <c r="D60" s="460" t="s">
        <v>1157</v>
      </c>
      <c r="E60" s="460" t="s">
        <v>851</v>
      </c>
      <c r="F60" s="462">
        <v>350.12667111450003</v>
      </c>
      <c r="G60" s="462">
        <v>36.619999999999997</v>
      </c>
      <c r="H60" s="462">
        <v>12821.638696212991</v>
      </c>
      <c r="I60" s="463">
        <v>0.20390734531712204</v>
      </c>
      <c r="J60" s="463">
        <v>118.49858501458499</v>
      </c>
      <c r="K60" s="460" t="s">
        <v>1141</v>
      </c>
    </row>
    <row r="61" spans="1:11" ht="24">
      <c r="A61" s="460" t="s">
        <v>1216</v>
      </c>
      <c r="B61" s="461" t="s">
        <v>1217</v>
      </c>
      <c r="C61" s="460" t="s">
        <v>29</v>
      </c>
      <c r="D61" s="460" t="s">
        <v>1157</v>
      </c>
      <c r="E61" s="460" t="s">
        <v>851</v>
      </c>
      <c r="F61" s="462">
        <v>670.16342568459197</v>
      </c>
      <c r="G61" s="462">
        <v>18.850000000000001</v>
      </c>
      <c r="H61" s="462">
        <v>12632.580574154559</v>
      </c>
      <c r="I61" s="463">
        <v>0.20090068285431517</v>
      </c>
      <c r="J61" s="463">
        <v>118.69948568830831</v>
      </c>
      <c r="K61" s="460" t="s">
        <v>1141</v>
      </c>
    </row>
    <row r="62" spans="1:11" ht="24">
      <c r="A62" s="460" t="s">
        <v>1218</v>
      </c>
      <c r="B62" s="461" t="s">
        <v>1219</v>
      </c>
      <c r="C62" s="460" t="s">
        <v>29</v>
      </c>
      <c r="D62" s="460" t="s">
        <v>1157</v>
      </c>
      <c r="E62" s="460" t="s">
        <v>851</v>
      </c>
      <c r="F62" s="462">
        <v>476.78629885402802</v>
      </c>
      <c r="G62" s="462">
        <v>26.45</v>
      </c>
      <c r="H62" s="462">
        <v>12610.997604689041</v>
      </c>
      <c r="I62" s="463">
        <v>0.20055744076864684</v>
      </c>
      <c r="J62" s="463">
        <v>118.90004316717049</v>
      </c>
      <c r="K62" s="460" t="s">
        <v>1141</v>
      </c>
    </row>
    <row r="63" spans="1:11" ht="24">
      <c r="A63" s="460" t="s">
        <v>1220</v>
      </c>
      <c r="B63" s="461" t="s">
        <v>1221</v>
      </c>
      <c r="C63" s="460" t="s">
        <v>29</v>
      </c>
      <c r="D63" s="460" t="s">
        <v>862</v>
      </c>
      <c r="E63" s="460" t="s">
        <v>115</v>
      </c>
      <c r="F63" s="462">
        <v>8.0302976579399998E-3</v>
      </c>
      <c r="G63" s="462">
        <v>1490825.55</v>
      </c>
      <c r="H63" s="462">
        <v>11971.772922562111</v>
      </c>
      <c r="I63" s="463">
        <v>0.1903916100911546</v>
      </c>
      <c r="J63" s="463">
        <v>119.09043473078304</v>
      </c>
      <c r="K63" s="460" t="s">
        <v>1141</v>
      </c>
    </row>
    <row r="64" spans="1:11" ht="24">
      <c r="A64" s="460" t="s">
        <v>1222</v>
      </c>
      <c r="B64" s="461" t="s">
        <v>1223</v>
      </c>
      <c r="C64" s="460" t="s">
        <v>29</v>
      </c>
      <c r="D64" s="460" t="s">
        <v>862</v>
      </c>
      <c r="E64" s="460" t="s">
        <v>115</v>
      </c>
      <c r="F64" s="462">
        <v>1.2263443544E-2</v>
      </c>
      <c r="G64" s="462">
        <v>930100.66</v>
      </c>
      <c r="H64" s="462">
        <v>11406.236934147139</v>
      </c>
      <c r="I64" s="463">
        <v>0.18139767844082261</v>
      </c>
      <c r="J64" s="463">
        <v>119.27183245798128</v>
      </c>
      <c r="K64" s="460" t="s">
        <v>1141</v>
      </c>
    </row>
    <row r="65" spans="1:11" ht="24">
      <c r="A65" s="460" t="s">
        <v>1224</v>
      </c>
      <c r="B65" s="461" t="s">
        <v>1225</v>
      </c>
      <c r="C65" s="460" t="s">
        <v>29</v>
      </c>
      <c r="D65" s="460" t="s">
        <v>862</v>
      </c>
      <c r="E65" s="460" t="s">
        <v>115</v>
      </c>
      <c r="F65" s="462">
        <v>1.6778350689E-2</v>
      </c>
      <c r="G65" s="462">
        <v>582898.27</v>
      </c>
      <c r="H65" s="462">
        <v>9780.0715900714076</v>
      </c>
      <c r="I65" s="463">
        <v>0.15553615900375373</v>
      </c>
      <c r="J65" s="463">
        <v>119.42736859169753</v>
      </c>
      <c r="K65" s="460" t="s">
        <v>1141</v>
      </c>
    </row>
    <row r="66" spans="1:11" ht="24">
      <c r="A66" s="460" t="s">
        <v>1226</v>
      </c>
      <c r="B66" s="461" t="s">
        <v>1227</v>
      </c>
      <c r="C66" s="460" t="s">
        <v>29</v>
      </c>
      <c r="D66" s="460" t="s">
        <v>1157</v>
      </c>
      <c r="E66" s="460" t="s">
        <v>851</v>
      </c>
      <c r="F66" s="462">
        <v>501.16911879999998</v>
      </c>
      <c r="G66" s="462">
        <v>18.850000000000001</v>
      </c>
      <c r="H66" s="462">
        <v>9447.0378893800007</v>
      </c>
      <c r="I66" s="463">
        <v>0.1502397987320219</v>
      </c>
      <c r="J66" s="463">
        <v>119.57760842399553</v>
      </c>
      <c r="K66" s="460" t="s">
        <v>1141</v>
      </c>
    </row>
    <row r="67" spans="1:11">
      <c r="A67" s="460" t="s">
        <v>1228</v>
      </c>
      <c r="B67" s="461" t="s">
        <v>1229</v>
      </c>
      <c r="C67" s="460" t="s">
        <v>29</v>
      </c>
      <c r="D67" s="460" t="s">
        <v>834</v>
      </c>
      <c r="E67" s="460" t="s">
        <v>328</v>
      </c>
      <c r="F67" s="462">
        <v>792.34159999999997</v>
      </c>
      <c r="G67" s="462">
        <v>11.1</v>
      </c>
      <c r="H67" s="462">
        <v>8794.9917600000008</v>
      </c>
      <c r="I67" s="463">
        <v>0.1398700637538049</v>
      </c>
      <c r="J67" s="463">
        <v>119.71747845975939</v>
      </c>
      <c r="K67" s="460" t="s">
        <v>1141</v>
      </c>
    </row>
    <row r="68" spans="1:11">
      <c r="A68" s="460" t="s">
        <v>1230</v>
      </c>
      <c r="B68" s="461" t="s">
        <v>1231</v>
      </c>
      <c r="C68" s="460" t="s">
        <v>29</v>
      </c>
      <c r="D68" s="460" t="s">
        <v>834</v>
      </c>
      <c r="E68" s="460" t="s">
        <v>115</v>
      </c>
      <c r="F68" s="462">
        <v>1821.1893</v>
      </c>
      <c r="G68" s="462">
        <v>4.5999999999999996</v>
      </c>
      <c r="H68" s="462">
        <v>8377.4707799999996</v>
      </c>
      <c r="I68" s="463">
        <v>0.13323007048436819</v>
      </c>
      <c r="J68" s="463">
        <v>119.85070851783912</v>
      </c>
      <c r="K68" s="460" t="s">
        <v>1141</v>
      </c>
    </row>
    <row r="69" spans="1:11" ht="24">
      <c r="A69" s="460" t="s">
        <v>1232</v>
      </c>
      <c r="B69" s="461" t="s">
        <v>1233</v>
      </c>
      <c r="C69" s="460" t="s">
        <v>29</v>
      </c>
      <c r="D69" s="460" t="s">
        <v>1157</v>
      </c>
      <c r="E69" s="460" t="s">
        <v>851</v>
      </c>
      <c r="F69" s="462">
        <v>273.81266118420001</v>
      </c>
      <c r="G69" s="462">
        <v>28.71</v>
      </c>
      <c r="H69" s="462">
        <v>7861.161502598382</v>
      </c>
      <c r="I69" s="463">
        <v>0.12501900974463134</v>
      </c>
      <c r="J69" s="463">
        <v>119.97572750368737</v>
      </c>
      <c r="K69" s="460" t="s">
        <v>1141</v>
      </c>
    </row>
    <row r="70" spans="1:11" ht="24">
      <c r="A70" s="460" t="s">
        <v>1234</v>
      </c>
      <c r="B70" s="461" t="s">
        <v>1235</v>
      </c>
      <c r="C70" s="460" t="s">
        <v>29</v>
      </c>
      <c r="D70" s="460" t="s">
        <v>834</v>
      </c>
      <c r="E70" s="460" t="s">
        <v>328</v>
      </c>
      <c r="F70" s="462">
        <v>279.04967596199998</v>
      </c>
      <c r="G70" s="462">
        <v>27.6</v>
      </c>
      <c r="H70" s="462">
        <v>7701.7710565511998</v>
      </c>
      <c r="I70" s="463">
        <v>0.12248416349818451</v>
      </c>
      <c r="J70" s="463">
        <v>120.09821165038282</v>
      </c>
      <c r="K70" s="460" t="s">
        <v>1141</v>
      </c>
    </row>
    <row r="71" spans="1:11" ht="24">
      <c r="A71" s="460" t="s">
        <v>1236</v>
      </c>
      <c r="B71" s="461" t="s">
        <v>1237</v>
      </c>
      <c r="C71" s="460" t="s">
        <v>29</v>
      </c>
      <c r="D71" s="460" t="s">
        <v>862</v>
      </c>
      <c r="E71" s="460" t="s">
        <v>115</v>
      </c>
      <c r="F71" s="462">
        <v>2.7872690999999998E-3</v>
      </c>
      <c r="G71" s="462">
        <v>2493345</v>
      </c>
      <c r="H71" s="462">
        <v>6949.6234741395001</v>
      </c>
      <c r="I71" s="463">
        <v>0.11052247744150596</v>
      </c>
      <c r="J71" s="463">
        <v>120.20873407257379</v>
      </c>
      <c r="K71" s="460" t="s">
        <v>1141</v>
      </c>
    </row>
    <row r="72" spans="1:11" ht="24">
      <c r="A72" s="460" t="s">
        <v>1238</v>
      </c>
      <c r="B72" s="461" t="s">
        <v>1239</v>
      </c>
      <c r="C72" s="460" t="s">
        <v>29</v>
      </c>
      <c r="D72" s="460" t="s">
        <v>834</v>
      </c>
      <c r="E72" s="460" t="s">
        <v>40</v>
      </c>
      <c r="F72" s="462">
        <v>88.391099999999994</v>
      </c>
      <c r="G72" s="462">
        <v>78.5</v>
      </c>
      <c r="H72" s="462">
        <v>6938.7013500000003</v>
      </c>
      <c r="I72" s="463">
        <v>0.11034877879102323</v>
      </c>
      <c r="J72" s="463">
        <v>120.31908282989525</v>
      </c>
      <c r="K72" s="460" t="s">
        <v>1141</v>
      </c>
    </row>
    <row r="73" spans="1:11" ht="24">
      <c r="A73" s="460" t="s">
        <v>1240</v>
      </c>
      <c r="B73" s="461" t="s">
        <v>1241</v>
      </c>
      <c r="C73" s="460" t="s">
        <v>29</v>
      </c>
      <c r="D73" s="460" t="s">
        <v>834</v>
      </c>
      <c r="E73" s="460" t="s">
        <v>60</v>
      </c>
      <c r="F73" s="462">
        <v>53.012011359600002</v>
      </c>
      <c r="G73" s="462">
        <v>130.68</v>
      </c>
      <c r="H73" s="462">
        <v>6927.6096444725281</v>
      </c>
      <c r="I73" s="463">
        <v>0.11017238322390947</v>
      </c>
      <c r="J73" s="463">
        <v>120.42925521877325</v>
      </c>
      <c r="K73" s="460" t="s">
        <v>1141</v>
      </c>
    </row>
    <row r="74" spans="1:11" ht="24">
      <c r="A74" s="460" t="s">
        <v>1242</v>
      </c>
      <c r="B74" s="461" t="s">
        <v>1243</v>
      </c>
      <c r="C74" s="460" t="s">
        <v>29</v>
      </c>
      <c r="D74" s="460" t="s">
        <v>1157</v>
      </c>
      <c r="E74" s="460" t="s">
        <v>851</v>
      </c>
      <c r="F74" s="462">
        <v>327.65427213750002</v>
      </c>
      <c r="G74" s="462">
        <v>20.84</v>
      </c>
      <c r="H74" s="462">
        <v>6828.3150313454998</v>
      </c>
      <c r="I74" s="463">
        <v>0.10859326362408772</v>
      </c>
      <c r="J74" s="463">
        <v>120.53784856141571</v>
      </c>
      <c r="K74" s="460" t="s">
        <v>1141</v>
      </c>
    </row>
    <row r="75" spans="1:11" ht="24">
      <c r="A75" s="460" t="s">
        <v>1244</v>
      </c>
      <c r="B75" s="461" t="s">
        <v>1245</v>
      </c>
      <c r="C75" s="460" t="s">
        <v>29</v>
      </c>
      <c r="D75" s="460" t="s">
        <v>1157</v>
      </c>
      <c r="E75" s="460" t="s">
        <v>851</v>
      </c>
      <c r="F75" s="462">
        <v>411.68702008000002</v>
      </c>
      <c r="G75" s="462">
        <v>16.57</v>
      </c>
      <c r="H75" s="462">
        <v>6821.6539227255998</v>
      </c>
      <c r="I75" s="463">
        <v>0.10848732950694916</v>
      </c>
      <c r="J75" s="463">
        <v>120.64633582853808</v>
      </c>
      <c r="K75" s="460" t="s">
        <v>1141</v>
      </c>
    </row>
    <row r="76" spans="1:11">
      <c r="A76" s="460" t="s">
        <v>786</v>
      </c>
      <c r="B76" s="461" t="s">
        <v>1147</v>
      </c>
      <c r="C76" s="460" t="s">
        <v>29</v>
      </c>
      <c r="D76" s="460" t="s">
        <v>834</v>
      </c>
      <c r="E76" s="460" t="s">
        <v>60</v>
      </c>
      <c r="F76" s="462">
        <v>87.66</v>
      </c>
      <c r="G76" s="462">
        <v>73.099999999999994</v>
      </c>
      <c r="H76" s="462">
        <v>6407.9459999999999</v>
      </c>
      <c r="I76" s="463">
        <v>0.10190797672230439</v>
      </c>
      <c r="J76" s="463">
        <v>120.7482438688739</v>
      </c>
      <c r="K76" s="460" t="s">
        <v>1141</v>
      </c>
    </row>
    <row r="77" spans="1:11">
      <c r="A77" s="460" t="s">
        <v>1009</v>
      </c>
      <c r="B77" s="461" t="s">
        <v>1010</v>
      </c>
      <c r="C77" s="460" t="s">
        <v>29</v>
      </c>
      <c r="D77" s="460" t="s">
        <v>834</v>
      </c>
      <c r="E77" s="460" t="s">
        <v>40</v>
      </c>
      <c r="F77" s="462">
        <v>1086.03125</v>
      </c>
      <c r="G77" s="462">
        <v>5.51</v>
      </c>
      <c r="H77" s="462">
        <v>5984.0321875</v>
      </c>
      <c r="I77" s="463">
        <v>9.5166315831823528E-2</v>
      </c>
      <c r="J77" s="463">
        <v>120.84341014991708</v>
      </c>
      <c r="K77" s="460" t="s">
        <v>1141</v>
      </c>
    </row>
    <row r="78" spans="1:11" ht="36">
      <c r="A78" s="460" t="s">
        <v>1246</v>
      </c>
      <c r="B78" s="461" t="s">
        <v>1247</v>
      </c>
      <c r="C78" s="460" t="s">
        <v>29</v>
      </c>
      <c r="D78" s="460" t="s">
        <v>862</v>
      </c>
      <c r="E78" s="460" t="s">
        <v>115</v>
      </c>
      <c r="F78" s="462">
        <v>1.0422437424E-2</v>
      </c>
      <c r="G78" s="462">
        <v>560642.61</v>
      </c>
      <c r="H78" s="462">
        <v>5843.2625199530366</v>
      </c>
      <c r="I78" s="463">
        <v>9.2927602833370912E-2</v>
      </c>
      <c r="J78" s="463">
        <v>120.93633771267469</v>
      </c>
      <c r="K78" s="460" t="s">
        <v>1141</v>
      </c>
    </row>
    <row r="79" spans="1:11">
      <c r="A79" s="460" t="s">
        <v>1248</v>
      </c>
      <c r="B79" s="461" t="s">
        <v>1249</v>
      </c>
      <c r="C79" s="460" t="s">
        <v>29</v>
      </c>
      <c r="D79" s="460" t="s">
        <v>834</v>
      </c>
      <c r="E79" s="460" t="s">
        <v>328</v>
      </c>
      <c r="F79" s="462">
        <v>462.52519617360002</v>
      </c>
      <c r="G79" s="462">
        <v>11.47</v>
      </c>
      <c r="H79" s="462">
        <v>5305.1640001111919</v>
      </c>
      <c r="I79" s="463">
        <v>8.4370019571222768E-2</v>
      </c>
      <c r="J79" s="463">
        <v>121.02070766863064</v>
      </c>
      <c r="K79" s="460" t="s">
        <v>1141</v>
      </c>
    </row>
    <row r="80" spans="1:11">
      <c r="A80" s="460" t="s">
        <v>1025</v>
      </c>
      <c r="B80" s="461" t="s">
        <v>1250</v>
      </c>
      <c r="C80" s="460" t="s">
        <v>29</v>
      </c>
      <c r="D80" s="460" t="s">
        <v>834</v>
      </c>
      <c r="E80" s="460" t="s">
        <v>115</v>
      </c>
      <c r="F80" s="462">
        <v>36</v>
      </c>
      <c r="G80" s="462">
        <v>146.85</v>
      </c>
      <c r="H80" s="462">
        <v>5286.6</v>
      </c>
      <c r="I80" s="463">
        <v>8.407478929131651E-2</v>
      </c>
      <c r="J80" s="463">
        <v>121.10478245792196</v>
      </c>
      <c r="K80" s="460" t="s">
        <v>1141</v>
      </c>
    </row>
    <row r="81" spans="1:11" ht="24">
      <c r="A81" s="460" t="s">
        <v>1251</v>
      </c>
      <c r="B81" s="461" t="s">
        <v>1252</v>
      </c>
      <c r="C81" s="460" t="s">
        <v>29</v>
      </c>
      <c r="D81" s="460" t="s">
        <v>862</v>
      </c>
      <c r="E81" s="460" t="s">
        <v>115</v>
      </c>
      <c r="F81" s="462">
        <v>6.1953106786160001E-3</v>
      </c>
      <c r="G81" s="462">
        <v>840929.8</v>
      </c>
      <c r="H81" s="462">
        <v>5209.8213699064172</v>
      </c>
      <c r="I81" s="463">
        <v>8.285374984305223E-2</v>
      </c>
      <c r="J81" s="463">
        <v>121.18763618597887</v>
      </c>
      <c r="K81" s="460" t="s">
        <v>1141</v>
      </c>
    </row>
    <row r="82" spans="1:11">
      <c r="A82" s="460" t="s">
        <v>1253</v>
      </c>
      <c r="B82" s="461" t="s">
        <v>1254</v>
      </c>
      <c r="C82" s="460" t="s">
        <v>29</v>
      </c>
      <c r="D82" s="460" t="s">
        <v>834</v>
      </c>
      <c r="E82" s="460" t="s">
        <v>328</v>
      </c>
      <c r="F82" s="462">
        <v>3723.6596013990002</v>
      </c>
      <c r="G82" s="462">
        <v>1.33</v>
      </c>
      <c r="H82" s="462">
        <v>4952.4672698606701</v>
      </c>
      <c r="I82" s="463">
        <v>7.8760950740679708E-2</v>
      </c>
      <c r="J82" s="463">
        <v>121.26639718013799</v>
      </c>
      <c r="K82" s="460" t="s">
        <v>1141</v>
      </c>
    </row>
    <row r="83" spans="1:11" ht="36">
      <c r="A83" s="460" t="s">
        <v>1255</v>
      </c>
      <c r="B83" s="461" t="s">
        <v>1256</v>
      </c>
      <c r="C83" s="460" t="s">
        <v>29</v>
      </c>
      <c r="D83" s="460" t="s">
        <v>862</v>
      </c>
      <c r="E83" s="460" t="s">
        <v>115</v>
      </c>
      <c r="F83" s="462">
        <v>1.0247563600000001E-2</v>
      </c>
      <c r="G83" s="462">
        <v>482500</v>
      </c>
      <c r="H83" s="462">
        <v>4944.4494370000002</v>
      </c>
      <c r="I83" s="463">
        <v>7.8633440127367976E-2</v>
      </c>
      <c r="J83" s="463">
        <v>121.34503062921895</v>
      </c>
      <c r="K83" s="460" t="s">
        <v>1141</v>
      </c>
    </row>
    <row r="84" spans="1:11">
      <c r="A84" s="460" t="s">
        <v>1011</v>
      </c>
      <c r="B84" s="461" t="s">
        <v>1012</v>
      </c>
      <c r="C84" s="460" t="s">
        <v>29</v>
      </c>
      <c r="D84" s="460" t="s">
        <v>834</v>
      </c>
      <c r="E84" s="460" t="s">
        <v>40</v>
      </c>
      <c r="F84" s="462">
        <v>1277.6776417599999</v>
      </c>
      <c r="G84" s="462">
        <v>3.8</v>
      </c>
      <c r="H84" s="462">
        <v>4855.1750386880003</v>
      </c>
      <c r="I84" s="463">
        <v>7.7213675774628884E-2</v>
      </c>
      <c r="J84" s="463">
        <v>121.42224438389519</v>
      </c>
      <c r="K84" s="460" t="s">
        <v>1141</v>
      </c>
    </row>
    <row r="85" spans="1:11">
      <c r="A85" s="460" t="s">
        <v>1257</v>
      </c>
      <c r="B85" s="461" t="s">
        <v>1258</v>
      </c>
      <c r="C85" s="460" t="s">
        <v>29</v>
      </c>
      <c r="D85" s="460" t="s">
        <v>834</v>
      </c>
      <c r="E85" s="460" t="s">
        <v>1006</v>
      </c>
      <c r="F85" s="462">
        <v>736.51212833</v>
      </c>
      <c r="G85" s="462">
        <v>6.4</v>
      </c>
      <c r="H85" s="462">
        <v>4713.6776213120002</v>
      </c>
      <c r="I85" s="463">
        <v>7.4963389096773053E-2</v>
      </c>
      <c r="J85" s="463">
        <v>121.49720781082114</v>
      </c>
      <c r="K85" s="460" t="s">
        <v>1141</v>
      </c>
    </row>
    <row r="86" spans="1:11" ht="24">
      <c r="A86" s="460" t="s">
        <v>1259</v>
      </c>
      <c r="B86" s="461" t="s">
        <v>1260</v>
      </c>
      <c r="C86" s="460" t="s">
        <v>29</v>
      </c>
      <c r="D86" s="460" t="s">
        <v>1157</v>
      </c>
      <c r="E86" s="460" t="s">
        <v>851</v>
      </c>
      <c r="F86" s="462">
        <v>161.47236358708</v>
      </c>
      <c r="G86" s="462">
        <v>28.86</v>
      </c>
      <c r="H86" s="462">
        <v>4660.0924131231286</v>
      </c>
      <c r="I86" s="463">
        <v>7.4111203365374662E-2</v>
      </c>
      <c r="J86" s="463">
        <v>121.5713189758097</v>
      </c>
      <c r="K86" s="460" t="s">
        <v>1141</v>
      </c>
    </row>
    <row r="87" spans="1:11" ht="24">
      <c r="A87" s="460" t="s">
        <v>1261</v>
      </c>
      <c r="B87" s="461" t="s">
        <v>1262</v>
      </c>
      <c r="C87" s="460" t="s">
        <v>29</v>
      </c>
      <c r="D87" s="460" t="s">
        <v>834</v>
      </c>
      <c r="E87" s="460" t="s">
        <v>40</v>
      </c>
      <c r="F87" s="462">
        <v>77.31</v>
      </c>
      <c r="G87" s="462">
        <v>60.15</v>
      </c>
      <c r="H87" s="462">
        <v>4650.1965</v>
      </c>
      <c r="I87" s="463">
        <v>7.3953824934876386E-2</v>
      </c>
      <c r="J87" s="463">
        <v>121.64527285640639</v>
      </c>
      <c r="K87" s="460" t="s">
        <v>1141</v>
      </c>
    </row>
    <row r="88" spans="1:11">
      <c r="A88" s="460" t="s">
        <v>1263</v>
      </c>
      <c r="B88" s="461" t="s">
        <v>1264</v>
      </c>
      <c r="C88" s="460" t="s">
        <v>1136</v>
      </c>
      <c r="D88" s="460" t="s">
        <v>834</v>
      </c>
      <c r="E88" s="460" t="s">
        <v>143</v>
      </c>
      <c r="F88" s="462">
        <v>36.119999999999997</v>
      </c>
      <c r="G88" s="462">
        <v>128.69980000000001</v>
      </c>
      <c r="H88" s="462">
        <v>4648.6367760000003</v>
      </c>
      <c r="I88" s="463">
        <v>7.3929020057137848E-2</v>
      </c>
      <c r="J88" s="463">
        <v>121.71920192773602</v>
      </c>
      <c r="K88" s="460" t="s">
        <v>1141</v>
      </c>
    </row>
    <row r="89" spans="1:11" ht="24">
      <c r="A89" s="460" t="s">
        <v>1265</v>
      </c>
      <c r="B89" s="461" t="s">
        <v>1266</v>
      </c>
      <c r="C89" s="460" t="s">
        <v>29</v>
      </c>
      <c r="D89" s="460" t="s">
        <v>862</v>
      </c>
      <c r="E89" s="460" t="s">
        <v>115</v>
      </c>
      <c r="F89" s="462">
        <v>6.3463961328384E-2</v>
      </c>
      <c r="G89" s="462">
        <v>71861.009999999995</v>
      </c>
      <c r="H89" s="462">
        <v>4560.5843596586155</v>
      </c>
      <c r="I89" s="463">
        <v>7.252868934354248E-2</v>
      </c>
      <c r="J89" s="463">
        <v>121.79173054774627</v>
      </c>
      <c r="K89" s="460" t="s">
        <v>1141</v>
      </c>
    </row>
    <row r="90" spans="1:11">
      <c r="A90" s="460" t="s">
        <v>1267</v>
      </c>
      <c r="B90" s="461" t="s">
        <v>1268</v>
      </c>
      <c r="C90" s="460" t="s">
        <v>1136</v>
      </c>
      <c r="D90" s="460" t="s">
        <v>834</v>
      </c>
      <c r="E90" s="460" t="s">
        <v>504</v>
      </c>
      <c r="F90" s="462">
        <v>234</v>
      </c>
      <c r="G90" s="462">
        <v>19.3506</v>
      </c>
      <c r="H90" s="462">
        <v>4528.0403999999999</v>
      </c>
      <c r="I90" s="463">
        <v>7.2011130505914664E-2</v>
      </c>
      <c r="J90" s="463">
        <v>121.86374167189084</v>
      </c>
      <c r="K90" s="460" t="s">
        <v>1141</v>
      </c>
    </row>
    <row r="91" spans="1:11" ht="24">
      <c r="A91" s="460" t="s">
        <v>1269</v>
      </c>
      <c r="B91" s="461" t="s">
        <v>1270</v>
      </c>
      <c r="C91" s="460" t="s">
        <v>29</v>
      </c>
      <c r="D91" s="460" t="s">
        <v>1157</v>
      </c>
      <c r="E91" s="460" t="s">
        <v>851</v>
      </c>
      <c r="F91" s="462">
        <v>136.161111573032</v>
      </c>
      <c r="G91" s="462">
        <v>32.159999999999997</v>
      </c>
      <c r="H91" s="462">
        <v>4378.9413481887095</v>
      </c>
      <c r="I91" s="463">
        <v>6.9639952174932684E-2</v>
      </c>
      <c r="J91" s="463">
        <v>121.93338160262502</v>
      </c>
      <c r="K91" s="460" t="s">
        <v>1141</v>
      </c>
    </row>
    <row r="92" spans="1:11" ht="24">
      <c r="A92" s="460" t="s">
        <v>1271</v>
      </c>
      <c r="B92" s="461" t="s">
        <v>1272</v>
      </c>
      <c r="C92" s="460" t="s">
        <v>29</v>
      </c>
      <c r="D92" s="460" t="s">
        <v>834</v>
      </c>
      <c r="E92" s="460" t="s">
        <v>115</v>
      </c>
      <c r="F92" s="462">
        <v>25</v>
      </c>
      <c r="G92" s="462">
        <v>174.71</v>
      </c>
      <c r="H92" s="462">
        <v>4367.75</v>
      </c>
      <c r="I92" s="463">
        <v>6.9461971953079044E-2</v>
      </c>
      <c r="J92" s="463">
        <v>122.00284357457809</v>
      </c>
      <c r="K92" s="460" t="s">
        <v>1141</v>
      </c>
    </row>
    <row r="93" spans="1:11">
      <c r="A93" s="460" t="s">
        <v>1273</v>
      </c>
      <c r="B93" s="461" t="s">
        <v>1274</v>
      </c>
      <c r="C93" s="460" t="s">
        <v>1136</v>
      </c>
      <c r="D93" s="460" t="s">
        <v>834</v>
      </c>
      <c r="E93" s="460" t="s">
        <v>1275</v>
      </c>
      <c r="F93" s="462">
        <v>408.35700000000003</v>
      </c>
      <c r="G93" s="462">
        <v>10.352499999999999</v>
      </c>
      <c r="H93" s="462">
        <v>4227.5158425</v>
      </c>
      <c r="I93" s="463">
        <v>6.7231775372430275E-2</v>
      </c>
      <c r="J93" s="463">
        <v>122.07007541606882</v>
      </c>
      <c r="K93" s="460" t="s">
        <v>1141</v>
      </c>
    </row>
    <row r="94" spans="1:11" ht="24">
      <c r="A94" s="460" t="s">
        <v>1276</v>
      </c>
      <c r="B94" s="461" t="s">
        <v>1277</v>
      </c>
      <c r="C94" s="460" t="s">
        <v>29</v>
      </c>
      <c r="D94" s="460" t="s">
        <v>1157</v>
      </c>
      <c r="E94" s="460" t="s">
        <v>851</v>
      </c>
      <c r="F94" s="462">
        <v>140.492208007676</v>
      </c>
      <c r="G94" s="462">
        <v>27.69</v>
      </c>
      <c r="H94" s="462">
        <v>3890.2292397325486</v>
      </c>
      <c r="I94" s="463">
        <v>6.1867779598500441E-2</v>
      </c>
      <c r="J94" s="463">
        <v>122.13194320775814</v>
      </c>
      <c r="K94" s="460" t="s">
        <v>1141</v>
      </c>
    </row>
    <row r="95" spans="1:11" ht="24">
      <c r="A95" s="460" t="s">
        <v>1278</v>
      </c>
      <c r="B95" s="461" t="s">
        <v>1279</v>
      </c>
      <c r="C95" s="460" t="s">
        <v>29</v>
      </c>
      <c r="D95" s="460" t="s">
        <v>834</v>
      </c>
      <c r="E95" s="460" t="s">
        <v>40</v>
      </c>
      <c r="F95" s="462">
        <v>160.24395000000001</v>
      </c>
      <c r="G95" s="462">
        <v>23.2</v>
      </c>
      <c r="H95" s="462">
        <v>3717.6596399999999</v>
      </c>
      <c r="I95" s="463">
        <v>5.9123340311321368E-2</v>
      </c>
      <c r="J95" s="463">
        <v>122.19106655379467</v>
      </c>
      <c r="K95" s="460" t="s">
        <v>1141</v>
      </c>
    </row>
    <row r="96" spans="1:11" ht="36">
      <c r="A96" s="460" t="s">
        <v>1280</v>
      </c>
      <c r="B96" s="461" t="s">
        <v>1281</v>
      </c>
      <c r="C96" s="460" t="s">
        <v>29</v>
      </c>
      <c r="D96" s="460" t="s">
        <v>1174</v>
      </c>
      <c r="E96" s="460" t="s">
        <v>31</v>
      </c>
      <c r="F96" s="462">
        <v>17.760000000000002</v>
      </c>
      <c r="G96" s="462">
        <v>202.94</v>
      </c>
      <c r="H96" s="462">
        <v>3604.2143999999998</v>
      </c>
      <c r="I96" s="463">
        <v>5.7319177967073115E-2</v>
      </c>
      <c r="J96" s="463">
        <v>122.24838566178688</v>
      </c>
      <c r="K96" s="460" t="s">
        <v>1141</v>
      </c>
    </row>
    <row r="97" spans="1:11" ht="36">
      <c r="A97" s="460" t="s">
        <v>1282</v>
      </c>
      <c r="B97" s="461" t="s">
        <v>1283</v>
      </c>
      <c r="C97" s="460" t="s">
        <v>1136</v>
      </c>
      <c r="D97" s="460" t="s">
        <v>874</v>
      </c>
      <c r="E97" s="460" t="s">
        <v>877</v>
      </c>
      <c r="F97" s="462">
        <v>23.4</v>
      </c>
      <c r="G97" s="462">
        <v>152.42269999999999</v>
      </c>
      <c r="H97" s="462">
        <v>3566.6911799999998</v>
      </c>
      <c r="I97" s="463">
        <v>5.6722432078405216E-2</v>
      </c>
      <c r="J97" s="463">
        <v>122.30510807509931</v>
      </c>
      <c r="K97" s="460" t="s">
        <v>1141</v>
      </c>
    </row>
    <row r="98" spans="1:11" ht="36">
      <c r="A98" s="460" t="s">
        <v>1284</v>
      </c>
      <c r="B98" s="461" t="s">
        <v>1285</v>
      </c>
      <c r="C98" s="460" t="s">
        <v>29</v>
      </c>
      <c r="D98" s="460" t="s">
        <v>1174</v>
      </c>
      <c r="E98" s="460" t="s">
        <v>31</v>
      </c>
      <c r="F98" s="462">
        <v>22.78</v>
      </c>
      <c r="G98" s="462">
        <v>152.35</v>
      </c>
      <c r="H98" s="462">
        <v>3470.5329999999999</v>
      </c>
      <c r="I98" s="463">
        <v>5.5193192354927652E-2</v>
      </c>
      <c r="J98" s="463">
        <v>122.3603012197441</v>
      </c>
      <c r="K98" s="460" t="s">
        <v>1141</v>
      </c>
    </row>
    <row r="99" spans="1:11" ht="24">
      <c r="A99" s="460" t="s">
        <v>841</v>
      </c>
      <c r="B99" s="461" t="s">
        <v>842</v>
      </c>
      <c r="C99" s="460" t="s">
        <v>29</v>
      </c>
      <c r="D99" s="460" t="s">
        <v>834</v>
      </c>
      <c r="E99" s="460" t="s">
        <v>40</v>
      </c>
      <c r="F99" s="462">
        <v>317.08794829999999</v>
      </c>
      <c r="G99" s="462">
        <v>10.85</v>
      </c>
      <c r="H99" s="462">
        <v>3440.4042390549998</v>
      </c>
      <c r="I99" s="463">
        <v>5.4714043331347405E-2</v>
      </c>
      <c r="J99" s="463">
        <v>122.41501519566017</v>
      </c>
      <c r="K99" s="460" t="s">
        <v>1141</v>
      </c>
    </row>
    <row r="100" spans="1:11" ht="36">
      <c r="A100" s="460" t="s">
        <v>1286</v>
      </c>
      <c r="B100" s="461" t="s">
        <v>1287</v>
      </c>
      <c r="C100" s="460" t="s">
        <v>29</v>
      </c>
      <c r="D100" s="460" t="s">
        <v>1174</v>
      </c>
      <c r="E100" s="460" t="s">
        <v>851</v>
      </c>
      <c r="F100" s="462">
        <v>4524.4739237667</v>
      </c>
      <c r="G100" s="462">
        <v>0.76</v>
      </c>
      <c r="H100" s="462">
        <v>3438.6001820626921</v>
      </c>
      <c r="I100" s="463">
        <v>5.4685352734083037E-2</v>
      </c>
      <c r="J100" s="463">
        <v>122.46970054549884</v>
      </c>
      <c r="K100" s="460" t="s">
        <v>1141</v>
      </c>
    </row>
    <row r="101" spans="1:11" ht="48">
      <c r="A101" s="460" t="s">
        <v>1288</v>
      </c>
      <c r="B101" s="461" t="s">
        <v>1289</v>
      </c>
      <c r="C101" s="460" t="s">
        <v>29</v>
      </c>
      <c r="D101" s="460" t="s">
        <v>862</v>
      </c>
      <c r="E101" s="460" t="s">
        <v>115</v>
      </c>
      <c r="F101" s="462">
        <v>6.1393475200000004E-3</v>
      </c>
      <c r="G101" s="462">
        <v>550000</v>
      </c>
      <c r="H101" s="462">
        <v>3376.6411360000002</v>
      </c>
      <c r="I101" s="463">
        <v>5.3699994707674427E-2</v>
      </c>
      <c r="J101" s="463">
        <v>122.52340052214028</v>
      </c>
      <c r="K101" s="460" t="s">
        <v>1141</v>
      </c>
    </row>
    <row r="102" spans="1:11" ht="24">
      <c r="A102" s="460" t="s">
        <v>1290</v>
      </c>
      <c r="B102" s="461" t="s">
        <v>1291</v>
      </c>
      <c r="C102" s="460" t="s">
        <v>29</v>
      </c>
      <c r="D102" s="460" t="s">
        <v>862</v>
      </c>
      <c r="E102" s="460" t="s">
        <v>115</v>
      </c>
      <c r="F102" s="462">
        <v>4.0252298625000002E-3</v>
      </c>
      <c r="G102" s="462">
        <v>838648.6</v>
      </c>
      <c r="H102" s="462">
        <v>3375.7533888638177</v>
      </c>
      <c r="I102" s="463">
        <v>5.368587653088433E-2</v>
      </c>
      <c r="J102" s="463">
        <v>122.57708634477679</v>
      </c>
      <c r="K102" s="460" t="s">
        <v>1141</v>
      </c>
    </row>
    <row r="103" spans="1:11" ht="24">
      <c r="A103" s="460" t="s">
        <v>1037</v>
      </c>
      <c r="B103" s="461" t="s">
        <v>1038</v>
      </c>
      <c r="C103" s="460" t="s">
        <v>29</v>
      </c>
      <c r="D103" s="460" t="s">
        <v>834</v>
      </c>
      <c r="E103" s="460" t="s">
        <v>1006</v>
      </c>
      <c r="F103" s="462">
        <v>189.06771000000001</v>
      </c>
      <c r="G103" s="462">
        <v>16.25</v>
      </c>
      <c r="H103" s="462">
        <v>3072.3502874999999</v>
      </c>
      <c r="I103" s="463">
        <v>4.8860742831059317E-2</v>
      </c>
      <c r="J103" s="463">
        <v>122.62594708303563</v>
      </c>
      <c r="K103" s="460" t="s">
        <v>1141</v>
      </c>
    </row>
    <row r="104" spans="1:11" ht="36">
      <c r="A104" s="460" t="s">
        <v>1282</v>
      </c>
      <c r="B104" s="461" t="s">
        <v>1292</v>
      </c>
      <c r="C104" s="460" t="s">
        <v>1136</v>
      </c>
      <c r="D104" s="460" t="s">
        <v>874</v>
      </c>
      <c r="E104" s="460" t="s">
        <v>927</v>
      </c>
      <c r="F104" s="462">
        <v>54.6</v>
      </c>
      <c r="G104" s="462">
        <v>56.247900000000001</v>
      </c>
      <c r="H104" s="462">
        <v>3071.1353399999998</v>
      </c>
      <c r="I104" s="463">
        <v>4.8841421063749037E-2</v>
      </c>
      <c r="J104" s="463">
        <v>122.6747885782091</v>
      </c>
      <c r="K104" s="460" t="s">
        <v>1141</v>
      </c>
    </row>
    <row r="105" spans="1:11" ht="48">
      <c r="A105" s="460" t="s">
        <v>1293</v>
      </c>
      <c r="B105" s="461" t="s">
        <v>1294</v>
      </c>
      <c r="C105" s="460" t="s">
        <v>29</v>
      </c>
      <c r="D105" s="460" t="s">
        <v>862</v>
      </c>
      <c r="E105" s="460" t="s">
        <v>115</v>
      </c>
      <c r="F105" s="462">
        <v>5.0626361558079999E-3</v>
      </c>
      <c r="G105" s="462">
        <v>570121.91</v>
      </c>
      <c r="H105" s="462">
        <v>2886.3197947843146</v>
      </c>
      <c r="I105" s="463">
        <v>4.5902229897069408E-2</v>
      </c>
      <c r="J105" s="463">
        <v>122.72069081136981</v>
      </c>
      <c r="K105" s="460" t="s">
        <v>1141</v>
      </c>
    </row>
    <row r="106" spans="1:11" ht="24">
      <c r="A106" s="460" t="s">
        <v>1295</v>
      </c>
      <c r="B106" s="461" t="s">
        <v>1296</v>
      </c>
      <c r="C106" s="460" t="s">
        <v>1136</v>
      </c>
      <c r="D106" s="460" t="s">
        <v>1157</v>
      </c>
      <c r="E106" s="460" t="s">
        <v>916</v>
      </c>
      <c r="F106" s="462">
        <v>108.36</v>
      </c>
      <c r="G106" s="462">
        <v>25.7822</v>
      </c>
      <c r="H106" s="462">
        <v>2793.759192</v>
      </c>
      <c r="I106" s="463">
        <v>4.4430203797919017E-2</v>
      </c>
      <c r="J106" s="463">
        <v>122.76512102801765</v>
      </c>
      <c r="K106" s="460" t="s">
        <v>1141</v>
      </c>
    </row>
    <row r="107" spans="1:11" ht="24">
      <c r="A107" s="460" t="s">
        <v>1297</v>
      </c>
      <c r="B107" s="461" t="s">
        <v>1298</v>
      </c>
      <c r="C107" s="460" t="s">
        <v>29</v>
      </c>
      <c r="D107" s="460" t="s">
        <v>1157</v>
      </c>
      <c r="E107" s="460" t="s">
        <v>851</v>
      </c>
      <c r="F107" s="462">
        <v>134.67283104000001</v>
      </c>
      <c r="G107" s="462">
        <v>18.850000000000001</v>
      </c>
      <c r="H107" s="462">
        <v>2538.5828651040001</v>
      </c>
      <c r="I107" s="463">
        <v>4.037203864150217E-2</v>
      </c>
      <c r="J107" s="463">
        <v>122.80549302109432</v>
      </c>
      <c r="K107" s="460" t="s">
        <v>1141</v>
      </c>
    </row>
    <row r="108" spans="1:11" ht="24">
      <c r="A108" s="460" t="s">
        <v>1299</v>
      </c>
      <c r="B108" s="461" t="s">
        <v>1300</v>
      </c>
      <c r="C108" s="460" t="s">
        <v>29</v>
      </c>
      <c r="D108" s="460" t="s">
        <v>1157</v>
      </c>
      <c r="E108" s="460" t="s">
        <v>851</v>
      </c>
      <c r="F108" s="462">
        <v>86.206455277735998</v>
      </c>
      <c r="G108" s="462">
        <v>29.33</v>
      </c>
      <c r="H108" s="462">
        <v>2528.4353332959968</v>
      </c>
      <c r="I108" s="463">
        <v>4.0210658624367374E-2</v>
      </c>
      <c r="J108" s="463">
        <v>122.84570375393504</v>
      </c>
      <c r="K108" s="460" t="s">
        <v>1141</v>
      </c>
    </row>
    <row r="109" spans="1:11" ht="24">
      <c r="A109" s="460" t="s">
        <v>1301</v>
      </c>
      <c r="B109" s="461" t="s">
        <v>1302</v>
      </c>
      <c r="C109" s="460" t="s">
        <v>29</v>
      </c>
      <c r="D109" s="460" t="s">
        <v>862</v>
      </c>
      <c r="E109" s="460" t="s">
        <v>115</v>
      </c>
      <c r="F109" s="462">
        <v>2.884279862E-3</v>
      </c>
      <c r="G109" s="462">
        <v>850000</v>
      </c>
      <c r="H109" s="462">
        <v>2451.6378826999999</v>
      </c>
      <c r="I109" s="463">
        <v>3.8989319866570539E-2</v>
      </c>
      <c r="J109" s="463">
        <v>122.88469310747382</v>
      </c>
      <c r="K109" s="460" t="s">
        <v>1141</v>
      </c>
    </row>
    <row r="110" spans="1:11" ht="36">
      <c r="A110" s="460" t="s">
        <v>1303</v>
      </c>
      <c r="B110" s="461" t="s">
        <v>1304</v>
      </c>
      <c r="C110" s="460" t="s">
        <v>29</v>
      </c>
      <c r="D110" s="460" t="s">
        <v>862</v>
      </c>
      <c r="E110" s="460" t="s">
        <v>115</v>
      </c>
      <c r="F110" s="462">
        <v>0.23603390695679999</v>
      </c>
      <c r="G110" s="462">
        <v>10347.85</v>
      </c>
      <c r="H110" s="462">
        <v>2442.4434641029229</v>
      </c>
      <c r="I110" s="463">
        <v>3.8843097567511524E-2</v>
      </c>
      <c r="J110" s="463">
        <v>122.92353614995041</v>
      </c>
      <c r="K110" s="460" t="s">
        <v>1141</v>
      </c>
    </row>
    <row r="111" spans="1:11">
      <c r="A111" s="460" t="s">
        <v>1007</v>
      </c>
      <c r="B111" s="461" t="s">
        <v>1008</v>
      </c>
      <c r="C111" s="460" t="s">
        <v>29</v>
      </c>
      <c r="D111" s="460" t="s">
        <v>834</v>
      </c>
      <c r="E111" s="460" t="s">
        <v>328</v>
      </c>
      <c r="F111" s="462">
        <v>104.050482</v>
      </c>
      <c r="G111" s="462">
        <v>23.4</v>
      </c>
      <c r="H111" s="462">
        <v>2434.7812788000001</v>
      </c>
      <c r="I111" s="463">
        <v>3.8721242951150488E-2</v>
      </c>
      <c r="J111" s="463">
        <v>122.96225737256432</v>
      </c>
      <c r="K111" s="460" t="s">
        <v>1141</v>
      </c>
    </row>
    <row r="112" spans="1:11" ht="36">
      <c r="A112" s="460" t="s">
        <v>1305</v>
      </c>
      <c r="B112" s="461" t="s">
        <v>1306</v>
      </c>
      <c r="C112" s="460" t="s">
        <v>29</v>
      </c>
      <c r="D112" s="460" t="s">
        <v>862</v>
      </c>
      <c r="E112" s="460" t="s">
        <v>115</v>
      </c>
      <c r="F112" s="462">
        <v>2.6370310021000001E-2</v>
      </c>
      <c r="G112" s="462">
        <v>84450</v>
      </c>
      <c r="H112" s="462">
        <v>2226.9726812734498</v>
      </c>
      <c r="I112" s="463">
        <v>3.5416384620660435E-2</v>
      </c>
      <c r="J112" s="463">
        <v>122.99767371454368</v>
      </c>
      <c r="K112" s="460" t="s">
        <v>1141</v>
      </c>
    </row>
    <row r="113" spans="1:11" ht="24">
      <c r="A113" s="460" t="s">
        <v>1307</v>
      </c>
      <c r="B113" s="461" t="s">
        <v>1308</v>
      </c>
      <c r="C113" s="460" t="s">
        <v>29</v>
      </c>
      <c r="D113" s="460" t="s">
        <v>834</v>
      </c>
      <c r="E113" s="460" t="s">
        <v>40</v>
      </c>
      <c r="F113" s="462">
        <v>258.3252</v>
      </c>
      <c r="G113" s="462">
        <v>8.5</v>
      </c>
      <c r="H113" s="462">
        <v>2195.7642000000001</v>
      </c>
      <c r="I113" s="463">
        <v>3.4920064398368734E-2</v>
      </c>
      <c r="J113" s="463">
        <v>123.03259371214787</v>
      </c>
      <c r="K113" s="460" t="s">
        <v>1141</v>
      </c>
    </row>
    <row r="114" spans="1:11" ht="24">
      <c r="A114" s="460" t="s">
        <v>1309</v>
      </c>
      <c r="B114" s="461" t="s">
        <v>1310</v>
      </c>
      <c r="C114" s="460" t="s">
        <v>1136</v>
      </c>
      <c r="D114" s="460" t="s">
        <v>1157</v>
      </c>
      <c r="E114" s="460" t="s">
        <v>916</v>
      </c>
      <c r="F114" s="462">
        <v>104.04</v>
      </c>
      <c r="G114" s="462">
        <v>19.2255</v>
      </c>
      <c r="H114" s="462">
        <v>2000.22102</v>
      </c>
      <c r="I114" s="463">
        <v>3.1810267618613504E-2</v>
      </c>
      <c r="J114" s="463">
        <v>123.06440396354503</v>
      </c>
      <c r="K114" s="460" t="s">
        <v>1141</v>
      </c>
    </row>
    <row r="115" spans="1:11">
      <c r="A115" s="460" t="s">
        <v>1311</v>
      </c>
      <c r="B115" s="461" t="s">
        <v>1312</v>
      </c>
      <c r="C115" s="460" t="s">
        <v>29</v>
      </c>
      <c r="D115" s="460" t="s">
        <v>834</v>
      </c>
      <c r="E115" s="460" t="s">
        <v>115</v>
      </c>
      <c r="F115" s="462">
        <v>680.4</v>
      </c>
      <c r="G115" s="462">
        <v>2.86</v>
      </c>
      <c r="H115" s="462">
        <v>1945.944</v>
      </c>
      <c r="I115" s="463">
        <v>3.0947079743635152E-2</v>
      </c>
      <c r="J115" s="463">
        <v>123.09535097967517</v>
      </c>
      <c r="K115" s="460" t="s">
        <v>1141</v>
      </c>
    </row>
    <row r="116" spans="1:11" ht="48">
      <c r="A116" s="460" t="s">
        <v>1313</v>
      </c>
      <c r="B116" s="461" t="s">
        <v>1314</v>
      </c>
      <c r="C116" s="460" t="s">
        <v>29</v>
      </c>
      <c r="D116" s="460" t="s">
        <v>862</v>
      </c>
      <c r="E116" s="460" t="s">
        <v>115</v>
      </c>
      <c r="F116" s="462">
        <v>0.19337759681960001</v>
      </c>
      <c r="G116" s="462">
        <v>9738.0300000000007</v>
      </c>
      <c r="H116" s="462">
        <v>1883.1168391571694</v>
      </c>
      <c r="I116" s="463">
        <v>2.9947915761182796E-2</v>
      </c>
      <c r="J116" s="463">
        <v>123.12529894570443</v>
      </c>
      <c r="K116" s="460" t="s">
        <v>1141</v>
      </c>
    </row>
    <row r="117" spans="1:11" ht="24">
      <c r="A117" s="460" t="s">
        <v>1315</v>
      </c>
      <c r="B117" s="461" t="s">
        <v>1316</v>
      </c>
      <c r="C117" s="460" t="s">
        <v>1136</v>
      </c>
      <c r="D117" s="460" t="s">
        <v>1157</v>
      </c>
      <c r="E117" s="460" t="s">
        <v>916</v>
      </c>
      <c r="F117" s="462">
        <v>78</v>
      </c>
      <c r="G117" s="462">
        <v>23.19</v>
      </c>
      <c r="H117" s="462">
        <v>1808.82</v>
      </c>
      <c r="I117" s="463">
        <v>2.8766345168145711E-2</v>
      </c>
      <c r="J117" s="463">
        <v>123.15406529087257</v>
      </c>
      <c r="K117" s="460" t="s">
        <v>1141</v>
      </c>
    </row>
    <row r="118" spans="1:11" ht="24">
      <c r="A118" s="460" t="s">
        <v>1317</v>
      </c>
      <c r="B118" s="461" t="s">
        <v>1318</v>
      </c>
      <c r="C118" s="460" t="s">
        <v>29</v>
      </c>
      <c r="D118" s="460" t="s">
        <v>834</v>
      </c>
      <c r="E118" s="460" t="s">
        <v>60</v>
      </c>
      <c r="F118" s="462">
        <v>17.470239843600002</v>
      </c>
      <c r="G118" s="462">
        <v>101.85</v>
      </c>
      <c r="H118" s="462">
        <v>1779.34392807066</v>
      </c>
      <c r="I118" s="463">
        <v>2.8297576103606132E-2</v>
      </c>
      <c r="J118" s="463">
        <v>123.1823628045066</v>
      </c>
      <c r="K118" s="460" t="s">
        <v>1141</v>
      </c>
    </row>
    <row r="119" spans="1:11">
      <c r="A119" s="460" t="s">
        <v>1043</v>
      </c>
      <c r="B119" s="461" t="s">
        <v>1044</v>
      </c>
      <c r="C119" s="460" t="s">
        <v>29</v>
      </c>
      <c r="D119" s="460" t="s">
        <v>834</v>
      </c>
      <c r="E119" s="460" t="s">
        <v>328</v>
      </c>
      <c r="F119" s="462">
        <v>996.44</v>
      </c>
      <c r="G119" s="462">
        <v>1.76</v>
      </c>
      <c r="H119" s="462">
        <v>1753.7344000000001</v>
      </c>
      <c r="I119" s="463">
        <v>2.7890298141136718E-2</v>
      </c>
      <c r="J119" s="463">
        <v>123.21025303267287</v>
      </c>
      <c r="K119" s="460" t="s">
        <v>1141</v>
      </c>
    </row>
    <row r="120" spans="1:11" ht="24">
      <c r="A120" s="460" t="s">
        <v>1083</v>
      </c>
      <c r="B120" s="461" t="s">
        <v>1084</v>
      </c>
      <c r="C120" s="460" t="s">
        <v>29</v>
      </c>
      <c r="D120" s="460" t="s">
        <v>834</v>
      </c>
      <c r="E120" s="460" t="s">
        <v>60</v>
      </c>
      <c r="F120" s="462">
        <v>19.757000000000001</v>
      </c>
      <c r="G120" s="462">
        <v>88.69</v>
      </c>
      <c r="H120" s="462">
        <v>1752.2483299999999</v>
      </c>
      <c r="I120" s="463">
        <v>2.7866664610678171E-2</v>
      </c>
      <c r="J120" s="463">
        <v>123.23811972384219</v>
      </c>
      <c r="K120" s="460" t="s">
        <v>1141</v>
      </c>
    </row>
    <row r="121" spans="1:11" ht="24">
      <c r="A121" s="460" t="s">
        <v>1319</v>
      </c>
      <c r="B121" s="461" t="s">
        <v>1320</v>
      </c>
      <c r="C121" s="460" t="s">
        <v>29</v>
      </c>
      <c r="D121" s="460" t="s">
        <v>834</v>
      </c>
      <c r="E121" s="460" t="s">
        <v>1006</v>
      </c>
      <c r="F121" s="462">
        <v>165.62296799999999</v>
      </c>
      <c r="G121" s="462">
        <v>9.4600000000000009</v>
      </c>
      <c r="H121" s="462">
        <v>1566.79327728</v>
      </c>
      <c r="I121" s="463">
        <v>2.4917303115493367E-2</v>
      </c>
      <c r="J121" s="463">
        <v>123.26303697483786</v>
      </c>
      <c r="K121" s="460" t="s">
        <v>1141</v>
      </c>
    </row>
    <row r="122" spans="1:11" ht="36">
      <c r="A122" s="460" t="s">
        <v>1321</v>
      </c>
      <c r="B122" s="461" t="s">
        <v>1322</v>
      </c>
      <c r="C122" s="460" t="s">
        <v>1136</v>
      </c>
      <c r="D122" s="460" t="s">
        <v>874</v>
      </c>
      <c r="E122" s="460" t="s">
        <v>877</v>
      </c>
      <c r="F122" s="462">
        <v>34.68</v>
      </c>
      <c r="G122" s="462">
        <v>43.375300000000003</v>
      </c>
      <c r="H122" s="462">
        <v>1504.255404</v>
      </c>
      <c r="I122" s="463">
        <v>2.3922739782019479E-2</v>
      </c>
      <c r="J122" s="463">
        <v>123.28695978771179</v>
      </c>
      <c r="K122" s="460" t="s">
        <v>1141</v>
      </c>
    </row>
    <row r="123" spans="1:11" ht="24">
      <c r="A123" s="460" t="s">
        <v>1323</v>
      </c>
      <c r="B123" s="461" t="s">
        <v>1324</v>
      </c>
      <c r="C123" s="460" t="s">
        <v>29</v>
      </c>
      <c r="D123" s="460" t="s">
        <v>862</v>
      </c>
      <c r="E123" s="460" t="s">
        <v>115</v>
      </c>
      <c r="F123" s="462">
        <v>5.6543759508E-3</v>
      </c>
      <c r="G123" s="462">
        <v>262500</v>
      </c>
      <c r="H123" s="462">
        <v>1484.2736870849999</v>
      </c>
      <c r="I123" s="463">
        <v>2.3604963018256882E-2</v>
      </c>
      <c r="J123" s="463">
        <v>123.31056469209295</v>
      </c>
      <c r="K123" s="460" t="s">
        <v>1141</v>
      </c>
    </row>
    <row r="124" spans="1:11">
      <c r="A124" s="460" t="s">
        <v>1325</v>
      </c>
      <c r="B124" s="461" t="s">
        <v>1326</v>
      </c>
      <c r="C124" s="460" t="s">
        <v>1136</v>
      </c>
      <c r="D124" s="460" t="s">
        <v>834</v>
      </c>
      <c r="E124" s="460" t="s">
        <v>143</v>
      </c>
      <c r="F124" s="462">
        <v>12.432</v>
      </c>
      <c r="G124" s="462">
        <v>108.45650000000001</v>
      </c>
      <c r="H124" s="462">
        <v>1348.3312080000001</v>
      </c>
      <c r="I124" s="463">
        <v>2.1443018614517129E-2</v>
      </c>
      <c r="J124" s="463">
        <v>123.3320076914962</v>
      </c>
      <c r="K124" s="460" t="s">
        <v>1141</v>
      </c>
    </row>
    <row r="125" spans="1:11" ht="24">
      <c r="A125" s="460" t="s">
        <v>1327</v>
      </c>
      <c r="B125" s="461" t="s">
        <v>1328</v>
      </c>
      <c r="C125" s="460" t="s">
        <v>29</v>
      </c>
      <c r="D125" s="460" t="s">
        <v>1157</v>
      </c>
      <c r="E125" s="460" t="s">
        <v>851</v>
      </c>
      <c r="F125" s="462">
        <v>41.073737512500003</v>
      </c>
      <c r="G125" s="462">
        <v>30.81</v>
      </c>
      <c r="H125" s="462">
        <v>1265.4818527601251</v>
      </c>
      <c r="I125" s="463">
        <v>2.0125434139672441E-2</v>
      </c>
      <c r="J125" s="463">
        <v>123.35213309617073</v>
      </c>
      <c r="K125" s="460" t="s">
        <v>1141</v>
      </c>
    </row>
    <row r="126" spans="1:11">
      <c r="A126" s="460" t="s">
        <v>1329</v>
      </c>
      <c r="B126" s="461" t="s">
        <v>1330</v>
      </c>
      <c r="C126" s="460" t="s">
        <v>29</v>
      </c>
      <c r="D126" s="460" t="s">
        <v>834</v>
      </c>
      <c r="E126" s="460" t="s">
        <v>20</v>
      </c>
      <c r="F126" s="462">
        <v>125</v>
      </c>
      <c r="G126" s="462">
        <v>9.85</v>
      </c>
      <c r="H126" s="462">
        <v>1231.25</v>
      </c>
      <c r="I126" s="463">
        <v>1.9581032102851257E-2</v>
      </c>
      <c r="J126" s="463">
        <v>123.37171412827358</v>
      </c>
      <c r="K126" s="460" t="s">
        <v>1141</v>
      </c>
    </row>
    <row r="127" spans="1:11" ht="24">
      <c r="A127" s="460" t="s">
        <v>1331</v>
      </c>
      <c r="B127" s="461" t="s">
        <v>1332</v>
      </c>
      <c r="C127" s="460" t="s">
        <v>1136</v>
      </c>
      <c r="D127" s="460" t="s">
        <v>834</v>
      </c>
      <c r="E127" s="460" t="s">
        <v>1275</v>
      </c>
      <c r="F127" s="462">
        <v>54.305160000000001</v>
      </c>
      <c r="G127" s="462">
        <v>21.943300000000001</v>
      </c>
      <c r="H127" s="462">
        <v>1191.634417428</v>
      </c>
      <c r="I127" s="463">
        <v>1.8951010584787917E-2</v>
      </c>
      <c r="J127" s="463">
        <v>123.39066506860635</v>
      </c>
      <c r="K127" s="460" t="s">
        <v>1141</v>
      </c>
    </row>
    <row r="128" spans="1:11" ht="24">
      <c r="A128" s="460" t="s">
        <v>1333</v>
      </c>
      <c r="B128" s="461" t="s">
        <v>1334</v>
      </c>
      <c r="C128" s="460" t="s">
        <v>29</v>
      </c>
      <c r="D128" s="460" t="s">
        <v>1157</v>
      </c>
      <c r="E128" s="460" t="s">
        <v>851</v>
      </c>
      <c r="F128" s="462">
        <v>42.590186349375003</v>
      </c>
      <c r="G128" s="462">
        <v>27.69</v>
      </c>
      <c r="H128" s="462">
        <v>1179.3222600141937</v>
      </c>
      <c r="I128" s="463">
        <v>1.8755205712036566E-2</v>
      </c>
      <c r="J128" s="463">
        <v>123.40942023837653</v>
      </c>
      <c r="K128" s="460" t="s">
        <v>1141</v>
      </c>
    </row>
    <row r="129" spans="1:11" ht="24">
      <c r="A129" s="460" t="s">
        <v>1335</v>
      </c>
      <c r="B129" s="461" t="s">
        <v>1336</v>
      </c>
      <c r="C129" s="460" t="s">
        <v>29</v>
      </c>
      <c r="D129" s="460" t="s">
        <v>834</v>
      </c>
      <c r="E129" s="460" t="s">
        <v>328</v>
      </c>
      <c r="F129" s="462">
        <v>95.58</v>
      </c>
      <c r="G129" s="462">
        <v>11.94</v>
      </c>
      <c r="H129" s="462">
        <v>1141.2252000000001</v>
      </c>
      <c r="I129" s="463">
        <v>1.8149333829671346E-2</v>
      </c>
      <c r="J129" s="463">
        <v>123.4275696485424</v>
      </c>
      <c r="K129" s="460" t="s">
        <v>1141</v>
      </c>
    </row>
    <row r="130" spans="1:11" ht="24">
      <c r="A130" s="460" t="s">
        <v>1337</v>
      </c>
      <c r="B130" s="461" t="s">
        <v>1338</v>
      </c>
      <c r="C130" s="460" t="s">
        <v>29</v>
      </c>
      <c r="D130" s="460" t="s">
        <v>1157</v>
      </c>
      <c r="E130" s="460" t="s">
        <v>851</v>
      </c>
      <c r="F130" s="462">
        <v>79.461987283389547</v>
      </c>
      <c r="G130" s="462">
        <v>14.17</v>
      </c>
      <c r="H130" s="462">
        <v>1125.97635980563</v>
      </c>
      <c r="I130" s="463">
        <v>1.7906825785507115E-2</v>
      </c>
      <c r="J130" s="463">
        <v>123.44547653221929</v>
      </c>
      <c r="K130" s="460" t="s">
        <v>1141</v>
      </c>
    </row>
    <row r="131" spans="1:11" ht="24">
      <c r="A131" s="460" t="s">
        <v>1339</v>
      </c>
      <c r="B131" s="461" t="s">
        <v>1340</v>
      </c>
      <c r="C131" s="460" t="s">
        <v>29</v>
      </c>
      <c r="D131" s="460" t="s">
        <v>834</v>
      </c>
      <c r="E131" s="460" t="s">
        <v>20</v>
      </c>
      <c r="F131" s="462">
        <v>14.658314470800001</v>
      </c>
      <c r="G131" s="462">
        <v>69.16</v>
      </c>
      <c r="H131" s="462">
        <v>1013.769028800528</v>
      </c>
      <c r="I131" s="463">
        <v>1.6122350373863534E-2</v>
      </c>
      <c r="J131" s="463">
        <v>123.4615988980385</v>
      </c>
      <c r="K131" s="460" t="s">
        <v>1141</v>
      </c>
    </row>
    <row r="132" spans="1:11" ht="24">
      <c r="A132" s="460" t="s">
        <v>1341</v>
      </c>
      <c r="B132" s="461" t="s">
        <v>1342</v>
      </c>
      <c r="C132" s="460" t="s">
        <v>29</v>
      </c>
      <c r="D132" s="460" t="s">
        <v>1157</v>
      </c>
      <c r="E132" s="460" t="s">
        <v>851</v>
      </c>
      <c r="F132" s="462">
        <v>41.029603031999997</v>
      </c>
      <c r="G132" s="462">
        <v>24.37</v>
      </c>
      <c r="H132" s="462">
        <v>999.89142588983998</v>
      </c>
      <c r="I132" s="463">
        <v>1.5901649632255575E-2</v>
      </c>
      <c r="J132" s="463">
        <v>123.4775005249943</v>
      </c>
      <c r="K132" s="460" t="s">
        <v>1141</v>
      </c>
    </row>
    <row r="133" spans="1:11" ht="36">
      <c r="A133" s="460" t="s">
        <v>1343</v>
      </c>
      <c r="B133" s="461" t="s">
        <v>1344</v>
      </c>
      <c r="C133" s="460" t="s">
        <v>29</v>
      </c>
      <c r="D133" s="460" t="s">
        <v>862</v>
      </c>
      <c r="E133" s="460" t="s">
        <v>115</v>
      </c>
      <c r="F133" s="462">
        <v>1.9755663291000001E-3</v>
      </c>
      <c r="G133" s="462">
        <v>498844.15</v>
      </c>
      <c r="H133" s="462">
        <v>985.49970620850979</v>
      </c>
      <c r="I133" s="463">
        <v>1.5672772698167966E-2</v>
      </c>
      <c r="J133" s="463">
        <v>123.49317330236474</v>
      </c>
      <c r="K133" s="460" t="s">
        <v>1141</v>
      </c>
    </row>
    <row r="134" spans="1:11" ht="36">
      <c r="A134" s="460" t="s">
        <v>1345</v>
      </c>
      <c r="B134" s="461" t="s">
        <v>1346</v>
      </c>
      <c r="C134" s="460" t="s">
        <v>1136</v>
      </c>
      <c r="D134" s="460" t="s">
        <v>874</v>
      </c>
      <c r="E134" s="460" t="s">
        <v>877</v>
      </c>
      <c r="F134" s="462">
        <v>51.393332399999998</v>
      </c>
      <c r="G134" s="462">
        <v>18.5944</v>
      </c>
      <c r="H134" s="462">
        <v>955.62817997855996</v>
      </c>
      <c r="I134" s="463">
        <v>1.5197714575065583E-2</v>
      </c>
      <c r="J134" s="463">
        <v>123.50837104588429</v>
      </c>
      <c r="K134" s="460" t="s">
        <v>1141</v>
      </c>
    </row>
    <row r="135" spans="1:11" ht="24">
      <c r="A135" s="460" t="s">
        <v>1347</v>
      </c>
      <c r="B135" s="461" t="s">
        <v>1348</v>
      </c>
      <c r="C135" s="460" t="s">
        <v>1136</v>
      </c>
      <c r="D135" s="460" t="s">
        <v>1157</v>
      </c>
      <c r="E135" s="460" t="s">
        <v>916</v>
      </c>
      <c r="F135" s="462">
        <v>34.68</v>
      </c>
      <c r="G135" s="462">
        <v>26.687000000000001</v>
      </c>
      <c r="H135" s="462">
        <v>925.50516000000005</v>
      </c>
      <c r="I135" s="463">
        <v>1.4718656852235118E-2</v>
      </c>
      <c r="J135" s="463">
        <v>123.52308977970887</v>
      </c>
      <c r="K135" s="460" t="s">
        <v>1141</v>
      </c>
    </row>
    <row r="136" spans="1:11">
      <c r="A136" s="460" t="s">
        <v>1349</v>
      </c>
      <c r="B136" s="461" t="s">
        <v>1350</v>
      </c>
      <c r="C136" s="460" t="s">
        <v>29</v>
      </c>
      <c r="D136" s="460" t="s">
        <v>834</v>
      </c>
      <c r="E136" s="460" t="s">
        <v>328</v>
      </c>
      <c r="F136" s="462">
        <v>76.966399999999993</v>
      </c>
      <c r="G136" s="462">
        <v>11.62</v>
      </c>
      <c r="H136" s="462">
        <v>894.34956799999998</v>
      </c>
      <c r="I136" s="463">
        <v>1.4223177747962763E-2</v>
      </c>
      <c r="J136" s="463">
        <v>123.5373129643271</v>
      </c>
      <c r="K136" s="460" t="s">
        <v>1141</v>
      </c>
    </row>
    <row r="137" spans="1:11" ht="24">
      <c r="A137" s="460" t="s">
        <v>1351</v>
      </c>
      <c r="B137" s="461" t="s">
        <v>1352</v>
      </c>
      <c r="C137" s="460" t="s">
        <v>29</v>
      </c>
      <c r="D137" s="460" t="s">
        <v>834</v>
      </c>
      <c r="E137" s="460" t="s">
        <v>115</v>
      </c>
      <c r="F137" s="462">
        <v>4953.4345205006402</v>
      </c>
      <c r="G137" s="462">
        <v>0.18</v>
      </c>
      <c r="H137" s="462">
        <v>891.61821369011523</v>
      </c>
      <c r="I137" s="463">
        <v>1.4179739992489776E-2</v>
      </c>
      <c r="J137" s="463">
        <v>123.55149273272794</v>
      </c>
      <c r="K137" s="460" t="s">
        <v>1141</v>
      </c>
    </row>
    <row r="138" spans="1:11" ht="24">
      <c r="A138" s="460" t="s">
        <v>1353</v>
      </c>
      <c r="B138" s="461" t="s">
        <v>1354</v>
      </c>
      <c r="C138" s="460" t="s">
        <v>29</v>
      </c>
      <c r="D138" s="460" t="s">
        <v>862</v>
      </c>
      <c r="E138" s="460" t="s">
        <v>115</v>
      </c>
      <c r="F138" s="462">
        <v>1.2600367439999999E-2</v>
      </c>
      <c r="G138" s="462">
        <v>70469.149999999994</v>
      </c>
      <c r="H138" s="462">
        <v>887.937183184476</v>
      </c>
      <c r="I138" s="463">
        <v>1.4121199179086734E-2</v>
      </c>
      <c r="J138" s="463">
        <v>123.5656139767039</v>
      </c>
      <c r="K138" s="460" t="s">
        <v>1141</v>
      </c>
    </row>
    <row r="139" spans="1:11" ht="36">
      <c r="A139" s="460" t="s">
        <v>1355</v>
      </c>
      <c r="B139" s="461" t="s">
        <v>1356</v>
      </c>
      <c r="C139" s="460" t="s">
        <v>29</v>
      </c>
      <c r="D139" s="460" t="s">
        <v>1174</v>
      </c>
      <c r="E139" s="460" t="s">
        <v>851</v>
      </c>
      <c r="F139" s="462">
        <v>687.65789387999996</v>
      </c>
      <c r="G139" s="462">
        <v>1.26</v>
      </c>
      <c r="H139" s="462">
        <v>866.44894628880002</v>
      </c>
      <c r="I139" s="463">
        <v>1.3779463661127015E-2</v>
      </c>
      <c r="J139" s="463">
        <v>123.57939345712259</v>
      </c>
      <c r="K139" s="460" t="s">
        <v>1141</v>
      </c>
    </row>
    <row r="140" spans="1:11" ht="24">
      <c r="A140" s="460" t="s">
        <v>1099</v>
      </c>
      <c r="B140" s="461" t="s">
        <v>1100</v>
      </c>
      <c r="C140" s="460" t="s">
        <v>29</v>
      </c>
      <c r="D140" s="460" t="s">
        <v>834</v>
      </c>
      <c r="E140" s="460" t="s">
        <v>115</v>
      </c>
      <c r="F140" s="462">
        <v>85.9</v>
      </c>
      <c r="G140" s="462">
        <v>9.81</v>
      </c>
      <c r="H140" s="462">
        <v>842.67899999999997</v>
      </c>
      <c r="I140" s="463">
        <v>1.3401441260019161E-2</v>
      </c>
      <c r="J140" s="463">
        <v>123.59279491428599</v>
      </c>
      <c r="K140" s="460" t="s">
        <v>1141</v>
      </c>
    </row>
    <row r="141" spans="1:11" ht="24">
      <c r="A141" s="460" t="s">
        <v>1357</v>
      </c>
      <c r="B141" s="461" t="s">
        <v>1358</v>
      </c>
      <c r="C141" s="460" t="s">
        <v>29</v>
      </c>
      <c r="D141" s="460" t="s">
        <v>834</v>
      </c>
      <c r="E141" s="460" t="s">
        <v>115</v>
      </c>
      <c r="F141" s="462">
        <v>286.30470000000003</v>
      </c>
      <c r="G141" s="462">
        <v>2.94</v>
      </c>
      <c r="H141" s="462">
        <v>841.73581799999999</v>
      </c>
      <c r="I141" s="463">
        <v>1.3386441481728132E-2</v>
      </c>
      <c r="J141" s="463">
        <v>123.60618142227564</v>
      </c>
      <c r="K141" s="460" t="s">
        <v>1141</v>
      </c>
    </row>
    <row r="142" spans="1:11" ht="24">
      <c r="A142" s="460" t="s">
        <v>1359</v>
      </c>
      <c r="B142" s="461" t="s">
        <v>1360</v>
      </c>
      <c r="C142" s="460" t="s">
        <v>1136</v>
      </c>
      <c r="D142" s="460" t="s">
        <v>1157</v>
      </c>
      <c r="E142" s="460" t="s">
        <v>916</v>
      </c>
      <c r="F142" s="462">
        <v>34.68</v>
      </c>
      <c r="G142" s="462">
        <v>23.883500000000002</v>
      </c>
      <c r="H142" s="462">
        <v>828.27977999999996</v>
      </c>
      <c r="I142" s="463">
        <v>1.3172445045541178E-2</v>
      </c>
      <c r="J142" s="463">
        <v>123.61935387081992</v>
      </c>
      <c r="K142" s="460" t="s">
        <v>1141</v>
      </c>
    </row>
    <row r="143" spans="1:11">
      <c r="A143" s="460" t="s">
        <v>1095</v>
      </c>
      <c r="B143" s="461" t="s">
        <v>1361</v>
      </c>
      <c r="C143" s="460" t="s">
        <v>29</v>
      </c>
      <c r="D143" s="460" t="s">
        <v>834</v>
      </c>
      <c r="E143" s="460" t="s">
        <v>40</v>
      </c>
      <c r="F143" s="462">
        <v>49.612499999999997</v>
      </c>
      <c r="G143" s="462">
        <v>16.649999999999999</v>
      </c>
      <c r="H143" s="462">
        <v>826.04812500000003</v>
      </c>
      <c r="I143" s="463">
        <v>1.3136954196243725E-2</v>
      </c>
      <c r="J143" s="463">
        <v>123.632490854835</v>
      </c>
      <c r="K143" s="460" t="s">
        <v>1141</v>
      </c>
    </row>
    <row r="144" spans="1:11">
      <c r="A144" s="460" t="s">
        <v>1362</v>
      </c>
      <c r="B144" s="461" t="s">
        <v>1363</v>
      </c>
      <c r="C144" s="460" t="s">
        <v>29</v>
      </c>
      <c r="D144" s="460" t="s">
        <v>834</v>
      </c>
      <c r="E144" s="460" t="s">
        <v>328</v>
      </c>
      <c r="F144" s="462">
        <v>60.38408175</v>
      </c>
      <c r="G144" s="462">
        <v>12.79</v>
      </c>
      <c r="H144" s="462">
        <v>772.31240558249999</v>
      </c>
      <c r="I144" s="463">
        <v>1.2282374828134993E-2</v>
      </c>
      <c r="J144" s="463">
        <v>123.64477319140624</v>
      </c>
      <c r="K144" s="460" t="s">
        <v>1141</v>
      </c>
    </row>
    <row r="145" spans="1:11" ht="24">
      <c r="A145" s="460" t="s">
        <v>1035</v>
      </c>
      <c r="B145" s="461" t="s">
        <v>1364</v>
      </c>
      <c r="C145" s="460" t="s">
        <v>29</v>
      </c>
      <c r="D145" s="460" t="s">
        <v>834</v>
      </c>
      <c r="E145" s="460" t="s">
        <v>328</v>
      </c>
      <c r="F145" s="462">
        <v>58.7592</v>
      </c>
      <c r="G145" s="462">
        <v>11.94</v>
      </c>
      <c r="H145" s="462">
        <v>701.58484799999997</v>
      </c>
      <c r="I145" s="463">
        <v>1.1157567863197578E-2</v>
      </c>
      <c r="J145" s="463">
        <v>123.65593068216988</v>
      </c>
      <c r="K145" s="460" t="s">
        <v>1141</v>
      </c>
    </row>
    <row r="146" spans="1:11" ht="36">
      <c r="A146" s="460" t="s">
        <v>1365</v>
      </c>
      <c r="B146" s="461" t="s">
        <v>1366</v>
      </c>
      <c r="C146" s="460" t="s">
        <v>29</v>
      </c>
      <c r="D146" s="460" t="s">
        <v>862</v>
      </c>
      <c r="E146" s="460" t="s">
        <v>115</v>
      </c>
      <c r="F146" s="462">
        <v>3.0743711635949598E-2</v>
      </c>
      <c r="G146" s="462">
        <v>22332.2</v>
      </c>
      <c r="H146" s="462">
        <v>686.57471699635369</v>
      </c>
      <c r="I146" s="463">
        <v>1.0918856101126187E-2</v>
      </c>
      <c r="J146" s="463">
        <v>123.66684946325483</v>
      </c>
      <c r="K146" s="460" t="s">
        <v>1141</v>
      </c>
    </row>
    <row r="147" spans="1:11">
      <c r="A147" s="460" t="s">
        <v>1367</v>
      </c>
      <c r="B147" s="461" t="s">
        <v>1368</v>
      </c>
      <c r="C147" s="460" t="s">
        <v>1136</v>
      </c>
      <c r="D147" s="460" t="s">
        <v>834</v>
      </c>
      <c r="E147" s="460" t="s">
        <v>1369</v>
      </c>
      <c r="F147" s="462">
        <v>19.9953</v>
      </c>
      <c r="G147" s="462">
        <v>31.8491</v>
      </c>
      <c r="H147" s="462">
        <v>636.83230922999996</v>
      </c>
      <c r="I147" s="463">
        <v>1.0127783870997383E-2</v>
      </c>
      <c r="J147" s="463">
        <v>123.67697721040128</v>
      </c>
      <c r="K147" s="460" t="s">
        <v>1141</v>
      </c>
    </row>
    <row r="148" spans="1:11" ht="24">
      <c r="A148" s="460" t="s">
        <v>1370</v>
      </c>
      <c r="B148" s="461" t="s">
        <v>1371</v>
      </c>
      <c r="C148" s="460" t="s">
        <v>29</v>
      </c>
      <c r="D148" s="460" t="s">
        <v>834</v>
      </c>
      <c r="E148" s="460" t="s">
        <v>20</v>
      </c>
      <c r="F148" s="462">
        <v>11.397238059999999</v>
      </c>
      <c r="G148" s="462">
        <v>55.74</v>
      </c>
      <c r="H148" s="462">
        <v>635.28204946439996</v>
      </c>
      <c r="I148" s="463">
        <v>1.0103129506540146E-2</v>
      </c>
      <c r="J148" s="463">
        <v>123.68708030731442</v>
      </c>
      <c r="K148" s="460" t="s">
        <v>1141</v>
      </c>
    </row>
    <row r="149" spans="1:11" ht="36">
      <c r="A149" s="460" t="s">
        <v>1372</v>
      </c>
      <c r="B149" s="461" t="s">
        <v>1373</v>
      </c>
      <c r="C149" s="460" t="s">
        <v>29</v>
      </c>
      <c r="D149" s="460" t="s">
        <v>1174</v>
      </c>
      <c r="E149" s="460" t="s">
        <v>31</v>
      </c>
      <c r="F149" s="462">
        <v>5.0199999999999996</v>
      </c>
      <c r="G149" s="462">
        <v>123.54</v>
      </c>
      <c r="H149" s="462">
        <v>620.17079999999999</v>
      </c>
      <c r="I149" s="463">
        <v>9.862809619533763E-3</v>
      </c>
      <c r="J149" s="463">
        <v>123.69694310421126</v>
      </c>
      <c r="K149" s="460" t="s">
        <v>1141</v>
      </c>
    </row>
    <row r="150" spans="1:11" ht="36">
      <c r="A150" s="460" t="s">
        <v>1374</v>
      </c>
      <c r="B150" s="461" t="s">
        <v>1375</v>
      </c>
      <c r="C150" s="460" t="s">
        <v>29</v>
      </c>
      <c r="D150" s="460" t="s">
        <v>862</v>
      </c>
      <c r="E150" s="460" t="s">
        <v>115</v>
      </c>
      <c r="F150" s="462">
        <v>1.1194028999999999E-3</v>
      </c>
      <c r="G150" s="462">
        <v>525968.47</v>
      </c>
      <c r="H150" s="462">
        <v>588.77063062656305</v>
      </c>
      <c r="I150" s="463">
        <v>9.3634409092505262E-3</v>
      </c>
      <c r="J150" s="463">
        <v>123.70630653509141</v>
      </c>
      <c r="K150" s="460" t="s">
        <v>1141</v>
      </c>
    </row>
    <row r="151" spans="1:11" ht="24">
      <c r="A151" s="460" t="s">
        <v>1109</v>
      </c>
      <c r="B151" s="461" t="s">
        <v>1110</v>
      </c>
      <c r="C151" s="460" t="s">
        <v>29</v>
      </c>
      <c r="D151" s="460" t="s">
        <v>834</v>
      </c>
      <c r="E151" s="460" t="s">
        <v>328</v>
      </c>
      <c r="F151" s="462">
        <v>31.598299999999998</v>
      </c>
      <c r="G151" s="462">
        <v>18.190000000000001</v>
      </c>
      <c r="H151" s="462">
        <v>574.77307699999994</v>
      </c>
      <c r="I151" s="463">
        <v>9.1408325462672864E-3</v>
      </c>
      <c r="J151" s="463">
        <v>123.71544731870299</v>
      </c>
      <c r="K151" s="460" t="s">
        <v>1141</v>
      </c>
    </row>
    <row r="152" spans="1:11" ht="24">
      <c r="A152" s="460" t="s">
        <v>1376</v>
      </c>
      <c r="B152" s="461" t="s">
        <v>1377</v>
      </c>
      <c r="C152" s="460" t="s">
        <v>29</v>
      </c>
      <c r="D152" s="460" t="s">
        <v>862</v>
      </c>
      <c r="E152" s="460" t="s">
        <v>115</v>
      </c>
      <c r="F152" s="462">
        <v>6.0611084964999999E-3</v>
      </c>
      <c r="G152" s="462">
        <v>85178.57</v>
      </c>
      <c r="H152" s="462">
        <v>516.27655434671999</v>
      </c>
      <c r="I152" s="463">
        <v>8.2105403326802485E-3</v>
      </c>
      <c r="J152" s="463">
        <v>123.72365791383319</v>
      </c>
      <c r="K152" s="460" t="s">
        <v>1141</v>
      </c>
    </row>
    <row r="153" spans="1:11" ht="24">
      <c r="A153" s="460" t="s">
        <v>1378</v>
      </c>
      <c r="B153" s="461" t="s">
        <v>1379</v>
      </c>
      <c r="C153" s="460" t="s">
        <v>29</v>
      </c>
      <c r="D153" s="460" t="s">
        <v>1157</v>
      </c>
      <c r="E153" s="460" t="s">
        <v>851</v>
      </c>
      <c r="F153" s="462">
        <v>28.492241190000001</v>
      </c>
      <c r="G153" s="462">
        <v>16.57</v>
      </c>
      <c r="H153" s="462">
        <v>472.11643651830002</v>
      </c>
      <c r="I153" s="463">
        <v>7.5082453602018841E-3</v>
      </c>
      <c r="J153" s="463">
        <v>123.73116621586479</v>
      </c>
      <c r="K153" s="460" t="s">
        <v>1141</v>
      </c>
    </row>
    <row r="154" spans="1:11" ht="24">
      <c r="A154" s="460" t="s">
        <v>1380</v>
      </c>
      <c r="B154" s="461" t="s">
        <v>1381</v>
      </c>
      <c r="C154" s="460" t="s">
        <v>29</v>
      </c>
      <c r="D154" s="460" t="s">
        <v>834</v>
      </c>
      <c r="E154" s="460" t="s">
        <v>60</v>
      </c>
      <c r="F154" s="462">
        <v>1.0278856999999999</v>
      </c>
      <c r="G154" s="462">
        <v>456.13</v>
      </c>
      <c r="H154" s="462">
        <v>468.849504341</v>
      </c>
      <c r="I154" s="463">
        <v>7.4562901083508795E-3</v>
      </c>
      <c r="J154" s="463">
        <v>123.73862251385579</v>
      </c>
      <c r="K154" s="460" t="s">
        <v>1141</v>
      </c>
    </row>
    <row r="155" spans="1:11" ht="36">
      <c r="A155" s="460" t="s">
        <v>1382</v>
      </c>
      <c r="B155" s="461" t="s">
        <v>1383</v>
      </c>
      <c r="C155" s="460" t="s">
        <v>29</v>
      </c>
      <c r="D155" s="460" t="s">
        <v>1174</v>
      </c>
      <c r="E155" s="460" t="s">
        <v>851</v>
      </c>
      <c r="F155" s="462">
        <v>46266.870594638443</v>
      </c>
      <c r="G155" s="462">
        <v>0.01</v>
      </c>
      <c r="H155" s="462">
        <v>462.66870594638442</v>
      </c>
      <c r="I155" s="463">
        <v>7.3579945454788232E-3</v>
      </c>
      <c r="J155" s="463">
        <v>123.74598052898108</v>
      </c>
      <c r="K155" s="460" t="s">
        <v>1141</v>
      </c>
    </row>
    <row r="156" spans="1:11" ht="24">
      <c r="A156" s="460" t="s">
        <v>845</v>
      </c>
      <c r="B156" s="461" t="s">
        <v>1384</v>
      </c>
      <c r="C156" s="460" t="s">
        <v>29</v>
      </c>
      <c r="D156" s="460" t="s">
        <v>834</v>
      </c>
      <c r="E156" s="460" t="s">
        <v>40</v>
      </c>
      <c r="F156" s="462">
        <v>74.88</v>
      </c>
      <c r="G156" s="462">
        <v>6.12</v>
      </c>
      <c r="H156" s="462">
        <v>458.26560000000001</v>
      </c>
      <c r="I156" s="463">
        <v>7.2879702946049884E-3</v>
      </c>
      <c r="J156" s="463">
        <v>123.75326856925055</v>
      </c>
      <c r="K156" s="460" t="s">
        <v>1141</v>
      </c>
    </row>
    <row r="157" spans="1:11">
      <c r="A157" s="460" t="s">
        <v>1047</v>
      </c>
      <c r="B157" s="461" t="s">
        <v>1048</v>
      </c>
      <c r="C157" s="460" t="s">
        <v>29</v>
      </c>
      <c r="D157" s="460" t="s">
        <v>834</v>
      </c>
      <c r="E157" s="460" t="s">
        <v>328</v>
      </c>
      <c r="F157" s="462">
        <v>82.206299999999999</v>
      </c>
      <c r="G157" s="462">
        <v>5.57</v>
      </c>
      <c r="H157" s="462">
        <v>457.88909100000001</v>
      </c>
      <c r="I157" s="463">
        <v>7.2819825302874158E-3</v>
      </c>
      <c r="J157" s="463">
        <v>123.760550566237</v>
      </c>
      <c r="K157" s="460" t="s">
        <v>1141</v>
      </c>
    </row>
    <row r="158" spans="1:11">
      <c r="A158" s="460" t="s">
        <v>1385</v>
      </c>
      <c r="B158" s="461" t="s">
        <v>1386</v>
      </c>
      <c r="C158" s="460" t="s">
        <v>29</v>
      </c>
      <c r="D158" s="460" t="s">
        <v>1387</v>
      </c>
      <c r="E158" s="460" t="s">
        <v>1388</v>
      </c>
      <c r="F158" s="462">
        <v>491.97415106944999</v>
      </c>
      <c r="G158" s="462">
        <v>0.9</v>
      </c>
      <c r="H158" s="462">
        <v>442.77673596250497</v>
      </c>
      <c r="I158" s="463">
        <v>7.0416450609360436E-3</v>
      </c>
      <c r="J158" s="463">
        <v>123.76759226320715</v>
      </c>
      <c r="K158" s="460" t="s">
        <v>1141</v>
      </c>
    </row>
    <row r="159" spans="1:11" ht="36">
      <c r="A159" s="460" t="s">
        <v>1389</v>
      </c>
      <c r="B159" s="461" t="s">
        <v>1390</v>
      </c>
      <c r="C159" s="460" t="s">
        <v>29</v>
      </c>
      <c r="D159" s="460" t="s">
        <v>862</v>
      </c>
      <c r="E159" s="460" t="s">
        <v>115</v>
      </c>
      <c r="F159" s="462">
        <v>1.6654493661E-3</v>
      </c>
      <c r="G159" s="462">
        <v>261106.6</v>
      </c>
      <c r="H159" s="462">
        <v>434.85982145452624</v>
      </c>
      <c r="I159" s="463">
        <v>6.9157393901654769E-3</v>
      </c>
      <c r="J159" s="463">
        <v>123.7745080054368</v>
      </c>
      <c r="K159" s="460" t="s">
        <v>1141</v>
      </c>
    </row>
    <row r="160" spans="1:11" ht="24">
      <c r="A160" s="460" t="s">
        <v>1391</v>
      </c>
      <c r="B160" s="461" t="s">
        <v>1392</v>
      </c>
      <c r="C160" s="460" t="s">
        <v>29</v>
      </c>
      <c r="D160" s="460" t="s">
        <v>834</v>
      </c>
      <c r="E160" s="460" t="s">
        <v>40</v>
      </c>
      <c r="F160" s="462">
        <v>24.3432</v>
      </c>
      <c r="G160" s="462">
        <v>15.89</v>
      </c>
      <c r="H160" s="462">
        <v>386.81344799999999</v>
      </c>
      <c r="I160" s="463">
        <v>6.1516398319614897E-3</v>
      </c>
      <c r="J160" s="463">
        <v>123.78065959043391</v>
      </c>
      <c r="K160" s="460" t="s">
        <v>1141</v>
      </c>
    </row>
    <row r="161" spans="1:11">
      <c r="A161" s="460" t="s">
        <v>1393</v>
      </c>
      <c r="B161" s="461" t="s">
        <v>1394</v>
      </c>
      <c r="C161" s="460" t="s">
        <v>29</v>
      </c>
      <c r="D161" s="460" t="s">
        <v>834</v>
      </c>
      <c r="E161" s="460" t="s">
        <v>60</v>
      </c>
      <c r="F161" s="462">
        <v>0.97957943999999997</v>
      </c>
      <c r="G161" s="462">
        <v>341.81</v>
      </c>
      <c r="H161" s="462">
        <v>334.83004838639999</v>
      </c>
      <c r="I161" s="463">
        <v>5.3249282651397665E-3</v>
      </c>
      <c r="J161" s="463">
        <v>123.78598451792955</v>
      </c>
      <c r="K161" s="460" t="s">
        <v>1141</v>
      </c>
    </row>
    <row r="162" spans="1:11" ht="36">
      <c r="A162" s="460" t="s">
        <v>1395</v>
      </c>
      <c r="B162" s="461" t="s">
        <v>1396</v>
      </c>
      <c r="C162" s="460" t="s">
        <v>29</v>
      </c>
      <c r="D162" s="460" t="s">
        <v>1174</v>
      </c>
      <c r="E162" s="460" t="s">
        <v>31</v>
      </c>
      <c r="F162" s="462">
        <v>17.760000000000002</v>
      </c>
      <c r="G162" s="462">
        <v>18.579999999999998</v>
      </c>
      <c r="H162" s="462">
        <v>329.98079999999999</v>
      </c>
      <c r="I162" s="463">
        <v>5.2478088431468341E-3</v>
      </c>
      <c r="J162" s="463">
        <v>123.79123231404999</v>
      </c>
      <c r="K162" s="460" t="s">
        <v>1141</v>
      </c>
    </row>
    <row r="163" spans="1:11">
      <c r="A163" s="460" t="s">
        <v>1033</v>
      </c>
      <c r="B163" s="461" t="s">
        <v>1034</v>
      </c>
      <c r="C163" s="460" t="s">
        <v>29</v>
      </c>
      <c r="D163" s="460" t="s">
        <v>834</v>
      </c>
      <c r="E163" s="460" t="s">
        <v>1006</v>
      </c>
      <c r="F163" s="462">
        <v>13.20383</v>
      </c>
      <c r="G163" s="462">
        <v>23.73</v>
      </c>
      <c r="H163" s="462">
        <v>313.32688589999998</v>
      </c>
      <c r="I163" s="463">
        <v>4.9829553798938575E-3</v>
      </c>
      <c r="J163" s="463">
        <v>123.79621531895459</v>
      </c>
      <c r="K163" s="460" t="s">
        <v>1141</v>
      </c>
    </row>
    <row r="164" spans="1:11" ht="36">
      <c r="A164" s="460" t="s">
        <v>1397</v>
      </c>
      <c r="B164" s="461" t="s">
        <v>1398</v>
      </c>
      <c r="C164" s="460" t="s">
        <v>29</v>
      </c>
      <c r="D164" s="460" t="s">
        <v>1174</v>
      </c>
      <c r="E164" s="460" t="s">
        <v>851</v>
      </c>
      <c r="F164" s="462">
        <v>687.65789387999996</v>
      </c>
      <c r="G164" s="462">
        <v>0.45</v>
      </c>
      <c r="H164" s="462">
        <v>309.44605224600002</v>
      </c>
      <c r="I164" s="463">
        <v>4.9212370218310771E-3</v>
      </c>
      <c r="J164" s="463">
        <v>123.80113661875905</v>
      </c>
      <c r="K164" s="460" t="s">
        <v>1141</v>
      </c>
    </row>
    <row r="165" spans="1:11">
      <c r="A165" s="460" t="s">
        <v>1399</v>
      </c>
      <c r="B165" s="461" t="s">
        <v>1400</v>
      </c>
      <c r="C165" s="460" t="s">
        <v>1136</v>
      </c>
      <c r="D165" s="460" t="s">
        <v>834</v>
      </c>
      <c r="E165" s="460" t="s">
        <v>1275</v>
      </c>
      <c r="F165" s="462">
        <v>3.8841600000000001</v>
      </c>
      <c r="G165" s="462">
        <v>74.769000000000005</v>
      </c>
      <c r="H165" s="462">
        <v>290.41475903999998</v>
      </c>
      <c r="I165" s="463">
        <v>4.6185752039829865E-3</v>
      </c>
      <c r="J165" s="463">
        <v>123.80575511827821</v>
      </c>
      <c r="K165" s="460" t="s">
        <v>1141</v>
      </c>
    </row>
    <row r="166" spans="1:11" ht="36">
      <c r="A166" s="460" t="s">
        <v>1401</v>
      </c>
      <c r="B166" s="461" t="s">
        <v>1402</v>
      </c>
      <c r="C166" s="460" t="s">
        <v>1136</v>
      </c>
      <c r="D166" s="460" t="s">
        <v>874</v>
      </c>
      <c r="E166" s="460" t="s">
        <v>877</v>
      </c>
      <c r="F166" s="462">
        <v>16.713332399999999</v>
      </c>
      <c r="G166" s="462">
        <v>17.094799999999999</v>
      </c>
      <c r="H166" s="462">
        <v>285.71107471151998</v>
      </c>
      <c r="I166" s="463">
        <v>4.5437707419828683E-3</v>
      </c>
      <c r="J166" s="463">
        <v>123.81029887192867</v>
      </c>
      <c r="K166" s="460" t="s">
        <v>1141</v>
      </c>
    </row>
    <row r="167" spans="1:11" ht="24">
      <c r="A167" s="460" t="s">
        <v>1403</v>
      </c>
      <c r="B167" s="461" t="s">
        <v>1404</v>
      </c>
      <c r="C167" s="460" t="s">
        <v>29</v>
      </c>
      <c r="D167" s="460" t="s">
        <v>1157</v>
      </c>
      <c r="E167" s="460" t="s">
        <v>851</v>
      </c>
      <c r="F167" s="462">
        <v>15.101317141679999</v>
      </c>
      <c r="G167" s="462">
        <v>17.96</v>
      </c>
      <c r="H167" s="462">
        <v>271.21965586457281</v>
      </c>
      <c r="I167" s="463">
        <v>4.3133082545449503E-3</v>
      </c>
      <c r="J167" s="463">
        <v>123.81461218565612</v>
      </c>
      <c r="K167" s="460" t="s">
        <v>1141</v>
      </c>
    </row>
    <row r="168" spans="1:11" ht="24">
      <c r="A168" s="460" t="s">
        <v>1405</v>
      </c>
      <c r="B168" s="461" t="s">
        <v>1406</v>
      </c>
      <c r="C168" s="460" t="s">
        <v>29</v>
      </c>
      <c r="D168" s="460" t="s">
        <v>1157</v>
      </c>
      <c r="E168" s="460" t="s">
        <v>851</v>
      </c>
      <c r="F168" s="462">
        <v>21.2860121115</v>
      </c>
      <c r="G168" s="462">
        <v>12.44</v>
      </c>
      <c r="H168" s="462">
        <v>264.79799066705999</v>
      </c>
      <c r="I168" s="463">
        <v>4.211182096261693E-3</v>
      </c>
      <c r="J168" s="463">
        <v>123.81882339970755</v>
      </c>
      <c r="K168" s="460" t="s">
        <v>1141</v>
      </c>
    </row>
    <row r="169" spans="1:11">
      <c r="A169" s="460" t="s">
        <v>1407</v>
      </c>
      <c r="B169" s="461" t="s">
        <v>1408</v>
      </c>
      <c r="C169" s="460" t="s">
        <v>29</v>
      </c>
      <c r="D169" s="460" t="s">
        <v>834</v>
      </c>
      <c r="E169" s="460" t="s">
        <v>1409</v>
      </c>
      <c r="F169" s="462">
        <v>6.1505999999999998</v>
      </c>
      <c r="G169" s="462">
        <v>40.33</v>
      </c>
      <c r="H169" s="462">
        <v>248.053698</v>
      </c>
      <c r="I169" s="463">
        <v>3.9448913086448491E-3</v>
      </c>
      <c r="J169" s="463">
        <v>123.82276823220552</v>
      </c>
      <c r="K169" s="460" t="s">
        <v>1141</v>
      </c>
    </row>
    <row r="170" spans="1:11" ht="24">
      <c r="A170" s="460" t="s">
        <v>1410</v>
      </c>
      <c r="B170" s="461" t="s">
        <v>1411</v>
      </c>
      <c r="C170" s="460" t="s">
        <v>29</v>
      </c>
      <c r="D170" s="460" t="s">
        <v>834</v>
      </c>
      <c r="E170" s="460" t="s">
        <v>40</v>
      </c>
      <c r="F170" s="462">
        <v>1.9152</v>
      </c>
      <c r="G170" s="462">
        <v>111.03</v>
      </c>
      <c r="H170" s="462">
        <v>212.644656</v>
      </c>
      <c r="I170" s="463">
        <v>3.3817679883336137E-3</v>
      </c>
      <c r="J170" s="463">
        <v>123.82614992614774</v>
      </c>
      <c r="K170" s="460" t="s">
        <v>1141</v>
      </c>
    </row>
    <row r="171" spans="1:11" ht="36">
      <c r="A171" s="460" t="s">
        <v>1412</v>
      </c>
      <c r="B171" s="461" t="s">
        <v>1413</v>
      </c>
      <c r="C171" s="460" t="s">
        <v>29</v>
      </c>
      <c r="D171" s="460" t="s">
        <v>1174</v>
      </c>
      <c r="E171" s="460" t="s">
        <v>851</v>
      </c>
      <c r="F171" s="462">
        <v>133.07592</v>
      </c>
      <c r="G171" s="462">
        <v>1.5</v>
      </c>
      <c r="H171" s="462">
        <v>199.61387999999999</v>
      </c>
      <c r="I171" s="463">
        <v>3.1745346537703132E-3</v>
      </c>
      <c r="J171" s="463">
        <v>123.82932439909641</v>
      </c>
      <c r="K171" s="460" t="s">
        <v>1141</v>
      </c>
    </row>
    <row r="172" spans="1:11" ht="36">
      <c r="A172" s="460" t="s">
        <v>1414</v>
      </c>
      <c r="B172" s="461" t="s">
        <v>1415</v>
      </c>
      <c r="C172" s="460" t="s">
        <v>29</v>
      </c>
      <c r="D172" s="460" t="s">
        <v>1174</v>
      </c>
      <c r="E172" s="460" t="s">
        <v>851</v>
      </c>
      <c r="F172" s="462">
        <v>133.07592</v>
      </c>
      <c r="G172" s="462">
        <v>1.48</v>
      </c>
      <c r="H172" s="462">
        <v>196.95236159999999</v>
      </c>
      <c r="I172" s="463">
        <v>3.1322075250533759E-3</v>
      </c>
      <c r="J172" s="463">
        <v>123.83245656906405</v>
      </c>
      <c r="K172" s="460" t="s">
        <v>1141</v>
      </c>
    </row>
    <row r="173" spans="1:11">
      <c r="A173" s="460" t="s">
        <v>843</v>
      </c>
      <c r="B173" s="461" t="s">
        <v>844</v>
      </c>
      <c r="C173" s="460" t="s">
        <v>29</v>
      </c>
      <c r="D173" s="460" t="s">
        <v>834</v>
      </c>
      <c r="E173" s="460" t="s">
        <v>328</v>
      </c>
      <c r="F173" s="462">
        <v>8.2368000000000006</v>
      </c>
      <c r="G173" s="462">
        <v>23.4</v>
      </c>
      <c r="H173" s="462">
        <v>192.74112</v>
      </c>
      <c r="I173" s="463">
        <v>3.065234565083863E-3</v>
      </c>
      <c r="J173" s="463">
        <v>123.83552178581735</v>
      </c>
      <c r="K173" s="460" t="s">
        <v>1141</v>
      </c>
    </row>
    <row r="174" spans="1:11" ht="24">
      <c r="A174" s="460" t="s">
        <v>1416</v>
      </c>
      <c r="B174" s="461" t="s">
        <v>1417</v>
      </c>
      <c r="C174" s="460" t="s">
        <v>29</v>
      </c>
      <c r="D174" s="460" t="s">
        <v>862</v>
      </c>
      <c r="E174" s="460" t="s">
        <v>115</v>
      </c>
      <c r="F174" s="462">
        <v>2.00003904E-4</v>
      </c>
      <c r="G174" s="462">
        <v>945625</v>
      </c>
      <c r="H174" s="462">
        <v>189.12869172000001</v>
      </c>
      <c r="I174" s="463">
        <v>3.0077847586920431E-3</v>
      </c>
      <c r="J174" s="463">
        <v>123.83852959138211</v>
      </c>
      <c r="K174" s="460" t="s">
        <v>1141</v>
      </c>
    </row>
    <row r="175" spans="1:11" ht="24">
      <c r="A175" s="460" t="s">
        <v>1418</v>
      </c>
      <c r="B175" s="461" t="s">
        <v>1419</v>
      </c>
      <c r="C175" s="460" t="s">
        <v>29</v>
      </c>
      <c r="D175" s="460" t="s">
        <v>862</v>
      </c>
      <c r="E175" s="460" t="s">
        <v>115</v>
      </c>
      <c r="F175" s="462">
        <v>3.3354034683115923E-2</v>
      </c>
      <c r="G175" s="462">
        <v>5490</v>
      </c>
      <c r="H175" s="462">
        <v>183.11365041030641</v>
      </c>
      <c r="I175" s="463">
        <v>2.9121252931203993E-3</v>
      </c>
      <c r="J175" s="463">
        <v>123.84144165862138</v>
      </c>
      <c r="K175" s="460" t="s">
        <v>1141</v>
      </c>
    </row>
    <row r="176" spans="1:11">
      <c r="A176" s="460" t="s">
        <v>1420</v>
      </c>
      <c r="B176" s="461" t="s">
        <v>1421</v>
      </c>
      <c r="C176" s="460" t="s">
        <v>29</v>
      </c>
      <c r="D176" s="460" t="s">
        <v>834</v>
      </c>
      <c r="E176" s="460" t="s">
        <v>328</v>
      </c>
      <c r="F176" s="462">
        <v>6.0989000000000004</v>
      </c>
      <c r="G176" s="462">
        <v>29.29</v>
      </c>
      <c r="H176" s="462">
        <v>178.63678100000001</v>
      </c>
      <c r="I176" s="463">
        <v>2.8409279541206168E-3</v>
      </c>
      <c r="J176" s="463">
        <v>123.84428263776847</v>
      </c>
      <c r="K176" s="460" t="s">
        <v>1141</v>
      </c>
    </row>
    <row r="177" spans="1:11">
      <c r="A177" s="460" t="s">
        <v>1422</v>
      </c>
      <c r="B177" s="461" t="s">
        <v>1423</v>
      </c>
      <c r="C177" s="460" t="s">
        <v>29</v>
      </c>
      <c r="D177" s="460" t="s">
        <v>834</v>
      </c>
      <c r="E177" s="460" t="s">
        <v>328</v>
      </c>
      <c r="F177" s="462">
        <v>16.812059999999999</v>
      </c>
      <c r="G177" s="462">
        <v>10.5</v>
      </c>
      <c r="H177" s="462">
        <v>176.52663000000001</v>
      </c>
      <c r="I177" s="463">
        <v>2.8073694286604228E-3</v>
      </c>
      <c r="J177" s="463">
        <v>123.8470900607915</v>
      </c>
      <c r="K177" s="460" t="s">
        <v>1141</v>
      </c>
    </row>
    <row r="178" spans="1:11" ht="24">
      <c r="A178" s="460" t="s">
        <v>1424</v>
      </c>
      <c r="B178" s="461" t="s">
        <v>1425</v>
      </c>
      <c r="C178" s="460" t="s">
        <v>29</v>
      </c>
      <c r="D178" s="460" t="s">
        <v>1157</v>
      </c>
      <c r="E178" s="460" t="s">
        <v>851</v>
      </c>
      <c r="F178" s="462">
        <v>8.7154140000000009</v>
      </c>
      <c r="G178" s="462">
        <v>18.850000000000001</v>
      </c>
      <c r="H178" s="462">
        <v>164.2855539</v>
      </c>
      <c r="I178" s="463">
        <v>2.6126949887923657E-3</v>
      </c>
      <c r="J178" s="463">
        <v>123.8497028264883</v>
      </c>
      <c r="K178" s="460" t="s">
        <v>1141</v>
      </c>
    </row>
    <row r="179" spans="1:11" ht="24">
      <c r="A179" s="460" t="s">
        <v>1089</v>
      </c>
      <c r="B179" s="461" t="s">
        <v>1090</v>
      </c>
      <c r="C179" s="460" t="s">
        <v>29</v>
      </c>
      <c r="D179" s="460" t="s">
        <v>834</v>
      </c>
      <c r="E179" s="460" t="s">
        <v>20</v>
      </c>
      <c r="F179" s="462">
        <v>5.1083999999999996</v>
      </c>
      <c r="G179" s="462">
        <v>30.11</v>
      </c>
      <c r="H179" s="462">
        <v>153.81392399999999</v>
      </c>
      <c r="I179" s="463">
        <v>2.4461607177336227E-3</v>
      </c>
      <c r="J179" s="463">
        <v>123.85214892480118</v>
      </c>
      <c r="K179" s="460" t="s">
        <v>1141</v>
      </c>
    </row>
    <row r="180" spans="1:11" ht="24">
      <c r="A180" s="460" t="s">
        <v>1426</v>
      </c>
      <c r="B180" s="461" t="s">
        <v>1427</v>
      </c>
      <c r="C180" s="460" t="s">
        <v>29</v>
      </c>
      <c r="D180" s="460" t="s">
        <v>862</v>
      </c>
      <c r="E180" s="460" t="s">
        <v>115</v>
      </c>
      <c r="F180" s="462">
        <v>9.7351853821120004E-3</v>
      </c>
      <c r="G180" s="462">
        <v>14373.78</v>
      </c>
      <c r="H180" s="462">
        <v>139.93141294169382</v>
      </c>
      <c r="I180" s="463">
        <v>2.2253819200070192E-3</v>
      </c>
      <c r="J180" s="463">
        <v>123.85437428425065</v>
      </c>
      <c r="K180" s="460" t="s">
        <v>1141</v>
      </c>
    </row>
    <row r="181" spans="1:11" ht="24">
      <c r="A181" s="460" t="s">
        <v>1428</v>
      </c>
      <c r="B181" s="461" t="s">
        <v>1429</v>
      </c>
      <c r="C181" s="460" t="s">
        <v>29</v>
      </c>
      <c r="D181" s="460" t="s">
        <v>834</v>
      </c>
      <c r="E181" s="460" t="s">
        <v>115</v>
      </c>
      <c r="F181" s="462">
        <v>0.213527081152</v>
      </c>
      <c r="G181" s="462">
        <v>613.20000000000005</v>
      </c>
      <c r="H181" s="462">
        <v>130.9348061624064</v>
      </c>
      <c r="I181" s="463">
        <v>2.0823054967282731E-3</v>
      </c>
      <c r="J181" s="463">
        <v>123.85645651331316</v>
      </c>
      <c r="K181" s="460" t="s">
        <v>1141</v>
      </c>
    </row>
    <row r="182" spans="1:11" ht="24">
      <c r="A182" s="460" t="s">
        <v>1430</v>
      </c>
      <c r="B182" s="461" t="s">
        <v>1431</v>
      </c>
      <c r="C182" s="460" t="s">
        <v>29</v>
      </c>
      <c r="D182" s="460" t="s">
        <v>1157</v>
      </c>
      <c r="E182" s="460" t="s">
        <v>851</v>
      </c>
      <c r="F182" s="462">
        <v>8.9188471407200005</v>
      </c>
      <c r="G182" s="462">
        <v>14.15</v>
      </c>
      <c r="H182" s="462">
        <v>126.20168704118799</v>
      </c>
      <c r="I182" s="463">
        <v>2.0070329221421233E-3</v>
      </c>
      <c r="J182" s="463">
        <v>123.85846351940566</v>
      </c>
      <c r="K182" s="460" t="s">
        <v>1141</v>
      </c>
    </row>
    <row r="183" spans="1:11" ht="36">
      <c r="A183" s="460" t="s">
        <v>1432</v>
      </c>
      <c r="B183" s="461" t="s">
        <v>1433</v>
      </c>
      <c r="C183" s="460" t="s">
        <v>1136</v>
      </c>
      <c r="D183" s="460" t="s">
        <v>874</v>
      </c>
      <c r="E183" s="460" t="s">
        <v>877</v>
      </c>
      <c r="F183" s="462">
        <v>6.9637440000000002</v>
      </c>
      <c r="G183" s="462">
        <v>15.065799999999999</v>
      </c>
      <c r="H183" s="462">
        <v>104.9143743552</v>
      </c>
      <c r="I183" s="463">
        <v>1.6684927775023153E-3</v>
      </c>
      <c r="J183" s="463">
        <v>123.86013194261615</v>
      </c>
      <c r="K183" s="460" t="s">
        <v>1141</v>
      </c>
    </row>
    <row r="184" spans="1:11" ht="36">
      <c r="A184" s="460" t="s">
        <v>1434</v>
      </c>
      <c r="B184" s="461" t="s">
        <v>1435</v>
      </c>
      <c r="C184" s="460" t="s">
        <v>1136</v>
      </c>
      <c r="D184" s="460" t="s">
        <v>874</v>
      </c>
      <c r="E184" s="460" t="s">
        <v>877</v>
      </c>
      <c r="F184" s="462">
        <v>16.713332399999999</v>
      </c>
      <c r="G184" s="462">
        <v>6.2146999999999997</v>
      </c>
      <c r="H184" s="462">
        <v>103.86834686628001</v>
      </c>
      <c r="I184" s="463">
        <v>1.6518574086974362E-3</v>
      </c>
      <c r="J184" s="463">
        <v>123.86178382631525</v>
      </c>
      <c r="K184" s="460" t="s">
        <v>1141</v>
      </c>
    </row>
    <row r="185" spans="1:11" ht="24">
      <c r="A185" s="460" t="s">
        <v>1436</v>
      </c>
      <c r="B185" s="461" t="s">
        <v>1437</v>
      </c>
      <c r="C185" s="460" t="s">
        <v>29</v>
      </c>
      <c r="D185" s="460" t="s">
        <v>862</v>
      </c>
      <c r="E185" s="460" t="s">
        <v>115</v>
      </c>
      <c r="F185" s="462">
        <v>1.5926872500000001E-3</v>
      </c>
      <c r="G185" s="462">
        <v>53881.11</v>
      </c>
      <c r="H185" s="462">
        <v>85.815756912847505</v>
      </c>
      <c r="I185" s="463">
        <v>1.3647602769875707E-3</v>
      </c>
      <c r="J185" s="463">
        <v>123.86314865407165</v>
      </c>
      <c r="K185" s="460" t="s">
        <v>1141</v>
      </c>
    </row>
    <row r="186" spans="1:11" ht="24">
      <c r="A186" s="460" t="s">
        <v>1004</v>
      </c>
      <c r="B186" s="461" t="s">
        <v>1005</v>
      </c>
      <c r="C186" s="460" t="s">
        <v>29</v>
      </c>
      <c r="D186" s="460" t="s">
        <v>834</v>
      </c>
      <c r="E186" s="460" t="s">
        <v>1006</v>
      </c>
      <c r="F186" s="462">
        <v>8.1324318099999999</v>
      </c>
      <c r="G186" s="462">
        <v>9.09</v>
      </c>
      <c r="H186" s="462">
        <v>73.923805152900002</v>
      </c>
      <c r="I186" s="463">
        <v>1.1756380928843501E-3</v>
      </c>
      <c r="J186" s="463">
        <v>123.86432423164976</v>
      </c>
      <c r="K186" s="460" t="s">
        <v>1141</v>
      </c>
    </row>
    <row r="187" spans="1:11" ht="24">
      <c r="A187" s="460" t="s">
        <v>1438</v>
      </c>
      <c r="B187" s="461" t="s">
        <v>1439</v>
      </c>
      <c r="C187" s="460" t="s">
        <v>29</v>
      </c>
      <c r="D187" s="460" t="s">
        <v>862</v>
      </c>
      <c r="E187" s="460" t="s">
        <v>851</v>
      </c>
      <c r="F187" s="462">
        <v>31.734558750000001</v>
      </c>
      <c r="G187" s="462">
        <v>2.25</v>
      </c>
      <c r="H187" s="462">
        <v>71.402757187500001</v>
      </c>
      <c r="I187" s="463">
        <v>1.1355449183517001E-3</v>
      </c>
      <c r="J187" s="463">
        <v>123.86545973271951</v>
      </c>
      <c r="K187" s="460" t="s">
        <v>1141</v>
      </c>
    </row>
    <row r="188" spans="1:11" ht="24">
      <c r="A188" s="460" t="s">
        <v>1023</v>
      </c>
      <c r="B188" s="461" t="s">
        <v>1024</v>
      </c>
      <c r="C188" s="460" t="s">
        <v>29</v>
      </c>
      <c r="D188" s="460" t="s">
        <v>834</v>
      </c>
      <c r="E188" s="460" t="s">
        <v>115</v>
      </c>
      <c r="F188" s="462">
        <v>144</v>
      </c>
      <c r="G188" s="462">
        <v>0.39</v>
      </c>
      <c r="H188" s="462">
        <v>56.16</v>
      </c>
      <c r="I188" s="463">
        <v>8.9313361453492507E-4</v>
      </c>
      <c r="J188" s="463">
        <v>123.86635286633405</v>
      </c>
      <c r="K188" s="460" t="s">
        <v>1141</v>
      </c>
    </row>
    <row r="189" spans="1:11" ht="24">
      <c r="A189" s="460" t="s">
        <v>1440</v>
      </c>
      <c r="B189" s="461" t="s">
        <v>1441</v>
      </c>
      <c r="C189" s="460" t="s">
        <v>29</v>
      </c>
      <c r="D189" s="460" t="s">
        <v>1157</v>
      </c>
      <c r="E189" s="460" t="s">
        <v>851</v>
      </c>
      <c r="F189" s="462">
        <v>1.2960399499999999</v>
      </c>
      <c r="G189" s="462">
        <v>35.549999999999997</v>
      </c>
      <c r="H189" s="462">
        <v>46.074220222500003</v>
      </c>
      <c r="I189" s="463">
        <v>7.3273566318019184E-4</v>
      </c>
      <c r="J189" s="463">
        <v>123.86708553488144</v>
      </c>
      <c r="K189" s="460" t="s">
        <v>1141</v>
      </c>
    </row>
    <row r="190" spans="1:11" ht="36">
      <c r="A190" s="460" t="s">
        <v>1442</v>
      </c>
      <c r="B190" s="461" t="s">
        <v>1443</v>
      </c>
      <c r="C190" s="460" t="s">
        <v>29</v>
      </c>
      <c r="D190" s="460" t="s">
        <v>1174</v>
      </c>
      <c r="E190" s="460" t="s">
        <v>851</v>
      </c>
      <c r="F190" s="462">
        <v>4524.4739237667</v>
      </c>
      <c r="G190" s="462">
        <v>0.01</v>
      </c>
      <c r="H190" s="462">
        <v>45.244739237666998</v>
      </c>
      <c r="I190" s="463">
        <v>7.1954411492214528E-4</v>
      </c>
      <c r="J190" s="463">
        <v>123.86780500362649</v>
      </c>
      <c r="K190" s="460" t="s">
        <v>1141</v>
      </c>
    </row>
    <row r="191" spans="1:11" ht="36">
      <c r="A191" s="460" t="s">
        <v>1444</v>
      </c>
      <c r="B191" s="461" t="s">
        <v>1445</v>
      </c>
      <c r="C191" s="460" t="s">
        <v>1136</v>
      </c>
      <c r="D191" s="460" t="s">
        <v>874</v>
      </c>
      <c r="E191" s="460" t="s">
        <v>877</v>
      </c>
      <c r="F191" s="462">
        <v>4.1184000000000003</v>
      </c>
      <c r="G191" s="462">
        <v>10.7265</v>
      </c>
      <c r="H191" s="462">
        <v>44.176017600000002</v>
      </c>
      <c r="I191" s="463">
        <v>7.0254783252931749E-4</v>
      </c>
      <c r="J191" s="463">
        <v>123.86850761479262</v>
      </c>
      <c r="K191" s="460" t="s">
        <v>1141</v>
      </c>
    </row>
    <row r="192" spans="1:11" ht="36">
      <c r="A192" s="460" t="s">
        <v>1446</v>
      </c>
      <c r="B192" s="461" t="s">
        <v>1447</v>
      </c>
      <c r="C192" s="460" t="s">
        <v>29</v>
      </c>
      <c r="D192" s="460" t="s">
        <v>862</v>
      </c>
      <c r="E192" s="460" t="s">
        <v>31</v>
      </c>
      <c r="F192" s="462">
        <v>8.00352</v>
      </c>
      <c r="G192" s="462">
        <v>5.49</v>
      </c>
      <c r="H192" s="462">
        <v>43.939324800000001</v>
      </c>
      <c r="I192" s="463">
        <v>6.9878361785698142E-4</v>
      </c>
      <c r="J192" s="463">
        <v>123.86920640914843</v>
      </c>
      <c r="K192" s="460" t="s">
        <v>1141</v>
      </c>
    </row>
    <row r="193" spans="1:11" ht="36">
      <c r="A193" s="460" t="s">
        <v>1448</v>
      </c>
      <c r="B193" s="461" t="s">
        <v>1449</v>
      </c>
      <c r="C193" s="460" t="s">
        <v>29</v>
      </c>
      <c r="D193" s="460" t="s">
        <v>834</v>
      </c>
      <c r="E193" s="460" t="s">
        <v>328</v>
      </c>
      <c r="F193" s="462">
        <v>2.7846000000000002</v>
      </c>
      <c r="G193" s="462">
        <v>14.4</v>
      </c>
      <c r="H193" s="462">
        <v>40.098239999999997</v>
      </c>
      <c r="I193" s="463">
        <v>6.3769740077793645E-4</v>
      </c>
      <c r="J193" s="463">
        <v>123.86984413453916</v>
      </c>
      <c r="K193" s="460" t="s">
        <v>1141</v>
      </c>
    </row>
    <row r="194" spans="1:11" ht="36">
      <c r="A194" s="460" t="s">
        <v>1450</v>
      </c>
      <c r="B194" s="461" t="s">
        <v>1451</v>
      </c>
      <c r="C194" s="460" t="s">
        <v>29</v>
      </c>
      <c r="D194" s="460" t="s">
        <v>1174</v>
      </c>
      <c r="E194" s="460" t="s">
        <v>851</v>
      </c>
      <c r="F194" s="462">
        <v>63.45107625</v>
      </c>
      <c r="G194" s="462">
        <v>0.62</v>
      </c>
      <c r="H194" s="462">
        <v>39.339667274999996</v>
      </c>
      <c r="I194" s="463">
        <v>6.2563353326072031E-4</v>
      </c>
      <c r="J194" s="463">
        <v>123.87046977336387</v>
      </c>
      <c r="K194" s="460" t="s">
        <v>1141</v>
      </c>
    </row>
    <row r="195" spans="1:11">
      <c r="A195" s="460" t="s">
        <v>1452</v>
      </c>
      <c r="B195" s="461" t="s">
        <v>1453</v>
      </c>
      <c r="C195" s="460" t="s">
        <v>29</v>
      </c>
      <c r="D195" s="460" t="s">
        <v>834</v>
      </c>
      <c r="E195" s="460" t="s">
        <v>328</v>
      </c>
      <c r="F195" s="462">
        <v>1.30496352</v>
      </c>
      <c r="G195" s="462">
        <v>25.91</v>
      </c>
      <c r="H195" s="462">
        <v>33.811604803199998</v>
      </c>
      <c r="I195" s="463">
        <v>5.3771867541147519E-4</v>
      </c>
      <c r="J195" s="463">
        <v>123.8710074665175</v>
      </c>
      <c r="K195" s="460" t="s">
        <v>1141</v>
      </c>
    </row>
    <row r="196" spans="1:11">
      <c r="A196" s="460" t="s">
        <v>1454</v>
      </c>
      <c r="B196" s="461" t="s">
        <v>1455</v>
      </c>
      <c r="C196" s="460" t="s">
        <v>29</v>
      </c>
      <c r="D196" s="460" t="s">
        <v>834</v>
      </c>
      <c r="E196" s="460" t="s">
        <v>328</v>
      </c>
      <c r="F196" s="462">
        <v>2.3826149999999999</v>
      </c>
      <c r="G196" s="462">
        <v>12.86</v>
      </c>
      <c r="H196" s="462">
        <v>30.6404289</v>
      </c>
      <c r="I196" s="463">
        <v>4.8728627162317271E-4</v>
      </c>
      <c r="J196" s="463">
        <v>123.87149474596816</v>
      </c>
      <c r="K196" s="460" t="s">
        <v>1141</v>
      </c>
    </row>
    <row r="197" spans="1:11">
      <c r="A197" s="460" t="s">
        <v>1456</v>
      </c>
      <c r="B197" s="461" t="s">
        <v>1457</v>
      </c>
      <c r="C197" s="460" t="s">
        <v>1136</v>
      </c>
      <c r="D197" s="460" t="s">
        <v>834</v>
      </c>
      <c r="E197" s="460" t="s">
        <v>1275</v>
      </c>
      <c r="F197" s="462">
        <v>57.770636332499997</v>
      </c>
      <c r="G197" s="462">
        <v>0.51859999999999995</v>
      </c>
      <c r="H197" s="462">
        <v>29.959852002034498</v>
      </c>
      <c r="I197" s="463">
        <v>4.7646280109523657E-4</v>
      </c>
      <c r="J197" s="463">
        <v>123.87197121112293</v>
      </c>
      <c r="K197" s="460" t="s">
        <v>1141</v>
      </c>
    </row>
    <row r="198" spans="1:11">
      <c r="A198" s="460" t="s">
        <v>1039</v>
      </c>
      <c r="B198" s="461" t="s">
        <v>1040</v>
      </c>
      <c r="C198" s="460" t="s">
        <v>29</v>
      </c>
      <c r="D198" s="460" t="s">
        <v>834</v>
      </c>
      <c r="E198" s="460" t="s">
        <v>1006</v>
      </c>
      <c r="F198" s="462">
        <v>1.2527999999999999</v>
      </c>
      <c r="G198" s="462">
        <v>18.739999999999998</v>
      </c>
      <c r="H198" s="462">
        <v>23.477471999999999</v>
      </c>
      <c r="I198" s="463">
        <v>3.733710724270387E-4</v>
      </c>
      <c r="J198" s="463">
        <v>123.87234462239908</v>
      </c>
      <c r="K198" s="460" t="s">
        <v>1141</v>
      </c>
    </row>
    <row r="199" spans="1:11">
      <c r="A199" s="460" t="s">
        <v>1458</v>
      </c>
      <c r="B199" s="461" t="s">
        <v>1459</v>
      </c>
      <c r="C199" s="460" t="s">
        <v>1136</v>
      </c>
      <c r="D199" s="460" t="s">
        <v>834</v>
      </c>
      <c r="E199" s="460" t="s">
        <v>73</v>
      </c>
      <c r="F199" s="462">
        <v>0.12967636499999999</v>
      </c>
      <c r="G199" s="462">
        <v>151.08799999999999</v>
      </c>
      <c r="H199" s="462">
        <v>19.592542635120001</v>
      </c>
      <c r="I199" s="463">
        <v>3.1158757873280544E-4</v>
      </c>
      <c r="J199" s="463">
        <v>123.87265616954133</v>
      </c>
      <c r="K199" s="460" t="s">
        <v>1141</v>
      </c>
    </row>
    <row r="200" spans="1:11" ht="24">
      <c r="A200" s="460" t="s">
        <v>1460</v>
      </c>
      <c r="B200" s="461" t="s">
        <v>1461</v>
      </c>
      <c r="C200" s="460" t="s">
        <v>29</v>
      </c>
      <c r="D200" s="460" t="s">
        <v>862</v>
      </c>
      <c r="E200" s="460" t="s">
        <v>115</v>
      </c>
      <c r="F200" s="462">
        <v>4.9093067339539996E-3</v>
      </c>
      <c r="G200" s="462">
        <v>3978.58</v>
      </c>
      <c r="H200" s="462">
        <v>19.532069585574707</v>
      </c>
      <c r="I200" s="463">
        <v>3.1062585306823387E-4</v>
      </c>
      <c r="J200" s="463">
        <v>123.872966762481</v>
      </c>
      <c r="K200" s="460" t="s">
        <v>1141</v>
      </c>
    </row>
    <row r="201" spans="1:11">
      <c r="A201" s="460" t="s">
        <v>1462</v>
      </c>
      <c r="B201" s="461" t="s">
        <v>1463</v>
      </c>
      <c r="C201" s="460" t="s">
        <v>29</v>
      </c>
      <c r="D201" s="460" t="s">
        <v>834</v>
      </c>
      <c r="E201" s="460" t="s">
        <v>328</v>
      </c>
      <c r="F201" s="462">
        <v>0.68879999999999997</v>
      </c>
      <c r="G201" s="462">
        <v>23.85</v>
      </c>
      <c r="H201" s="462">
        <v>16.427879999999998</v>
      </c>
      <c r="I201" s="463">
        <v>2.612587578978989E-4</v>
      </c>
      <c r="J201" s="463">
        <v>123.87322805495405</v>
      </c>
      <c r="K201" s="460" t="s">
        <v>1141</v>
      </c>
    </row>
    <row r="202" spans="1:11" ht="24">
      <c r="A202" s="460" t="s">
        <v>1093</v>
      </c>
      <c r="B202" s="461" t="s">
        <v>1094</v>
      </c>
      <c r="C202" s="460" t="s">
        <v>29</v>
      </c>
      <c r="D202" s="460" t="s">
        <v>834</v>
      </c>
      <c r="E202" s="460" t="s">
        <v>60</v>
      </c>
      <c r="F202" s="462">
        <v>0.189</v>
      </c>
      <c r="G202" s="462">
        <v>83.33</v>
      </c>
      <c r="H202" s="462">
        <v>15.749370000000001</v>
      </c>
      <c r="I202" s="463">
        <v>2.5046815802613807E-4</v>
      </c>
      <c r="J202" s="463">
        <v>123.87347853313121</v>
      </c>
      <c r="K202" s="460" t="s">
        <v>1141</v>
      </c>
    </row>
    <row r="203" spans="1:11">
      <c r="A203" s="460" t="s">
        <v>1464</v>
      </c>
      <c r="B203" s="461" t="s">
        <v>1465</v>
      </c>
      <c r="C203" s="460" t="s">
        <v>29</v>
      </c>
      <c r="D203" s="460" t="s">
        <v>834</v>
      </c>
      <c r="E203" s="460" t="s">
        <v>115</v>
      </c>
      <c r="F203" s="462">
        <v>1.54356</v>
      </c>
      <c r="G203" s="462">
        <v>9.56</v>
      </c>
      <c r="H203" s="462">
        <v>14.756433599999999</v>
      </c>
      <c r="I203" s="463">
        <v>2.3467711678797396E-4</v>
      </c>
      <c r="J203" s="463">
        <v>123.87371326696579</v>
      </c>
      <c r="K203" s="460" t="s">
        <v>1141</v>
      </c>
    </row>
    <row r="204" spans="1:11" ht="24">
      <c r="A204" s="460" t="s">
        <v>1466</v>
      </c>
      <c r="B204" s="461" t="s">
        <v>1467</v>
      </c>
      <c r="C204" s="460" t="s">
        <v>29</v>
      </c>
      <c r="D204" s="460" t="s">
        <v>834</v>
      </c>
      <c r="E204" s="460" t="s">
        <v>20</v>
      </c>
      <c r="F204" s="462">
        <v>0.68218430279999998</v>
      </c>
      <c r="G204" s="462">
        <v>21.2</v>
      </c>
      <c r="H204" s="462">
        <v>14.46230721936</v>
      </c>
      <c r="I204" s="463">
        <v>2.2999951426890203E-4</v>
      </c>
      <c r="J204" s="463">
        <v>123.87394322978749</v>
      </c>
      <c r="K204" s="460" t="s">
        <v>1141</v>
      </c>
    </row>
    <row r="205" spans="1:11">
      <c r="A205" s="460" t="s">
        <v>1468</v>
      </c>
      <c r="B205" s="461" t="s">
        <v>1469</v>
      </c>
      <c r="C205" s="460" t="s">
        <v>1136</v>
      </c>
      <c r="D205" s="460" t="s">
        <v>834</v>
      </c>
      <c r="E205" s="460" t="s">
        <v>73</v>
      </c>
      <c r="F205" s="462">
        <v>0.15385499999999999</v>
      </c>
      <c r="G205" s="462">
        <v>89.133600000000001</v>
      </c>
      <c r="H205" s="462">
        <v>13.713650028</v>
      </c>
      <c r="I205" s="463">
        <v>2.1809333721464771E-4</v>
      </c>
      <c r="J205" s="463">
        <v>123.87416126507694</v>
      </c>
      <c r="K205" s="460" t="s">
        <v>1141</v>
      </c>
    </row>
    <row r="206" spans="1:11" ht="24">
      <c r="A206" s="460" t="s">
        <v>1470</v>
      </c>
      <c r="B206" s="461" t="s">
        <v>1471</v>
      </c>
      <c r="C206" s="460" t="s">
        <v>29</v>
      </c>
      <c r="D206" s="460" t="s">
        <v>862</v>
      </c>
      <c r="E206" s="460" t="s">
        <v>115</v>
      </c>
      <c r="F206" s="462">
        <v>1.018025875E-4</v>
      </c>
      <c r="G206" s="462">
        <v>123000</v>
      </c>
      <c r="H206" s="462">
        <v>12.5217182625</v>
      </c>
      <c r="I206" s="463">
        <v>1.9913759779157064E-4</v>
      </c>
      <c r="J206" s="463">
        <v>123.87436037534856</v>
      </c>
      <c r="K206" s="460" t="s">
        <v>1141</v>
      </c>
    </row>
    <row r="207" spans="1:11" ht="24">
      <c r="A207" s="460" t="s">
        <v>1472</v>
      </c>
      <c r="B207" s="461" t="s">
        <v>1473</v>
      </c>
      <c r="C207" s="460" t="s">
        <v>29</v>
      </c>
      <c r="D207" s="460" t="s">
        <v>862</v>
      </c>
      <c r="E207" s="460" t="s">
        <v>31</v>
      </c>
      <c r="F207" s="462">
        <v>0.95348646000000004</v>
      </c>
      <c r="G207" s="462">
        <v>12</v>
      </c>
      <c r="H207" s="462">
        <v>11.44183752</v>
      </c>
      <c r="I207" s="463">
        <v>1.8196384795510901E-4</v>
      </c>
      <c r="J207" s="463">
        <v>123.87454230997373</v>
      </c>
      <c r="K207" s="460" t="s">
        <v>1141</v>
      </c>
    </row>
    <row r="208" spans="1:11" ht="36">
      <c r="A208" s="460" t="s">
        <v>1474</v>
      </c>
      <c r="B208" s="461" t="s">
        <v>1475</v>
      </c>
      <c r="C208" s="460" t="s">
        <v>1136</v>
      </c>
      <c r="D208" s="460" t="s">
        <v>874</v>
      </c>
      <c r="E208" s="460" t="s">
        <v>877</v>
      </c>
      <c r="F208" s="462">
        <v>0.20474999999999999</v>
      </c>
      <c r="G208" s="462">
        <v>50.058799999999998</v>
      </c>
      <c r="H208" s="462">
        <v>10.2495393</v>
      </c>
      <c r="I208" s="463">
        <v>1.6300228066821166E-4</v>
      </c>
      <c r="J208" s="463">
        <v>123.8747053195811</v>
      </c>
      <c r="K208" s="460" t="s">
        <v>1141</v>
      </c>
    </row>
    <row r="209" spans="1:11" ht="36">
      <c r="A209" s="460" t="s">
        <v>1476</v>
      </c>
      <c r="B209" s="461" t="s">
        <v>1477</v>
      </c>
      <c r="C209" s="460" t="s">
        <v>29</v>
      </c>
      <c r="D209" s="460" t="s">
        <v>1174</v>
      </c>
      <c r="E209" s="460" t="s">
        <v>31</v>
      </c>
      <c r="F209" s="462">
        <v>5.0199999999999996</v>
      </c>
      <c r="G209" s="462">
        <v>1.9</v>
      </c>
      <c r="H209" s="462">
        <v>9.5380000000000003</v>
      </c>
      <c r="I209" s="463">
        <v>1.5168640340872713E-4</v>
      </c>
      <c r="J209" s="463">
        <v>123.87485703779126</v>
      </c>
      <c r="K209" s="460" t="s">
        <v>1141</v>
      </c>
    </row>
    <row r="210" spans="1:11" ht="36">
      <c r="A210" s="460" t="s">
        <v>1478</v>
      </c>
      <c r="B210" s="461" t="s">
        <v>1479</v>
      </c>
      <c r="C210" s="460" t="s">
        <v>29</v>
      </c>
      <c r="D210" s="460" t="s">
        <v>862</v>
      </c>
      <c r="E210" s="460" t="s">
        <v>115</v>
      </c>
      <c r="F210" s="462">
        <v>1.5519247920000001E-5</v>
      </c>
      <c r="G210" s="462">
        <v>547702.68000000005</v>
      </c>
      <c r="H210" s="462">
        <v>8.4999336773684249</v>
      </c>
      <c r="I210" s="463">
        <v>1.3517764402733618E-4</v>
      </c>
      <c r="J210" s="463">
        <v>123.87499221649003</v>
      </c>
      <c r="K210" s="460" t="s">
        <v>1141</v>
      </c>
    </row>
    <row r="211" spans="1:11">
      <c r="A211" s="460" t="s">
        <v>1480</v>
      </c>
      <c r="B211" s="461" t="s">
        <v>1481</v>
      </c>
      <c r="C211" s="460" t="s">
        <v>1136</v>
      </c>
      <c r="D211" s="460" t="s">
        <v>834</v>
      </c>
      <c r="E211" s="460" t="s">
        <v>73</v>
      </c>
      <c r="F211" s="462">
        <v>7.5253815000000002E-2</v>
      </c>
      <c r="G211" s="462">
        <v>111.3653</v>
      </c>
      <c r="H211" s="462">
        <v>8.3806636836195008</v>
      </c>
      <c r="I211" s="463">
        <v>1.3328084843220557E-4</v>
      </c>
      <c r="J211" s="463">
        <v>123.87512548678366</v>
      </c>
      <c r="K211" s="460" t="s">
        <v>1141</v>
      </c>
    </row>
    <row r="212" spans="1:11" ht="36">
      <c r="A212" s="460" t="s">
        <v>1482</v>
      </c>
      <c r="B212" s="461" t="s">
        <v>1483</v>
      </c>
      <c r="C212" s="460" t="s">
        <v>29</v>
      </c>
      <c r="D212" s="460" t="s">
        <v>1174</v>
      </c>
      <c r="E212" s="460" t="s">
        <v>851</v>
      </c>
      <c r="F212" s="462">
        <v>8.59</v>
      </c>
      <c r="G212" s="462">
        <v>0.94</v>
      </c>
      <c r="H212" s="462">
        <v>8.0746000000000002</v>
      </c>
      <c r="I212" s="463">
        <v>1.28413402491519E-4</v>
      </c>
      <c r="J212" s="463">
        <v>123.87525382703062</v>
      </c>
      <c r="K212" s="460" t="s">
        <v>1141</v>
      </c>
    </row>
    <row r="213" spans="1:11">
      <c r="A213" s="460" t="s">
        <v>1484</v>
      </c>
      <c r="B213" s="461" t="s">
        <v>1485</v>
      </c>
      <c r="C213" s="460" t="s">
        <v>1136</v>
      </c>
      <c r="D213" s="460" t="s">
        <v>834</v>
      </c>
      <c r="E213" s="460" t="s">
        <v>73</v>
      </c>
      <c r="F213" s="462">
        <v>7.5253815000000002E-2</v>
      </c>
      <c r="G213" s="462">
        <v>106.5736</v>
      </c>
      <c r="H213" s="462">
        <v>8.0200699782840008</v>
      </c>
      <c r="I213" s="463">
        <v>1.2754619103503968E-4</v>
      </c>
      <c r="J213" s="463">
        <v>123.87538137210876</v>
      </c>
      <c r="K213" s="460" t="s">
        <v>1141</v>
      </c>
    </row>
    <row r="214" spans="1:11" ht="24">
      <c r="A214" s="460" t="s">
        <v>1486</v>
      </c>
      <c r="B214" s="461" t="s">
        <v>1487</v>
      </c>
      <c r="C214" s="460" t="s">
        <v>29</v>
      </c>
      <c r="D214" s="460" t="s">
        <v>862</v>
      </c>
      <c r="E214" s="460" t="s">
        <v>31</v>
      </c>
      <c r="F214" s="462">
        <v>2.10761346</v>
      </c>
      <c r="G214" s="462">
        <v>3</v>
      </c>
      <c r="H214" s="462">
        <v>6.3228403799999997</v>
      </c>
      <c r="I214" s="463">
        <v>1.0055451001988567E-4</v>
      </c>
      <c r="J214" s="463">
        <v>123.87548188144714</v>
      </c>
      <c r="K214" s="460" t="s">
        <v>1141</v>
      </c>
    </row>
    <row r="215" spans="1:11">
      <c r="A215" s="460" t="s">
        <v>1488</v>
      </c>
      <c r="B215" s="461" t="s">
        <v>1489</v>
      </c>
      <c r="C215" s="460" t="s">
        <v>29</v>
      </c>
      <c r="D215" s="460" t="s">
        <v>834</v>
      </c>
      <c r="E215" s="460" t="s">
        <v>328</v>
      </c>
      <c r="F215" s="462">
        <v>0.18466031999999999</v>
      </c>
      <c r="G215" s="462">
        <v>28.88</v>
      </c>
      <c r="H215" s="462">
        <v>5.3329900415999996</v>
      </c>
      <c r="I215" s="463">
        <v>8.4812547580715241E-5</v>
      </c>
      <c r="J215" s="463">
        <v>123.87556664644298</v>
      </c>
      <c r="K215" s="460" t="s">
        <v>1141</v>
      </c>
    </row>
    <row r="216" spans="1:11" ht="24">
      <c r="A216" s="460" t="s">
        <v>1490</v>
      </c>
      <c r="B216" s="461" t="s">
        <v>1491</v>
      </c>
      <c r="C216" s="460" t="s">
        <v>1136</v>
      </c>
      <c r="D216" s="460" t="s">
        <v>1157</v>
      </c>
      <c r="E216" s="460" t="s">
        <v>916</v>
      </c>
      <c r="F216" s="462">
        <v>0.20474999999999999</v>
      </c>
      <c r="G216" s="462">
        <v>23.7926</v>
      </c>
      <c r="H216" s="462">
        <v>4.8715348499999998</v>
      </c>
      <c r="I216" s="463">
        <v>7.747385201056542E-5</v>
      </c>
      <c r="J216" s="463">
        <v>123.87564409588569</v>
      </c>
      <c r="K216" s="460" t="s">
        <v>1141</v>
      </c>
    </row>
    <row r="217" spans="1:11" ht="36">
      <c r="A217" s="460" t="s">
        <v>1492</v>
      </c>
      <c r="B217" s="461" t="s">
        <v>1493</v>
      </c>
      <c r="C217" s="460" t="s">
        <v>29</v>
      </c>
      <c r="D217" s="460" t="s">
        <v>1174</v>
      </c>
      <c r="E217" s="460" t="s">
        <v>851</v>
      </c>
      <c r="F217" s="462">
        <v>63.45107625</v>
      </c>
      <c r="G217" s="462">
        <v>7.0000000000000007E-2</v>
      </c>
      <c r="H217" s="462">
        <v>4.4415753374999998</v>
      </c>
      <c r="I217" s="463">
        <v>7.0636044077823266E-5</v>
      </c>
      <c r="J217" s="463">
        <v>123.87571470687658</v>
      </c>
      <c r="K217" s="460" t="s">
        <v>1141</v>
      </c>
    </row>
    <row r="218" spans="1:11" ht="24">
      <c r="A218" s="460" t="s">
        <v>1494</v>
      </c>
      <c r="B218" s="461" t="s">
        <v>1495</v>
      </c>
      <c r="C218" s="460" t="s">
        <v>29</v>
      </c>
      <c r="D218" s="460" t="s">
        <v>862</v>
      </c>
      <c r="E218" s="460" t="s">
        <v>31</v>
      </c>
      <c r="F218" s="462">
        <v>0.56226699999999996</v>
      </c>
      <c r="G218" s="462">
        <v>7.8</v>
      </c>
      <c r="H218" s="462">
        <v>4.3856826</v>
      </c>
      <c r="I218" s="463">
        <v>6.9747160839403992E-5</v>
      </c>
      <c r="J218" s="463">
        <v>123.87578452269865</v>
      </c>
      <c r="K218" s="460" t="s">
        <v>1141</v>
      </c>
    </row>
    <row r="219" spans="1:11" ht="36">
      <c r="A219" s="460" t="s">
        <v>1496</v>
      </c>
      <c r="B219" s="461" t="s">
        <v>1497</v>
      </c>
      <c r="C219" s="460" t="s">
        <v>29</v>
      </c>
      <c r="D219" s="460" t="s">
        <v>1174</v>
      </c>
      <c r="E219" s="460" t="s">
        <v>851</v>
      </c>
      <c r="F219" s="462">
        <v>8.59</v>
      </c>
      <c r="G219" s="462">
        <v>0.32</v>
      </c>
      <c r="H219" s="462">
        <v>2.7488000000000001</v>
      </c>
      <c r="I219" s="463">
        <v>4.3715200848176677E-5</v>
      </c>
      <c r="J219" s="463">
        <v>123.87582825698355</v>
      </c>
      <c r="K219" s="460" t="s">
        <v>1141</v>
      </c>
    </row>
    <row r="220" spans="1:11" ht="24">
      <c r="A220" s="460" t="s">
        <v>1498</v>
      </c>
      <c r="B220" s="461" t="s">
        <v>1499</v>
      </c>
      <c r="C220" s="460" t="s">
        <v>29</v>
      </c>
      <c r="D220" s="460" t="s">
        <v>834</v>
      </c>
      <c r="E220" s="460" t="s">
        <v>115</v>
      </c>
      <c r="F220" s="462">
        <v>8.8408558999999993</v>
      </c>
      <c r="G220" s="462">
        <v>0.28999999999999998</v>
      </c>
      <c r="H220" s="462">
        <v>2.5638482109999998</v>
      </c>
      <c r="I220" s="463">
        <v>4.0773842945322841E-5</v>
      </c>
      <c r="J220" s="463">
        <v>123.87586896962695</v>
      </c>
      <c r="K220" s="460" t="s">
        <v>1141</v>
      </c>
    </row>
    <row r="221" spans="1:11" ht="24">
      <c r="A221" s="460" t="s">
        <v>1500</v>
      </c>
      <c r="B221" s="461" t="s">
        <v>1501</v>
      </c>
      <c r="C221" s="460" t="s">
        <v>29</v>
      </c>
      <c r="D221" s="460" t="s">
        <v>862</v>
      </c>
      <c r="E221" s="460" t="s">
        <v>115</v>
      </c>
      <c r="F221" s="462">
        <v>1.9849556457099998E-3</v>
      </c>
      <c r="G221" s="462">
        <v>1127.04</v>
      </c>
      <c r="H221" s="462">
        <v>2.2371244109409982</v>
      </c>
      <c r="I221" s="463">
        <v>3.5577831397935342E-5</v>
      </c>
      <c r="J221" s="463">
        <v>123.87590459318993</v>
      </c>
      <c r="K221" s="460" t="s">
        <v>1141</v>
      </c>
    </row>
    <row r="222" spans="1:11" ht="36">
      <c r="A222" s="460" t="s">
        <v>1502</v>
      </c>
      <c r="B222" s="461" t="s">
        <v>1503</v>
      </c>
      <c r="C222" s="460" t="s">
        <v>29</v>
      </c>
      <c r="D222" s="460" t="s">
        <v>1174</v>
      </c>
      <c r="E222" s="460" t="s">
        <v>851</v>
      </c>
      <c r="F222" s="462">
        <v>1.274125</v>
      </c>
      <c r="G222" s="462">
        <v>1.08</v>
      </c>
      <c r="H222" s="462">
        <v>1.376055</v>
      </c>
      <c r="I222" s="463">
        <v>2.1883920511909837E-5</v>
      </c>
      <c r="J222" s="463">
        <v>123.87592653984926</v>
      </c>
      <c r="K222" s="460" t="s">
        <v>1141</v>
      </c>
    </row>
    <row r="223" spans="1:11">
      <c r="A223" s="460" t="s">
        <v>1504</v>
      </c>
      <c r="B223" s="461" t="s">
        <v>1505</v>
      </c>
      <c r="C223" s="460" t="s">
        <v>1136</v>
      </c>
      <c r="D223" s="460" t="s">
        <v>834</v>
      </c>
      <c r="E223" s="460" t="s">
        <v>1275</v>
      </c>
      <c r="F223" s="462">
        <v>0.17331268499999999</v>
      </c>
      <c r="G223" s="462">
        <v>5.9009999999999998</v>
      </c>
      <c r="H223" s="462">
        <v>1.0227181541849999</v>
      </c>
      <c r="I223" s="463">
        <v>1.6264671682651988E-5</v>
      </c>
      <c r="J223" s="463">
        <v>123.8759427612931</v>
      </c>
      <c r="K223" s="460" t="s">
        <v>1141</v>
      </c>
    </row>
    <row r="224" spans="1:11" ht="36">
      <c r="A224" s="460" t="s">
        <v>1506</v>
      </c>
      <c r="B224" s="461" t="s">
        <v>1507</v>
      </c>
      <c r="C224" s="460" t="s">
        <v>1136</v>
      </c>
      <c r="D224" s="460" t="s">
        <v>874</v>
      </c>
      <c r="E224" s="460" t="s">
        <v>877</v>
      </c>
      <c r="F224" s="462">
        <v>5.2228079999999997</v>
      </c>
      <c r="G224" s="462">
        <v>0.18859999999999999</v>
      </c>
      <c r="H224" s="462">
        <v>0.98502158880000001</v>
      </c>
      <c r="I224" s="463">
        <v>1.5665169017091857E-5</v>
      </c>
      <c r="J224" s="463">
        <v>123.87595850563568</v>
      </c>
      <c r="K224" s="460" t="s">
        <v>1141</v>
      </c>
    </row>
    <row r="225" spans="1:11" ht="36">
      <c r="A225" s="460" t="s">
        <v>1508</v>
      </c>
      <c r="B225" s="461" t="s">
        <v>1509</v>
      </c>
      <c r="C225" s="460" t="s">
        <v>1136</v>
      </c>
      <c r="D225" s="460" t="s">
        <v>874</v>
      </c>
      <c r="E225" s="460" t="s">
        <v>877</v>
      </c>
      <c r="F225" s="462">
        <v>0.20474999999999999</v>
      </c>
      <c r="G225" s="462">
        <v>4.1797000000000004</v>
      </c>
      <c r="H225" s="462">
        <v>0.85579357499999997</v>
      </c>
      <c r="I225" s="463">
        <v>1.3610007281615305E-5</v>
      </c>
      <c r="J225" s="463">
        <v>123.87597218253931</v>
      </c>
      <c r="K225" s="460" t="s">
        <v>1141</v>
      </c>
    </row>
    <row r="226" spans="1:11" ht="36">
      <c r="A226" s="460" t="s">
        <v>1510</v>
      </c>
      <c r="B226" s="461" t="s">
        <v>1511</v>
      </c>
      <c r="C226" s="460" t="s">
        <v>29</v>
      </c>
      <c r="D226" s="460" t="s">
        <v>862</v>
      </c>
      <c r="E226" s="460" t="s">
        <v>115</v>
      </c>
      <c r="F226" s="462">
        <v>1.9096330176E-5</v>
      </c>
      <c r="G226" s="462">
        <v>28346.15</v>
      </c>
      <c r="H226" s="462">
        <v>0.54130743961842243</v>
      </c>
      <c r="I226" s="463">
        <v>8.6086159209588203E-6</v>
      </c>
      <c r="J226" s="463">
        <v>123.87598077036253</v>
      </c>
      <c r="K226" s="460" t="s">
        <v>1141</v>
      </c>
    </row>
    <row r="227" spans="1:11" ht="36">
      <c r="A227" s="460" t="s">
        <v>1512</v>
      </c>
      <c r="B227" s="461" t="s">
        <v>1513</v>
      </c>
      <c r="C227" s="460" t="s">
        <v>1136</v>
      </c>
      <c r="D227" s="460" t="s">
        <v>874</v>
      </c>
      <c r="E227" s="460" t="s">
        <v>877</v>
      </c>
      <c r="F227" s="462">
        <v>0.73709999999999998</v>
      </c>
      <c r="G227" s="462">
        <v>0.71989999999999998</v>
      </c>
      <c r="H227" s="462">
        <v>0.53063828999999996</v>
      </c>
      <c r="I227" s="463">
        <v>8.4389404194859648E-6</v>
      </c>
      <c r="J227" s="463">
        <v>123.87598919915199</v>
      </c>
      <c r="K227" s="460" t="s">
        <v>1141</v>
      </c>
    </row>
    <row r="228" spans="1:11" ht="36">
      <c r="A228" s="460" t="s">
        <v>1514</v>
      </c>
      <c r="B228" s="461" t="s">
        <v>1515</v>
      </c>
      <c r="C228" s="460" t="s">
        <v>1136</v>
      </c>
      <c r="D228" s="460" t="s">
        <v>874</v>
      </c>
      <c r="E228" s="460" t="s">
        <v>877</v>
      </c>
      <c r="F228" s="462">
        <v>0.25184250000000002</v>
      </c>
      <c r="G228" s="462">
        <v>1.5599000000000001</v>
      </c>
      <c r="H228" s="462">
        <v>0.39284911574999998</v>
      </c>
      <c r="I228" s="463">
        <v>6.2476273275756163E-6</v>
      </c>
      <c r="J228" s="463">
        <v>123.87599540146876</v>
      </c>
      <c r="K228" s="460" t="s">
        <v>1141</v>
      </c>
    </row>
    <row r="229" spans="1:11" ht="36">
      <c r="A229" s="460" t="s">
        <v>1514</v>
      </c>
      <c r="B229" s="461" t="s">
        <v>1516</v>
      </c>
      <c r="C229" s="460" t="s">
        <v>1136</v>
      </c>
      <c r="D229" s="460" t="s">
        <v>874</v>
      </c>
      <c r="E229" s="460" t="s">
        <v>927</v>
      </c>
      <c r="F229" s="462">
        <v>0.36240749999999999</v>
      </c>
      <c r="G229" s="462">
        <v>1.0605</v>
      </c>
      <c r="H229" s="462">
        <v>0.38433315374999999</v>
      </c>
      <c r="I229" s="463">
        <v>6.1121947791015774E-6</v>
      </c>
      <c r="J229" s="463">
        <v>123.87600144475175</v>
      </c>
      <c r="K229" s="460" t="s">
        <v>1141</v>
      </c>
    </row>
    <row r="230" spans="1:11" ht="36">
      <c r="A230" s="460" t="s">
        <v>1517</v>
      </c>
      <c r="B230" s="461" t="s">
        <v>1518</v>
      </c>
      <c r="C230" s="460" t="s">
        <v>1136</v>
      </c>
      <c r="D230" s="460" t="s">
        <v>874</v>
      </c>
      <c r="E230" s="460" t="s">
        <v>877</v>
      </c>
      <c r="F230" s="462">
        <v>0.20474999999999999</v>
      </c>
      <c r="G230" s="462">
        <v>1.4651000000000001</v>
      </c>
      <c r="H230" s="462">
        <v>0.29997922500000002</v>
      </c>
      <c r="I230" s="463">
        <v>4.7706825055134539E-6</v>
      </c>
      <c r="J230" s="463">
        <v>123.87600621576466</v>
      </c>
      <c r="K230" s="460" t="s">
        <v>1141</v>
      </c>
    </row>
    <row r="231" spans="1:11" ht="36">
      <c r="A231" s="460" t="s">
        <v>1519</v>
      </c>
      <c r="B231" s="461" t="s">
        <v>1520</v>
      </c>
      <c r="C231" s="460" t="s">
        <v>29</v>
      </c>
      <c r="D231" s="460" t="s">
        <v>1174</v>
      </c>
      <c r="E231" s="460" t="s">
        <v>31</v>
      </c>
      <c r="F231" s="462">
        <v>22.78</v>
      </c>
      <c r="G231" s="462">
        <v>0.01</v>
      </c>
      <c r="H231" s="462">
        <v>0.2278</v>
      </c>
      <c r="I231" s="463">
        <v>3.6227891273336174E-6</v>
      </c>
      <c r="J231" s="463">
        <v>123.87600987354121</v>
      </c>
      <c r="K231" s="460" t="s">
        <v>1141</v>
      </c>
    </row>
    <row r="232" spans="1:11" ht="36">
      <c r="A232" s="460" t="s">
        <v>1521</v>
      </c>
      <c r="B232" s="461" t="s">
        <v>1522</v>
      </c>
      <c r="C232" s="460" t="s">
        <v>29</v>
      </c>
      <c r="D232" s="460" t="s">
        <v>1174</v>
      </c>
      <c r="E232" s="460" t="s">
        <v>851</v>
      </c>
      <c r="F232" s="462">
        <v>1.274125</v>
      </c>
      <c r="G232" s="462">
        <v>0.1</v>
      </c>
      <c r="H232" s="462">
        <v>0.12741250000000001</v>
      </c>
      <c r="I232" s="463">
        <v>2.0262889362879477E-6</v>
      </c>
      <c r="J232" s="463">
        <v>123.87601194098013</v>
      </c>
      <c r="K232" s="460" t="s">
        <v>1141</v>
      </c>
    </row>
    <row r="233" spans="1:11" ht="36">
      <c r="A233" s="460" t="s">
        <v>1512</v>
      </c>
      <c r="B233" s="461" t="s">
        <v>1523</v>
      </c>
      <c r="C233" s="460" t="s">
        <v>1136</v>
      </c>
      <c r="D233" s="460" t="s">
        <v>874</v>
      </c>
      <c r="E233" s="460" t="s">
        <v>927</v>
      </c>
      <c r="F233" s="462">
        <v>8.1900000000000001E-2</v>
      </c>
      <c r="G233" s="462">
        <v>0.4894</v>
      </c>
      <c r="H233" s="462">
        <v>4.0081859999999997E-2</v>
      </c>
      <c r="I233" s="463">
        <v>6.374369034736971E-7</v>
      </c>
      <c r="J233" s="463">
        <v>123.87601257711519</v>
      </c>
      <c r="K233" s="460" t="s">
        <v>1141</v>
      </c>
    </row>
    <row r="234" spans="1:11" ht="36">
      <c r="A234" s="460" t="s">
        <v>1524</v>
      </c>
      <c r="B234" s="461" t="s">
        <v>1525</v>
      </c>
      <c r="C234" s="460" t="s">
        <v>1136</v>
      </c>
      <c r="D234" s="460" t="s">
        <v>874</v>
      </c>
      <c r="E234" s="460" t="s">
        <v>927</v>
      </c>
      <c r="F234" s="462">
        <v>0</v>
      </c>
      <c r="G234" s="462">
        <v>107.0215</v>
      </c>
      <c r="H234" s="462">
        <v>0</v>
      </c>
      <c r="I234" s="463">
        <v>0</v>
      </c>
      <c r="J234" s="463">
        <v>123.87601257711519</v>
      </c>
      <c r="K234" s="460" t="s">
        <v>1141</v>
      </c>
    </row>
    <row r="235" spans="1:11" ht="36">
      <c r="A235" s="460" t="s">
        <v>1526</v>
      </c>
      <c r="B235" s="461" t="s">
        <v>1527</v>
      </c>
      <c r="C235" s="460" t="s">
        <v>1136</v>
      </c>
      <c r="D235" s="460" t="s">
        <v>874</v>
      </c>
      <c r="E235" s="460" t="s">
        <v>877</v>
      </c>
      <c r="F235" s="462">
        <v>0</v>
      </c>
      <c r="G235" s="462">
        <v>280.2448</v>
      </c>
      <c r="H235" s="462">
        <v>0</v>
      </c>
      <c r="I235" s="463">
        <v>0</v>
      </c>
      <c r="J235" s="463">
        <v>123.87601257711519</v>
      </c>
      <c r="K235" s="460" t="s">
        <v>1141</v>
      </c>
    </row>
    <row r="236" spans="1:11" ht="36">
      <c r="A236" s="460" t="s">
        <v>1434</v>
      </c>
      <c r="B236" s="461" t="s">
        <v>1528</v>
      </c>
      <c r="C236" s="460" t="s">
        <v>1136</v>
      </c>
      <c r="D236" s="460" t="s">
        <v>874</v>
      </c>
      <c r="E236" s="460" t="s">
        <v>927</v>
      </c>
      <c r="F236" s="462">
        <v>0</v>
      </c>
      <c r="G236" s="462">
        <v>3.9504000000000001</v>
      </c>
      <c r="H236" s="462">
        <v>0</v>
      </c>
      <c r="I236" s="463">
        <v>0</v>
      </c>
      <c r="J236" s="463">
        <v>123.87601257711519</v>
      </c>
      <c r="K236" s="460" t="s">
        <v>1141</v>
      </c>
    </row>
    <row r="237" spans="1:11" ht="36">
      <c r="A237" s="460" t="s">
        <v>904</v>
      </c>
      <c r="B237" s="461" t="s">
        <v>1529</v>
      </c>
      <c r="C237" s="460" t="s">
        <v>1136</v>
      </c>
      <c r="D237" s="460" t="s">
        <v>874</v>
      </c>
      <c r="E237" s="460" t="s">
        <v>927</v>
      </c>
      <c r="F237" s="462">
        <v>0</v>
      </c>
      <c r="G237" s="462">
        <v>89.770300000000006</v>
      </c>
      <c r="H237" s="462">
        <v>0</v>
      </c>
      <c r="I237" s="463">
        <v>0</v>
      </c>
      <c r="J237" s="463">
        <v>123.87601257711519</v>
      </c>
      <c r="K237" s="460" t="s">
        <v>1141</v>
      </c>
    </row>
    <row r="238" spans="1:11" ht="36">
      <c r="A238" s="460" t="s">
        <v>1345</v>
      </c>
      <c r="B238" s="461" t="s">
        <v>1530</v>
      </c>
      <c r="C238" s="460" t="s">
        <v>1136</v>
      </c>
      <c r="D238" s="460" t="s">
        <v>874</v>
      </c>
      <c r="E238" s="460" t="s">
        <v>927</v>
      </c>
      <c r="F238" s="462">
        <v>0</v>
      </c>
      <c r="G238" s="462">
        <v>3.8662999999999998</v>
      </c>
      <c r="H238" s="462">
        <v>0</v>
      </c>
      <c r="I238" s="463">
        <v>0</v>
      </c>
      <c r="J238" s="463">
        <v>123.87601257711519</v>
      </c>
      <c r="K238" s="460" t="s">
        <v>1141</v>
      </c>
    </row>
    <row r="239" spans="1:11" ht="36">
      <c r="A239" s="460" t="s">
        <v>1531</v>
      </c>
      <c r="B239" s="461" t="s">
        <v>1532</v>
      </c>
      <c r="C239" s="460" t="s">
        <v>1136</v>
      </c>
      <c r="D239" s="460" t="s">
        <v>874</v>
      </c>
      <c r="E239" s="460" t="s">
        <v>877</v>
      </c>
      <c r="F239" s="462">
        <v>0</v>
      </c>
      <c r="G239" s="462">
        <v>294.60289999999998</v>
      </c>
      <c r="H239" s="462">
        <v>0</v>
      </c>
      <c r="I239" s="463">
        <v>0</v>
      </c>
      <c r="J239" s="463">
        <v>123.87601257711519</v>
      </c>
      <c r="K239" s="460" t="s">
        <v>1141</v>
      </c>
    </row>
    <row r="240" spans="1:11" ht="36">
      <c r="A240" s="460" t="s">
        <v>1524</v>
      </c>
      <c r="B240" s="461" t="s">
        <v>1533</v>
      </c>
      <c r="C240" s="460" t="s">
        <v>1136</v>
      </c>
      <c r="D240" s="460" t="s">
        <v>874</v>
      </c>
      <c r="E240" s="460" t="s">
        <v>877</v>
      </c>
      <c r="F240" s="462">
        <v>0</v>
      </c>
      <c r="G240" s="462">
        <v>313.6044</v>
      </c>
      <c r="H240" s="462">
        <v>0</v>
      </c>
      <c r="I240" s="463">
        <v>0</v>
      </c>
      <c r="J240" s="463">
        <v>123.87601257711519</v>
      </c>
      <c r="K240" s="460" t="s">
        <v>1141</v>
      </c>
    </row>
    <row r="241" spans="1:11" ht="36">
      <c r="A241" s="460" t="s">
        <v>1508</v>
      </c>
      <c r="B241" s="461" t="s">
        <v>1534</v>
      </c>
      <c r="C241" s="460" t="s">
        <v>1136</v>
      </c>
      <c r="D241" s="460" t="s">
        <v>874</v>
      </c>
      <c r="E241" s="460" t="s">
        <v>927</v>
      </c>
      <c r="F241" s="462">
        <v>0</v>
      </c>
      <c r="G241" s="462">
        <v>0.2205</v>
      </c>
      <c r="H241" s="462">
        <v>0</v>
      </c>
      <c r="I241" s="463">
        <v>0</v>
      </c>
      <c r="J241" s="463">
        <v>123.87601257711519</v>
      </c>
      <c r="K241" s="460" t="s">
        <v>1141</v>
      </c>
    </row>
    <row r="242" spans="1:11" ht="36">
      <c r="A242" s="460" t="s">
        <v>1401</v>
      </c>
      <c r="B242" s="461" t="s">
        <v>1535</v>
      </c>
      <c r="C242" s="460" t="s">
        <v>1136</v>
      </c>
      <c r="D242" s="460" t="s">
        <v>874</v>
      </c>
      <c r="E242" s="460" t="s">
        <v>927</v>
      </c>
      <c r="F242" s="462">
        <v>0</v>
      </c>
      <c r="G242" s="462">
        <v>10.7766</v>
      </c>
      <c r="H242" s="462">
        <v>0</v>
      </c>
      <c r="I242" s="463">
        <v>0</v>
      </c>
      <c r="J242" s="463">
        <v>123.87601257711519</v>
      </c>
      <c r="K242" s="460" t="s">
        <v>1141</v>
      </c>
    </row>
    <row r="243" spans="1:11" ht="36">
      <c r="A243" s="460" t="s">
        <v>1517</v>
      </c>
      <c r="B243" s="461" t="s">
        <v>1536</v>
      </c>
      <c r="C243" s="460" t="s">
        <v>1136</v>
      </c>
      <c r="D243" s="460" t="s">
        <v>874</v>
      </c>
      <c r="E243" s="460" t="s">
        <v>927</v>
      </c>
      <c r="F243" s="462">
        <v>0</v>
      </c>
      <c r="G243" s="462">
        <v>0.98419999999999996</v>
      </c>
      <c r="H243" s="462">
        <v>0</v>
      </c>
      <c r="I243" s="463">
        <v>0</v>
      </c>
      <c r="J243" s="463">
        <v>123.87601257711519</v>
      </c>
      <c r="K243" s="460" t="s">
        <v>1141</v>
      </c>
    </row>
    <row r="244" spans="1:11" ht="36">
      <c r="A244" s="460" t="s">
        <v>1444</v>
      </c>
      <c r="B244" s="461" t="s">
        <v>1537</v>
      </c>
      <c r="C244" s="460" t="s">
        <v>1136</v>
      </c>
      <c r="D244" s="460" t="s">
        <v>874</v>
      </c>
      <c r="E244" s="460" t="s">
        <v>927</v>
      </c>
      <c r="F244" s="462">
        <v>0</v>
      </c>
      <c r="G244" s="462">
        <v>1.0570999999999999</v>
      </c>
      <c r="H244" s="462">
        <v>0</v>
      </c>
      <c r="I244" s="463">
        <v>0</v>
      </c>
      <c r="J244" s="463">
        <v>123.87601257711519</v>
      </c>
      <c r="K244" s="460" t="s">
        <v>1141</v>
      </c>
    </row>
    <row r="245" spans="1:11" ht="36">
      <c r="A245" s="460" t="s">
        <v>1506</v>
      </c>
      <c r="B245" s="461" t="s">
        <v>1538</v>
      </c>
      <c r="C245" s="460" t="s">
        <v>1136</v>
      </c>
      <c r="D245" s="460" t="s">
        <v>874</v>
      </c>
      <c r="E245" s="460" t="s">
        <v>927</v>
      </c>
      <c r="F245" s="462">
        <v>0</v>
      </c>
      <c r="G245" s="462">
        <v>0.12509999999999999</v>
      </c>
      <c r="H245" s="462">
        <v>0</v>
      </c>
      <c r="I245" s="463">
        <v>0</v>
      </c>
      <c r="J245" s="463">
        <v>123.87601257711519</v>
      </c>
      <c r="K245" s="460" t="s">
        <v>1141</v>
      </c>
    </row>
    <row r="246" spans="1:11" ht="36">
      <c r="A246" s="460" t="s">
        <v>1432</v>
      </c>
      <c r="B246" s="461" t="s">
        <v>1539</v>
      </c>
      <c r="C246" s="460" t="s">
        <v>1136</v>
      </c>
      <c r="D246" s="460" t="s">
        <v>874</v>
      </c>
      <c r="E246" s="460" t="s">
        <v>927</v>
      </c>
      <c r="F246" s="462">
        <v>0</v>
      </c>
      <c r="G246" s="462">
        <v>9.5767000000000007</v>
      </c>
      <c r="H246" s="462">
        <v>0</v>
      </c>
      <c r="I246" s="463">
        <v>0</v>
      </c>
      <c r="J246" s="463">
        <v>123.87601257711519</v>
      </c>
      <c r="K246" s="460" t="s">
        <v>1141</v>
      </c>
    </row>
    <row r="247" spans="1:11" ht="36">
      <c r="A247" s="460" t="s">
        <v>1474</v>
      </c>
      <c r="B247" s="461" t="s">
        <v>1540</v>
      </c>
      <c r="C247" s="460" t="s">
        <v>1136</v>
      </c>
      <c r="D247" s="460" t="s">
        <v>874</v>
      </c>
      <c r="E247" s="460" t="s">
        <v>927</v>
      </c>
      <c r="F247" s="462">
        <v>0</v>
      </c>
      <c r="G247" s="462">
        <v>26.404900000000001</v>
      </c>
      <c r="H247" s="462">
        <v>0</v>
      </c>
      <c r="I247" s="463">
        <v>0</v>
      </c>
      <c r="J247" s="463">
        <v>123.87601257711519</v>
      </c>
      <c r="K247" s="460" t="s">
        <v>1141</v>
      </c>
    </row>
    <row r="248" spans="1:11" ht="36">
      <c r="A248" s="460" t="s">
        <v>1526</v>
      </c>
      <c r="B248" s="461" t="s">
        <v>1541</v>
      </c>
      <c r="C248" s="460" t="s">
        <v>1136</v>
      </c>
      <c r="D248" s="460" t="s">
        <v>874</v>
      </c>
      <c r="E248" s="460" t="s">
        <v>927</v>
      </c>
      <c r="F248" s="462">
        <v>0</v>
      </c>
      <c r="G248" s="462">
        <v>75.791200000000003</v>
      </c>
      <c r="H248" s="462">
        <v>0</v>
      </c>
      <c r="I248" s="463">
        <v>0</v>
      </c>
      <c r="J248" s="463">
        <v>123.87601257711519</v>
      </c>
      <c r="K248" s="460" t="s">
        <v>1141</v>
      </c>
    </row>
    <row r="249" spans="1:11" ht="36">
      <c r="A249" s="460" t="s">
        <v>1321</v>
      </c>
      <c r="B249" s="461" t="s">
        <v>1542</v>
      </c>
      <c r="C249" s="460" t="s">
        <v>1136</v>
      </c>
      <c r="D249" s="460" t="s">
        <v>874</v>
      </c>
      <c r="E249" s="460" t="s">
        <v>927</v>
      </c>
      <c r="F249" s="462">
        <v>0</v>
      </c>
      <c r="G249" s="462">
        <v>37.175800000000002</v>
      </c>
      <c r="H249" s="462">
        <v>0</v>
      </c>
      <c r="I249" s="463">
        <v>0</v>
      </c>
      <c r="J249" s="463">
        <v>123.87601257711519</v>
      </c>
      <c r="K249" s="460" t="s">
        <v>1141</v>
      </c>
    </row>
    <row r="250" spans="1:11" ht="36">
      <c r="A250" s="460" t="s">
        <v>1531</v>
      </c>
      <c r="B250" s="461" t="s">
        <v>1543</v>
      </c>
      <c r="C250" s="460" t="s">
        <v>1136</v>
      </c>
      <c r="D250" s="460" t="s">
        <v>874</v>
      </c>
      <c r="E250" s="460" t="s">
        <v>927</v>
      </c>
      <c r="F250" s="462">
        <v>0</v>
      </c>
      <c r="G250" s="462">
        <v>83.036799999999999</v>
      </c>
      <c r="H250" s="462">
        <v>0</v>
      </c>
      <c r="I250" s="463">
        <v>0</v>
      </c>
      <c r="J250" s="463">
        <v>123.87601257711519</v>
      </c>
      <c r="K250" s="460" t="s">
        <v>1141</v>
      </c>
    </row>
    <row r="251" spans="1:11" ht="20.100000000000001" customHeight="1">
      <c r="A251" s="464"/>
      <c r="B251" s="464"/>
      <c r="C251" s="583" t="s">
        <v>1148</v>
      </c>
      <c r="D251" s="583"/>
      <c r="E251" s="583"/>
      <c r="F251" s="583"/>
      <c r="G251" s="464"/>
      <c r="H251" s="464"/>
      <c r="I251" s="464"/>
      <c r="J251" s="464"/>
      <c r="K251" s="464"/>
    </row>
    <row r="252" spans="1:11" ht="18" customHeight="1">
      <c r="A252" s="464"/>
      <c r="B252" s="464"/>
      <c r="C252" s="464"/>
      <c r="D252" s="464"/>
      <c r="E252" s="464"/>
      <c r="F252" s="464"/>
      <c r="G252" s="583" t="s">
        <v>2078</v>
      </c>
      <c r="H252" s="583"/>
      <c r="I252" s="584">
        <v>7789290.1500000004</v>
      </c>
      <c r="J252" s="584"/>
      <c r="K252" s="584"/>
    </row>
    <row r="253" spans="1:11" ht="18" customHeight="1">
      <c r="A253" s="464"/>
      <c r="B253" s="464"/>
      <c r="C253" s="464"/>
      <c r="D253" s="464"/>
      <c r="E253" s="464"/>
      <c r="F253" s="464"/>
      <c r="G253" s="583" t="s">
        <v>1149</v>
      </c>
      <c r="H253" s="583"/>
      <c r="I253" s="584">
        <v>-1501317.21</v>
      </c>
      <c r="J253" s="584"/>
      <c r="K253" s="584"/>
    </row>
    <row r="254" spans="1:11" ht="18" customHeight="1">
      <c r="A254" s="464"/>
      <c r="B254" s="464"/>
      <c r="C254" s="464"/>
      <c r="D254" s="464"/>
      <c r="E254" s="464"/>
      <c r="F254" s="464"/>
      <c r="G254" s="583" t="s">
        <v>1150</v>
      </c>
      <c r="H254" s="583"/>
      <c r="I254" s="584">
        <v>6287972.9400000004</v>
      </c>
      <c r="J254" s="584"/>
      <c r="K254" s="584"/>
    </row>
  </sheetData>
  <mergeCells count="9">
    <mergeCell ref="G253:H253"/>
    <mergeCell ref="I253:K253"/>
    <mergeCell ref="G254:H254"/>
    <mergeCell ref="I254:K254"/>
    <mergeCell ref="A1:K1"/>
    <mergeCell ref="B2:C2"/>
    <mergeCell ref="C251:F251"/>
    <mergeCell ref="G252:H252"/>
    <mergeCell ref="I252:K252"/>
  </mergeCells>
  <printOptions horizontalCentered="1"/>
  <pageMargins left="0" right="0" top="0.39370078740157483" bottom="0.78740157480314965" header="0" footer="0"/>
  <pageSetup paperSize="9" scale="60" orientation="portrait" r:id="rId1"/>
  <headerFooter>
    <oddFooter>&amp;C&amp;P/&amp;N&amp;R&amp;G</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AC194"/>
  <sheetViews>
    <sheetView view="pageBreakPreview" topLeftCell="S180" zoomScaleNormal="100" zoomScaleSheetLayoutView="100" workbookViewId="0">
      <selection activeCell="D601" sqref="D601"/>
    </sheetView>
  </sheetViews>
  <sheetFormatPr defaultRowHeight="15"/>
  <cols>
    <col min="1" max="1" width="9.28515625" customWidth="1"/>
    <col min="2" max="2" width="34.7109375" customWidth="1"/>
    <col min="3" max="3" width="13.7109375" customWidth="1"/>
    <col min="4" max="5" width="11.85546875" customWidth="1"/>
    <col min="6" max="7" width="13" customWidth="1"/>
    <col min="8" max="8" width="10.140625" customWidth="1"/>
    <col min="9" max="9" width="3.140625" customWidth="1"/>
    <col min="10" max="18" width="13.42578125" customWidth="1"/>
    <col min="19" max="29" width="12.7109375" customWidth="1"/>
  </cols>
  <sheetData>
    <row r="1" spans="1:29" ht="113.1" customHeight="1">
      <c r="A1" s="495"/>
      <c r="B1" s="495"/>
      <c r="C1" s="495"/>
      <c r="D1" s="495"/>
      <c r="E1" s="495"/>
      <c r="F1" s="495"/>
      <c r="G1" s="495"/>
      <c r="H1" s="495"/>
      <c r="I1" s="1"/>
      <c r="J1" s="1"/>
      <c r="K1" s="1"/>
      <c r="L1" s="1"/>
      <c r="M1" s="1"/>
      <c r="N1" s="1"/>
      <c r="O1" s="1"/>
      <c r="P1" s="1"/>
      <c r="Q1" s="1"/>
      <c r="R1" s="1"/>
      <c r="S1" s="1"/>
      <c r="T1" s="1"/>
      <c r="U1" s="1"/>
      <c r="V1" s="1"/>
      <c r="W1" s="1"/>
      <c r="X1" s="1"/>
      <c r="Y1" s="1"/>
      <c r="Z1" s="1"/>
      <c r="AA1" s="1"/>
      <c r="AB1" s="1"/>
      <c r="AC1" s="1"/>
    </row>
    <row r="2" spans="1:29" ht="15.95" customHeight="1">
      <c r="A2" s="465" t="s">
        <v>0</v>
      </c>
      <c r="B2" s="465" t="s">
        <v>3</v>
      </c>
      <c r="C2" s="465" t="s">
        <v>1544</v>
      </c>
      <c r="D2" s="465" t="s">
        <v>1545</v>
      </c>
      <c r="E2" s="465" t="s">
        <v>1546</v>
      </c>
      <c r="F2" s="465" t="s">
        <v>1547</v>
      </c>
      <c r="G2" s="465" t="s">
        <v>1548</v>
      </c>
      <c r="H2" s="593" t="s">
        <v>1549</v>
      </c>
      <c r="I2" s="593"/>
      <c r="J2" s="465" t="s">
        <v>1550</v>
      </c>
      <c r="K2" s="465" t="s">
        <v>1551</v>
      </c>
      <c r="L2" s="465" t="s">
        <v>1552</v>
      </c>
      <c r="M2" s="465" t="s">
        <v>1553</v>
      </c>
      <c r="N2" s="465" t="s">
        <v>1554</v>
      </c>
      <c r="O2" s="465" t="s">
        <v>1555</v>
      </c>
      <c r="P2" s="465" t="s">
        <v>1556</v>
      </c>
      <c r="Q2" s="465" t="s">
        <v>1557</v>
      </c>
      <c r="R2" s="465" t="s">
        <v>1558</v>
      </c>
      <c r="S2" s="465" t="s">
        <v>1559</v>
      </c>
      <c r="T2" s="465" t="s">
        <v>1560</v>
      </c>
      <c r="U2" s="465" t="s">
        <v>1561</v>
      </c>
      <c r="V2" s="465" t="s">
        <v>1562</v>
      </c>
      <c r="W2" s="465" t="s">
        <v>1563</v>
      </c>
      <c r="X2" s="465" t="s">
        <v>1564</v>
      </c>
      <c r="Y2" s="465" t="s">
        <v>1565</v>
      </c>
      <c r="Z2" s="465" t="s">
        <v>1566</v>
      </c>
      <c r="AA2" s="465" t="s">
        <v>1567</v>
      </c>
      <c r="AB2" s="465" t="s">
        <v>1568</v>
      </c>
      <c r="AC2" s="466" t="s">
        <v>1569</v>
      </c>
    </row>
    <row r="3" spans="1:29" ht="20.25" customHeight="1">
      <c r="A3" s="589" t="s">
        <v>10</v>
      </c>
      <c r="B3" s="590" t="s">
        <v>11</v>
      </c>
      <c r="C3" s="591">
        <v>5685898.3600000003</v>
      </c>
      <c r="D3" s="467">
        <v>2.87E-2</v>
      </c>
      <c r="E3" s="467">
        <v>8.4199999999999997E-2</v>
      </c>
      <c r="F3" s="467">
        <v>7.51E-2</v>
      </c>
      <c r="G3" s="467">
        <v>9.5000000000000001E-2</v>
      </c>
      <c r="H3" s="592">
        <v>0.11410000000000001</v>
      </c>
      <c r="I3" s="592"/>
      <c r="J3" s="467">
        <v>7.6499999999999999E-2</v>
      </c>
      <c r="K3" s="467">
        <v>0.06</v>
      </c>
      <c r="L3" s="467">
        <v>1.67E-2</v>
      </c>
      <c r="M3" s="467">
        <v>1.7500000000000002E-2</v>
      </c>
      <c r="N3" s="467">
        <v>2.46E-2</v>
      </c>
      <c r="O3" s="467">
        <v>1.8000000000000002E-2</v>
      </c>
      <c r="P3" s="467">
        <v>1.7500000000000002E-2</v>
      </c>
      <c r="Q3" s="467">
        <v>2.4700000000000003E-2</v>
      </c>
      <c r="R3" s="467">
        <v>2.5699999999999997E-2</v>
      </c>
      <c r="S3" s="467">
        <v>2.2400000000000003E-2</v>
      </c>
      <c r="T3" s="467">
        <v>3.2899999999999999E-2</v>
      </c>
      <c r="U3" s="467">
        <v>2.6800000000000001E-2</v>
      </c>
      <c r="V3" s="467">
        <v>2.6800000000000001E-2</v>
      </c>
      <c r="W3" s="467">
        <v>3.3300000000000003E-2</v>
      </c>
      <c r="X3" s="467">
        <v>2.4900000000000002E-2</v>
      </c>
      <c r="Y3" s="467">
        <v>4.7899999999999998E-2</v>
      </c>
      <c r="Z3" s="467">
        <v>5.8499999999999996E-2</v>
      </c>
      <c r="AA3" s="467">
        <v>3.0200000000000001E-2</v>
      </c>
      <c r="AB3" s="467">
        <v>1.8000000000000002E-2</v>
      </c>
      <c r="AC3" s="468">
        <v>1</v>
      </c>
    </row>
    <row r="4" spans="1:29" ht="20.25" customHeight="1">
      <c r="A4" s="589"/>
      <c r="B4" s="590"/>
      <c r="C4" s="591"/>
      <c r="D4" s="469">
        <v>162144.48000000001</v>
      </c>
      <c r="E4" s="469">
        <v>476093.19</v>
      </c>
      <c r="F4" s="469">
        <v>424540.2</v>
      </c>
      <c r="G4" s="469">
        <v>537237.67000000004</v>
      </c>
      <c r="H4" s="588">
        <v>645371.56999999995</v>
      </c>
      <c r="I4" s="588"/>
      <c r="J4" s="469">
        <v>432643.32</v>
      </c>
      <c r="K4" s="469">
        <v>339695.68</v>
      </c>
      <c r="L4" s="469">
        <v>94691.94</v>
      </c>
      <c r="M4" s="469">
        <v>101489.86</v>
      </c>
      <c r="N4" s="469">
        <v>139485.15</v>
      </c>
      <c r="O4" s="469">
        <v>101966.98</v>
      </c>
      <c r="P4" s="469">
        <v>99255.38</v>
      </c>
      <c r="Q4" s="469">
        <v>139832.37</v>
      </c>
      <c r="R4" s="469">
        <v>145692.99</v>
      </c>
      <c r="S4" s="469">
        <v>126696.38</v>
      </c>
      <c r="T4" s="469">
        <v>186040.77</v>
      </c>
      <c r="U4" s="469">
        <v>151485.29</v>
      </c>
      <c r="V4" s="469">
        <v>157494.88</v>
      </c>
      <c r="W4" s="469">
        <v>193913.81</v>
      </c>
      <c r="X4" s="469">
        <v>146517.81</v>
      </c>
      <c r="Y4" s="469">
        <v>276590.78999999998</v>
      </c>
      <c r="Z4" s="469">
        <v>332708.05</v>
      </c>
      <c r="AA4" s="469">
        <v>171689.71</v>
      </c>
      <c r="AB4" s="469">
        <v>102620.09</v>
      </c>
      <c r="AC4" s="470">
        <v>5685898.3600000003</v>
      </c>
    </row>
    <row r="5" spans="1:29" ht="20.25" customHeight="1">
      <c r="A5" s="589" t="s">
        <v>12</v>
      </c>
      <c r="B5" s="590" t="s">
        <v>13</v>
      </c>
      <c r="C5" s="591">
        <v>757147.32</v>
      </c>
      <c r="D5" s="467">
        <v>0.21429999999999999</v>
      </c>
      <c r="E5" s="467">
        <v>0.43090000000000006</v>
      </c>
      <c r="F5" s="467">
        <v>0.35479999999999995</v>
      </c>
      <c r="G5" s="471"/>
      <c r="H5" s="472"/>
      <c r="I5" s="473"/>
      <c r="J5" s="471"/>
      <c r="K5" s="471"/>
      <c r="L5" s="471"/>
      <c r="M5" s="471"/>
      <c r="N5" s="471"/>
      <c r="O5" s="471"/>
      <c r="P5" s="471"/>
      <c r="Q5" s="471"/>
      <c r="R5" s="471"/>
      <c r="S5" s="471"/>
      <c r="T5" s="471"/>
      <c r="U5" s="471"/>
      <c r="V5" s="471"/>
      <c r="W5" s="471"/>
      <c r="X5" s="471"/>
      <c r="Y5" s="471"/>
      <c r="Z5" s="471"/>
      <c r="AA5" s="471"/>
      <c r="AB5" s="471"/>
      <c r="AC5" s="468">
        <v>1</v>
      </c>
    </row>
    <row r="6" spans="1:29" ht="20.25" customHeight="1">
      <c r="A6" s="589"/>
      <c r="B6" s="590"/>
      <c r="C6" s="591"/>
      <c r="D6" s="469">
        <v>162144.48000000001</v>
      </c>
      <c r="E6" s="469">
        <v>326343.21999999997</v>
      </c>
      <c r="F6" s="469">
        <v>268659.62</v>
      </c>
      <c r="G6" s="474"/>
      <c r="H6" s="475"/>
      <c r="I6" s="476"/>
      <c r="J6" s="474"/>
      <c r="K6" s="474"/>
      <c r="L6" s="474"/>
      <c r="M6" s="474"/>
      <c r="N6" s="474"/>
      <c r="O6" s="474"/>
      <c r="P6" s="474"/>
      <c r="Q6" s="474"/>
      <c r="R6" s="474"/>
      <c r="S6" s="474"/>
      <c r="T6" s="474"/>
      <c r="U6" s="474"/>
      <c r="V6" s="474"/>
      <c r="W6" s="474"/>
      <c r="X6" s="474"/>
      <c r="Y6" s="474"/>
      <c r="Z6" s="474"/>
      <c r="AA6" s="474"/>
      <c r="AB6" s="474"/>
      <c r="AC6" s="470">
        <v>757147.32</v>
      </c>
    </row>
    <row r="7" spans="1:29" ht="20.25" customHeight="1">
      <c r="A7" s="589" t="s">
        <v>14</v>
      </c>
      <c r="B7" s="590" t="s">
        <v>15</v>
      </c>
      <c r="C7" s="591">
        <v>7783.05</v>
      </c>
      <c r="D7" s="467">
        <v>1</v>
      </c>
      <c r="E7" s="471"/>
      <c r="F7" s="471"/>
      <c r="G7" s="471"/>
      <c r="H7" s="472"/>
      <c r="I7" s="473"/>
      <c r="J7" s="471"/>
      <c r="K7" s="471"/>
      <c r="L7" s="471"/>
      <c r="M7" s="471"/>
      <c r="N7" s="471"/>
      <c r="O7" s="471"/>
      <c r="P7" s="471"/>
      <c r="Q7" s="471"/>
      <c r="R7" s="471"/>
      <c r="S7" s="471"/>
      <c r="T7" s="471"/>
      <c r="U7" s="471"/>
      <c r="V7" s="471"/>
      <c r="W7" s="471"/>
      <c r="X7" s="471"/>
      <c r="Y7" s="471"/>
      <c r="Z7" s="471"/>
      <c r="AA7" s="471"/>
      <c r="AB7" s="471"/>
      <c r="AC7" s="468">
        <v>1</v>
      </c>
    </row>
    <row r="8" spans="1:29" ht="20.25" customHeight="1">
      <c r="A8" s="589"/>
      <c r="B8" s="590"/>
      <c r="C8" s="591"/>
      <c r="D8" s="469">
        <v>7783.05</v>
      </c>
      <c r="E8" s="474"/>
      <c r="F8" s="474"/>
      <c r="G8" s="474"/>
      <c r="H8" s="475"/>
      <c r="I8" s="476"/>
      <c r="J8" s="474"/>
      <c r="K8" s="474"/>
      <c r="L8" s="474"/>
      <c r="M8" s="474"/>
      <c r="N8" s="474"/>
      <c r="O8" s="474"/>
      <c r="P8" s="474"/>
      <c r="Q8" s="474"/>
      <c r="R8" s="474"/>
      <c r="S8" s="474"/>
      <c r="T8" s="474"/>
      <c r="U8" s="474"/>
      <c r="V8" s="474"/>
      <c r="W8" s="474"/>
      <c r="X8" s="474"/>
      <c r="Y8" s="474"/>
      <c r="Z8" s="474"/>
      <c r="AA8" s="474"/>
      <c r="AB8" s="474"/>
      <c r="AC8" s="470">
        <v>7783.05</v>
      </c>
    </row>
    <row r="9" spans="1:29" ht="20.25" customHeight="1">
      <c r="A9" s="589" t="s">
        <v>25</v>
      </c>
      <c r="B9" s="590" t="s">
        <v>26</v>
      </c>
      <c r="C9" s="591">
        <v>26597.11</v>
      </c>
      <c r="D9" s="467">
        <v>0.33329999999999999</v>
      </c>
      <c r="E9" s="467">
        <v>0.33329999999999999</v>
      </c>
      <c r="F9" s="467">
        <v>0.33340000000000003</v>
      </c>
      <c r="G9" s="471"/>
      <c r="H9" s="472"/>
      <c r="I9" s="473"/>
      <c r="J9" s="471"/>
      <c r="K9" s="471"/>
      <c r="L9" s="471"/>
      <c r="M9" s="471"/>
      <c r="N9" s="471"/>
      <c r="O9" s="471"/>
      <c r="P9" s="471"/>
      <c r="Q9" s="471"/>
      <c r="R9" s="471"/>
      <c r="S9" s="471"/>
      <c r="T9" s="471"/>
      <c r="U9" s="471"/>
      <c r="V9" s="471"/>
      <c r="W9" s="471"/>
      <c r="X9" s="471"/>
      <c r="Y9" s="471"/>
      <c r="Z9" s="471"/>
      <c r="AA9" s="471"/>
      <c r="AB9" s="471"/>
      <c r="AC9" s="468">
        <v>1</v>
      </c>
    </row>
    <row r="10" spans="1:29" ht="20.25" customHeight="1">
      <c r="A10" s="589"/>
      <c r="B10" s="590"/>
      <c r="C10" s="591"/>
      <c r="D10" s="469">
        <v>8864.82</v>
      </c>
      <c r="E10" s="469">
        <v>8864.82</v>
      </c>
      <c r="F10" s="469">
        <v>8867.4699999999993</v>
      </c>
      <c r="G10" s="474"/>
      <c r="H10" s="475"/>
      <c r="I10" s="476"/>
      <c r="J10" s="474"/>
      <c r="K10" s="474"/>
      <c r="L10" s="474"/>
      <c r="M10" s="474"/>
      <c r="N10" s="474"/>
      <c r="O10" s="474"/>
      <c r="P10" s="474"/>
      <c r="Q10" s="474"/>
      <c r="R10" s="474"/>
      <c r="S10" s="474"/>
      <c r="T10" s="474"/>
      <c r="U10" s="474"/>
      <c r="V10" s="474"/>
      <c r="W10" s="474"/>
      <c r="X10" s="474"/>
      <c r="Y10" s="474"/>
      <c r="Z10" s="474"/>
      <c r="AA10" s="474"/>
      <c r="AB10" s="474"/>
      <c r="AC10" s="470">
        <v>26597.11</v>
      </c>
    </row>
    <row r="11" spans="1:29" ht="20.25" customHeight="1">
      <c r="A11" s="589" t="s">
        <v>35</v>
      </c>
      <c r="B11" s="590" t="s">
        <v>36</v>
      </c>
      <c r="C11" s="591">
        <v>16063.34</v>
      </c>
      <c r="D11" s="467">
        <v>1</v>
      </c>
      <c r="E11" s="471"/>
      <c r="F11" s="471"/>
      <c r="G11" s="471"/>
      <c r="H11" s="472"/>
      <c r="I11" s="473"/>
      <c r="J11" s="471"/>
      <c r="K11" s="471"/>
      <c r="L11" s="471"/>
      <c r="M11" s="471"/>
      <c r="N11" s="471"/>
      <c r="O11" s="471"/>
      <c r="P11" s="471"/>
      <c r="Q11" s="471"/>
      <c r="R11" s="471"/>
      <c r="S11" s="471"/>
      <c r="T11" s="471"/>
      <c r="U11" s="471"/>
      <c r="V11" s="471"/>
      <c r="W11" s="471"/>
      <c r="X11" s="471"/>
      <c r="Y11" s="471"/>
      <c r="Z11" s="471"/>
      <c r="AA11" s="471"/>
      <c r="AB11" s="471"/>
      <c r="AC11" s="468">
        <v>1</v>
      </c>
    </row>
    <row r="12" spans="1:29" ht="20.25" customHeight="1">
      <c r="A12" s="589"/>
      <c r="B12" s="590"/>
      <c r="C12" s="591"/>
      <c r="D12" s="469">
        <v>16063.34</v>
      </c>
      <c r="E12" s="474"/>
      <c r="F12" s="474"/>
      <c r="G12" s="474"/>
      <c r="H12" s="475"/>
      <c r="I12" s="476"/>
      <c r="J12" s="474"/>
      <c r="K12" s="474"/>
      <c r="L12" s="474"/>
      <c r="M12" s="474"/>
      <c r="N12" s="474"/>
      <c r="O12" s="474"/>
      <c r="P12" s="474"/>
      <c r="Q12" s="474"/>
      <c r="R12" s="474"/>
      <c r="S12" s="474"/>
      <c r="T12" s="474"/>
      <c r="U12" s="474"/>
      <c r="V12" s="474"/>
      <c r="W12" s="474"/>
      <c r="X12" s="474"/>
      <c r="Y12" s="474"/>
      <c r="Z12" s="474"/>
      <c r="AA12" s="474"/>
      <c r="AB12" s="474"/>
      <c r="AC12" s="470">
        <v>16063.34</v>
      </c>
    </row>
    <row r="13" spans="1:29" ht="20.25" customHeight="1">
      <c r="A13" s="589" t="s">
        <v>55</v>
      </c>
      <c r="B13" s="590" t="s">
        <v>56</v>
      </c>
      <c r="C13" s="591">
        <v>37121.15</v>
      </c>
      <c r="D13" s="467">
        <v>0.6</v>
      </c>
      <c r="E13" s="467">
        <v>0.4</v>
      </c>
      <c r="F13" s="471"/>
      <c r="G13" s="471"/>
      <c r="H13" s="472"/>
      <c r="I13" s="473"/>
      <c r="J13" s="471"/>
      <c r="K13" s="471"/>
      <c r="L13" s="471"/>
      <c r="M13" s="471"/>
      <c r="N13" s="471"/>
      <c r="O13" s="471"/>
      <c r="P13" s="471"/>
      <c r="Q13" s="471"/>
      <c r="R13" s="471"/>
      <c r="S13" s="471"/>
      <c r="T13" s="471"/>
      <c r="U13" s="471"/>
      <c r="V13" s="471"/>
      <c r="W13" s="471"/>
      <c r="X13" s="471"/>
      <c r="Y13" s="471"/>
      <c r="Z13" s="471"/>
      <c r="AA13" s="471"/>
      <c r="AB13" s="471"/>
      <c r="AC13" s="468">
        <v>1</v>
      </c>
    </row>
    <row r="14" spans="1:29" ht="20.25" customHeight="1">
      <c r="A14" s="589"/>
      <c r="B14" s="590"/>
      <c r="C14" s="591"/>
      <c r="D14" s="469">
        <v>22272.69</v>
      </c>
      <c r="E14" s="469">
        <v>14848.46</v>
      </c>
      <c r="F14" s="474"/>
      <c r="G14" s="474"/>
      <c r="H14" s="475"/>
      <c r="I14" s="476"/>
      <c r="J14" s="474"/>
      <c r="K14" s="474"/>
      <c r="L14" s="474"/>
      <c r="M14" s="474"/>
      <c r="N14" s="474"/>
      <c r="O14" s="474"/>
      <c r="P14" s="474"/>
      <c r="Q14" s="474"/>
      <c r="R14" s="474"/>
      <c r="S14" s="474"/>
      <c r="T14" s="474"/>
      <c r="U14" s="474"/>
      <c r="V14" s="474"/>
      <c r="W14" s="474"/>
      <c r="X14" s="474"/>
      <c r="Y14" s="474"/>
      <c r="Z14" s="474"/>
      <c r="AA14" s="474"/>
      <c r="AB14" s="474"/>
      <c r="AC14" s="470">
        <v>37121.15</v>
      </c>
    </row>
    <row r="15" spans="1:29" ht="20.25" customHeight="1">
      <c r="A15" s="589" t="s">
        <v>63</v>
      </c>
      <c r="B15" s="590" t="s">
        <v>11</v>
      </c>
      <c r="C15" s="591">
        <v>325065.58</v>
      </c>
      <c r="D15" s="471"/>
      <c r="E15" s="467">
        <v>0.6</v>
      </c>
      <c r="F15" s="467">
        <v>0.4</v>
      </c>
      <c r="G15" s="471"/>
      <c r="H15" s="472"/>
      <c r="I15" s="473"/>
      <c r="J15" s="471"/>
      <c r="K15" s="471"/>
      <c r="L15" s="471"/>
      <c r="M15" s="471"/>
      <c r="N15" s="471"/>
      <c r="O15" s="471"/>
      <c r="P15" s="471"/>
      <c r="Q15" s="471"/>
      <c r="R15" s="471"/>
      <c r="S15" s="471"/>
      <c r="T15" s="471"/>
      <c r="U15" s="471"/>
      <c r="V15" s="471"/>
      <c r="W15" s="471"/>
      <c r="X15" s="471"/>
      <c r="Y15" s="471"/>
      <c r="Z15" s="471"/>
      <c r="AA15" s="471"/>
      <c r="AB15" s="471"/>
      <c r="AC15" s="468">
        <v>1</v>
      </c>
    </row>
    <row r="16" spans="1:29" ht="20.25" customHeight="1">
      <c r="A16" s="589"/>
      <c r="B16" s="590"/>
      <c r="C16" s="591"/>
      <c r="D16" s="474"/>
      <c r="E16" s="469">
        <v>195039.35</v>
      </c>
      <c r="F16" s="469">
        <v>130026.23</v>
      </c>
      <c r="G16" s="474"/>
      <c r="H16" s="475"/>
      <c r="I16" s="476"/>
      <c r="J16" s="474"/>
      <c r="K16" s="474"/>
      <c r="L16" s="474"/>
      <c r="M16" s="474"/>
      <c r="N16" s="474"/>
      <c r="O16" s="474"/>
      <c r="P16" s="474"/>
      <c r="Q16" s="474"/>
      <c r="R16" s="474"/>
      <c r="S16" s="474"/>
      <c r="T16" s="474"/>
      <c r="U16" s="474"/>
      <c r="V16" s="474"/>
      <c r="W16" s="474"/>
      <c r="X16" s="474"/>
      <c r="Y16" s="474"/>
      <c r="Z16" s="474"/>
      <c r="AA16" s="474"/>
      <c r="AB16" s="474"/>
      <c r="AC16" s="470">
        <v>325065.58</v>
      </c>
    </row>
    <row r="17" spans="1:29" ht="20.25" customHeight="1">
      <c r="A17" s="589" t="s">
        <v>119</v>
      </c>
      <c r="B17" s="590" t="s">
        <v>120</v>
      </c>
      <c r="C17" s="591">
        <v>2150.0500000000002</v>
      </c>
      <c r="D17" s="467">
        <v>0.4</v>
      </c>
      <c r="E17" s="467">
        <v>0.6</v>
      </c>
      <c r="F17" s="471"/>
      <c r="G17" s="471"/>
      <c r="H17" s="472"/>
      <c r="I17" s="473"/>
      <c r="J17" s="471"/>
      <c r="K17" s="471"/>
      <c r="L17" s="471"/>
      <c r="M17" s="471"/>
      <c r="N17" s="471"/>
      <c r="O17" s="471"/>
      <c r="P17" s="471"/>
      <c r="Q17" s="471"/>
      <c r="R17" s="471"/>
      <c r="S17" s="471"/>
      <c r="T17" s="471"/>
      <c r="U17" s="471"/>
      <c r="V17" s="471"/>
      <c r="W17" s="471"/>
      <c r="X17" s="471"/>
      <c r="Y17" s="471"/>
      <c r="Z17" s="471"/>
      <c r="AA17" s="471"/>
      <c r="AB17" s="471"/>
      <c r="AC17" s="468">
        <v>1</v>
      </c>
    </row>
    <row r="18" spans="1:29" ht="20.25" customHeight="1">
      <c r="A18" s="589"/>
      <c r="B18" s="590"/>
      <c r="C18" s="591"/>
      <c r="D18" s="469">
        <v>860.02</v>
      </c>
      <c r="E18" s="469">
        <v>1290.03</v>
      </c>
      <c r="F18" s="474"/>
      <c r="G18" s="474"/>
      <c r="H18" s="475"/>
      <c r="I18" s="476"/>
      <c r="J18" s="474"/>
      <c r="K18" s="474"/>
      <c r="L18" s="474"/>
      <c r="M18" s="474"/>
      <c r="N18" s="474"/>
      <c r="O18" s="474"/>
      <c r="P18" s="474"/>
      <c r="Q18" s="474"/>
      <c r="R18" s="474"/>
      <c r="S18" s="474"/>
      <c r="T18" s="474"/>
      <c r="U18" s="474"/>
      <c r="V18" s="474"/>
      <c r="W18" s="474"/>
      <c r="X18" s="474"/>
      <c r="Y18" s="474"/>
      <c r="Z18" s="474"/>
      <c r="AA18" s="474"/>
      <c r="AB18" s="474"/>
      <c r="AC18" s="470">
        <v>2150.0500000000002</v>
      </c>
    </row>
    <row r="19" spans="1:29" ht="20.25" customHeight="1">
      <c r="A19" s="589" t="s">
        <v>137</v>
      </c>
      <c r="B19" s="590" t="s">
        <v>138</v>
      </c>
      <c r="C19" s="591">
        <v>13597.48</v>
      </c>
      <c r="D19" s="471"/>
      <c r="E19" s="471"/>
      <c r="F19" s="467">
        <v>1</v>
      </c>
      <c r="G19" s="471"/>
      <c r="H19" s="472"/>
      <c r="I19" s="473"/>
      <c r="J19" s="471"/>
      <c r="K19" s="471"/>
      <c r="L19" s="471"/>
      <c r="M19" s="471"/>
      <c r="N19" s="471"/>
      <c r="O19" s="471"/>
      <c r="P19" s="471"/>
      <c r="Q19" s="471"/>
      <c r="R19" s="471"/>
      <c r="S19" s="471"/>
      <c r="T19" s="471"/>
      <c r="U19" s="471"/>
      <c r="V19" s="471"/>
      <c r="W19" s="471"/>
      <c r="X19" s="471"/>
      <c r="Y19" s="471"/>
      <c r="Z19" s="471"/>
      <c r="AA19" s="471"/>
      <c r="AB19" s="471"/>
      <c r="AC19" s="468">
        <v>1</v>
      </c>
    </row>
    <row r="20" spans="1:29" ht="20.25" customHeight="1">
      <c r="A20" s="589"/>
      <c r="B20" s="590"/>
      <c r="C20" s="591"/>
      <c r="D20" s="474"/>
      <c r="E20" s="474"/>
      <c r="F20" s="469">
        <v>13597.48</v>
      </c>
      <c r="G20" s="474"/>
      <c r="H20" s="475"/>
      <c r="I20" s="476"/>
      <c r="J20" s="474"/>
      <c r="K20" s="474"/>
      <c r="L20" s="474"/>
      <c r="M20" s="474"/>
      <c r="N20" s="474"/>
      <c r="O20" s="474"/>
      <c r="P20" s="474"/>
      <c r="Q20" s="474"/>
      <c r="R20" s="474"/>
      <c r="S20" s="474"/>
      <c r="T20" s="474"/>
      <c r="U20" s="474"/>
      <c r="V20" s="474"/>
      <c r="W20" s="474"/>
      <c r="X20" s="474"/>
      <c r="Y20" s="474"/>
      <c r="Z20" s="474"/>
      <c r="AA20" s="474"/>
      <c r="AB20" s="474"/>
      <c r="AC20" s="470">
        <v>13597.48</v>
      </c>
    </row>
    <row r="21" spans="1:29" ht="20.25" customHeight="1">
      <c r="A21" s="589" t="s">
        <v>164</v>
      </c>
      <c r="B21" s="590" t="s">
        <v>165</v>
      </c>
      <c r="C21" s="591">
        <v>9836</v>
      </c>
      <c r="D21" s="471"/>
      <c r="E21" s="471"/>
      <c r="F21" s="467">
        <v>1</v>
      </c>
      <c r="G21" s="471"/>
      <c r="H21" s="472"/>
      <c r="I21" s="473"/>
      <c r="J21" s="471"/>
      <c r="K21" s="471"/>
      <c r="L21" s="471"/>
      <c r="M21" s="471"/>
      <c r="N21" s="471"/>
      <c r="O21" s="471"/>
      <c r="P21" s="471"/>
      <c r="Q21" s="471"/>
      <c r="R21" s="471"/>
      <c r="S21" s="471"/>
      <c r="T21" s="471"/>
      <c r="U21" s="471"/>
      <c r="V21" s="471"/>
      <c r="W21" s="471"/>
      <c r="X21" s="471"/>
      <c r="Y21" s="471"/>
      <c r="Z21" s="471"/>
      <c r="AA21" s="471"/>
      <c r="AB21" s="471"/>
      <c r="AC21" s="468">
        <v>1</v>
      </c>
    </row>
    <row r="22" spans="1:29" ht="20.25" customHeight="1">
      <c r="A22" s="589"/>
      <c r="B22" s="590"/>
      <c r="C22" s="591"/>
      <c r="D22" s="474"/>
      <c r="E22" s="474"/>
      <c r="F22" s="469">
        <v>9836</v>
      </c>
      <c r="G22" s="474"/>
      <c r="H22" s="475"/>
      <c r="I22" s="476"/>
      <c r="J22" s="474"/>
      <c r="K22" s="474"/>
      <c r="L22" s="474"/>
      <c r="M22" s="474"/>
      <c r="N22" s="474"/>
      <c r="O22" s="474"/>
      <c r="P22" s="474"/>
      <c r="Q22" s="474"/>
      <c r="R22" s="474"/>
      <c r="S22" s="474"/>
      <c r="T22" s="474"/>
      <c r="U22" s="474"/>
      <c r="V22" s="474"/>
      <c r="W22" s="474"/>
      <c r="X22" s="474"/>
      <c r="Y22" s="474"/>
      <c r="Z22" s="474"/>
      <c r="AA22" s="474"/>
      <c r="AB22" s="474"/>
      <c r="AC22" s="470">
        <v>9836</v>
      </c>
    </row>
    <row r="23" spans="1:29" ht="20.25" customHeight="1">
      <c r="A23" s="589" t="s">
        <v>169</v>
      </c>
      <c r="B23" s="590" t="s">
        <v>170</v>
      </c>
      <c r="C23" s="591">
        <v>318933.56</v>
      </c>
      <c r="D23" s="467">
        <v>0.33329999999999999</v>
      </c>
      <c r="E23" s="467">
        <v>0.33329999999999999</v>
      </c>
      <c r="F23" s="467">
        <v>0.33340000000000003</v>
      </c>
      <c r="G23" s="471"/>
      <c r="H23" s="472"/>
      <c r="I23" s="473"/>
      <c r="J23" s="471"/>
      <c r="K23" s="471"/>
      <c r="L23" s="471"/>
      <c r="M23" s="471"/>
      <c r="N23" s="471"/>
      <c r="O23" s="471"/>
      <c r="P23" s="471"/>
      <c r="Q23" s="471"/>
      <c r="R23" s="471"/>
      <c r="S23" s="471"/>
      <c r="T23" s="471"/>
      <c r="U23" s="471"/>
      <c r="V23" s="471"/>
      <c r="W23" s="471"/>
      <c r="X23" s="471"/>
      <c r="Y23" s="471"/>
      <c r="Z23" s="471"/>
      <c r="AA23" s="471"/>
      <c r="AB23" s="471"/>
      <c r="AC23" s="468">
        <v>1</v>
      </c>
    </row>
    <row r="24" spans="1:29" ht="20.25" customHeight="1">
      <c r="A24" s="589"/>
      <c r="B24" s="590"/>
      <c r="C24" s="591"/>
      <c r="D24" s="469">
        <v>106300.56</v>
      </c>
      <c r="E24" s="469">
        <v>106300.56</v>
      </c>
      <c r="F24" s="469">
        <v>106332.44</v>
      </c>
      <c r="G24" s="474"/>
      <c r="H24" s="475"/>
      <c r="I24" s="476"/>
      <c r="J24" s="474"/>
      <c r="K24" s="474"/>
      <c r="L24" s="474"/>
      <c r="M24" s="474"/>
      <c r="N24" s="474"/>
      <c r="O24" s="474"/>
      <c r="P24" s="474"/>
      <c r="Q24" s="474"/>
      <c r="R24" s="474"/>
      <c r="S24" s="474"/>
      <c r="T24" s="474"/>
      <c r="U24" s="474"/>
      <c r="V24" s="474"/>
      <c r="W24" s="474"/>
      <c r="X24" s="474"/>
      <c r="Y24" s="474"/>
      <c r="Z24" s="474"/>
      <c r="AA24" s="474"/>
      <c r="AB24" s="474"/>
      <c r="AC24" s="470">
        <v>318933.56</v>
      </c>
    </row>
    <row r="25" spans="1:29" ht="20.25" customHeight="1">
      <c r="A25" s="589" t="s">
        <v>199</v>
      </c>
      <c r="B25" s="590" t="s">
        <v>200</v>
      </c>
      <c r="C25" s="591">
        <v>284551.62</v>
      </c>
      <c r="D25" s="471"/>
      <c r="E25" s="471"/>
      <c r="F25" s="471"/>
      <c r="G25" s="467">
        <v>0.47649999999999998</v>
      </c>
      <c r="H25" s="592">
        <v>0.52349999999999997</v>
      </c>
      <c r="I25" s="592"/>
      <c r="J25" s="471"/>
      <c r="K25" s="471"/>
      <c r="L25" s="471"/>
      <c r="M25" s="471"/>
      <c r="N25" s="471"/>
      <c r="O25" s="471"/>
      <c r="P25" s="471"/>
      <c r="Q25" s="471"/>
      <c r="R25" s="471"/>
      <c r="S25" s="471"/>
      <c r="T25" s="471"/>
      <c r="U25" s="471"/>
      <c r="V25" s="471"/>
      <c r="W25" s="471"/>
      <c r="X25" s="471"/>
      <c r="Y25" s="471"/>
      <c r="Z25" s="471"/>
      <c r="AA25" s="471"/>
      <c r="AB25" s="471"/>
      <c r="AC25" s="468">
        <v>1</v>
      </c>
    </row>
    <row r="26" spans="1:29" ht="20.25" customHeight="1">
      <c r="A26" s="589"/>
      <c r="B26" s="590"/>
      <c r="C26" s="591"/>
      <c r="D26" s="474"/>
      <c r="E26" s="474"/>
      <c r="F26" s="474"/>
      <c r="G26" s="469">
        <v>135591.67999999999</v>
      </c>
      <c r="H26" s="588">
        <v>148959.94</v>
      </c>
      <c r="I26" s="588"/>
      <c r="J26" s="474"/>
      <c r="K26" s="474"/>
      <c r="L26" s="474"/>
      <c r="M26" s="474"/>
      <c r="N26" s="474"/>
      <c r="O26" s="474"/>
      <c r="P26" s="474"/>
      <c r="Q26" s="474"/>
      <c r="R26" s="474"/>
      <c r="S26" s="474"/>
      <c r="T26" s="474"/>
      <c r="U26" s="474"/>
      <c r="V26" s="474"/>
      <c r="W26" s="474"/>
      <c r="X26" s="474"/>
      <c r="Y26" s="474"/>
      <c r="Z26" s="474"/>
      <c r="AA26" s="474"/>
      <c r="AB26" s="474"/>
      <c r="AC26" s="470">
        <v>284551.62</v>
      </c>
    </row>
    <row r="27" spans="1:29" ht="20.25" customHeight="1">
      <c r="A27" s="589" t="s">
        <v>201</v>
      </c>
      <c r="B27" s="590" t="s">
        <v>15</v>
      </c>
      <c r="C27" s="591">
        <v>6960.06</v>
      </c>
      <c r="D27" s="471"/>
      <c r="E27" s="471"/>
      <c r="F27" s="471"/>
      <c r="G27" s="467">
        <v>1</v>
      </c>
      <c r="H27" s="472"/>
      <c r="I27" s="473"/>
      <c r="J27" s="471"/>
      <c r="K27" s="471"/>
      <c r="L27" s="471"/>
      <c r="M27" s="471"/>
      <c r="N27" s="471"/>
      <c r="O27" s="471"/>
      <c r="P27" s="471"/>
      <c r="Q27" s="471"/>
      <c r="R27" s="471"/>
      <c r="S27" s="471"/>
      <c r="T27" s="471"/>
      <c r="U27" s="471"/>
      <c r="V27" s="471"/>
      <c r="W27" s="471"/>
      <c r="X27" s="471"/>
      <c r="Y27" s="471"/>
      <c r="Z27" s="471"/>
      <c r="AA27" s="471"/>
      <c r="AB27" s="471"/>
      <c r="AC27" s="468">
        <v>1</v>
      </c>
    </row>
    <row r="28" spans="1:29" ht="20.25" customHeight="1">
      <c r="A28" s="589"/>
      <c r="B28" s="590"/>
      <c r="C28" s="591"/>
      <c r="D28" s="474"/>
      <c r="E28" s="474"/>
      <c r="F28" s="474"/>
      <c r="G28" s="469">
        <v>6960.06</v>
      </c>
      <c r="H28" s="475"/>
      <c r="I28" s="476"/>
      <c r="J28" s="474"/>
      <c r="K28" s="474"/>
      <c r="L28" s="474"/>
      <c r="M28" s="474"/>
      <c r="N28" s="474"/>
      <c r="O28" s="474"/>
      <c r="P28" s="474"/>
      <c r="Q28" s="474"/>
      <c r="R28" s="474"/>
      <c r="S28" s="474"/>
      <c r="T28" s="474"/>
      <c r="U28" s="474"/>
      <c r="V28" s="474"/>
      <c r="W28" s="474"/>
      <c r="X28" s="474"/>
      <c r="Y28" s="474"/>
      <c r="Z28" s="474"/>
      <c r="AA28" s="474"/>
      <c r="AB28" s="474"/>
      <c r="AC28" s="470">
        <v>6960.06</v>
      </c>
    </row>
    <row r="29" spans="1:29" ht="20.25" customHeight="1">
      <c r="A29" s="589" t="s">
        <v>204</v>
      </c>
      <c r="B29" s="590" t="s">
        <v>26</v>
      </c>
      <c r="C29" s="591">
        <v>12787.84</v>
      </c>
      <c r="D29" s="471"/>
      <c r="E29" s="471"/>
      <c r="F29" s="471"/>
      <c r="G29" s="467">
        <v>0.5</v>
      </c>
      <c r="H29" s="592">
        <v>0.5</v>
      </c>
      <c r="I29" s="592"/>
      <c r="J29" s="471"/>
      <c r="K29" s="471"/>
      <c r="L29" s="471"/>
      <c r="M29" s="471"/>
      <c r="N29" s="471"/>
      <c r="O29" s="471"/>
      <c r="P29" s="471"/>
      <c r="Q29" s="471"/>
      <c r="R29" s="471"/>
      <c r="S29" s="471"/>
      <c r="T29" s="471"/>
      <c r="U29" s="471"/>
      <c r="V29" s="471"/>
      <c r="W29" s="471"/>
      <c r="X29" s="471"/>
      <c r="Y29" s="471"/>
      <c r="Z29" s="471"/>
      <c r="AA29" s="471"/>
      <c r="AB29" s="471"/>
      <c r="AC29" s="468">
        <v>1</v>
      </c>
    </row>
    <row r="30" spans="1:29" ht="20.25" customHeight="1">
      <c r="A30" s="589"/>
      <c r="B30" s="590"/>
      <c r="C30" s="591"/>
      <c r="D30" s="474"/>
      <c r="E30" s="474"/>
      <c r="F30" s="474"/>
      <c r="G30" s="469">
        <v>6393.92</v>
      </c>
      <c r="H30" s="588">
        <v>6393.92</v>
      </c>
      <c r="I30" s="588"/>
      <c r="J30" s="474"/>
      <c r="K30" s="474"/>
      <c r="L30" s="474"/>
      <c r="M30" s="474"/>
      <c r="N30" s="474"/>
      <c r="O30" s="474"/>
      <c r="P30" s="474"/>
      <c r="Q30" s="474"/>
      <c r="R30" s="474"/>
      <c r="S30" s="474"/>
      <c r="T30" s="474"/>
      <c r="U30" s="474"/>
      <c r="V30" s="474"/>
      <c r="W30" s="474"/>
      <c r="X30" s="474"/>
      <c r="Y30" s="474"/>
      <c r="Z30" s="474"/>
      <c r="AA30" s="474"/>
      <c r="AB30" s="474"/>
      <c r="AC30" s="470">
        <v>12787.84</v>
      </c>
    </row>
    <row r="31" spans="1:29" ht="20.25" customHeight="1">
      <c r="A31" s="589" t="s">
        <v>207</v>
      </c>
      <c r="B31" s="590" t="s">
        <v>36</v>
      </c>
      <c r="C31" s="591">
        <v>1260.8</v>
      </c>
      <c r="D31" s="471"/>
      <c r="E31" s="471"/>
      <c r="F31" s="471"/>
      <c r="G31" s="467">
        <v>1</v>
      </c>
      <c r="H31" s="472"/>
      <c r="I31" s="473"/>
      <c r="J31" s="471"/>
      <c r="K31" s="471"/>
      <c r="L31" s="471"/>
      <c r="M31" s="471"/>
      <c r="N31" s="471"/>
      <c r="O31" s="471"/>
      <c r="P31" s="471"/>
      <c r="Q31" s="471"/>
      <c r="R31" s="471"/>
      <c r="S31" s="471"/>
      <c r="T31" s="471"/>
      <c r="U31" s="471"/>
      <c r="V31" s="471"/>
      <c r="W31" s="471"/>
      <c r="X31" s="471"/>
      <c r="Y31" s="471"/>
      <c r="Z31" s="471"/>
      <c r="AA31" s="471"/>
      <c r="AB31" s="471"/>
      <c r="AC31" s="468">
        <v>1</v>
      </c>
    </row>
    <row r="32" spans="1:29" ht="20.25" customHeight="1">
      <c r="A32" s="589"/>
      <c r="B32" s="590"/>
      <c r="C32" s="591"/>
      <c r="D32" s="474"/>
      <c r="E32" s="474"/>
      <c r="F32" s="474"/>
      <c r="G32" s="469">
        <v>1260.8</v>
      </c>
      <c r="H32" s="475"/>
      <c r="I32" s="476"/>
      <c r="J32" s="474"/>
      <c r="K32" s="474"/>
      <c r="L32" s="474"/>
      <c r="M32" s="474"/>
      <c r="N32" s="474"/>
      <c r="O32" s="474"/>
      <c r="P32" s="474"/>
      <c r="Q32" s="474"/>
      <c r="R32" s="474"/>
      <c r="S32" s="474"/>
      <c r="T32" s="474"/>
      <c r="U32" s="474"/>
      <c r="V32" s="474"/>
      <c r="W32" s="474"/>
      <c r="X32" s="474"/>
      <c r="Y32" s="474"/>
      <c r="Z32" s="474"/>
      <c r="AA32" s="474"/>
      <c r="AB32" s="474"/>
      <c r="AC32" s="470">
        <v>1260.8</v>
      </c>
    </row>
    <row r="33" spans="1:29" ht="20.25" customHeight="1">
      <c r="A33" s="589" t="s">
        <v>213</v>
      </c>
      <c r="B33" s="590" t="s">
        <v>56</v>
      </c>
      <c r="C33" s="591">
        <v>18611.169999999998</v>
      </c>
      <c r="D33" s="471"/>
      <c r="E33" s="471"/>
      <c r="F33" s="471"/>
      <c r="G33" s="467">
        <v>0.6</v>
      </c>
      <c r="H33" s="592">
        <v>0.4</v>
      </c>
      <c r="I33" s="592"/>
      <c r="J33" s="471"/>
      <c r="K33" s="471"/>
      <c r="L33" s="471"/>
      <c r="M33" s="471"/>
      <c r="N33" s="471"/>
      <c r="O33" s="471"/>
      <c r="P33" s="471"/>
      <c r="Q33" s="471"/>
      <c r="R33" s="471"/>
      <c r="S33" s="471"/>
      <c r="T33" s="471"/>
      <c r="U33" s="471"/>
      <c r="V33" s="471"/>
      <c r="W33" s="471"/>
      <c r="X33" s="471"/>
      <c r="Y33" s="471"/>
      <c r="Z33" s="471"/>
      <c r="AA33" s="471"/>
      <c r="AB33" s="471"/>
      <c r="AC33" s="468">
        <v>1</v>
      </c>
    </row>
    <row r="34" spans="1:29" ht="20.25" customHeight="1">
      <c r="A34" s="589"/>
      <c r="B34" s="590"/>
      <c r="C34" s="591"/>
      <c r="D34" s="474"/>
      <c r="E34" s="474"/>
      <c r="F34" s="474"/>
      <c r="G34" s="469">
        <v>11166.7</v>
      </c>
      <c r="H34" s="588">
        <v>7444.47</v>
      </c>
      <c r="I34" s="588"/>
      <c r="J34" s="474"/>
      <c r="K34" s="474"/>
      <c r="L34" s="474"/>
      <c r="M34" s="474"/>
      <c r="N34" s="474"/>
      <c r="O34" s="474"/>
      <c r="P34" s="474"/>
      <c r="Q34" s="474"/>
      <c r="R34" s="474"/>
      <c r="S34" s="474"/>
      <c r="T34" s="474"/>
      <c r="U34" s="474"/>
      <c r="V34" s="474"/>
      <c r="W34" s="474"/>
      <c r="X34" s="474"/>
      <c r="Y34" s="474"/>
      <c r="Z34" s="474"/>
      <c r="AA34" s="474"/>
      <c r="AB34" s="474"/>
      <c r="AC34" s="470">
        <v>18611.169999999998</v>
      </c>
    </row>
    <row r="35" spans="1:29" ht="20.25" customHeight="1">
      <c r="A35" s="589" t="s">
        <v>217</v>
      </c>
      <c r="B35" s="590" t="s">
        <v>11</v>
      </c>
      <c r="C35" s="591">
        <v>105028</v>
      </c>
      <c r="D35" s="471"/>
      <c r="E35" s="471"/>
      <c r="F35" s="471"/>
      <c r="G35" s="467">
        <v>0.4</v>
      </c>
      <c r="H35" s="592">
        <v>0.6</v>
      </c>
      <c r="I35" s="592"/>
      <c r="J35" s="471"/>
      <c r="K35" s="471"/>
      <c r="L35" s="471"/>
      <c r="M35" s="471"/>
      <c r="N35" s="471"/>
      <c r="O35" s="471"/>
      <c r="P35" s="471"/>
      <c r="Q35" s="471"/>
      <c r="R35" s="471"/>
      <c r="S35" s="471"/>
      <c r="T35" s="471"/>
      <c r="U35" s="471"/>
      <c r="V35" s="471"/>
      <c r="W35" s="471"/>
      <c r="X35" s="471"/>
      <c r="Y35" s="471"/>
      <c r="Z35" s="471"/>
      <c r="AA35" s="471"/>
      <c r="AB35" s="471"/>
      <c r="AC35" s="468">
        <v>1</v>
      </c>
    </row>
    <row r="36" spans="1:29" ht="20.25" customHeight="1">
      <c r="A36" s="589"/>
      <c r="B36" s="590"/>
      <c r="C36" s="591"/>
      <c r="D36" s="474"/>
      <c r="E36" s="474"/>
      <c r="F36" s="474"/>
      <c r="G36" s="469">
        <v>42011.199999999997</v>
      </c>
      <c r="H36" s="588">
        <v>63016.800000000003</v>
      </c>
      <c r="I36" s="588"/>
      <c r="J36" s="474"/>
      <c r="K36" s="474"/>
      <c r="L36" s="474"/>
      <c r="M36" s="474"/>
      <c r="N36" s="474"/>
      <c r="O36" s="474"/>
      <c r="P36" s="474"/>
      <c r="Q36" s="474"/>
      <c r="R36" s="474"/>
      <c r="S36" s="474"/>
      <c r="T36" s="474"/>
      <c r="U36" s="474"/>
      <c r="V36" s="474"/>
      <c r="W36" s="474"/>
      <c r="X36" s="474"/>
      <c r="Y36" s="474"/>
      <c r="Z36" s="474"/>
      <c r="AA36" s="474"/>
      <c r="AB36" s="474"/>
      <c r="AC36" s="470">
        <v>105028</v>
      </c>
    </row>
    <row r="37" spans="1:29" ht="20.25" customHeight="1">
      <c r="A37" s="589" t="s">
        <v>242</v>
      </c>
      <c r="B37" s="590" t="s">
        <v>120</v>
      </c>
      <c r="C37" s="591">
        <v>7441.58</v>
      </c>
      <c r="D37" s="471"/>
      <c r="E37" s="471"/>
      <c r="F37" s="471"/>
      <c r="G37" s="467">
        <v>0.6</v>
      </c>
      <c r="H37" s="592">
        <v>0.4</v>
      </c>
      <c r="I37" s="592"/>
      <c r="J37" s="471"/>
      <c r="K37" s="471"/>
      <c r="L37" s="471"/>
      <c r="M37" s="471"/>
      <c r="N37" s="471"/>
      <c r="O37" s="471"/>
      <c r="P37" s="471"/>
      <c r="Q37" s="471"/>
      <c r="R37" s="471"/>
      <c r="S37" s="471"/>
      <c r="T37" s="471"/>
      <c r="U37" s="471"/>
      <c r="V37" s="471"/>
      <c r="W37" s="471"/>
      <c r="X37" s="471"/>
      <c r="Y37" s="471"/>
      <c r="Z37" s="471"/>
      <c r="AA37" s="471"/>
      <c r="AB37" s="471"/>
      <c r="AC37" s="468">
        <v>1</v>
      </c>
    </row>
    <row r="38" spans="1:29" ht="20.25" customHeight="1">
      <c r="A38" s="589"/>
      <c r="B38" s="590"/>
      <c r="C38" s="591"/>
      <c r="D38" s="474"/>
      <c r="E38" s="474"/>
      <c r="F38" s="474"/>
      <c r="G38" s="469">
        <v>4464.95</v>
      </c>
      <c r="H38" s="588">
        <v>2976.63</v>
      </c>
      <c r="I38" s="588"/>
      <c r="J38" s="474"/>
      <c r="K38" s="474"/>
      <c r="L38" s="474"/>
      <c r="M38" s="474"/>
      <c r="N38" s="474"/>
      <c r="O38" s="474"/>
      <c r="P38" s="474"/>
      <c r="Q38" s="474"/>
      <c r="R38" s="474"/>
      <c r="S38" s="474"/>
      <c r="T38" s="474"/>
      <c r="U38" s="474"/>
      <c r="V38" s="474"/>
      <c r="W38" s="474"/>
      <c r="X38" s="474"/>
      <c r="Y38" s="474"/>
      <c r="Z38" s="474"/>
      <c r="AA38" s="474"/>
      <c r="AB38" s="474"/>
      <c r="AC38" s="470">
        <v>7441.58</v>
      </c>
    </row>
    <row r="39" spans="1:29" ht="20.25" customHeight="1">
      <c r="A39" s="589" t="s">
        <v>248</v>
      </c>
      <c r="B39" s="590" t="s">
        <v>138</v>
      </c>
      <c r="C39" s="591">
        <v>5381.98</v>
      </c>
      <c r="D39" s="471"/>
      <c r="E39" s="471"/>
      <c r="F39" s="471"/>
      <c r="G39" s="471"/>
      <c r="H39" s="592">
        <v>1</v>
      </c>
      <c r="I39" s="592"/>
      <c r="J39" s="471"/>
      <c r="K39" s="471"/>
      <c r="L39" s="471"/>
      <c r="M39" s="471"/>
      <c r="N39" s="471"/>
      <c r="O39" s="471"/>
      <c r="P39" s="471"/>
      <c r="Q39" s="471"/>
      <c r="R39" s="471"/>
      <c r="S39" s="471"/>
      <c r="T39" s="471"/>
      <c r="U39" s="471"/>
      <c r="V39" s="471"/>
      <c r="W39" s="471"/>
      <c r="X39" s="471"/>
      <c r="Y39" s="471"/>
      <c r="Z39" s="471"/>
      <c r="AA39" s="471"/>
      <c r="AB39" s="471"/>
      <c r="AC39" s="468">
        <v>1</v>
      </c>
    </row>
    <row r="40" spans="1:29" ht="20.25" customHeight="1">
      <c r="A40" s="589"/>
      <c r="B40" s="590"/>
      <c r="C40" s="591"/>
      <c r="D40" s="474"/>
      <c r="E40" s="474"/>
      <c r="F40" s="474"/>
      <c r="G40" s="474"/>
      <c r="H40" s="588">
        <v>5381.98</v>
      </c>
      <c r="I40" s="588"/>
      <c r="J40" s="474"/>
      <c r="K40" s="474"/>
      <c r="L40" s="474"/>
      <c r="M40" s="474"/>
      <c r="N40" s="474"/>
      <c r="O40" s="474"/>
      <c r="P40" s="474"/>
      <c r="Q40" s="474"/>
      <c r="R40" s="474"/>
      <c r="S40" s="474"/>
      <c r="T40" s="474"/>
      <c r="U40" s="474"/>
      <c r="V40" s="474"/>
      <c r="W40" s="474"/>
      <c r="X40" s="474"/>
      <c r="Y40" s="474"/>
      <c r="Z40" s="474"/>
      <c r="AA40" s="474"/>
      <c r="AB40" s="474"/>
      <c r="AC40" s="470">
        <v>5381.98</v>
      </c>
    </row>
    <row r="41" spans="1:29" ht="20.25" customHeight="1">
      <c r="A41" s="589" t="s">
        <v>255</v>
      </c>
      <c r="B41" s="590" t="s">
        <v>165</v>
      </c>
      <c r="C41" s="591">
        <v>412.09</v>
      </c>
      <c r="D41" s="471"/>
      <c r="E41" s="471"/>
      <c r="F41" s="471"/>
      <c r="G41" s="471"/>
      <c r="H41" s="592">
        <v>1</v>
      </c>
      <c r="I41" s="592"/>
      <c r="J41" s="471"/>
      <c r="K41" s="471"/>
      <c r="L41" s="471"/>
      <c r="M41" s="471"/>
      <c r="N41" s="471"/>
      <c r="O41" s="471"/>
      <c r="P41" s="471"/>
      <c r="Q41" s="471"/>
      <c r="R41" s="471"/>
      <c r="S41" s="471"/>
      <c r="T41" s="471"/>
      <c r="U41" s="471"/>
      <c r="V41" s="471"/>
      <c r="W41" s="471"/>
      <c r="X41" s="471"/>
      <c r="Y41" s="471"/>
      <c r="Z41" s="471"/>
      <c r="AA41" s="471"/>
      <c r="AB41" s="471"/>
      <c r="AC41" s="468">
        <v>1</v>
      </c>
    </row>
    <row r="42" spans="1:29" ht="20.25" customHeight="1">
      <c r="A42" s="589"/>
      <c r="B42" s="590"/>
      <c r="C42" s="591"/>
      <c r="D42" s="474"/>
      <c r="E42" s="474"/>
      <c r="F42" s="474"/>
      <c r="G42" s="474"/>
      <c r="H42" s="588">
        <v>412.09</v>
      </c>
      <c r="I42" s="588"/>
      <c r="J42" s="474"/>
      <c r="K42" s="474"/>
      <c r="L42" s="474"/>
      <c r="M42" s="474"/>
      <c r="N42" s="474"/>
      <c r="O42" s="474"/>
      <c r="P42" s="474"/>
      <c r="Q42" s="474"/>
      <c r="R42" s="474"/>
      <c r="S42" s="474"/>
      <c r="T42" s="474"/>
      <c r="U42" s="474"/>
      <c r="V42" s="474"/>
      <c r="W42" s="474"/>
      <c r="X42" s="474"/>
      <c r="Y42" s="474"/>
      <c r="Z42" s="474"/>
      <c r="AA42" s="474"/>
      <c r="AB42" s="474"/>
      <c r="AC42" s="470">
        <v>412.09</v>
      </c>
    </row>
    <row r="43" spans="1:29" ht="20.25" customHeight="1">
      <c r="A43" s="589" t="s">
        <v>257</v>
      </c>
      <c r="B43" s="590" t="s">
        <v>170</v>
      </c>
      <c r="C43" s="591">
        <v>126668.1</v>
      </c>
      <c r="D43" s="471"/>
      <c r="E43" s="471"/>
      <c r="F43" s="471"/>
      <c r="G43" s="467">
        <v>0.5</v>
      </c>
      <c r="H43" s="592">
        <v>0.5</v>
      </c>
      <c r="I43" s="592"/>
      <c r="J43" s="471"/>
      <c r="K43" s="471"/>
      <c r="L43" s="471"/>
      <c r="M43" s="471"/>
      <c r="N43" s="471"/>
      <c r="O43" s="471"/>
      <c r="P43" s="471"/>
      <c r="Q43" s="471"/>
      <c r="R43" s="471"/>
      <c r="S43" s="471"/>
      <c r="T43" s="471"/>
      <c r="U43" s="471"/>
      <c r="V43" s="471"/>
      <c r="W43" s="471"/>
      <c r="X43" s="471"/>
      <c r="Y43" s="471"/>
      <c r="Z43" s="471"/>
      <c r="AA43" s="471"/>
      <c r="AB43" s="471"/>
      <c r="AC43" s="468">
        <v>1</v>
      </c>
    </row>
    <row r="44" spans="1:29" ht="20.25" customHeight="1">
      <c r="A44" s="589"/>
      <c r="B44" s="590"/>
      <c r="C44" s="591"/>
      <c r="D44" s="474"/>
      <c r="E44" s="474"/>
      <c r="F44" s="474"/>
      <c r="G44" s="469">
        <v>63334.05</v>
      </c>
      <c r="H44" s="588">
        <v>63334.05</v>
      </c>
      <c r="I44" s="588"/>
      <c r="J44" s="474"/>
      <c r="K44" s="474"/>
      <c r="L44" s="474"/>
      <c r="M44" s="474"/>
      <c r="N44" s="474"/>
      <c r="O44" s="474"/>
      <c r="P44" s="474"/>
      <c r="Q44" s="474"/>
      <c r="R44" s="474"/>
      <c r="S44" s="474"/>
      <c r="T44" s="474"/>
      <c r="U44" s="474"/>
      <c r="V44" s="474"/>
      <c r="W44" s="474"/>
      <c r="X44" s="474"/>
      <c r="Y44" s="474"/>
      <c r="Z44" s="474"/>
      <c r="AA44" s="474"/>
      <c r="AB44" s="474"/>
      <c r="AC44" s="470">
        <v>126668.1</v>
      </c>
    </row>
    <row r="45" spans="1:29" ht="20.25" customHeight="1">
      <c r="A45" s="589" t="s">
        <v>267</v>
      </c>
      <c r="B45" s="590" t="s">
        <v>268</v>
      </c>
      <c r="C45" s="591">
        <v>1062806.7</v>
      </c>
      <c r="D45" s="471"/>
      <c r="E45" s="467">
        <v>0.1409</v>
      </c>
      <c r="F45" s="467">
        <v>0.1467</v>
      </c>
      <c r="G45" s="467">
        <v>0.23370000000000002</v>
      </c>
      <c r="H45" s="592">
        <v>0.22289999999999999</v>
      </c>
      <c r="I45" s="592"/>
      <c r="J45" s="467">
        <v>0.15079999999999999</v>
      </c>
      <c r="K45" s="467">
        <v>0.105</v>
      </c>
      <c r="L45" s="471"/>
      <c r="M45" s="471"/>
      <c r="N45" s="471"/>
      <c r="O45" s="471"/>
      <c r="P45" s="471"/>
      <c r="Q45" s="471"/>
      <c r="R45" s="471"/>
      <c r="S45" s="471"/>
      <c r="T45" s="471"/>
      <c r="U45" s="471"/>
      <c r="V45" s="471"/>
      <c r="W45" s="471"/>
      <c r="X45" s="471"/>
      <c r="Y45" s="471"/>
      <c r="Z45" s="471"/>
      <c r="AA45" s="471"/>
      <c r="AB45" s="471"/>
      <c r="AC45" s="468">
        <v>1</v>
      </c>
    </row>
    <row r="46" spans="1:29" ht="20.25" customHeight="1">
      <c r="A46" s="589"/>
      <c r="B46" s="590"/>
      <c r="C46" s="591"/>
      <c r="D46" s="474"/>
      <c r="E46" s="469">
        <v>149749.97</v>
      </c>
      <c r="F46" s="469">
        <v>155880.57999999999</v>
      </c>
      <c r="G46" s="469">
        <v>248461.22</v>
      </c>
      <c r="H46" s="588">
        <v>236944.9</v>
      </c>
      <c r="I46" s="588"/>
      <c r="J46" s="469">
        <v>160255.07</v>
      </c>
      <c r="K46" s="469">
        <v>111514.96</v>
      </c>
      <c r="L46" s="474"/>
      <c r="M46" s="474"/>
      <c r="N46" s="474"/>
      <c r="O46" s="474"/>
      <c r="P46" s="474"/>
      <c r="Q46" s="474"/>
      <c r="R46" s="474"/>
      <c r="S46" s="474"/>
      <c r="T46" s="474"/>
      <c r="U46" s="474"/>
      <c r="V46" s="474"/>
      <c r="W46" s="474"/>
      <c r="X46" s="474"/>
      <c r="Y46" s="474"/>
      <c r="Z46" s="474"/>
      <c r="AA46" s="474"/>
      <c r="AB46" s="474"/>
      <c r="AC46" s="470">
        <v>1062806.7</v>
      </c>
    </row>
    <row r="47" spans="1:29" ht="20.25" customHeight="1">
      <c r="A47" s="589" t="s">
        <v>269</v>
      </c>
      <c r="B47" s="590" t="s">
        <v>15</v>
      </c>
      <c r="C47" s="591">
        <v>10252.02</v>
      </c>
      <c r="D47" s="471"/>
      <c r="E47" s="467">
        <v>1</v>
      </c>
      <c r="F47" s="471"/>
      <c r="G47" s="471"/>
      <c r="H47" s="472"/>
      <c r="I47" s="473"/>
      <c r="J47" s="471"/>
      <c r="K47" s="471"/>
      <c r="L47" s="471"/>
      <c r="M47" s="471"/>
      <c r="N47" s="471"/>
      <c r="O47" s="471"/>
      <c r="P47" s="471"/>
      <c r="Q47" s="471"/>
      <c r="R47" s="471"/>
      <c r="S47" s="471"/>
      <c r="T47" s="471"/>
      <c r="U47" s="471"/>
      <c r="V47" s="471"/>
      <c r="W47" s="471"/>
      <c r="X47" s="471"/>
      <c r="Y47" s="471"/>
      <c r="Z47" s="471"/>
      <c r="AA47" s="471"/>
      <c r="AB47" s="471"/>
      <c r="AC47" s="468">
        <v>1</v>
      </c>
    </row>
    <row r="48" spans="1:29" ht="20.25" customHeight="1">
      <c r="A48" s="589"/>
      <c r="B48" s="590"/>
      <c r="C48" s="591"/>
      <c r="D48" s="474"/>
      <c r="E48" s="469">
        <v>10252.02</v>
      </c>
      <c r="F48" s="474"/>
      <c r="G48" s="474"/>
      <c r="H48" s="475"/>
      <c r="I48" s="476"/>
      <c r="J48" s="474"/>
      <c r="K48" s="474"/>
      <c r="L48" s="474"/>
      <c r="M48" s="474"/>
      <c r="N48" s="474"/>
      <c r="O48" s="474"/>
      <c r="P48" s="474"/>
      <c r="Q48" s="474"/>
      <c r="R48" s="474"/>
      <c r="S48" s="474"/>
      <c r="T48" s="474"/>
      <c r="U48" s="474"/>
      <c r="V48" s="474"/>
      <c r="W48" s="474"/>
      <c r="X48" s="474"/>
      <c r="Y48" s="474"/>
      <c r="Z48" s="474"/>
      <c r="AA48" s="474"/>
      <c r="AB48" s="474"/>
      <c r="AC48" s="470">
        <v>10252.02</v>
      </c>
    </row>
    <row r="49" spans="1:29" ht="20.25" customHeight="1">
      <c r="A49" s="589" t="s">
        <v>272</v>
      </c>
      <c r="B49" s="590" t="s">
        <v>26</v>
      </c>
      <c r="C49" s="591">
        <v>38363.51</v>
      </c>
      <c r="D49" s="471"/>
      <c r="E49" s="467">
        <v>0.1666</v>
      </c>
      <c r="F49" s="467">
        <v>0.1666</v>
      </c>
      <c r="G49" s="467">
        <v>0.1666</v>
      </c>
      <c r="H49" s="592">
        <v>0.1666</v>
      </c>
      <c r="I49" s="592"/>
      <c r="J49" s="467">
        <v>0.1666</v>
      </c>
      <c r="K49" s="467">
        <v>0.16699999999999998</v>
      </c>
      <c r="L49" s="471"/>
      <c r="M49" s="471"/>
      <c r="N49" s="471"/>
      <c r="O49" s="471"/>
      <c r="P49" s="471"/>
      <c r="Q49" s="471"/>
      <c r="R49" s="471"/>
      <c r="S49" s="471"/>
      <c r="T49" s="471"/>
      <c r="U49" s="471"/>
      <c r="V49" s="471"/>
      <c r="W49" s="471"/>
      <c r="X49" s="471"/>
      <c r="Y49" s="471"/>
      <c r="Z49" s="471"/>
      <c r="AA49" s="471"/>
      <c r="AB49" s="471"/>
      <c r="AC49" s="468">
        <v>1</v>
      </c>
    </row>
    <row r="50" spans="1:29" ht="20.25" customHeight="1">
      <c r="A50" s="589"/>
      <c r="B50" s="590"/>
      <c r="C50" s="591"/>
      <c r="D50" s="474"/>
      <c r="E50" s="469">
        <v>6391.36</v>
      </c>
      <c r="F50" s="469">
        <v>6391.36</v>
      </c>
      <c r="G50" s="469">
        <v>6391.36</v>
      </c>
      <c r="H50" s="588">
        <v>6391.36</v>
      </c>
      <c r="I50" s="588"/>
      <c r="J50" s="469">
        <v>6391.36</v>
      </c>
      <c r="K50" s="469">
        <v>6406.71</v>
      </c>
      <c r="L50" s="474"/>
      <c r="M50" s="474"/>
      <c r="N50" s="474"/>
      <c r="O50" s="474"/>
      <c r="P50" s="474"/>
      <c r="Q50" s="474"/>
      <c r="R50" s="474"/>
      <c r="S50" s="474"/>
      <c r="T50" s="474"/>
      <c r="U50" s="474"/>
      <c r="V50" s="474"/>
      <c r="W50" s="474"/>
      <c r="X50" s="474"/>
      <c r="Y50" s="474"/>
      <c r="Z50" s="474"/>
      <c r="AA50" s="474"/>
      <c r="AB50" s="474"/>
      <c r="AC50" s="470">
        <v>38363.51</v>
      </c>
    </row>
    <row r="51" spans="1:29" ht="20.25" customHeight="1">
      <c r="A51" s="589" t="s">
        <v>275</v>
      </c>
      <c r="B51" s="590" t="s">
        <v>36</v>
      </c>
      <c r="C51" s="591">
        <v>48932.82</v>
      </c>
      <c r="D51" s="471"/>
      <c r="E51" s="467">
        <v>0.5</v>
      </c>
      <c r="F51" s="467">
        <v>0.5</v>
      </c>
      <c r="G51" s="471"/>
      <c r="H51" s="472"/>
      <c r="I51" s="473"/>
      <c r="J51" s="471"/>
      <c r="K51" s="471"/>
      <c r="L51" s="471"/>
      <c r="M51" s="471"/>
      <c r="N51" s="471"/>
      <c r="O51" s="471"/>
      <c r="P51" s="471"/>
      <c r="Q51" s="471"/>
      <c r="R51" s="471"/>
      <c r="S51" s="471"/>
      <c r="T51" s="471"/>
      <c r="U51" s="471"/>
      <c r="V51" s="471"/>
      <c r="W51" s="471"/>
      <c r="X51" s="471"/>
      <c r="Y51" s="471"/>
      <c r="Z51" s="471"/>
      <c r="AA51" s="471"/>
      <c r="AB51" s="471"/>
      <c r="AC51" s="468">
        <v>1</v>
      </c>
    </row>
    <row r="52" spans="1:29" ht="20.25" customHeight="1">
      <c r="A52" s="589"/>
      <c r="B52" s="590"/>
      <c r="C52" s="591"/>
      <c r="D52" s="474"/>
      <c r="E52" s="469">
        <v>24466.41</v>
      </c>
      <c r="F52" s="469">
        <v>24466.41</v>
      </c>
      <c r="G52" s="474"/>
      <c r="H52" s="475"/>
      <c r="I52" s="476"/>
      <c r="J52" s="474"/>
      <c r="K52" s="474"/>
      <c r="L52" s="474"/>
      <c r="M52" s="474"/>
      <c r="N52" s="474"/>
      <c r="O52" s="474"/>
      <c r="P52" s="474"/>
      <c r="Q52" s="474"/>
      <c r="R52" s="474"/>
      <c r="S52" s="474"/>
      <c r="T52" s="474"/>
      <c r="U52" s="474"/>
      <c r="V52" s="474"/>
      <c r="W52" s="474"/>
      <c r="X52" s="474"/>
      <c r="Y52" s="474"/>
      <c r="Z52" s="474"/>
      <c r="AA52" s="474"/>
      <c r="AB52" s="474"/>
      <c r="AC52" s="470">
        <v>48932.82</v>
      </c>
    </row>
    <row r="53" spans="1:29" ht="20.25" customHeight="1">
      <c r="A53" s="589" t="s">
        <v>287</v>
      </c>
      <c r="B53" s="590" t="s">
        <v>56</v>
      </c>
      <c r="C53" s="591">
        <v>33250.019999999997</v>
      </c>
      <c r="D53" s="471"/>
      <c r="E53" s="467">
        <v>0.6</v>
      </c>
      <c r="F53" s="467">
        <v>0.4</v>
      </c>
      <c r="G53" s="471"/>
      <c r="H53" s="472"/>
      <c r="I53" s="473"/>
      <c r="J53" s="471"/>
      <c r="K53" s="471"/>
      <c r="L53" s="471"/>
      <c r="M53" s="471"/>
      <c r="N53" s="471"/>
      <c r="O53" s="471"/>
      <c r="P53" s="471"/>
      <c r="Q53" s="471"/>
      <c r="R53" s="471"/>
      <c r="S53" s="471"/>
      <c r="T53" s="471"/>
      <c r="U53" s="471"/>
      <c r="V53" s="471"/>
      <c r="W53" s="471"/>
      <c r="X53" s="471"/>
      <c r="Y53" s="471"/>
      <c r="Z53" s="471"/>
      <c r="AA53" s="471"/>
      <c r="AB53" s="471"/>
      <c r="AC53" s="468">
        <v>1</v>
      </c>
    </row>
    <row r="54" spans="1:29" ht="20.25" customHeight="1">
      <c r="A54" s="589"/>
      <c r="B54" s="590"/>
      <c r="C54" s="591"/>
      <c r="D54" s="474"/>
      <c r="E54" s="469">
        <v>19950.009999999998</v>
      </c>
      <c r="F54" s="469">
        <v>13300.01</v>
      </c>
      <c r="G54" s="474"/>
      <c r="H54" s="475"/>
      <c r="I54" s="476"/>
      <c r="J54" s="474"/>
      <c r="K54" s="474"/>
      <c r="L54" s="474"/>
      <c r="M54" s="474"/>
      <c r="N54" s="474"/>
      <c r="O54" s="474"/>
      <c r="P54" s="474"/>
      <c r="Q54" s="474"/>
      <c r="R54" s="474"/>
      <c r="S54" s="474"/>
      <c r="T54" s="474"/>
      <c r="U54" s="474"/>
      <c r="V54" s="474"/>
      <c r="W54" s="474"/>
      <c r="X54" s="474"/>
      <c r="Y54" s="474"/>
      <c r="Z54" s="474"/>
      <c r="AA54" s="474"/>
      <c r="AB54" s="474"/>
      <c r="AC54" s="470">
        <v>33250.019999999997</v>
      </c>
    </row>
    <row r="55" spans="1:29" ht="20.25" customHeight="1">
      <c r="A55" s="589" t="s">
        <v>294</v>
      </c>
      <c r="B55" s="590" t="s">
        <v>11</v>
      </c>
      <c r="C55" s="591">
        <v>325867.65999999997</v>
      </c>
      <c r="D55" s="471"/>
      <c r="E55" s="471"/>
      <c r="F55" s="471"/>
      <c r="G55" s="467">
        <v>0.4</v>
      </c>
      <c r="H55" s="592">
        <v>0.4</v>
      </c>
      <c r="I55" s="592"/>
      <c r="J55" s="467">
        <v>0.2</v>
      </c>
      <c r="K55" s="471"/>
      <c r="L55" s="471"/>
      <c r="M55" s="471"/>
      <c r="N55" s="471"/>
      <c r="O55" s="471"/>
      <c r="P55" s="471"/>
      <c r="Q55" s="471"/>
      <c r="R55" s="471"/>
      <c r="S55" s="471"/>
      <c r="T55" s="471"/>
      <c r="U55" s="471"/>
      <c r="V55" s="471"/>
      <c r="W55" s="471"/>
      <c r="X55" s="471"/>
      <c r="Y55" s="471"/>
      <c r="Z55" s="471"/>
      <c r="AA55" s="471"/>
      <c r="AB55" s="471"/>
      <c r="AC55" s="468">
        <v>1</v>
      </c>
    </row>
    <row r="56" spans="1:29" ht="20.25" customHeight="1">
      <c r="A56" s="589"/>
      <c r="B56" s="590"/>
      <c r="C56" s="591"/>
      <c r="D56" s="474"/>
      <c r="E56" s="474"/>
      <c r="F56" s="474"/>
      <c r="G56" s="469">
        <v>130347.06</v>
      </c>
      <c r="H56" s="588">
        <v>130347.06</v>
      </c>
      <c r="I56" s="588"/>
      <c r="J56" s="469">
        <v>65173.54</v>
      </c>
      <c r="K56" s="474"/>
      <c r="L56" s="474"/>
      <c r="M56" s="474"/>
      <c r="N56" s="474"/>
      <c r="O56" s="474"/>
      <c r="P56" s="474"/>
      <c r="Q56" s="474"/>
      <c r="R56" s="474"/>
      <c r="S56" s="474"/>
      <c r="T56" s="474"/>
      <c r="U56" s="474"/>
      <c r="V56" s="474"/>
      <c r="W56" s="474"/>
      <c r="X56" s="474"/>
      <c r="Y56" s="474"/>
      <c r="Z56" s="474"/>
      <c r="AA56" s="474"/>
      <c r="AB56" s="474"/>
      <c r="AC56" s="470">
        <v>325867.65999999997</v>
      </c>
    </row>
    <row r="57" spans="1:29" ht="20.25" customHeight="1">
      <c r="A57" s="589" t="s">
        <v>311</v>
      </c>
      <c r="B57" s="590" t="s">
        <v>120</v>
      </c>
      <c r="C57" s="591">
        <v>57581.57</v>
      </c>
      <c r="D57" s="471"/>
      <c r="E57" s="471"/>
      <c r="F57" s="467">
        <v>0.4</v>
      </c>
      <c r="G57" s="467">
        <v>0.4</v>
      </c>
      <c r="H57" s="592">
        <v>0.2</v>
      </c>
      <c r="I57" s="592"/>
      <c r="J57" s="471"/>
      <c r="K57" s="471"/>
      <c r="L57" s="471"/>
      <c r="M57" s="471"/>
      <c r="N57" s="471"/>
      <c r="O57" s="471"/>
      <c r="P57" s="471"/>
      <c r="Q57" s="471"/>
      <c r="R57" s="471"/>
      <c r="S57" s="471"/>
      <c r="T57" s="471"/>
      <c r="U57" s="471"/>
      <c r="V57" s="471"/>
      <c r="W57" s="471"/>
      <c r="X57" s="471"/>
      <c r="Y57" s="471"/>
      <c r="Z57" s="471"/>
      <c r="AA57" s="471"/>
      <c r="AB57" s="471"/>
      <c r="AC57" s="468">
        <v>1</v>
      </c>
    </row>
    <row r="58" spans="1:29" ht="20.25" customHeight="1">
      <c r="A58" s="589"/>
      <c r="B58" s="590"/>
      <c r="C58" s="591"/>
      <c r="D58" s="474"/>
      <c r="E58" s="474"/>
      <c r="F58" s="469">
        <v>23032.63</v>
      </c>
      <c r="G58" s="469">
        <v>23032.63</v>
      </c>
      <c r="H58" s="588">
        <v>11516.31</v>
      </c>
      <c r="I58" s="588"/>
      <c r="J58" s="474"/>
      <c r="K58" s="474"/>
      <c r="L58" s="474"/>
      <c r="M58" s="474"/>
      <c r="N58" s="474"/>
      <c r="O58" s="474"/>
      <c r="P58" s="474"/>
      <c r="Q58" s="474"/>
      <c r="R58" s="474"/>
      <c r="S58" s="474"/>
      <c r="T58" s="474"/>
      <c r="U58" s="474"/>
      <c r="V58" s="474"/>
      <c r="W58" s="474"/>
      <c r="X58" s="474"/>
      <c r="Y58" s="474"/>
      <c r="Z58" s="474"/>
      <c r="AA58" s="474"/>
      <c r="AB58" s="474"/>
      <c r="AC58" s="470">
        <v>57581.57</v>
      </c>
    </row>
    <row r="59" spans="1:29" ht="20.25" customHeight="1">
      <c r="A59" s="589" t="s">
        <v>344</v>
      </c>
      <c r="B59" s="590" t="s">
        <v>138</v>
      </c>
      <c r="C59" s="591">
        <v>14049.6</v>
      </c>
      <c r="D59" s="471"/>
      <c r="E59" s="471"/>
      <c r="F59" s="471"/>
      <c r="G59" s="471"/>
      <c r="H59" s="472"/>
      <c r="I59" s="473"/>
      <c r="J59" s="471"/>
      <c r="K59" s="467">
        <v>1</v>
      </c>
      <c r="L59" s="471"/>
      <c r="M59" s="471"/>
      <c r="N59" s="471"/>
      <c r="O59" s="471"/>
      <c r="P59" s="471"/>
      <c r="Q59" s="471"/>
      <c r="R59" s="471"/>
      <c r="S59" s="471"/>
      <c r="T59" s="471"/>
      <c r="U59" s="471"/>
      <c r="V59" s="471"/>
      <c r="W59" s="471"/>
      <c r="X59" s="471"/>
      <c r="Y59" s="471"/>
      <c r="Z59" s="471"/>
      <c r="AA59" s="471"/>
      <c r="AB59" s="471"/>
      <c r="AC59" s="468">
        <v>1</v>
      </c>
    </row>
    <row r="60" spans="1:29" ht="20.25" customHeight="1">
      <c r="A60" s="589"/>
      <c r="B60" s="590"/>
      <c r="C60" s="591"/>
      <c r="D60" s="474"/>
      <c r="E60" s="474"/>
      <c r="F60" s="474"/>
      <c r="G60" s="474"/>
      <c r="H60" s="475"/>
      <c r="I60" s="476"/>
      <c r="J60" s="474"/>
      <c r="K60" s="469">
        <v>14049.6</v>
      </c>
      <c r="L60" s="474"/>
      <c r="M60" s="474"/>
      <c r="N60" s="474"/>
      <c r="O60" s="474"/>
      <c r="P60" s="474"/>
      <c r="Q60" s="474"/>
      <c r="R60" s="474"/>
      <c r="S60" s="474"/>
      <c r="T60" s="474"/>
      <c r="U60" s="474"/>
      <c r="V60" s="474"/>
      <c r="W60" s="474"/>
      <c r="X60" s="474"/>
      <c r="Y60" s="474"/>
      <c r="Z60" s="474"/>
      <c r="AA60" s="474"/>
      <c r="AB60" s="474"/>
      <c r="AC60" s="470">
        <v>14049.6</v>
      </c>
    </row>
    <row r="61" spans="1:29" ht="20.25" customHeight="1">
      <c r="A61" s="589" t="s">
        <v>352</v>
      </c>
      <c r="B61" s="590" t="s">
        <v>165</v>
      </c>
      <c r="C61" s="591">
        <v>2155.5500000000002</v>
      </c>
      <c r="D61" s="471"/>
      <c r="E61" s="471"/>
      <c r="F61" s="471"/>
      <c r="G61" s="471"/>
      <c r="H61" s="472"/>
      <c r="I61" s="473"/>
      <c r="J61" s="471"/>
      <c r="K61" s="467">
        <v>1</v>
      </c>
      <c r="L61" s="471"/>
      <c r="M61" s="471"/>
      <c r="N61" s="471"/>
      <c r="O61" s="471"/>
      <c r="P61" s="471"/>
      <c r="Q61" s="471"/>
      <c r="R61" s="471"/>
      <c r="S61" s="471"/>
      <c r="T61" s="471"/>
      <c r="U61" s="471"/>
      <c r="V61" s="471"/>
      <c r="W61" s="471"/>
      <c r="X61" s="471"/>
      <c r="Y61" s="471"/>
      <c r="Z61" s="471"/>
      <c r="AA61" s="471"/>
      <c r="AB61" s="471"/>
      <c r="AC61" s="468">
        <v>1</v>
      </c>
    </row>
    <row r="62" spans="1:29" ht="20.25" customHeight="1">
      <c r="A62" s="589"/>
      <c r="B62" s="590"/>
      <c r="C62" s="591"/>
      <c r="D62" s="474"/>
      <c r="E62" s="474"/>
      <c r="F62" s="474"/>
      <c r="G62" s="474"/>
      <c r="H62" s="475"/>
      <c r="I62" s="476"/>
      <c r="J62" s="474"/>
      <c r="K62" s="469">
        <v>2155.5500000000002</v>
      </c>
      <c r="L62" s="474"/>
      <c r="M62" s="474"/>
      <c r="N62" s="474"/>
      <c r="O62" s="474"/>
      <c r="P62" s="474"/>
      <c r="Q62" s="474"/>
      <c r="R62" s="474"/>
      <c r="S62" s="474"/>
      <c r="T62" s="474"/>
      <c r="U62" s="474"/>
      <c r="V62" s="474"/>
      <c r="W62" s="474"/>
      <c r="X62" s="474"/>
      <c r="Y62" s="474"/>
      <c r="Z62" s="474"/>
      <c r="AA62" s="474"/>
      <c r="AB62" s="474"/>
      <c r="AC62" s="470">
        <v>2155.5500000000002</v>
      </c>
    </row>
    <row r="63" spans="1:29" ht="20.25" customHeight="1">
      <c r="A63" s="589" t="s">
        <v>354</v>
      </c>
      <c r="B63" s="590" t="s">
        <v>170</v>
      </c>
      <c r="C63" s="591">
        <v>532353.94999999995</v>
      </c>
      <c r="D63" s="471"/>
      <c r="E63" s="467">
        <v>0.1666</v>
      </c>
      <c r="F63" s="467">
        <v>0.1666</v>
      </c>
      <c r="G63" s="467">
        <v>0.1666</v>
      </c>
      <c r="H63" s="592">
        <v>0.1666</v>
      </c>
      <c r="I63" s="592"/>
      <c r="J63" s="467">
        <v>0.1666</v>
      </c>
      <c r="K63" s="467">
        <v>0.16699999999999998</v>
      </c>
      <c r="L63" s="471"/>
      <c r="M63" s="471"/>
      <c r="N63" s="471"/>
      <c r="O63" s="471"/>
      <c r="P63" s="471"/>
      <c r="Q63" s="471"/>
      <c r="R63" s="471"/>
      <c r="S63" s="471"/>
      <c r="T63" s="471"/>
      <c r="U63" s="471"/>
      <c r="V63" s="471"/>
      <c r="W63" s="471"/>
      <c r="X63" s="471"/>
      <c r="Y63" s="471"/>
      <c r="Z63" s="471"/>
      <c r="AA63" s="471"/>
      <c r="AB63" s="471"/>
      <c r="AC63" s="468">
        <v>1</v>
      </c>
    </row>
    <row r="64" spans="1:29" ht="20.25" customHeight="1">
      <c r="A64" s="589"/>
      <c r="B64" s="590"/>
      <c r="C64" s="591"/>
      <c r="D64" s="474"/>
      <c r="E64" s="469">
        <v>88690.17</v>
      </c>
      <c r="F64" s="469">
        <v>88690.17</v>
      </c>
      <c r="G64" s="469">
        <v>88690.17</v>
      </c>
      <c r="H64" s="588">
        <v>88690.17</v>
      </c>
      <c r="I64" s="588"/>
      <c r="J64" s="469">
        <v>88690.17</v>
      </c>
      <c r="K64" s="469">
        <v>88903.1</v>
      </c>
      <c r="L64" s="474"/>
      <c r="M64" s="474"/>
      <c r="N64" s="474"/>
      <c r="O64" s="474"/>
      <c r="P64" s="474"/>
      <c r="Q64" s="474"/>
      <c r="R64" s="474"/>
      <c r="S64" s="474"/>
      <c r="T64" s="474"/>
      <c r="U64" s="474"/>
      <c r="V64" s="474"/>
      <c r="W64" s="474"/>
      <c r="X64" s="474"/>
      <c r="Y64" s="474"/>
      <c r="Z64" s="474"/>
      <c r="AA64" s="474"/>
      <c r="AB64" s="474"/>
      <c r="AC64" s="470">
        <v>532353.94999999995</v>
      </c>
    </row>
    <row r="65" spans="1:29" ht="20.25" customHeight="1">
      <c r="A65" s="589" t="s">
        <v>367</v>
      </c>
      <c r="B65" s="590" t="s">
        <v>368</v>
      </c>
      <c r="C65" s="591">
        <v>1007912.41</v>
      </c>
      <c r="D65" s="471"/>
      <c r="E65" s="471"/>
      <c r="F65" s="471"/>
      <c r="G65" s="467">
        <v>0.152</v>
      </c>
      <c r="H65" s="592">
        <v>0.25739999999999996</v>
      </c>
      <c r="I65" s="592"/>
      <c r="J65" s="467">
        <v>0.2702</v>
      </c>
      <c r="K65" s="467">
        <v>0.22640000000000002</v>
      </c>
      <c r="L65" s="467">
        <v>9.4E-2</v>
      </c>
      <c r="M65" s="471"/>
      <c r="N65" s="471"/>
      <c r="O65" s="471"/>
      <c r="P65" s="471"/>
      <c r="Q65" s="471"/>
      <c r="R65" s="471"/>
      <c r="S65" s="471"/>
      <c r="T65" s="471"/>
      <c r="U65" s="471"/>
      <c r="V65" s="471"/>
      <c r="W65" s="471"/>
      <c r="X65" s="471"/>
      <c r="Y65" s="471"/>
      <c r="Z65" s="471"/>
      <c r="AA65" s="471"/>
      <c r="AB65" s="471"/>
      <c r="AC65" s="468">
        <v>1</v>
      </c>
    </row>
    <row r="66" spans="1:29" ht="20.25" customHeight="1">
      <c r="A66" s="589"/>
      <c r="B66" s="590"/>
      <c r="C66" s="591"/>
      <c r="D66" s="474"/>
      <c r="E66" s="474"/>
      <c r="F66" s="474"/>
      <c r="G66" s="469">
        <v>153184.76999999999</v>
      </c>
      <c r="H66" s="588">
        <v>259466.73</v>
      </c>
      <c r="I66" s="588"/>
      <c r="J66" s="469">
        <v>272388.25</v>
      </c>
      <c r="K66" s="469">
        <v>228180.72</v>
      </c>
      <c r="L66" s="469">
        <v>94691.94</v>
      </c>
      <c r="M66" s="474"/>
      <c r="N66" s="474"/>
      <c r="O66" s="474"/>
      <c r="P66" s="474"/>
      <c r="Q66" s="474"/>
      <c r="R66" s="474"/>
      <c r="S66" s="474"/>
      <c r="T66" s="474"/>
      <c r="U66" s="474"/>
      <c r="V66" s="474"/>
      <c r="W66" s="474"/>
      <c r="X66" s="474"/>
      <c r="Y66" s="474"/>
      <c r="Z66" s="474"/>
      <c r="AA66" s="474"/>
      <c r="AB66" s="474"/>
      <c r="AC66" s="470">
        <v>1007912.41</v>
      </c>
    </row>
    <row r="67" spans="1:29" ht="20.25" customHeight="1">
      <c r="A67" s="589" t="s">
        <v>369</v>
      </c>
      <c r="B67" s="590" t="s">
        <v>15</v>
      </c>
      <c r="C67" s="591">
        <v>9429.0300000000007</v>
      </c>
      <c r="D67" s="471"/>
      <c r="E67" s="471"/>
      <c r="F67" s="471"/>
      <c r="G67" s="467">
        <v>1</v>
      </c>
      <c r="H67" s="472"/>
      <c r="I67" s="473"/>
      <c r="J67" s="471"/>
      <c r="K67" s="471"/>
      <c r="L67" s="471"/>
      <c r="M67" s="471"/>
      <c r="N67" s="471"/>
      <c r="O67" s="471"/>
      <c r="P67" s="471"/>
      <c r="Q67" s="471"/>
      <c r="R67" s="471"/>
      <c r="S67" s="471"/>
      <c r="T67" s="471"/>
      <c r="U67" s="471"/>
      <c r="V67" s="471"/>
      <c r="W67" s="471"/>
      <c r="X67" s="471"/>
      <c r="Y67" s="471"/>
      <c r="Z67" s="471"/>
      <c r="AA67" s="471"/>
      <c r="AB67" s="471"/>
      <c r="AC67" s="468">
        <v>1</v>
      </c>
    </row>
    <row r="68" spans="1:29" ht="20.25" customHeight="1">
      <c r="A68" s="589"/>
      <c r="B68" s="590"/>
      <c r="C68" s="591"/>
      <c r="D68" s="474"/>
      <c r="E68" s="474"/>
      <c r="F68" s="474"/>
      <c r="G68" s="469">
        <v>9429.0300000000007</v>
      </c>
      <c r="H68" s="475"/>
      <c r="I68" s="476"/>
      <c r="J68" s="474"/>
      <c r="K68" s="474"/>
      <c r="L68" s="474"/>
      <c r="M68" s="474"/>
      <c r="N68" s="474"/>
      <c r="O68" s="474"/>
      <c r="P68" s="474"/>
      <c r="Q68" s="474"/>
      <c r="R68" s="474"/>
      <c r="S68" s="474"/>
      <c r="T68" s="474"/>
      <c r="U68" s="474"/>
      <c r="V68" s="474"/>
      <c r="W68" s="474"/>
      <c r="X68" s="474"/>
      <c r="Y68" s="474"/>
      <c r="Z68" s="474"/>
      <c r="AA68" s="474"/>
      <c r="AB68" s="474"/>
      <c r="AC68" s="470">
        <v>9429.0300000000007</v>
      </c>
    </row>
    <row r="69" spans="1:29" ht="20.25" customHeight="1">
      <c r="A69" s="589" t="s">
        <v>372</v>
      </c>
      <c r="B69" s="590" t="s">
        <v>26</v>
      </c>
      <c r="C69" s="591">
        <v>32068.46</v>
      </c>
      <c r="D69" s="471"/>
      <c r="E69" s="471"/>
      <c r="F69" s="471"/>
      <c r="G69" s="467">
        <v>0.2</v>
      </c>
      <c r="H69" s="592">
        <v>0.2</v>
      </c>
      <c r="I69" s="592"/>
      <c r="J69" s="467">
        <v>0.2</v>
      </c>
      <c r="K69" s="467">
        <v>0.2</v>
      </c>
      <c r="L69" s="467">
        <v>0.2</v>
      </c>
      <c r="M69" s="471"/>
      <c r="N69" s="471"/>
      <c r="O69" s="471"/>
      <c r="P69" s="471"/>
      <c r="Q69" s="471"/>
      <c r="R69" s="471"/>
      <c r="S69" s="471"/>
      <c r="T69" s="471"/>
      <c r="U69" s="471"/>
      <c r="V69" s="471"/>
      <c r="W69" s="471"/>
      <c r="X69" s="471"/>
      <c r="Y69" s="471"/>
      <c r="Z69" s="471"/>
      <c r="AA69" s="471"/>
      <c r="AB69" s="471"/>
      <c r="AC69" s="468">
        <v>1</v>
      </c>
    </row>
    <row r="70" spans="1:29" ht="20.25" customHeight="1">
      <c r="A70" s="589"/>
      <c r="B70" s="590"/>
      <c r="C70" s="591"/>
      <c r="D70" s="474"/>
      <c r="E70" s="474"/>
      <c r="F70" s="474"/>
      <c r="G70" s="469">
        <v>6413.69</v>
      </c>
      <c r="H70" s="588">
        <v>6413.69</v>
      </c>
      <c r="I70" s="588"/>
      <c r="J70" s="469">
        <v>6413.69</v>
      </c>
      <c r="K70" s="469">
        <v>6413.69</v>
      </c>
      <c r="L70" s="469">
        <v>6413.7</v>
      </c>
      <c r="M70" s="474"/>
      <c r="N70" s="474"/>
      <c r="O70" s="474"/>
      <c r="P70" s="474"/>
      <c r="Q70" s="474"/>
      <c r="R70" s="474"/>
      <c r="S70" s="474"/>
      <c r="T70" s="474"/>
      <c r="U70" s="474"/>
      <c r="V70" s="474"/>
      <c r="W70" s="474"/>
      <c r="X70" s="474"/>
      <c r="Y70" s="474"/>
      <c r="Z70" s="474"/>
      <c r="AA70" s="474"/>
      <c r="AB70" s="474"/>
      <c r="AC70" s="470">
        <v>32068.46</v>
      </c>
    </row>
    <row r="71" spans="1:29" ht="20.25" customHeight="1">
      <c r="A71" s="589" t="s">
        <v>375</v>
      </c>
      <c r="B71" s="590" t="s">
        <v>36</v>
      </c>
      <c r="C71" s="591">
        <v>2593.17</v>
      </c>
      <c r="D71" s="471"/>
      <c r="E71" s="471"/>
      <c r="F71" s="471"/>
      <c r="G71" s="467">
        <v>1</v>
      </c>
      <c r="H71" s="472"/>
      <c r="I71" s="473"/>
      <c r="J71" s="471"/>
      <c r="K71" s="471"/>
      <c r="L71" s="471"/>
      <c r="M71" s="471"/>
      <c r="N71" s="471"/>
      <c r="O71" s="471"/>
      <c r="P71" s="471"/>
      <c r="Q71" s="471"/>
      <c r="R71" s="471"/>
      <c r="S71" s="471"/>
      <c r="T71" s="471"/>
      <c r="U71" s="471"/>
      <c r="V71" s="471"/>
      <c r="W71" s="471"/>
      <c r="X71" s="471"/>
      <c r="Y71" s="471"/>
      <c r="Z71" s="471"/>
      <c r="AA71" s="471"/>
      <c r="AB71" s="471"/>
      <c r="AC71" s="468">
        <v>1</v>
      </c>
    </row>
    <row r="72" spans="1:29" ht="20.25" customHeight="1">
      <c r="A72" s="589"/>
      <c r="B72" s="590"/>
      <c r="C72" s="591"/>
      <c r="D72" s="474"/>
      <c r="E72" s="474"/>
      <c r="F72" s="474"/>
      <c r="G72" s="469">
        <v>2593.17</v>
      </c>
      <c r="H72" s="475"/>
      <c r="I72" s="476"/>
      <c r="J72" s="474"/>
      <c r="K72" s="474"/>
      <c r="L72" s="474"/>
      <c r="M72" s="474"/>
      <c r="N72" s="474"/>
      <c r="O72" s="474"/>
      <c r="P72" s="474"/>
      <c r="Q72" s="474"/>
      <c r="R72" s="474"/>
      <c r="S72" s="474"/>
      <c r="T72" s="474"/>
      <c r="U72" s="474"/>
      <c r="V72" s="474"/>
      <c r="W72" s="474"/>
      <c r="X72" s="474"/>
      <c r="Y72" s="474"/>
      <c r="Z72" s="474"/>
      <c r="AA72" s="474"/>
      <c r="AB72" s="474"/>
      <c r="AC72" s="470">
        <v>2593.17</v>
      </c>
    </row>
    <row r="73" spans="1:29" ht="20.25" customHeight="1">
      <c r="A73" s="589" t="s">
        <v>380</v>
      </c>
      <c r="B73" s="590" t="s">
        <v>381</v>
      </c>
      <c r="C73" s="591">
        <v>84837.95</v>
      </c>
      <c r="D73" s="471"/>
      <c r="E73" s="471"/>
      <c r="F73" s="471"/>
      <c r="G73" s="467">
        <v>0.6</v>
      </c>
      <c r="H73" s="592">
        <v>0.4</v>
      </c>
      <c r="I73" s="592"/>
      <c r="J73" s="471"/>
      <c r="K73" s="471"/>
      <c r="L73" s="471"/>
      <c r="M73" s="471"/>
      <c r="N73" s="471"/>
      <c r="O73" s="471"/>
      <c r="P73" s="471"/>
      <c r="Q73" s="471"/>
      <c r="R73" s="471"/>
      <c r="S73" s="471"/>
      <c r="T73" s="471"/>
      <c r="U73" s="471"/>
      <c r="V73" s="471"/>
      <c r="W73" s="471"/>
      <c r="X73" s="471"/>
      <c r="Y73" s="471"/>
      <c r="Z73" s="471"/>
      <c r="AA73" s="471"/>
      <c r="AB73" s="471"/>
      <c r="AC73" s="468">
        <v>1</v>
      </c>
    </row>
    <row r="74" spans="1:29" ht="20.25" customHeight="1">
      <c r="A74" s="589"/>
      <c r="B74" s="590"/>
      <c r="C74" s="591"/>
      <c r="D74" s="474"/>
      <c r="E74" s="474"/>
      <c r="F74" s="474"/>
      <c r="G74" s="469">
        <v>50902.77</v>
      </c>
      <c r="H74" s="588">
        <v>33935.18</v>
      </c>
      <c r="I74" s="588"/>
      <c r="J74" s="474"/>
      <c r="K74" s="474"/>
      <c r="L74" s="474"/>
      <c r="M74" s="474"/>
      <c r="N74" s="474"/>
      <c r="O74" s="474"/>
      <c r="P74" s="474"/>
      <c r="Q74" s="474"/>
      <c r="R74" s="474"/>
      <c r="S74" s="474"/>
      <c r="T74" s="474"/>
      <c r="U74" s="474"/>
      <c r="V74" s="474"/>
      <c r="W74" s="474"/>
      <c r="X74" s="474"/>
      <c r="Y74" s="474"/>
      <c r="Z74" s="474"/>
      <c r="AA74" s="474"/>
      <c r="AB74" s="474"/>
      <c r="AC74" s="470">
        <v>84837.95</v>
      </c>
    </row>
    <row r="75" spans="1:29" ht="20.25" customHeight="1">
      <c r="A75" s="589" t="s">
        <v>386</v>
      </c>
      <c r="B75" s="590" t="s">
        <v>11</v>
      </c>
      <c r="C75" s="591">
        <v>234283.49</v>
      </c>
      <c r="D75" s="471"/>
      <c r="E75" s="471"/>
      <c r="F75" s="471"/>
      <c r="G75" s="471"/>
      <c r="H75" s="592">
        <v>0.2</v>
      </c>
      <c r="I75" s="592"/>
      <c r="J75" s="467">
        <v>0.4</v>
      </c>
      <c r="K75" s="467">
        <v>0.4</v>
      </c>
      <c r="L75" s="471"/>
      <c r="M75" s="471"/>
      <c r="N75" s="471"/>
      <c r="O75" s="471"/>
      <c r="P75" s="471"/>
      <c r="Q75" s="471"/>
      <c r="R75" s="471"/>
      <c r="S75" s="471"/>
      <c r="T75" s="471"/>
      <c r="U75" s="471"/>
      <c r="V75" s="471"/>
      <c r="W75" s="471"/>
      <c r="X75" s="471"/>
      <c r="Y75" s="471"/>
      <c r="Z75" s="471"/>
      <c r="AA75" s="471"/>
      <c r="AB75" s="471"/>
      <c r="AC75" s="468">
        <v>1</v>
      </c>
    </row>
    <row r="76" spans="1:29" ht="20.25" customHeight="1">
      <c r="A76" s="589"/>
      <c r="B76" s="590"/>
      <c r="C76" s="591"/>
      <c r="D76" s="474"/>
      <c r="E76" s="474"/>
      <c r="F76" s="474"/>
      <c r="G76" s="474"/>
      <c r="H76" s="588">
        <v>46856.7</v>
      </c>
      <c r="I76" s="588"/>
      <c r="J76" s="469">
        <v>93713.4</v>
      </c>
      <c r="K76" s="469">
        <v>93713.39</v>
      </c>
      <c r="L76" s="474"/>
      <c r="M76" s="474"/>
      <c r="N76" s="474"/>
      <c r="O76" s="474"/>
      <c r="P76" s="474"/>
      <c r="Q76" s="474"/>
      <c r="R76" s="474"/>
      <c r="S76" s="474"/>
      <c r="T76" s="474"/>
      <c r="U76" s="474"/>
      <c r="V76" s="474"/>
      <c r="W76" s="474"/>
      <c r="X76" s="474"/>
      <c r="Y76" s="474"/>
      <c r="Z76" s="474"/>
      <c r="AA76" s="474"/>
      <c r="AB76" s="474"/>
      <c r="AC76" s="470">
        <v>234283.49</v>
      </c>
    </row>
    <row r="77" spans="1:29" ht="20.25" customHeight="1">
      <c r="A77" s="589" t="s">
        <v>394</v>
      </c>
      <c r="B77" s="590" t="s">
        <v>120</v>
      </c>
      <c r="C77" s="591">
        <v>221037.63</v>
      </c>
      <c r="D77" s="471"/>
      <c r="E77" s="471"/>
      <c r="F77" s="471"/>
      <c r="G77" s="471"/>
      <c r="H77" s="592">
        <v>0.4</v>
      </c>
      <c r="I77" s="592"/>
      <c r="J77" s="467">
        <v>0.4</v>
      </c>
      <c r="K77" s="467">
        <v>0.2</v>
      </c>
      <c r="L77" s="471"/>
      <c r="M77" s="471"/>
      <c r="N77" s="471"/>
      <c r="O77" s="471"/>
      <c r="P77" s="471"/>
      <c r="Q77" s="471"/>
      <c r="R77" s="471"/>
      <c r="S77" s="471"/>
      <c r="T77" s="471"/>
      <c r="U77" s="471"/>
      <c r="V77" s="471"/>
      <c r="W77" s="471"/>
      <c r="X77" s="471"/>
      <c r="Y77" s="471"/>
      <c r="Z77" s="471"/>
      <c r="AA77" s="471"/>
      <c r="AB77" s="471"/>
      <c r="AC77" s="468">
        <v>1</v>
      </c>
    </row>
    <row r="78" spans="1:29" ht="20.25" customHeight="1">
      <c r="A78" s="589"/>
      <c r="B78" s="590"/>
      <c r="C78" s="591"/>
      <c r="D78" s="474"/>
      <c r="E78" s="474"/>
      <c r="F78" s="474"/>
      <c r="G78" s="474"/>
      <c r="H78" s="588">
        <v>88415.05</v>
      </c>
      <c r="I78" s="588"/>
      <c r="J78" s="469">
        <v>88415.05</v>
      </c>
      <c r="K78" s="469">
        <v>44207.53</v>
      </c>
      <c r="L78" s="474"/>
      <c r="M78" s="474"/>
      <c r="N78" s="474"/>
      <c r="O78" s="474"/>
      <c r="P78" s="474"/>
      <c r="Q78" s="474"/>
      <c r="R78" s="474"/>
      <c r="S78" s="474"/>
      <c r="T78" s="474"/>
      <c r="U78" s="474"/>
      <c r="V78" s="474"/>
      <c r="W78" s="474"/>
      <c r="X78" s="474"/>
      <c r="Y78" s="474"/>
      <c r="Z78" s="474"/>
      <c r="AA78" s="474"/>
      <c r="AB78" s="474"/>
      <c r="AC78" s="470">
        <v>221037.63</v>
      </c>
    </row>
    <row r="79" spans="1:29" ht="20.25" customHeight="1">
      <c r="A79" s="589" t="s">
        <v>410</v>
      </c>
      <c r="B79" s="590" t="s">
        <v>138</v>
      </c>
      <c r="C79" s="591">
        <v>4432.12</v>
      </c>
      <c r="D79" s="471"/>
      <c r="E79" s="471"/>
      <c r="F79" s="471"/>
      <c r="G79" s="471"/>
      <c r="H79" s="472"/>
      <c r="I79" s="473"/>
      <c r="J79" s="471"/>
      <c r="K79" s="471"/>
      <c r="L79" s="467">
        <v>1</v>
      </c>
      <c r="M79" s="471"/>
      <c r="N79" s="471"/>
      <c r="O79" s="471"/>
      <c r="P79" s="471"/>
      <c r="Q79" s="471"/>
      <c r="R79" s="471"/>
      <c r="S79" s="471"/>
      <c r="T79" s="471"/>
      <c r="U79" s="471"/>
      <c r="V79" s="471"/>
      <c r="W79" s="471"/>
      <c r="X79" s="471"/>
      <c r="Y79" s="471"/>
      <c r="Z79" s="471"/>
      <c r="AA79" s="471"/>
      <c r="AB79" s="471"/>
      <c r="AC79" s="468">
        <v>1</v>
      </c>
    </row>
    <row r="80" spans="1:29" ht="20.25" customHeight="1">
      <c r="A80" s="589"/>
      <c r="B80" s="590"/>
      <c r="C80" s="591"/>
      <c r="D80" s="474"/>
      <c r="E80" s="474"/>
      <c r="F80" s="474"/>
      <c r="G80" s="474"/>
      <c r="H80" s="475"/>
      <c r="I80" s="476"/>
      <c r="J80" s="474"/>
      <c r="K80" s="474"/>
      <c r="L80" s="469">
        <v>4432.12</v>
      </c>
      <c r="M80" s="474"/>
      <c r="N80" s="474"/>
      <c r="O80" s="474"/>
      <c r="P80" s="474"/>
      <c r="Q80" s="474"/>
      <c r="R80" s="474"/>
      <c r="S80" s="474"/>
      <c r="T80" s="474"/>
      <c r="U80" s="474"/>
      <c r="V80" s="474"/>
      <c r="W80" s="474"/>
      <c r="X80" s="474"/>
      <c r="Y80" s="474"/>
      <c r="Z80" s="474"/>
      <c r="AA80" s="474"/>
      <c r="AB80" s="474"/>
      <c r="AC80" s="470">
        <v>4432.12</v>
      </c>
    </row>
    <row r="81" spans="1:29" ht="20.25" customHeight="1">
      <c r="A81" s="589" t="s">
        <v>415</v>
      </c>
      <c r="B81" s="590" t="s">
        <v>170</v>
      </c>
      <c r="C81" s="591">
        <v>419230.56</v>
      </c>
      <c r="D81" s="471"/>
      <c r="E81" s="471"/>
      <c r="F81" s="471"/>
      <c r="G81" s="467">
        <v>0.2</v>
      </c>
      <c r="H81" s="592">
        <v>0.2</v>
      </c>
      <c r="I81" s="592"/>
      <c r="J81" s="467">
        <v>0.2</v>
      </c>
      <c r="K81" s="467">
        <v>0.2</v>
      </c>
      <c r="L81" s="467">
        <v>0.2</v>
      </c>
      <c r="M81" s="471"/>
      <c r="N81" s="471"/>
      <c r="O81" s="471"/>
      <c r="P81" s="471"/>
      <c r="Q81" s="471"/>
      <c r="R81" s="471"/>
      <c r="S81" s="471"/>
      <c r="T81" s="471"/>
      <c r="U81" s="471"/>
      <c r="V81" s="471"/>
      <c r="W81" s="471"/>
      <c r="X81" s="471"/>
      <c r="Y81" s="471"/>
      <c r="Z81" s="471"/>
      <c r="AA81" s="471"/>
      <c r="AB81" s="471"/>
      <c r="AC81" s="468">
        <v>1</v>
      </c>
    </row>
    <row r="82" spans="1:29" ht="20.25" customHeight="1">
      <c r="A82" s="589"/>
      <c r="B82" s="590"/>
      <c r="C82" s="591"/>
      <c r="D82" s="474"/>
      <c r="E82" s="474"/>
      <c r="F82" s="474"/>
      <c r="G82" s="469">
        <v>83846.11</v>
      </c>
      <c r="H82" s="588">
        <v>83846.11</v>
      </c>
      <c r="I82" s="588"/>
      <c r="J82" s="469">
        <v>83846.11</v>
      </c>
      <c r="K82" s="469">
        <v>83846.11</v>
      </c>
      <c r="L82" s="469">
        <v>83846.12</v>
      </c>
      <c r="M82" s="474"/>
      <c r="N82" s="474"/>
      <c r="O82" s="474"/>
      <c r="P82" s="474"/>
      <c r="Q82" s="474"/>
      <c r="R82" s="474"/>
      <c r="S82" s="474"/>
      <c r="T82" s="474"/>
      <c r="U82" s="474"/>
      <c r="V82" s="474"/>
      <c r="W82" s="474"/>
      <c r="X82" s="474"/>
      <c r="Y82" s="474"/>
      <c r="Z82" s="474"/>
      <c r="AA82" s="474"/>
      <c r="AB82" s="474"/>
      <c r="AC82" s="470">
        <v>419230.56</v>
      </c>
    </row>
    <row r="83" spans="1:29" ht="20.25" customHeight="1">
      <c r="A83" s="589" t="s">
        <v>424</v>
      </c>
      <c r="B83" s="590" t="s">
        <v>425</v>
      </c>
      <c r="C83" s="591">
        <v>342941.99</v>
      </c>
      <c r="D83" s="471"/>
      <c r="E83" s="471"/>
      <c r="F83" s="471"/>
      <c r="G83" s="471"/>
      <c r="H83" s="472"/>
      <c r="I83" s="473"/>
      <c r="J83" s="471"/>
      <c r="K83" s="471"/>
      <c r="L83" s="471"/>
      <c r="M83" s="467">
        <v>0.29109999999999997</v>
      </c>
      <c r="N83" s="467">
        <v>0.40889999999999999</v>
      </c>
      <c r="O83" s="467">
        <v>0.3</v>
      </c>
      <c r="P83" s="471"/>
      <c r="Q83" s="471"/>
      <c r="R83" s="471"/>
      <c r="S83" s="471"/>
      <c r="T83" s="471"/>
      <c r="U83" s="471"/>
      <c r="V83" s="471"/>
      <c r="W83" s="471"/>
      <c r="X83" s="471"/>
      <c r="Y83" s="471"/>
      <c r="Z83" s="471"/>
      <c r="AA83" s="471"/>
      <c r="AB83" s="471"/>
      <c r="AC83" s="468">
        <v>1</v>
      </c>
    </row>
    <row r="84" spans="1:29" ht="20.25" customHeight="1">
      <c r="A84" s="589"/>
      <c r="B84" s="590"/>
      <c r="C84" s="591"/>
      <c r="D84" s="474"/>
      <c r="E84" s="474"/>
      <c r="F84" s="474"/>
      <c r="G84" s="474"/>
      <c r="H84" s="475"/>
      <c r="I84" s="476"/>
      <c r="J84" s="474"/>
      <c r="K84" s="474"/>
      <c r="L84" s="474"/>
      <c r="M84" s="469">
        <v>101489.86</v>
      </c>
      <c r="N84" s="469">
        <v>139485.15</v>
      </c>
      <c r="O84" s="469">
        <v>101966.98</v>
      </c>
      <c r="P84" s="474"/>
      <c r="Q84" s="474"/>
      <c r="R84" s="474"/>
      <c r="S84" s="474"/>
      <c r="T84" s="474"/>
      <c r="U84" s="474"/>
      <c r="V84" s="474"/>
      <c r="W84" s="474"/>
      <c r="X84" s="474"/>
      <c r="Y84" s="474"/>
      <c r="Z84" s="474"/>
      <c r="AA84" s="474"/>
      <c r="AB84" s="474"/>
      <c r="AC84" s="470">
        <v>342941.99</v>
      </c>
    </row>
    <row r="85" spans="1:29" ht="20.25" customHeight="1">
      <c r="A85" s="589" t="s">
        <v>426</v>
      </c>
      <c r="B85" s="590" t="s">
        <v>15</v>
      </c>
      <c r="C85" s="591">
        <v>7783.05</v>
      </c>
      <c r="D85" s="471"/>
      <c r="E85" s="471"/>
      <c r="F85" s="471"/>
      <c r="G85" s="471"/>
      <c r="H85" s="472"/>
      <c r="I85" s="473"/>
      <c r="J85" s="471"/>
      <c r="K85" s="471"/>
      <c r="L85" s="471"/>
      <c r="M85" s="467">
        <v>1</v>
      </c>
      <c r="N85" s="471"/>
      <c r="O85" s="471"/>
      <c r="P85" s="471"/>
      <c r="Q85" s="471"/>
      <c r="R85" s="471"/>
      <c r="S85" s="471"/>
      <c r="T85" s="471"/>
      <c r="U85" s="471"/>
      <c r="V85" s="471"/>
      <c r="W85" s="471"/>
      <c r="X85" s="471"/>
      <c r="Y85" s="471"/>
      <c r="Z85" s="471"/>
      <c r="AA85" s="471"/>
      <c r="AB85" s="471"/>
      <c r="AC85" s="468">
        <v>1</v>
      </c>
    </row>
    <row r="86" spans="1:29" ht="20.25" customHeight="1">
      <c r="A86" s="589"/>
      <c r="B86" s="590"/>
      <c r="C86" s="591"/>
      <c r="D86" s="474"/>
      <c r="E86" s="474"/>
      <c r="F86" s="474"/>
      <c r="G86" s="474"/>
      <c r="H86" s="475"/>
      <c r="I86" s="476"/>
      <c r="J86" s="474"/>
      <c r="K86" s="474"/>
      <c r="L86" s="474"/>
      <c r="M86" s="469">
        <v>7783.05</v>
      </c>
      <c r="N86" s="474"/>
      <c r="O86" s="474"/>
      <c r="P86" s="474"/>
      <c r="Q86" s="474"/>
      <c r="R86" s="474"/>
      <c r="S86" s="474"/>
      <c r="T86" s="474"/>
      <c r="U86" s="474"/>
      <c r="V86" s="474"/>
      <c r="W86" s="474"/>
      <c r="X86" s="474"/>
      <c r="Y86" s="474"/>
      <c r="Z86" s="474"/>
      <c r="AA86" s="474"/>
      <c r="AB86" s="474"/>
      <c r="AC86" s="470">
        <v>7783.05</v>
      </c>
    </row>
    <row r="87" spans="1:29" ht="20.25" customHeight="1">
      <c r="A87" s="589" t="s">
        <v>429</v>
      </c>
      <c r="B87" s="590" t="s">
        <v>26</v>
      </c>
      <c r="C87" s="591">
        <v>16378.25</v>
      </c>
      <c r="D87" s="471"/>
      <c r="E87" s="471"/>
      <c r="F87" s="471"/>
      <c r="G87" s="471"/>
      <c r="H87" s="472"/>
      <c r="I87" s="473"/>
      <c r="J87" s="471"/>
      <c r="K87" s="471"/>
      <c r="L87" s="471"/>
      <c r="M87" s="467">
        <v>0.33329999999999999</v>
      </c>
      <c r="N87" s="467">
        <v>0.33329999999999999</v>
      </c>
      <c r="O87" s="467">
        <v>0.33340000000000003</v>
      </c>
      <c r="P87" s="471"/>
      <c r="Q87" s="471"/>
      <c r="R87" s="471"/>
      <c r="S87" s="471"/>
      <c r="T87" s="471"/>
      <c r="U87" s="471"/>
      <c r="V87" s="471"/>
      <c r="W87" s="471"/>
      <c r="X87" s="471"/>
      <c r="Y87" s="471"/>
      <c r="Z87" s="471"/>
      <c r="AA87" s="471"/>
      <c r="AB87" s="471"/>
      <c r="AC87" s="468">
        <v>1</v>
      </c>
    </row>
    <row r="88" spans="1:29" ht="20.25" customHeight="1">
      <c r="A88" s="589"/>
      <c r="B88" s="590"/>
      <c r="C88" s="591"/>
      <c r="D88" s="474"/>
      <c r="E88" s="474"/>
      <c r="F88" s="474"/>
      <c r="G88" s="474"/>
      <c r="H88" s="475"/>
      <c r="I88" s="476"/>
      <c r="J88" s="474"/>
      <c r="K88" s="474"/>
      <c r="L88" s="474"/>
      <c r="M88" s="469">
        <v>5458.87</v>
      </c>
      <c r="N88" s="469">
        <v>5458.87</v>
      </c>
      <c r="O88" s="469">
        <v>5460.51</v>
      </c>
      <c r="P88" s="474"/>
      <c r="Q88" s="474"/>
      <c r="R88" s="474"/>
      <c r="S88" s="474"/>
      <c r="T88" s="474"/>
      <c r="U88" s="474"/>
      <c r="V88" s="474"/>
      <c r="W88" s="474"/>
      <c r="X88" s="474"/>
      <c r="Y88" s="474"/>
      <c r="Z88" s="474"/>
      <c r="AA88" s="474"/>
      <c r="AB88" s="474"/>
      <c r="AC88" s="470">
        <v>16378.25</v>
      </c>
    </row>
    <row r="89" spans="1:29" ht="20.25" customHeight="1">
      <c r="A89" s="589" t="s">
        <v>432</v>
      </c>
      <c r="B89" s="590" t="s">
        <v>36</v>
      </c>
      <c r="C89" s="591">
        <v>5203.0200000000004</v>
      </c>
      <c r="D89" s="471"/>
      <c r="E89" s="471"/>
      <c r="F89" s="471"/>
      <c r="G89" s="471"/>
      <c r="H89" s="472"/>
      <c r="I89" s="473"/>
      <c r="J89" s="471"/>
      <c r="K89" s="471"/>
      <c r="L89" s="471"/>
      <c r="M89" s="467">
        <v>1</v>
      </c>
      <c r="N89" s="471"/>
      <c r="O89" s="471"/>
      <c r="P89" s="471"/>
      <c r="Q89" s="471"/>
      <c r="R89" s="471"/>
      <c r="S89" s="471"/>
      <c r="T89" s="471"/>
      <c r="U89" s="471"/>
      <c r="V89" s="471"/>
      <c r="W89" s="471"/>
      <c r="X89" s="471"/>
      <c r="Y89" s="471"/>
      <c r="Z89" s="471"/>
      <c r="AA89" s="471"/>
      <c r="AB89" s="471"/>
      <c r="AC89" s="468">
        <v>1</v>
      </c>
    </row>
    <row r="90" spans="1:29" ht="20.25" customHeight="1">
      <c r="A90" s="589"/>
      <c r="B90" s="590"/>
      <c r="C90" s="591"/>
      <c r="D90" s="474"/>
      <c r="E90" s="474"/>
      <c r="F90" s="474"/>
      <c r="G90" s="474"/>
      <c r="H90" s="475"/>
      <c r="I90" s="476"/>
      <c r="J90" s="474"/>
      <c r="K90" s="474"/>
      <c r="L90" s="474"/>
      <c r="M90" s="469">
        <v>5203.0200000000004</v>
      </c>
      <c r="N90" s="474"/>
      <c r="O90" s="474"/>
      <c r="P90" s="474"/>
      <c r="Q90" s="474"/>
      <c r="R90" s="474"/>
      <c r="S90" s="474"/>
      <c r="T90" s="474"/>
      <c r="U90" s="474"/>
      <c r="V90" s="474"/>
      <c r="W90" s="474"/>
      <c r="X90" s="474"/>
      <c r="Y90" s="474"/>
      <c r="Z90" s="474"/>
      <c r="AA90" s="474"/>
      <c r="AB90" s="474"/>
      <c r="AC90" s="470">
        <v>5203.0200000000004</v>
      </c>
    </row>
    <row r="91" spans="1:29" ht="20.25" customHeight="1">
      <c r="A91" s="589" t="s">
        <v>437</v>
      </c>
      <c r="B91" s="590" t="s">
        <v>381</v>
      </c>
      <c r="C91" s="591">
        <v>19653</v>
      </c>
      <c r="D91" s="471"/>
      <c r="E91" s="471"/>
      <c r="F91" s="471"/>
      <c r="G91" s="471"/>
      <c r="H91" s="472"/>
      <c r="I91" s="473"/>
      <c r="J91" s="471"/>
      <c r="K91" s="471"/>
      <c r="L91" s="471"/>
      <c r="M91" s="467">
        <v>0.6</v>
      </c>
      <c r="N91" s="467">
        <v>0.4</v>
      </c>
      <c r="O91" s="471"/>
      <c r="P91" s="471"/>
      <c r="Q91" s="471"/>
      <c r="R91" s="471"/>
      <c r="S91" s="471"/>
      <c r="T91" s="471"/>
      <c r="U91" s="471"/>
      <c r="V91" s="471"/>
      <c r="W91" s="471"/>
      <c r="X91" s="471"/>
      <c r="Y91" s="471"/>
      <c r="Z91" s="471"/>
      <c r="AA91" s="471"/>
      <c r="AB91" s="471"/>
      <c r="AC91" s="468">
        <v>1</v>
      </c>
    </row>
    <row r="92" spans="1:29" ht="20.25" customHeight="1">
      <c r="A92" s="589"/>
      <c r="B92" s="590"/>
      <c r="C92" s="591"/>
      <c r="D92" s="474"/>
      <c r="E92" s="474"/>
      <c r="F92" s="474"/>
      <c r="G92" s="474"/>
      <c r="H92" s="475"/>
      <c r="I92" s="476"/>
      <c r="J92" s="474"/>
      <c r="K92" s="474"/>
      <c r="L92" s="474"/>
      <c r="M92" s="469">
        <v>11791.8</v>
      </c>
      <c r="N92" s="469">
        <v>7861.2</v>
      </c>
      <c r="O92" s="474"/>
      <c r="P92" s="474"/>
      <c r="Q92" s="474"/>
      <c r="R92" s="474"/>
      <c r="S92" s="474"/>
      <c r="T92" s="474"/>
      <c r="U92" s="474"/>
      <c r="V92" s="474"/>
      <c r="W92" s="474"/>
      <c r="X92" s="474"/>
      <c r="Y92" s="474"/>
      <c r="Z92" s="474"/>
      <c r="AA92" s="474"/>
      <c r="AB92" s="474"/>
      <c r="AC92" s="470">
        <v>19653</v>
      </c>
    </row>
    <row r="93" spans="1:29" ht="20.25" customHeight="1">
      <c r="A93" s="589" t="s">
        <v>442</v>
      </c>
      <c r="B93" s="590" t="s">
        <v>11</v>
      </c>
      <c r="C93" s="591">
        <v>80528.63</v>
      </c>
      <c r="D93" s="471"/>
      <c r="E93" s="471"/>
      <c r="F93" s="471"/>
      <c r="G93" s="471"/>
      <c r="H93" s="472"/>
      <c r="I93" s="473"/>
      <c r="J93" s="471"/>
      <c r="K93" s="471"/>
      <c r="L93" s="471"/>
      <c r="M93" s="471"/>
      <c r="N93" s="467">
        <v>0.6</v>
      </c>
      <c r="O93" s="467">
        <v>0.4</v>
      </c>
      <c r="P93" s="471"/>
      <c r="Q93" s="471"/>
      <c r="R93" s="471"/>
      <c r="S93" s="471"/>
      <c r="T93" s="471"/>
      <c r="U93" s="471"/>
      <c r="V93" s="471"/>
      <c r="W93" s="471"/>
      <c r="X93" s="471"/>
      <c r="Y93" s="471"/>
      <c r="Z93" s="471"/>
      <c r="AA93" s="471"/>
      <c r="AB93" s="471"/>
      <c r="AC93" s="468">
        <v>1</v>
      </c>
    </row>
    <row r="94" spans="1:29" ht="20.25" customHeight="1">
      <c r="A94" s="589"/>
      <c r="B94" s="590"/>
      <c r="C94" s="591"/>
      <c r="D94" s="474"/>
      <c r="E94" s="474"/>
      <c r="F94" s="474"/>
      <c r="G94" s="474"/>
      <c r="H94" s="475"/>
      <c r="I94" s="476"/>
      <c r="J94" s="474"/>
      <c r="K94" s="474"/>
      <c r="L94" s="474"/>
      <c r="M94" s="474"/>
      <c r="N94" s="469">
        <v>48317.18</v>
      </c>
      <c r="O94" s="469">
        <v>32211.45</v>
      </c>
      <c r="P94" s="474"/>
      <c r="Q94" s="474"/>
      <c r="R94" s="474"/>
      <c r="S94" s="474"/>
      <c r="T94" s="474"/>
      <c r="U94" s="474"/>
      <c r="V94" s="474"/>
      <c r="W94" s="474"/>
      <c r="X94" s="474"/>
      <c r="Y94" s="474"/>
      <c r="Z94" s="474"/>
      <c r="AA94" s="474"/>
      <c r="AB94" s="474"/>
      <c r="AC94" s="470">
        <v>80528.63</v>
      </c>
    </row>
    <row r="95" spans="1:29" ht="20.25" customHeight="1">
      <c r="A95" s="589" t="s">
        <v>460</v>
      </c>
      <c r="B95" s="590" t="s">
        <v>120</v>
      </c>
      <c r="C95" s="591">
        <v>32973.9</v>
      </c>
      <c r="D95" s="471"/>
      <c r="E95" s="471"/>
      <c r="F95" s="471"/>
      <c r="G95" s="471"/>
      <c r="H95" s="472"/>
      <c r="I95" s="473"/>
      <c r="J95" s="471"/>
      <c r="K95" s="471"/>
      <c r="L95" s="471"/>
      <c r="M95" s="467">
        <v>0.4</v>
      </c>
      <c r="N95" s="467">
        <v>0.6</v>
      </c>
      <c r="O95" s="471"/>
      <c r="P95" s="471"/>
      <c r="Q95" s="471"/>
      <c r="R95" s="471"/>
      <c r="S95" s="471"/>
      <c r="T95" s="471"/>
      <c r="U95" s="471"/>
      <c r="V95" s="471"/>
      <c r="W95" s="471"/>
      <c r="X95" s="471"/>
      <c r="Y95" s="471"/>
      <c r="Z95" s="471"/>
      <c r="AA95" s="471"/>
      <c r="AB95" s="471"/>
      <c r="AC95" s="468">
        <v>1</v>
      </c>
    </row>
    <row r="96" spans="1:29" ht="20.25" customHeight="1">
      <c r="A96" s="589"/>
      <c r="B96" s="590"/>
      <c r="C96" s="591"/>
      <c r="D96" s="474"/>
      <c r="E96" s="474"/>
      <c r="F96" s="474"/>
      <c r="G96" s="474"/>
      <c r="H96" s="475"/>
      <c r="I96" s="476"/>
      <c r="J96" s="474"/>
      <c r="K96" s="474"/>
      <c r="L96" s="474"/>
      <c r="M96" s="469">
        <v>13189.56</v>
      </c>
      <c r="N96" s="469">
        <v>19784.34</v>
      </c>
      <c r="O96" s="474"/>
      <c r="P96" s="474"/>
      <c r="Q96" s="474"/>
      <c r="R96" s="474"/>
      <c r="S96" s="474"/>
      <c r="T96" s="474"/>
      <c r="U96" s="474"/>
      <c r="V96" s="474"/>
      <c r="W96" s="474"/>
      <c r="X96" s="474"/>
      <c r="Y96" s="474"/>
      <c r="Z96" s="474"/>
      <c r="AA96" s="474"/>
      <c r="AB96" s="474"/>
      <c r="AC96" s="470">
        <v>32973.9</v>
      </c>
    </row>
    <row r="97" spans="1:29" ht="20.25" customHeight="1">
      <c r="A97" s="589" t="s">
        <v>487</v>
      </c>
      <c r="B97" s="590" t="s">
        <v>138</v>
      </c>
      <c r="C97" s="591">
        <v>4761.17</v>
      </c>
      <c r="D97" s="471"/>
      <c r="E97" s="471"/>
      <c r="F97" s="471"/>
      <c r="G97" s="471"/>
      <c r="H97" s="472"/>
      <c r="I97" s="473"/>
      <c r="J97" s="471"/>
      <c r="K97" s="471"/>
      <c r="L97" s="471"/>
      <c r="M97" s="471"/>
      <c r="N97" s="471"/>
      <c r="O97" s="467">
        <v>1</v>
      </c>
      <c r="P97" s="471"/>
      <c r="Q97" s="471"/>
      <c r="R97" s="471"/>
      <c r="S97" s="471"/>
      <c r="T97" s="471"/>
      <c r="U97" s="471"/>
      <c r="V97" s="471"/>
      <c r="W97" s="471"/>
      <c r="X97" s="471"/>
      <c r="Y97" s="471"/>
      <c r="Z97" s="471"/>
      <c r="AA97" s="471"/>
      <c r="AB97" s="471"/>
      <c r="AC97" s="468">
        <v>1</v>
      </c>
    </row>
    <row r="98" spans="1:29" ht="20.25" customHeight="1">
      <c r="A98" s="589"/>
      <c r="B98" s="590"/>
      <c r="C98" s="591"/>
      <c r="D98" s="474"/>
      <c r="E98" s="474"/>
      <c r="F98" s="474"/>
      <c r="G98" s="474"/>
      <c r="H98" s="475"/>
      <c r="I98" s="476"/>
      <c r="J98" s="474"/>
      <c r="K98" s="474"/>
      <c r="L98" s="474"/>
      <c r="M98" s="474"/>
      <c r="N98" s="474"/>
      <c r="O98" s="469">
        <v>4761.17</v>
      </c>
      <c r="P98" s="474"/>
      <c r="Q98" s="474"/>
      <c r="R98" s="474"/>
      <c r="S98" s="474"/>
      <c r="T98" s="474"/>
      <c r="U98" s="474"/>
      <c r="V98" s="474"/>
      <c r="W98" s="474"/>
      <c r="X98" s="474"/>
      <c r="Y98" s="474"/>
      <c r="Z98" s="474"/>
      <c r="AA98" s="474"/>
      <c r="AB98" s="474"/>
      <c r="AC98" s="470">
        <v>4761.17</v>
      </c>
    </row>
    <row r="99" spans="1:29" ht="20.25" customHeight="1">
      <c r="A99" s="589" t="s">
        <v>493</v>
      </c>
      <c r="B99" s="590" t="s">
        <v>165</v>
      </c>
      <c r="C99" s="591">
        <v>1452.88</v>
      </c>
      <c r="D99" s="471"/>
      <c r="E99" s="471"/>
      <c r="F99" s="471"/>
      <c r="G99" s="471"/>
      <c r="H99" s="472"/>
      <c r="I99" s="473"/>
      <c r="J99" s="471"/>
      <c r="K99" s="471"/>
      <c r="L99" s="471"/>
      <c r="M99" s="471"/>
      <c r="N99" s="471"/>
      <c r="O99" s="467">
        <v>1</v>
      </c>
      <c r="P99" s="471"/>
      <c r="Q99" s="471"/>
      <c r="R99" s="471"/>
      <c r="S99" s="471"/>
      <c r="T99" s="471"/>
      <c r="U99" s="471"/>
      <c r="V99" s="471"/>
      <c r="W99" s="471"/>
      <c r="X99" s="471"/>
      <c r="Y99" s="471"/>
      <c r="Z99" s="471"/>
      <c r="AA99" s="471"/>
      <c r="AB99" s="471"/>
      <c r="AC99" s="468">
        <v>1</v>
      </c>
    </row>
    <row r="100" spans="1:29" ht="20.25" customHeight="1">
      <c r="A100" s="589"/>
      <c r="B100" s="590"/>
      <c r="C100" s="591"/>
      <c r="D100" s="474"/>
      <c r="E100" s="474"/>
      <c r="F100" s="474"/>
      <c r="G100" s="474"/>
      <c r="H100" s="475"/>
      <c r="I100" s="476"/>
      <c r="J100" s="474"/>
      <c r="K100" s="474"/>
      <c r="L100" s="474"/>
      <c r="M100" s="474"/>
      <c r="N100" s="474"/>
      <c r="O100" s="469">
        <v>1452.88</v>
      </c>
      <c r="P100" s="474"/>
      <c r="Q100" s="474"/>
      <c r="R100" s="474"/>
      <c r="S100" s="474"/>
      <c r="T100" s="474"/>
      <c r="U100" s="474"/>
      <c r="V100" s="474"/>
      <c r="W100" s="474"/>
      <c r="X100" s="474"/>
      <c r="Y100" s="474"/>
      <c r="Z100" s="474"/>
      <c r="AA100" s="474"/>
      <c r="AB100" s="474"/>
      <c r="AC100" s="470">
        <v>1452.88</v>
      </c>
    </row>
    <row r="101" spans="1:29" ht="20.25" customHeight="1">
      <c r="A101" s="589" t="s">
        <v>495</v>
      </c>
      <c r="B101" s="590" t="s">
        <v>170</v>
      </c>
      <c r="C101" s="591">
        <v>174208.09</v>
      </c>
      <c r="D101" s="471"/>
      <c r="E101" s="471"/>
      <c r="F101" s="471"/>
      <c r="G101" s="471"/>
      <c r="H101" s="472"/>
      <c r="I101" s="473"/>
      <c r="J101" s="471"/>
      <c r="K101" s="471"/>
      <c r="L101" s="471"/>
      <c r="M101" s="467">
        <v>0.33329999999999999</v>
      </c>
      <c r="N101" s="467">
        <v>0.33329999999999999</v>
      </c>
      <c r="O101" s="467">
        <v>0.33340000000000003</v>
      </c>
      <c r="P101" s="471"/>
      <c r="Q101" s="471"/>
      <c r="R101" s="471"/>
      <c r="S101" s="471"/>
      <c r="T101" s="471"/>
      <c r="U101" s="471"/>
      <c r="V101" s="471"/>
      <c r="W101" s="471"/>
      <c r="X101" s="471"/>
      <c r="Y101" s="471"/>
      <c r="Z101" s="471"/>
      <c r="AA101" s="471"/>
      <c r="AB101" s="471"/>
      <c r="AC101" s="468">
        <v>1</v>
      </c>
    </row>
    <row r="102" spans="1:29" ht="20.25" customHeight="1">
      <c r="A102" s="589"/>
      <c r="B102" s="590"/>
      <c r="C102" s="591"/>
      <c r="D102" s="474"/>
      <c r="E102" s="474"/>
      <c r="F102" s="474"/>
      <c r="G102" s="474"/>
      <c r="H102" s="475"/>
      <c r="I102" s="476"/>
      <c r="J102" s="474"/>
      <c r="K102" s="474"/>
      <c r="L102" s="474"/>
      <c r="M102" s="469">
        <v>58063.56</v>
      </c>
      <c r="N102" s="469">
        <v>58063.56</v>
      </c>
      <c r="O102" s="469">
        <v>58080.97</v>
      </c>
      <c r="P102" s="474"/>
      <c r="Q102" s="474"/>
      <c r="R102" s="474"/>
      <c r="S102" s="474"/>
      <c r="T102" s="474"/>
      <c r="U102" s="474"/>
      <c r="V102" s="474"/>
      <c r="W102" s="474"/>
      <c r="X102" s="474"/>
      <c r="Y102" s="474"/>
      <c r="Z102" s="474"/>
      <c r="AA102" s="474"/>
      <c r="AB102" s="474"/>
      <c r="AC102" s="470">
        <v>174208.09</v>
      </c>
    </row>
    <row r="103" spans="1:29" ht="20.25" customHeight="1">
      <c r="A103" s="589" t="s">
        <v>509</v>
      </c>
      <c r="B103" s="590" t="s">
        <v>510</v>
      </c>
      <c r="C103" s="591">
        <v>384780.74</v>
      </c>
      <c r="D103" s="471"/>
      <c r="E103" s="471"/>
      <c r="F103" s="471"/>
      <c r="G103" s="471"/>
      <c r="H103" s="472"/>
      <c r="I103" s="473"/>
      <c r="J103" s="471"/>
      <c r="K103" s="471"/>
      <c r="L103" s="471"/>
      <c r="M103" s="471"/>
      <c r="N103" s="471"/>
      <c r="O103" s="471"/>
      <c r="P103" s="467">
        <v>0.25800000000000001</v>
      </c>
      <c r="Q103" s="467">
        <v>0.36340000000000006</v>
      </c>
      <c r="R103" s="467">
        <v>0.37859999999999999</v>
      </c>
      <c r="S103" s="471"/>
      <c r="T103" s="471"/>
      <c r="U103" s="471"/>
      <c r="V103" s="471"/>
      <c r="W103" s="471"/>
      <c r="X103" s="471"/>
      <c r="Y103" s="471"/>
      <c r="Z103" s="471"/>
      <c r="AA103" s="471"/>
      <c r="AB103" s="471"/>
      <c r="AC103" s="468">
        <v>1</v>
      </c>
    </row>
    <row r="104" spans="1:29" ht="20.25" customHeight="1">
      <c r="A104" s="589"/>
      <c r="B104" s="590"/>
      <c r="C104" s="591"/>
      <c r="D104" s="474"/>
      <c r="E104" s="474"/>
      <c r="F104" s="474"/>
      <c r="G104" s="474"/>
      <c r="H104" s="475"/>
      <c r="I104" s="476"/>
      <c r="J104" s="474"/>
      <c r="K104" s="474"/>
      <c r="L104" s="474"/>
      <c r="M104" s="474"/>
      <c r="N104" s="474"/>
      <c r="O104" s="474"/>
      <c r="P104" s="469">
        <v>99255.38</v>
      </c>
      <c r="Q104" s="469">
        <v>139832.37</v>
      </c>
      <c r="R104" s="469">
        <v>145692.99</v>
      </c>
      <c r="S104" s="474"/>
      <c r="T104" s="474"/>
      <c r="U104" s="474"/>
      <c r="V104" s="474"/>
      <c r="W104" s="474"/>
      <c r="X104" s="474"/>
      <c r="Y104" s="474"/>
      <c r="Z104" s="474"/>
      <c r="AA104" s="474"/>
      <c r="AB104" s="474"/>
      <c r="AC104" s="470">
        <v>384780.74</v>
      </c>
    </row>
    <row r="105" spans="1:29" ht="20.25" customHeight="1">
      <c r="A105" s="589" t="s">
        <v>511</v>
      </c>
      <c r="B105" s="590" t="s">
        <v>15</v>
      </c>
      <c r="C105" s="591">
        <v>7783.05</v>
      </c>
      <c r="D105" s="471"/>
      <c r="E105" s="471"/>
      <c r="F105" s="471"/>
      <c r="G105" s="471"/>
      <c r="H105" s="472"/>
      <c r="I105" s="473"/>
      <c r="J105" s="471"/>
      <c r="K105" s="471"/>
      <c r="L105" s="471"/>
      <c r="M105" s="471"/>
      <c r="N105" s="471"/>
      <c r="O105" s="471"/>
      <c r="P105" s="467">
        <v>1</v>
      </c>
      <c r="Q105" s="471"/>
      <c r="R105" s="471"/>
      <c r="S105" s="471"/>
      <c r="T105" s="471"/>
      <c r="U105" s="471"/>
      <c r="V105" s="471"/>
      <c r="W105" s="471"/>
      <c r="X105" s="471"/>
      <c r="Y105" s="471"/>
      <c r="Z105" s="471"/>
      <c r="AA105" s="471"/>
      <c r="AB105" s="471"/>
      <c r="AC105" s="468">
        <v>1</v>
      </c>
    </row>
    <row r="106" spans="1:29" ht="20.25" customHeight="1">
      <c r="A106" s="589"/>
      <c r="B106" s="590"/>
      <c r="C106" s="591"/>
      <c r="D106" s="474"/>
      <c r="E106" s="474"/>
      <c r="F106" s="474"/>
      <c r="G106" s="474"/>
      <c r="H106" s="475"/>
      <c r="I106" s="476"/>
      <c r="J106" s="474"/>
      <c r="K106" s="474"/>
      <c r="L106" s="474"/>
      <c r="M106" s="474"/>
      <c r="N106" s="474"/>
      <c r="O106" s="474"/>
      <c r="P106" s="469">
        <v>7783.05</v>
      </c>
      <c r="Q106" s="474"/>
      <c r="R106" s="474"/>
      <c r="S106" s="474"/>
      <c r="T106" s="474"/>
      <c r="U106" s="474"/>
      <c r="V106" s="474"/>
      <c r="W106" s="474"/>
      <c r="X106" s="474"/>
      <c r="Y106" s="474"/>
      <c r="Z106" s="474"/>
      <c r="AA106" s="474"/>
      <c r="AB106" s="474"/>
      <c r="AC106" s="470">
        <v>7783.05</v>
      </c>
    </row>
    <row r="107" spans="1:29" ht="20.25" customHeight="1">
      <c r="A107" s="589" t="s">
        <v>514</v>
      </c>
      <c r="B107" s="590" t="s">
        <v>26</v>
      </c>
      <c r="C107" s="591">
        <v>16378.25</v>
      </c>
      <c r="D107" s="471"/>
      <c r="E107" s="471"/>
      <c r="F107" s="471"/>
      <c r="G107" s="471"/>
      <c r="H107" s="472"/>
      <c r="I107" s="473"/>
      <c r="J107" s="471"/>
      <c r="K107" s="471"/>
      <c r="L107" s="471"/>
      <c r="M107" s="471"/>
      <c r="N107" s="471"/>
      <c r="O107" s="471"/>
      <c r="P107" s="467">
        <v>0.33329999999999999</v>
      </c>
      <c r="Q107" s="467">
        <v>0.33329999999999999</v>
      </c>
      <c r="R107" s="467">
        <v>0.33340000000000003</v>
      </c>
      <c r="S107" s="471"/>
      <c r="T107" s="471"/>
      <c r="U107" s="471"/>
      <c r="V107" s="471"/>
      <c r="W107" s="471"/>
      <c r="X107" s="471"/>
      <c r="Y107" s="471"/>
      <c r="Z107" s="471"/>
      <c r="AA107" s="471"/>
      <c r="AB107" s="471"/>
      <c r="AC107" s="468">
        <v>1</v>
      </c>
    </row>
    <row r="108" spans="1:29" ht="20.25" customHeight="1">
      <c r="A108" s="589"/>
      <c r="B108" s="590"/>
      <c r="C108" s="591"/>
      <c r="D108" s="474"/>
      <c r="E108" s="474"/>
      <c r="F108" s="474"/>
      <c r="G108" s="474"/>
      <c r="H108" s="475"/>
      <c r="I108" s="476"/>
      <c r="J108" s="474"/>
      <c r="K108" s="474"/>
      <c r="L108" s="474"/>
      <c r="M108" s="474"/>
      <c r="N108" s="474"/>
      <c r="O108" s="474"/>
      <c r="P108" s="469">
        <v>5458.87</v>
      </c>
      <c r="Q108" s="469">
        <v>5458.87</v>
      </c>
      <c r="R108" s="469">
        <v>5460.51</v>
      </c>
      <c r="S108" s="474"/>
      <c r="T108" s="474"/>
      <c r="U108" s="474"/>
      <c r="V108" s="474"/>
      <c r="W108" s="474"/>
      <c r="X108" s="474"/>
      <c r="Y108" s="474"/>
      <c r="Z108" s="474"/>
      <c r="AA108" s="474"/>
      <c r="AB108" s="474"/>
      <c r="AC108" s="470">
        <v>16378.25</v>
      </c>
    </row>
    <row r="109" spans="1:29" ht="20.25" customHeight="1">
      <c r="A109" s="589" t="s">
        <v>517</v>
      </c>
      <c r="B109" s="590" t="s">
        <v>36</v>
      </c>
      <c r="C109" s="591">
        <v>4094.66</v>
      </c>
      <c r="D109" s="471"/>
      <c r="E109" s="471"/>
      <c r="F109" s="471"/>
      <c r="G109" s="471"/>
      <c r="H109" s="472"/>
      <c r="I109" s="473"/>
      <c r="J109" s="471"/>
      <c r="K109" s="471"/>
      <c r="L109" s="471"/>
      <c r="M109" s="471"/>
      <c r="N109" s="471"/>
      <c r="O109" s="471"/>
      <c r="P109" s="467">
        <v>1</v>
      </c>
      <c r="Q109" s="471"/>
      <c r="R109" s="471"/>
      <c r="S109" s="471"/>
      <c r="T109" s="471"/>
      <c r="U109" s="471"/>
      <c r="V109" s="471"/>
      <c r="W109" s="471"/>
      <c r="X109" s="471"/>
      <c r="Y109" s="471"/>
      <c r="Z109" s="471"/>
      <c r="AA109" s="471"/>
      <c r="AB109" s="471"/>
      <c r="AC109" s="468">
        <v>1</v>
      </c>
    </row>
    <row r="110" spans="1:29" ht="20.25" customHeight="1">
      <c r="A110" s="589"/>
      <c r="B110" s="590"/>
      <c r="C110" s="591"/>
      <c r="D110" s="474"/>
      <c r="E110" s="474"/>
      <c r="F110" s="474"/>
      <c r="G110" s="474"/>
      <c r="H110" s="475"/>
      <c r="I110" s="476"/>
      <c r="J110" s="474"/>
      <c r="K110" s="474"/>
      <c r="L110" s="474"/>
      <c r="M110" s="474"/>
      <c r="N110" s="474"/>
      <c r="O110" s="474"/>
      <c r="P110" s="469">
        <v>4094.66</v>
      </c>
      <c r="Q110" s="474"/>
      <c r="R110" s="474"/>
      <c r="S110" s="474"/>
      <c r="T110" s="474"/>
      <c r="U110" s="474"/>
      <c r="V110" s="474"/>
      <c r="W110" s="474"/>
      <c r="X110" s="474"/>
      <c r="Y110" s="474"/>
      <c r="Z110" s="474"/>
      <c r="AA110" s="474"/>
      <c r="AB110" s="474"/>
      <c r="AC110" s="470">
        <v>4094.66</v>
      </c>
    </row>
    <row r="111" spans="1:29" ht="20.25" customHeight="1">
      <c r="A111" s="589" t="s">
        <v>524</v>
      </c>
      <c r="B111" s="590" t="s">
        <v>381</v>
      </c>
      <c r="C111" s="591">
        <v>11573.85</v>
      </c>
      <c r="D111" s="471"/>
      <c r="E111" s="471"/>
      <c r="F111" s="471"/>
      <c r="G111" s="471"/>
      <c r="H111" s="472"/>
      <c r="I111" s="473"/>
      <c r="J111" s="471"/>
      <c r="K111" s="471"/>
      <c r="L111" s="471"/>
      <c r="M111" s="471"/>
      <c r="N111" s="471"/>
      <c r="O111" s="471"/>
      <c r="P111" s="467">
        <v>0.6</v>
      </c>
      <c r="Q111" s="467">
        <v>0.4</v>
      </c>
      <c r="R111" s="471"/>
      <c r="S111" s="471"/>
      <c r="T111" s="471"/>
      <c r="U111" s="471"/>
      <c r="V111" s="471"/>
      <c r="W111" s="471"/>
      <c r="X111" s="471"/>
      <c r="Y111" s="471"/>
      <c r="Z111" s="471"/>
      <c r="AA111" s="471"/>
      <c r="AB111" s="471"/>
      <c r="AC111" s="468">
        <v>1</v>
      </c>
    </row>
    <row r="112" spans="1:29" ht="20.25" customHeight="1">
      <c r="A112" s="589"/>
      <c r="B112" s="590"/>
      <c r="C112" s="591"/>
      <c r="D112" s="474"/>
      <c r="E112" s="474"/>
      <c r="F112" s="474"/>
      <c r="G112" s="474"/>
      <c r="H112" s="475"/>
      <c r="I112" s="476"/>
      <c r="J112" s="474"/>
      <c r="K112" s="474"/>
      <c r="L112" s="474"/>
      <c r="M112" s="474"/>
      <c r="N112" s="474"/>
      <c r="O112" s="474"/>
      <c r="P112" s="469">
        <v>6944.31</v>
      </c>
      <c r="Q112" s="469">
        <v>4629.54</v>
      </c>
      <c r="R112" s="474"/>
      <c r="S112" s="474"/>
      <c r="T112" s="474"/>
      <c r="U112" s="474"/>
      <c r="V112" s="474"/>
      <c r="W112" s="474"/>
      <c r="X112" s="474"/>
      <c r="Y112" s="474"/>
      <c r="Z112" s="474"/>
      <c r="AA112" s="474"/>
      <c r="AB112" s="474"/>
      <c r="AC112" s="470">
        <v>11573.85</v>
      </c>
    </row>
    <row r="113" spans="1:29" ht="20.25" customHeight="1">
      <c r="A113" s="589" t="s">
        <v>529</v>
      </c>
      <c r="B113" s="590" t="s">
        <v>11</v>
      </c>
      <c r="C113" s="591">
        <v>123164.56</v>
      </c>
      <c r="D113" s="471"/>
      <c r="E113" s="471"/>
      <c r="F113" s="471"/>
      <c r="G113" s="471"/>
      <c r="H113" s="472"/>
      <c r="I113" s="473"/>
      <c r="J113" s="471"/>
      <c r="K113" s="471"/>
      <c r="L113" s="471"/>
      <c r="M113" s="471"/>
      <c r="N113" s="471"/>
      <c r="O113" s="471"/>
      <c r="P113" s="471"/>
      <c r="Q113" s="467">
        <v>0.4</v>
      </c>
      <c r="R113" s="467">
        <v>0.6</v>
      </c>
      <c r="S113" s="471"/>
      <c r="T113" s="471"/>
      <c r="U113" s="471"/>
      <c r="V113" s="471"/>
      <c r="W113" s="471"/>
      <c r="X113" s="471"/>
      <c r="Y113" s="471"/>
      <c r="Z113" s="471"/>
      <c r="AA113" s="471"/>
      <c r="AB113" s="471"/>
      <c r="AC113" s="468">
        <v>1</v>
      </c>
    </row>
    <row r="114" spans="1:29" ht="20.25" customHeight="1">
      <c r="A114" s="589"/>
      <c r="B114" s="590"/>
      <c r="C114" s="591"/>
      <c r="D114" s="474"/>
      <c r="E114" s="474"/>
      <c r="F114" s="474"/>
      <c r="G114" s="474"/>
      <c r="H114" s="475"/>
      <c r="I114" s="476"/>
      <c r="J114" s="474"/>
      <c r="K114" s="474"/>
      <c r="L114" s="474"/>
      <c r="M114" s="474"/>
      <c r="N114" s="474"/>
      <c r="O114" s="474"/>
      <c r="P114" s="474"/>
      <c r="Q114" s="469">
        <v>49265.82</v>
      </c>
      <c r="R114" s="469">
        <v>73898.740000000005</v>
      </c>
      <c r="S114" s="474"/>
      <c r="T114" s="474"/>
      <c r="U114" s="474"/>
      <c r="V114" s="474"/>
      <c r="W114" s="474"/>
      <c r="X114" s="474"/>
      <c r="Y114" s="474"/>
      <c r="Z114" s="474"/>
      <c r="AA114" s="474"/>
      <c r="AB114" s="474"/>
      <c r="AC114" s="470">
        <v>123164.56</v>
      </c>
    </row>
    <row r="115" spans="1:29" ht="20.25" customHeight="1">
      <c r="A115" s="589" t="s">
        <v>537</v>
      </c>
      <c r="B115" s="590" t="s">
        <v>120</v>
      </c>
      <c r="C115" s="591">
        <v>27518.25</v>
      </c>
      <c r="D115" s="471"/>
      <c r="E115" s="471"/>
      <c r="F115" s="471"/>
      <c r="G115" s="471"/>
      <c r="H115" s="472"/>
      <c r="I115" s="473"/>
      <c r="J115" s="471"/>
      <c r="K115" s="471"/>
      <c r="L115" s="471"/>
      <c r="M115" s="471"/>
      <c r="N115" s="471"/>
      <c r="O115" s="471"/>
      <c r="P115" s="467">
        <v>0.4</v>
      </c>
      <c r="Q115" s="467">
        <v>0.6</v>
      </c>
      <c r="R115" s="471"/>
      <c r="S115" s="471"/>
      <c r="T115" s="471"/>
      <c r="U115" s="471"/>
      <c r="V115" s="471"/>
      <c r="W115" s="471"/>
      <c r="X115" s="471"/>
      <c r="Y115" s="471"/>
      <c r="Z115" s="471"/>
      <c r="AA115" s="471"/>
      <c r="AB115" s="471"/>
      <c r="AC115" s="468">
        <v>1</v>
      </c>
    </row>
    <row r="116" spans="1:29" ht="20.25" customHeight="1">
      <c r="A116" s="589"/>
      <c r="B116" s="590"/>
      <c r="C116" s="591"/>
      <c r="D116" s="474"/>
      <c r="E116" s="474"/>
      <c r="F116" s="474"/>
      <c r="G116" s="474"/>
      <c r="H116" s="475"/>
      <c r="I116" s="476"/>
      <c r="J116" s="474"/>
      <c r="K116" s="474"/>
      <c r="L116" s="474"/>
      <c r="M116" s="474"/>
      <c r="N116" s="474"/>
      <c r="O116" s="474"/>
      <c r="P116" s="469">
        <v>11007.3</v>
      </c>
      <c r="Q116" s="469">
        <v>16510.95</v>
      </c>
      <c r="R116" s="474"/>
      <c r="S116" s="474"/>
      <c r="T116" s="474"/>
      <c r="U116" s="474"/>
      <c r="V116" s="474"/>
      <c r="W116" s="474"/>
      <c r="X116" s="474"/>
      <c r="Y116" s="474"/>
      <c r="Z116" s="474"/>
      <c r="AA116" s="474"/>
      <c r="AB116" s="474"/>
      <c r="AC116" s="470">
        <v>27518.25</v>
      </c>
    </row>
    <row r="117" spans="1:29" ht="20.25" customHeight="1">
      <c r="A117" s="589" t="s">
        <v>543</v>
      </c>
      <c r="B117" s="590" t="s">
        <v>138</v>
      </c>
      <c r="C117" s="591">
        <v>2347.36</v>
      </c>
      <c r="D117" s="471"/>
      <c r="E117" s="471"/>
      <c r="F117" s="471"/>
      <c r="G117" s="471"/>
      <c r="H117" s="472"/>
      <c r="I117" s="473"/>
      <c r="J117" s="471"/>
      <c r="K117" s="471"/>
      <c r="L117" s="471"/>
      <c r="M117" s="471"/>
      <c r="N117" s="471"/>
      <c r="O117" s="471"/>
      <c r="P117" s="471"/>
      <c r="Q117" s="471"/>
      <c r="R117" s="467">
        <v>1</v>
      </c>
      <c r="S117" s="471"/>
      <c r="T117" s="471"/>
      <c r="U117" s="471"/>
      <c r="V117" s="471"/>
      <c r="W117" s="471"/>
      <c r="X117" s="471"/>
      <c r="Y117" s="471"/>
      <c r="Z117" s="471"/>
      <c r="AA117" s="471"/>
      <c r="AB117" s="471"/>
      <c r="AC117" s="468">
        <v>1</v>
      </c>
    </row>
    <row r="118" spans="1:29" ht="20.25" customHeight="1">
      <c r="A118" s="589"/>
      <c r="B118" s="590"/>
      <c r="C118" s="591"/>
      <c r="D118" s="474"/>
      <c r="E118" s="474"/>
      <c r="F118" s="474"/>
      <c r="G118" s="474"/>
      <c r="H118" s="475"/>
      <c r="I118" s="476"/>
      <c r="J118" s="474"/>
      <c r="K118" s="474"/>
      <c r="L118" s="474"/>
      <c r="M118" s="474"/>
      <c r="N118" s="474"/>
      <c r="O118" s="474"/>
      <c r="P118" s="474"/>
      <c r="Q118" s="474"/>
      <c r="R118" s="469">
        <v>2347.36</v>
      </c>
      <c r="S118" s="474"/>
      <c r="T118" s="474"/>
      <c r="U118" s="474"/>
      <c r="V118" s="474"/>
      <c r="W118" s="474"/>
      <c r="X118" s="474"/>
      <c r="Y118" s="474"/>
      <c r="Z118" s="474"/>
      <c r="AA118" s="474"/>
      <c r="AB118" s="474"/>
      <c r="AC118" s="470">
        <v>2347.36</v>
      </c>
    </row>
    <row r="119" spans="1:29" ht="20.25" customHeight="1">
      <c r="A119" s="589" t="s">
        <v>548</v>
      </c>
      <c r="B119" s="590" t="s">
        <v>170</v>
      </c>
      <c r="C119" s="591">
        <v>191920.76</v>
      </c>
      <c r="D119" s="471"/>
      <c r="E119" s="471"/>
      <c r="F119" s="471"/>
      <c r="G119" s="471"/>
      <c r="H119" s="472"/>
      <c r="I119" s="473"/>
      <c r="J119" s="471"/>
      <c r="K119" s="471"/>
      <c r="L119" s="471"/>
      <c r="M119" s="471"/>
      <c r="N119" s="471"/>
      <c r="O119" s="471"/>
      <c r="P119" s="467">
        <v>0.33329999999999999</v>
      </c>
      <c r="Q119" s="467">
        <v>0.33329999999999999</v>
      </c>
      <c r="R119" s="467">
        <v>0.33340000000000003</v>
      </c>
      <c r="S119" s="471"/>
      <c r="T119" s="471"/>
      <c r="U119" s="471"/>
      <c r="V119" s="471"/>
      <c r="W119" s="471"/>
      <c r="X119" s="471"/>
      <c r="Y119" s="471"/>
      <c r="Z119" s="471"/>
      <c r="AA119" s="471"/>
      <c r="AB119" s="471"/>
      <c r="AC119" s="468">
        <v>1</v>
      </c>
    </row>
    <row r="120" spans="1:29" ht="20.25" customHeight="1">
      <c r="A120" s="589"/>
      <c r="B120" s="590"/>
      <c r="C120" s="591"/>
      <c r="D120" s="474"/>
      <c r="E120" s="474"/>
      <c r="F120" s="474"/>
      <c r="G120" s="474"/>
      <c r="H120" s="475"/>
      <c r="I120" s="476"/>
      <c r="J120" s="474"/>
      <c r="K120" s="474"/>
      <c r="L120" s="474"/>
      <c r="M120" s="474"/>
      <c r="N120" s="474"/>
      <c r="O120" s="474"/>
      <c r="P120" s="469">
        <v>63967.19</v>
      </c>
      <c r="Q120" s="469">
        <v>63967.19</v>
      </c>
      <c r="R120" s="469">
        <v>63986.38</v>
      </c>
      <c r="S120" s="474"/>
      <c r="T120" s="474"/>
      <c r="U120" s="474"/>
      <c r="V120" s="474"/>
      <c r="W120" s="474"/>
      <c r="X120" s="474"/>
      <c r="Y120" s="474"/>
      <c r="Z120" s="474"/>
      <c r="AA120" s="474"/>
      <c r="AB120" s="474"/>
      <c r="AC120" s="470">
        <v>191920.76</v>
      </c>
    </row>
    <row r="121" spans="1:29" ht="20.25" customHeight="1">
      <c r="A121" s="589" t="s">
        <v>556</v>
      </c>
      <c r="B121" s="590" t="s">
        <v>557</v>
      </c>
      <c r="C121" s="591">
        <v>464222.44</v>
      </c>
      <c r="D121" s="471"/>
      <c r="E121" s="471"/>
      <c r="F121" s="471"/>
      <c r="G121" s="471"/>
      <c r="H121" s="472"/>
      <c r="I121" s="473"/>
      <c r="J121" s="471"/>
      <c r="K121" s="471"/>
      <c r="L121" s="471"/>
      <c r="M121" s="471"/>
      <c r="N121" s="471"/>
      <c r="O121" s="471"/>
      <c r="P121" s="471"/>
      <c r="Q121" s="471"/>
      <c r="R121" s="471"/>
      <c r="S121" s="467">
        <v>0.27289999999999998</v>
      </c>
      <c r="T121" s="467">
        <v>0.40079999999999999</v>
      </c>
      <c r="U121" s="467">
        <v>0.32630000000000003</v>
      </c>
      <c r="V121" s="471"/>
      <c r="W121" s="471"/>
      <c r="X121" s="471"/>
      <c r="Y121" s="471"/>
      <c r="Z121" s="471"/>
      <c r="AA121" s="471"/>
      <c r="AB121" s="471"/>
      <c r="AC121" s="468">
        <v>1</v>
      </c>
    </row>
    <row r="122" spans="1:29" ht="20.25" customHeight="1">
      <c r="A122" s="589"/>
      <c r="B122" s="590"/>
      <c r="C122" s="591"/>
      <c r="D122" s="474"/>
      <c r="E122" s="474"/>
      <c r="F122" s="474"/>
      <c r="G122" s="474"/>
      <c r="H122" s="475"/>
      <c r="I122" s="476"/>
      <c r="J122" s="474"/>
      <c r="K122" s="474"/>
      <c r="L122" s="474"/>
      <c r="M122" s="474"/>
      <c r="N122" s="474"/>
      <c r="O122" s="474"/>
      <c r="P122" s="474"/>
      <c r="Q122" s="474"/>
      <c r="R122" s="474"/>
      <c r="S122" s="469">
        <v>126696.38</v>
      </c>
      <c r="T122" s="469">
        <v>186040.77</v>
      </c>
      <c r="U122" s="469">
        <v>151485.29</v>
      </c>
      <c r="V122" s="474"/>
      <c r="W122" s="474"/>
      <c r="X122" s="474"/>
      <c r="Y122" s="474"/>
      <c r="Z122" s="474"/>
      <c r="AA122" s="474"/>
      <c r="AB122" s="474"/>
      <c r="AC122" s="470">
        <v>464222.44</v>
      </c>
    </row>
    <row r="123" spans="1:29" ht="20.25" customHeight="1">
      <c r="A123" s="589" t="s">
        <v>558</v>
      </c>
      <c r="B123" s="590" t="s">
        <v>15</v>
      </c>
      <c r="C123" s="591">
        <v>7783.05</v>
      </c>
      <c r="D123" s="471"/>
      <c r="E123" s="471"/>
      <c r="F123" s="471"/>
      <c r="G123" s="471"/>
      <c r="H123" s="472"/>
      <c r="I123" s="473"/>
      <c r="J123" s="471"/>
      <c r="K123" s="471"/>
      <c r="L123" s="471"/>
      <c r="M123" s="471"/>
      <c r="N123" s="471"/>
      <c r="O123" s="471"/>
      <c r="P123" s="471"/>
      <c r="Q123" s="471"/>
      <c r="R123" s="471"/>
      <c r="S123" s="467">
        <v>1</v>
      </c>
      <c r="T123" s="471"/>
      <c r="U123" s="471"/>
      <c r="V123" s="471"/>
      <c r="W123" s="471"/>
      <c r="X123" s="471"/>
      <c r="Y123" s="471"/>
      <c r="Z123" s="471"/>
      <c r="AA123" s="471"/>
      <c r="AB123" s="471"/>
      <c r="AC123" s="468">
        <v>1</v>
      </c>
    </row>
    <row r="124" spans="1:29" ht="20.25" customHeight="1">
      <c r="A124" s="589"/>
      <c r="B124" s="590"/>
      <c r="C124" s="591"/>
      <c r="D124" s="474"/>
      <c r="E124" s="474"/>
      <c r="F124" s="474"/>
      <c r="G124" s="474"/>
      <c r="H124" s="475"/>
      <c r="I124" s="476"/>
      <c r="J124" s="474"/>
      <c r="K124" s="474"/>
      <c r="L124" s="474"/>
      <c r="M124" s="474"/>
      <c r="N124" s="474"/>
      <c r="O124" s="474"/>
      <c r="P124" s="474"/>
      <c r="Q124" s="474"/>
      <c r="R124" s="474"/>
      <c r="S124" s="469">
        <v>7783.05</v>
      </c>
      <c r="T124" s="474"/>
      <c r="U124" s="474"/>
      <c r="V124" s="474"/>
      <c r="W124" s="474"/>
      <c r="X124" s="474"/>
      <c r="Y124" s="474"/>
      <c r="Z124" s="474"/>
      <c r="AA124" s="474"/>
      <c r="AB124" s="474"/>
      <c r="AC124" s="470">
        <v>7783.05</v>
      </c>
    </row>
    <row r="125" spans="1:29" ht="20.25" customHeight="1">
      <c r="A125" s="589" t="s">
        <v>561</v>
      </c>
      <c r="B125" s="590" t="s">
        <v>26</v>
      </c>
      <c r="C125" s="591">
        <v>19280.63</v>
      </c>
      <c r="D125" s="471"/>
      <c r="E125" s="471"/>
      <c r="F125" s="471"/>
      <c r="G125" s="471"/>
      <c r="H125" s="472"/>
      <c r="I125" s="473"/>
      <c r="J125" s="471"/>
      <c r="K125" s="471"/>
      <c r="L125" s="471"/>
      <c r="M125" s="471"/>
      <c r="N125" s="471"/>
      <c r="O125" s="471"/>
      <c r="P125" s="471"/>
      <c r="Q125" s="471"/>
      <c r="R125" s="471"/>
      <c r="S125" s="467">
        <v>0.33329999999999999</v>
      </c>
      <c r="T125" s="467">
        <v>0.33329999999999999</v>
      </c>
      <c r="U125" s="467">
        <v>0.33340000000000003</v>
      </c>
      <c r="V125" s="471"/>
      <c r="W125" s="471"/>
      <c r="X125" s="471"/>
      <c r="Y125" s="471"/>
      <c r="Z125" s="471"/>
      <c r="AA125" s="471"/>
      <c r="AB125" s="471"/>
      <c r="AC125" s="468">
        <v>1</v>
      </c>
    </row>
    <row r="126" spans="1:29" ht="20.25" customHeight="1">
      <c r="A126" s="589"/>
      <c r="B126" s="590"/>
      <c r="C126" s="591"/>
      <c r="D126" s="474"/>
      <c r="E126" s="474"/>
      <c r="F126" s="474"/>
      <c r="G126" s="474"/>
      <c r="H126" s="475"/>
      <c r="I126" s="476"/>
      <c r="J126" s="474"/>
      <c r="K126" s="474"/>
      <c r="L126" s="474"/>
      <c r="M126" s="474"/>
      <c r="N126" s="474"/>
      <c r="O126" s="474"/>
      <c r="P126" s="474"/>
      <c r="Q126" s="474"/>
      <c r="R126" s="474"/>
      <c r="S126" s="469">
        <v>6426.23</v>
      </c>
      <c r="T126" s="469">
        <v>6426.23</v>
      </c>
      <c r="U126" s="469">
        <v>6428.17</v>
      </c>
      <c r="V126" s="474"/>
      <c r="W126" s="474"/>
      <c r="X126" s="474"/>
      <c r="Y126" s="474"/>
      <c r="Z126" s="474"/>
      <c r="AA126" s="474"/>
      <c r="AB126" s="474"/>
      <c r="AC126" s="470">
        <v>19280.63</v>
      </c>
    </row>
    <row r="127" spans="1:29" ht="20.25" customHeight="1">
      <c r="A127" s="589" t="s">
        <v>564</v>
      </c>
      <c r="B127" s="590" t="s">
        <v>36</v>
      </c>
      <c r="C127" s="591">
        <v>3525.39</v>
      </c>
      <c r="D127" s="471"/>
      <c r="E127" s="471"/>
      <c r="F127" s="471"/>
      <c r="G127" s="471"/>
      <c r="H127" s="472"/>
      <c r="I127" s="473"/>
      <c r="J127" s="471"/>
      <c r="K127" s="471"/>
      <c r="L127" s="471"/>
      <c r="M127" s="471"/>
      <c r="N127" s="471"/>
      <c r="O127" s="471"/>
      <c r="P127" s="471"/>
      <c r="Q127" s="471"/>
      <c r="R127" s="471"/>
      <c r="S127" s="467">
        <v>1</v>
      </c>
      <c r="T127" s="471"/>
      <c r="U127" s="471"/>
      <c r="V127" s="471"/>
      <c r="W127" s="471"/>
      <c r="X127" s="471"/>
      <c r="Y127" s="471"/>
      <c r="Z127" s="471"/>
      <c r="AA127" s="471"/>
      <c r="AB127" s="471"/>
      <c r="AC127" s="468">
        <v>1</v>
      </c>
    </row>
    <row r="128" spans="1:29" ht="20.25" customHeight="1">
      <c r="A128" s="589"/>
      <c r="B128" s="590"/>
      <c r="C128" s="591"/>
      <c r="D128" s="474"/>
      <c r="E128" s="474"/>
      <c r="F128" s="474"/>
      <c r="G128" s="474"/>
      <c r="H128" s="475"/>
      <c r="I128" s="476"/>
      <c r="J128" s="474"/>
      <c r="K128" s="474"/>
      <c r="L128" s="474"/>
      <c r="M128" s="474"/>
      <c r="N128" s="474"/>
      <c r="O128" s="474"/>
      <c r="P128" s="474"/>
      <c r="Q128" s="474"/>
      <c r="R128" s="474"/>
      <c r="S128" s="469">
        <v>3525.39</v>
      </c>
      <c r="T128" s="474"/>
      <c r="U128" s="474"/>
      <c r="V128" s="474"/>
      <c r="W128" s="474"/>
      <c r="X128" s="474"/>
      <c r="Y128" s="474"/>
      <c r="Z128" s="474"/>
      <c r="AA128" s="474"/>
      <c r="AB128" s="474"/>
      <c r="AC128" s="470">
        <v>3525.39</v>
      </c>
    </row>
    <row r="129" spans="1:29" ht="20.25" customHeight="1">
      <c r="A129" s="589" t="s">
        <v>569</v>
      </c>
      <c r="B129" s="590" t="s">
        <v>381</v>
      </c>
      <c r="C129" s="591">
        <v>14273.67</v>
      </c>
      <c r="D129" s="471"/>
      <c r="E129" s="471"/>
      <c r="F129" s="471"/>
      <c r="G129" s="471"/>
      <c r="H129" s="472"/>
      <c r="I129" s="473"/>
      <c r="J129" s="471"/>
      <c r="K129" s="471"/>
      <c r="L129" s="471"/>
      <c r="M129" s="471"/>
      <c r="N129" s="471"/>
      <c r="O129" s="471"/>
      <c r="P129" s="471"/>
      <c r="Q129" s="471"/>
      <c r="R129" s="471"/>
      <c r="S129" s="467">
        <v>0.6</v>
      </c>
      <c r="T129" s="467">
        <v>0.4</v>
      </c>
      <c r="U129" s="471"/>
      <c r="V129" s="471"/>
      <c r="W129" s="471"/>
      <c r="X129" s="471"/>
      <c r="Y129" s="471"/>
      <c r="Z129" s="471"/>
      <c r="AA129" s="471"/>
      <c r="AB129" s="471"/>
      <c r="AC129" s="468">
        <v>1</v>
      </c>
    </row>
    <row r="130" spans="1:29" ht="20.25" customHeight="1">
      <c r="A130" s="589"/>
      <c r="B130" s="590"/>
      <c r="C130" s="591"/>
      <c r="D130" s="474"/>
      <c r="E130" s="474"/>
      <c r="F130" s="474"/>
      <c r="G130" s="474"/>
      <c r="H130" s="475"/>
      <c r="I130" s="476"/>
      <c r="J130" s="474"/>
      <c r="K130" s="474"/>
      <c r="L130" s="474"/>
      <c r="M130" s="474"/>
      <c r="N130" s="474"/>
      <c r="O130" s="474"/>
      <c r="P130" s="474"/>
      <c r="Q130" s="474"/>
      <c r="R130" s="474"/>
      <c r="S130" s="469">
        <v>8564.2000000000007</v>
      </c>
      <c r="T130" s="469">
        <v>5709.47</v>
      </c>
      <c r="U130" s="474"/>
      <c r="V130" s="474"/>
      <c r="W130" s="474"/>
      <c r="X130" s="474"/>
      <c r="Y130" s="474"/>
      <c r="Z130" s="474"/>
      <c r="AA130" s="474"/>
      <c r="AB130" s="474"/>
      <c r="AC130" s="470">
        <v>14273.67</v>
      </c>
    </row>
    <row r="131" spans="1:29" ht="20.25" customHeight="1">
      <c r="A131" s="589" t="s">
        <v>574</v>
      </c>
      <c r="B131" s="590" t="s">
        <v>11</v>
      </c>
      <c r="C131" s="591">
        <v>134743.32999999999</v>
      </c>
      <c r="D131" s="471"/>
      <c r="E131" s="471"/>
      <c r="F131" s="471"/>
      <c r="G131" s="471"/>
      <c r="H131" s="472"/>
      <c r="I131" s="473"/>
      <c r="J131" s="471"/>
      <c r="K131" s="471"/>
      <c r="L131" s="471"/>
      <c r="M131" s="471"/>
      <c r="N131" s="471"/>
      <c r="O131" s="471"/>
      <c r="P131" s="471"/>
      <c r="Q131" s="471"/>
      <c r="R131" s="471"/>
      <c r="S131" s="471"/>
      <c r="T131" s="467">
        <v>0.4</v>
      </c>
      <c r="U131" s="467">
        <v>0.6</v>
      </c>
      <c r="V131" s="471"/>
      <c r="W131" s="471"/>
      <c r="X131" s="471"/>
      <c r="Y131" s="471"/>
      <c r="Z131" s="471"/>
      <c r="AA131" s="471"/>
      <c r="AB131" s="471"/>
      <c r="AC131" s="468">
        <v>1</v>
      </c>
    </row>
    <row r="132" spans="1:29" ht="20.25" customHeight="1">
      <c r="A132" s="589"/>
      <c r="B132" s="590"/>
      <c r="C132" s="591"/>
      <c r="D132" s="474"/>
      <c r="E132" s="474"/>
      <c r="F132" s="474"/>
      <c r="G132" s="474"/>
      <c r="H132" s="475"/>
      <c r="I132" s="476"/>
      <c r="J132" s="474"/>
      <c r="K132" s="474"/>
      <c r="L132" s="474"/>
      <c r="M132" s="474"/>
      <c r="N132" s="474"/>
      <c r="O132" s="474"/>
      <c r="P132" s="474"/>
      <c r="Q132" s="474"/>
      <c r="R132" s="474"/>
      <c r="S132" s="474"/>
      <c r="T132" s="469">
        <v>53897.33</v>
      </c>
      <c r="U132" s="469">
        <v>80846</v>
      </c>
      <c r="V132" s="474"/>
      <c r="W132" s="474"/>
      <c r="X132" s="474"/>
      <c r="Y132" s="474"/>
      <c r="Z132" s="474"/>
      <c r="AA132" s="474"/>
      <c r="AB132" s="474"/>
      <c r="AC132" s="470">
        <v>134743.32999999999</v>
      </c>
    </row>
    <row r="133" spans="1:29" ht="20.25" customHeight="1">
      <c r="A133" s="589" t="s">
        <v>581</v>
      </c>
      <c r="B133" s="590" t="s">
        <v>120</v>
      </c>
      <c r="C133" s="591">
        <v>98051.15</v>
      </c>
      <c r="D133" s="471"/>
      <c r="E133" s="471"/>
      <c r="F133" s="471"/>
      <c r="G133" s="471"/>
      <c r="H133" s="472"/>
      <c r="I133" s="473"/>
      <c r="J133" s="471"/>
      <c r="K133" s="471"/>
      <c r="L133" s="471"/>
      <c r="M133" s="471"/>
      <c r="N133" s="471"/>
      <c r="O133" s="471"/>
      <c r="P133" s="471"/>
      <c r="Q133" s="471"/>
      <c r="R133" s="471"/>
      <c r="S133" s="467">
        <v>0.4</v>
      </c>
      <c r="T133" s="467">
        <v>0.6</v>
      </c>
      <c r="U133" s="471"/>
      <c r="V133" s="471"/>
      <c r="W133" s="471"/>
      <c r="X133" s="471"/>
      <c r="Y133" s="471"/>
      <c r="Z133" s="471"/>
      <c r="AA133" s="471"/>
      <c r="AB133" s="471"/>
      <c r="AC133" s="468">
        <v>1</v>
      </c>
    </row>
    <row r="134" spans="1:29" ht="20.25" customHeight="1">
      <c r="A134" s="589"/>
      <c r="B134" s="590"/>
      <c r="C134" s="591"/>
      <c r="D134" s="474"/>
      <c r="E134" s="474"/>
      <c r="F134" s="474"/>
      <c r="G134" s="474"/>
      <c r="H134" s="475"/>
      <c r="I134" s="476"/>
      <c r="J134" s="474"/>
      <c r="K134" s="474"/>
      <c r="L134" s="474"/>
      <c r="M134" s="474"/>
      <c r="N134" s="474"/>
      <c r="O134" s="474"/>
      <c r="P134" s="474"/>
      <c r="Q134" s="474"/>
      <c r="R134" s="474"/>
      <c r="S134" s="469">
        <v>39220.46</v>
      </c>
      <c r="T134" s="469">
        <v>58830.69</v>
      </c>
      <c r="U134" s="474"/>
      <c r="V134" s="474"/>
      <c r="W134" s="474"/>
      <c r="X134" s="474"/>
      <c r="Y134" s="474"/>
      <c r="Z134" s="474"/>
      <c r="AA134" s="474"/>
      <c r="AB134" s="474"/>
      <c r="AC134" s="470">
        <v>98051.15</v>
      </c>
    </row>
    <row r="135" spans="1:29" ht="20.25" customHeight="1">
      <c r="A135" s="589" t="s">
        <v>595</v>
      </c>
      <c r="B135" s="590" t="s">
        <v>138</v>
      </c>
      <c r="C135" s="591">
        <v>3015.71</v>
      </c>
      <c r="D135" s="471"/>
      <c r="E135" s="471"/>
      <c r="F135" s="471"/>
      <c r="G135" s="471"/>
      <c r="H135" s="472"/>
      <c r="I135" s="473"/>
      <c r="J135" s="471"/>
      <c r="K135" s="471"/>
      <c r="L135" s="471"/>
      <c r="M135" s="471"/>
      <c r="N135" s="471"/>
      <c r="O135" s="471"/>
      <c r="P135" s="471"/>
      <c r="Q135" s="471"/>
      <c r="R135" s="471"/>
      <c r="S135" s="471"/>
      <c r="T135" s="471"/>
      <c r="U135" s="467">
        <v>1</v>
      </c>
      <c r="V135" s="471"/>
      <c r="W135" s="471"/>
      <c r="X135" s="471"/>
      <c r="Y135" s="471"/>
      <c r="Z135" s="471"/>
      <c r="AA135" s="471"/>
      <c r="AB135" s="471"/>
      <c r="AC135" s="468">
        <v>1</v>
      </c>
    </row>
    <row r="136" spans="1:29" ht="20.25" customHeight="1">
      <c r="A136" s="589"/>
      <c r="B136" s="590"/>
      <c r="C136" s="591"/>
      <c r="D136" s="474"/>
      <c r="E136" s="474"/>
      <c r="F136" s="474"/>
      <c r="G136" s="474"/>
      <c r="H136" s="475"/>
      <c r="I136" s="476"/>
      <c r="J136" s="474"/>
      <c r="K136" s="474"/>
      <c r="L136" s="474"/>
      <c r="M136" s="474"/>
      <c r="N136" s="474"/>
      <c r="O136" s="474"/>
      <c r="P136" s="474"/>
      <c r="Q136" s="474"/>
      <c r="R136" s="474"/>
      <c r="S136" s="474"/>
      <c r="T136" s="474"/>
      <c r="U136" s="469">
        <v>3015.71</v>
      </c>
      <c r="V136" s="474"/>
      <c r="W136" s="474"/>
      <c r="X136" s="474"/>
      <c r="Y136" s="474"/>
      <c r="Z136" s="474"/>
      <c r="AA136" s="474"/>
      <c r="AB136" s="474"/>
      <c r="AC136" s="470">
        <v>3015.71</v>
      </c>
    </row>
    <row r="137" spans="1:29" ht="20.25" customHeight="1">
      <c r="A137" s="589" t="s">
        <v>600</v>
      </c>
      <c r="B137" s="590" t="s">
        <v>170</v>
      </c>
      <c r="C137" s="591">
        <v>183549.51</v>
      </c>
      <c r="D137" s="471"/>
      <c r="E137" s="471"/>
      <c r="F137" s="471"/>
      <c r="G137" s="471"/>
      <c r="H137" s="472"/>
      <c r="I137" s="473"/>
      <c r="J137" s="471"/>
      <c r="K137" s="471"/>
      <c r="L137" s="471"/>
      <c r="M137" s="471"/>
      <c r="N137" s="471"/>
      <c r="O137" s="471"/>
      <c r="P137" s="471"/>
      <c r="Q137" s="471"/>
      <c r="R137" s="471"/>
      <c r="S137" s="467">
        <v>0.33329999999999999</v>
      </c>
      <c r="T137" s="467">
        <v>0.33329999999999999</v>
      </c>
      <c r="U137" s="467">
        <v>0.33340000000000003</v>
      </c>
      <c r="V137" s="471"/>
      <c r="W137" s="471"/>
      <c r="X137" s="471"/>
      <c r="Y137" s="471"/>
      <c r="Z137" s="471"/>
      <c r="AA137" s="471"/>
      <c r="AB137" s="471"/>
      <c r="AC137" s="468">
        <v>1</v>
      </c>
    </row>
    <row r="138" spans="1:29" ht="20.25" customHeight="1">
      <c r="A138" s="589"/>
      <c r="B138" s="590"/>
      <c r="C138" s="591"/>
      <c r="D138" s="474"/>
      <c r="E138" s="474"/>
      <c r="F138" s="474"/>
      <c r="G138" s="474"/>
      <c r="H138" s="475"/>
      <c r="I138" s="476"/>
      <c r="J138" s="474"/>
      <c r="K138" s="474"/>
      <c r="L138" s="474"/>
      <c r="M138" s="474"/>
      <c r="N138" s="474"/>
      <c r="O138" s="474"/>
      <c r="P138" s="474"/>
      <c r="Q138" s="474"/>
      <c r="R138" s="474"/>
      <c r="S138" s="469">
        <v>61177.05</v>
      </c>
      <c r="T138" s="469">
        <v>61177.05</v>
      </c>
      <c r="U138" s="469">
        <v>61195.41</v>
      </c>
      <c r="V138" s="474"/>
      <c r="W138" s="474"/>
      <c r="X138" s="474"/>
      <c r="Y138" s="474"/>
      <c r="Z138" s="474"/>
      <c r="AA138" s="474"/>
      <c r="AB138" s="474"/>
      <c r="AC138" s="470">
        <v>183549.51</v>
      </c>
    </row>
    <row r="139" spans="1:29" ht="20.25" customHeight="1">
      <c r="A139" s="589" t="s">
        <v>607</v>
      </c>
      <c r="B139" s="590" t="s">
        <v>608</v>
      </c>
      <c r="C139" s="591">
        <v>586818.35</v>
      </c>
      <c r="D139" s="471"/>
      <c r="E139" s="471"/>
      <c r="F139" s="471"/>
      <c r="G139" s="471"/>
      <c r="H139" s="472"/>
      <c r="I139" s="473"/>
      <c r="J139" s="471"/>
      <c r="K139" s="471"/>
      <c r="L139" s="471"/>
      <c r="M139" s="471"/>
      <c r="N139" s="471"/>
      <c r="O139" s="471"/>
      <c r="P139" s="471"/>
      <c r="Q139" s="471"/>
      <c r="R139" s="471"/>
      <c r="S139" s="471"/>
      <c r="T139" s="471"/>
      <c r="U139" s="471"/>
      <c r="V139" s="467">
        <v>0.26899999999999996</v>
      </c>
      <c r="W139" s="467">
        <v>0.33360000000000001</v>
      </c>
      <c r="X139" s="467">
        <v>0.24969999999999998</v>
      </c>
      <c r="Y139" s="467">
        <v>0.1477</v>
      </c>
      <c r="Z139" s="471"/>
      <c r="AA139" s="471"/>
      <c r="AB139" s="471"/>
      <c r="AC139" s="468">
        <v>1</v>
      </c>
    </row>
    <row r="140" spans="1:29" ht="20.25" customHeight="1">
      <c r="A140" s="589"/>
      <c r="B140" s="590"/>
      <c r="C140" s="591"/>
      <c r="D140" s="474"/>
      <c r="E140" s="474"/>
      <c r="F140" s="474"/>
      <c r="G140" s="474"/>
      <c r="H140" s="475"/>
      <c r="I140" s="476"/>
      <c r="J140" s="474"/>
      <c r="K140" s="474"/>
      <c r="L140" s="474"/>
      <c r="M140" s="474"/>
      <c r="N140" s="474"/>
      <c r="O140" s="474"/>
      <c r="P140" s="474"/>
      <c r="Q140" s="474"/>
      <c r="R140" s="474"/>
      <c r="S140" s="474"/>
      <c r="T140" s="474"/>
      <c r="U140" s="474"/>
      <c r="V140" s="469">
        <v>157494.88</v>
      </c>
      <c r="W140" s="469">
        <v>193913.81</v>
      </c>
      <c r="X140" s="469">
        <v>146517.81</v>
      </c>
      <c r="Y140" s="469">
        <v>88891.85</v>
      </c>
      <c r="Z140" s="474"/>
      <c r="AA140" s="474"/>
      <c r="AB140" s="474"/>
      <c r="AC140" s="470">
        <v>586818.35</v>
      </c>
    </row>
    <row r="141" spans="1:29" ht="20.25" customHeight="1">
      <c r="A141" s="589" t="s">
        <v>609</v>
      </c>
      <c r="B141" s="590" t="s">
        <v>15</v>
      </c>
      <c r="C141" s="591">
        <v>8606.0400000000009</v>
      </c>
      <c r="D141" s="471"/>
      <c r="E141" s="471"/>
      <c r="F141" s="471"/>
      <c r="G141" s="471"/>
      <c r="H141" s="472"/>
      <c r="I141" s="473"/>
      <c r="J141" s="471"/>
      <c r="K141" s="471"/>
      <c r="L141" s="471"/>
      <c r="M141" s="471"/>
      <c r="N141" s="471"/>
      <c r="O141" s="471"/>
      <c r="P141" s="471"/>
      <c r="Q141" s="471"/>
      <c r="R141" s="471"/>
      <c r="S141" s="471"/>
      <c r="T141" s="471"/>
      <c r="U141" s="471"/>
      <c r="V141" s="467">
        <v>1</v>
      </c>
      <c r="W141" s="471"/>
      <c r="X141" s="471"/>
      <c r="Y141" s="471"/>
      <c r="Z141" s="471"/>
      <c r="AA141" s="471"/>
      <c r="AB141" s="471"/>
      <c r="AC141" s="468">
        <v>1</v>
      </c>
    </row>
    <row r="142" spans="1:29" ht="20.25" customHeight="1">
      <c r="A142" s="589"/>
      <c r="B142" s="590"/>
      <c r="C142" s="591"/>
      <c r="D142" s="474"/>
      <c r="E142" s="474"/>
      <c r="F142" s="474"/>
      <c r="G142" s="474"/>
      <c r="H142" s="475"/>
      <c r="I142" s="476"/>
      <c r="J142" s="474"/>
      <c r="K142" s="474"/>
      <c r="L142" s="474"/>
      <c r="M142" s="474"/>
      <c r="N142" s="474"/>
      <c r="O142" s="474"/>
      <c r="P142" s="474"/>
      <c r="Q142" s="474"/>
      <c r="R142" s="474"/>
      <c r="S142" s="474"/>
      <c r="T142" s="474"/>
      <c r="U142" s="474"/>
      <c r="V142" s="469">
        <v>8606.0400000000009</v>
      </c>
      <c r="W142" s="474"/>
      <c r="X142" s="474"/>
      <c r="Y142" s="474"/>
      <c r="Z142" s="474"/>
      <c r="AA142" s="474"/>
      <c r="AB142" s="474"/>
      <c r="AC142" s="470">
        <v>8606.0400000000009</v>
      </c>
    </row>
    <row r="143" spans="1:29" ht="20.25" customHeight="1">
      <c r="A143" s="589" t="s">
        <v>612</v>
      </c>
      <c r="B143" s="590" t="s">
        <v>26</v>
      </c>
      <c r="C143" s="591">
        <v>25575.67</v>
      </c>
      <c r="D143" s="471"/>
      <c r="E143" s="471"/>
      <c r="F143" s="471"/>
      <c r="G143" s="471"/>
      <c r="H143" s="472"/>
      <c r="I143" s="473"/>
      <c r="J143" s="471"/>
      <c r="K143" s="471"/>
      <c r="L143" s="471"/>
      <c r="M143" s="471"/>
      <c r="N143" s="471"/>
      <c r="O143" s="471"/>
      <c r="P143" s="471"/>
      <c r="Q143" s="471"/>
      <c r="R143" s="471"/>
      <c r="S143" s="471"/>
      <c r="T143" s="471"/>
      <c r="U143" s="471"/>
      <c r="V143" s="467">
        <v>0.25</v>
      </c>
      <c r="W143" s="467">
        <v>0.25</v>
      </c>
      <c r="X143" s="467">
        <v>0.25</v>
      </c>
      <c r="Y143" s="467">
        <v>0.25</v>
      </c>
      <c r="Z143" s="471"/>
      <c r="AA143" s="471"/>
      <c r="AB143" s="471"/>
      <c r="AC143" s="468">
        <v>1</v>
      </c>
    </row>
    <row r="144" spans="1:29" ht="20.25" customHeight="1">
      <c r="A144" s="589"/>
      <c r="B144" s="590"/>
      <c r="C144" s="591"/>
      <c r="D144" s="474"/>
      <c r="E144" s="474"/>
      <c r="F144" s="474"/>
      <c r="G144" s="474"/>
      <c r="H144" s="475"/>
      <c r="I144" s="476"/>
      <c r="J144" s="474"/>
      <c r="K144" s="474"/>
      <c r="L144" s="474"/>
      <c r="M144" s="474"/>
      <c r="N144" s="474"/>
      <c r="O144" s="474"/>
      <c r="P144" s="474"/>
      <c r="Q144" s="474"/>
      <c r="R144" s="474"/>
      <c r="S144" s="474"/>
      <c r="T144" s="474"/>
      <c r="U144" s="474"/>
      <c r="V144" s="469">
        <v>6393.92</v>
      </c>
      <c r="W144" s="469">
        <v>6393.92</v>
      </c>
      <c r="X144" s="469">
        <v>6393.92</v>
      </c>
      <c r="Y144" s="469">
        <v>6393.91</v>
      </c>
      <c r="Z144" s="474"/>
      <c r="AA144" s="474"/>
      <c r="AB144" s="474"/>
      <c r="AC144" s="470">
        <v>25575.67</v>
      </c>
    </row>
    <row r="145" spans="1:29" ht="20.25" customHeight="1">
      <c r="A145" s="589" t="s">
        <v>615</v>
      </c>
      <c r="B145" s="590" t="s">
        <v>36</v>
      </c>
      <c r="C145" s="591">
        <v>3040.82</v>
      </c>
      <c r="D145" s="471"/>
      <c r="E145" s="471"/>
      <c r="F145" s="471"/>
      <c r="G145" s="471"/>
      <c r="H145" s="472"/>
      <c r="I145" s="473"/>
      <c r="J145" s="471"/>
      <c r="K145" s="471"/>
      <c r="L145" s="471"/>
      <c r="M145" s="471"/>
      <c r="N145" s="471"/>
      <c r="O145" s="471"/>
      <c r="P145" s="471"/>
      <c r="Q145" s="471"/>
      <c r="R145" s="471"/>
      <c r="S145" s="471"/>
      <c r="T145" s="471"/>
      <c r="U145" s="471"/>
      <c r="V145" s="467">
        <v>1</v>
      </c>
      <c r="W145" s="471"/>
      <c r="X145" s="471"/>
      <c r="Y145" s="471"/>
      <c r="Z145" s="471"/>
      <c r="AA145" s="471"/>
      <c r="AB145" s="471"/>
      <c r="AC145" s="468">
        <v>1</v>
      </c>
    </row>
    <row r="146" spans="1:29" ht="20.25" customHeight="1">
      <c r="A146" s="589"/>
      <c r="B146" s="590"/>
      <c r="C146" s="591"/>
      <c r="D146" s="474"/>
      <c r="E146" s="474"/>
      <c r="F146" s="474"/>
      <c r="G146" s="474"/>
      <c r="H146" s="475"/>
      <c r="I146" s="476"/>
      <c r="J146" s="474"/>
      <c r="K146" s="474"/>
      <c r="L146" s="474"/>
      <c r="M146" s="474"/>
      <c r="N146" s="474"/>
      <c r="O146" s="474"/>
      <c r="P146" s="474"/>
      <c r="Q146" s="474"/>
      <c r="R146" s="474"/>
      <c r="S146" s="474"/>
      <c r="T146" s="474"/>
      <c r="U146" s="474"/>
      <c r="V146" s="469">
        <v>3040.82</v>
      </c>
      <c r="W146" s="474"/>
      <c r="X146" s="474"/>
      <c r="Y146" s="474"/>
      <c r="Z146" s="474"/>
      <c r="AA146" s="474"/>
      <c r="AB146" s="474"/>
      <c r="AC146" s="470">
        <v>3040.82</v>
      </c>
    </row>
    <row r="147" spans="1:29" ht="20.25" customHeight="1">
      <c r="A147" s="589" t="s">
        <v>620</v>
      </c>
      <c r="B147" s="590" t="s">
        <v>381</v>
      </c>
      <c r="C147" s="591">
        <v>35713.35</v>
      </c>
      <c r="D147" s="471"/>
      <c r="E147" s="471"/>
      <c r="F147" s="471"/>
      <c r="G147" s="471"/>
      <c r="H147" s="472"/>
      <c r="I147" s="473"/>
      <c r="J147" s="471"/>
      <c r="K147" s="471"/>
      <c r="L147" s="471"/>
      <c r="M147" s="471"/>
      <c r="N147" s="471"/>
      <c r="O147" s="471"/>
      <c r="P147" s="471"/>
      <c r="Q147" s="471"/>
      <c r="R147" s="471"/>
      <c r="S147" s="471"/>
      <c r="T147" s="471"/>
      <c r="U147" s="471"/>
      <c r="V147" s="467">
        <v>0.6</v>
      </c>
      <c r="W147" s="467">
        <v>0.4</v>
      </c>
      <c r="X147" s="471"/>
      <c r="Y147" s="471"/>
      <c r="Z147" s="471"/>
      <c r="AA147" s="471"/>
      <c r="AB147" s="471"/>
      <c r="AC147" s="468">
        <v>1</v>
      </c>
    </row>
    <row r="148" spans="1:29" ht="20.25" customHeight="1">
      <c r="A148" s="589"/>
      <c r="B148" s="590"/>
      <c r="C148" s="591"/>
      <c r="D148" s="474"/>
      <c r="E148" s="474"/>
      <c r="F148" s="474"/>
      <c r="G148" s="474"/>
      <c r="H148" s="475"/>
      <c r="I148" s="476"/>
      <c r="J148" s="474"/>
      <c r="K148" s="474"/>
      <c r="L148" s="474"/>
      <c r="M148" s="474"/>
      <c r="N148" s="474"/>
      <c r="O148" s="474"/>
      <c r="P148" s="474"/>
      <c r="Q148" s="474"/>
      <c r="R148" s="474"/>
      <c r="S148" s="474"/>
      <c r="T148" s="474"/>
      <c r="U148" s="474"/>
      <c r="V148" s="469">
        <v>21428.01</v>
      </c>
      <c r="W148" s="469">
        <v>14285.34</v>
      </c>
      <c r="X148" s="474"/>
      <c r="Y148" s="474"/>
      <c r="Z148" s="474"/>
      <c r="AA148" s="474"/>
      <c r="AB148" s="474"/>
      <c r="AC148" s="470">
        <v>35713.35</v>
      </c>
    </row>
    <row r="149" spans="1:29" ht="20.25" customHeight="1">
      <c r="A149" s="589" t="s">
        <v>625</v>
      </c>
      <c r="B149" s="590" t="s">
        <v>11</v>
      </c>
      <c r="C149" s="591">
        <v>138021.14000000001</v>
      </c>
      <c r="D149" s="471"/>
      <c r="E149" s="471"/>
      <c r="F149" s="471"/>
      <c r="G149" s="471"/>
      <c r="H149" s="472"/>
      <c r="I149" s="473"/>
      <c r="J149" s="471"/>
      <c r="K149" s="471"/>
      <c r="L149" s="471"/>
      <c r="M149" s="471"/>
      <c r="N149" s="471"/>
      <c r="O149" s="471"/>
      <c r="P149" s="471"/>
      <c r="Q149" s="471"/>
      <c r="R149" s="471"/>
      <c r="S149" s="471"/>
      <c r="T149" s="471"/>
      <c r="U149" s="471"/>
      <c r="V149" s="471"/>
      <c r="W149" s="467">
        <v>0.4</v>
      </c>
      <c r="X149" s="467">
        <v>0.4</v>
      </c>
      <c r="Y149" s="467">
        <v>0.2</v>
      </c>
      <c r="Z149" s="471"/>
      <c r="AA149" s="471"/>
      <c r="AB149" s="471"/>
      <c r="AC149" s="468">
        <v>1</v>
      </c>
    </row>
    <row r="150" spans="1:29" ht="20.25" customHeight="1">
      <c r="A150" s="589"/>
      <c r="B150" s="590"/>
      <c r="C150" s="591"/>
      <c r="D150" s="474"/>
      <c r="E150" s="474"/>
      <c r="F150" s="474"/>
      <c r="G150" s="474"/>
      <c r="H150" s="475"/>
      <c r="I150" s="476"/>
      <c r="J150" s="474"/>
      <c r="K150" s="474"/>
      <c r="L150" s="474"/>
      <c r="M150" s="474"/>
      <c r="N150" s="474"/>
      <c r="O150" s="474"/>
      <c r="P150" s="474"/>
      <c r="Q150" s="474"/>
      <c r="R150" s="474"/>
      <c r="S150" s="474"/>
      <c r="T150" s="474"/>
      <c r="U150" s="474"/>
      <c r="V150" s="474"/>
      <c r="W150" s="469">
        <v>55208.46</v>
      </c>
      <c r="X150" s="469">
        <v>55208.46</v>
      </c>
      <c r="Y150" s="469">
        <v>27604.22</v>
      </c>
      <c r="Z150" s="474"/>
      <c r="AA150" s="474"/>
      <c r="AB150" s="474"/>
      <c r="AC150" s="470">
        <v>138021.14000000001</v>
      </c>
    </row>
    <row r="151" spans="1:29" ht="20.25" customHeight="1">
      <c r="A151" s="589" t="s">
        <v>633</v>
      </c>
      <c r="B151" s="590" t="s">
        <v>120</v>
      </c>
      <c r="C151" s="591">
        <v>165553.24</v>
      </c>
      <c r="D151" s="471"/>
      <c r="E151" s="471"/>
      <c r="F151" s="471"/>
      <c r="G151" s="471"/>
      <c r="H151" s="472"/>
      <c r="I151" s="473"/>
      <c r="J151" s="471"/>
      <c r="K151" s="471"/>
      <c r="L151" s="471"/>
      <c r="M151" s="471"/>
      <c r="N151" s="471"/>
      <c r="O151" s="471"/>
      <c r="P151" s="471"/>
      <c r="Q151" s="471"/>
      <c r="R151" s="471"/>
      <c r="S151" s="471"/>
      <c r="T151" s="471"/>
      <c r="U151" s="471"/>
      <c r="V151" s="467">
        <v>0.4</v>
      </c>
      <c r="W151" s="467">
        <v>0.4</v>
      </c>
      <c r="X151" s="467">
        <v>0.2</v>
      </c>
      <c r="Y151" s="471"/>
      <c r="Z151" s="471"/>
      <c r="AA151" s="471"/>
      <c r="AB151" s="471"/>
      <c r="AC151" s="468">
        <v>1</v>
      </c>
    </row>
    <row r="152" spans="1:29" ht="20.25" customHeight="1">
      <c r="A152" s="589"/>
      <c r="B152" s="590"/>
      <c r="C152" s="591"/>
      <c r="D152" s="474"/>
      <c r="E152" s="474"/>
      <c r="F152" s="474"/>
      <c r="G152" s="474"/>
      <c r="H152" s="475"/>
      <c r="I152" s="476"/>
      <c r="J152" s="474"/>
      <c r="K152" s="474"/>
      <c r="L152" s="474"/>
      <c r="M152" s="474"/>
      <c r="N152" s="474"/>
      <c r="O152" s="474"/>
      <c r="P152" s="474"/>
      <c r="Q152" s="474"/>
      <c r="R152" s="474"/>
      <c r="S152" s="474"/>
      <c r="T152" s="474"/>
      <c r="U152" s="474"/>
      <c r="V152" s="469">
        <v>66221.3</v>
      </c>
      <c r="W152" s="469">
        <v>66221.3</v>
      </c>
      <c r="X152" s="469">
        <v>33110.639999999999</v>
      </c>
      <c r="Y152" s="474"/>
      <c r="Z152" s="474"/>
      <c r="AA152" s="474"/>
      <c r="AB152" s="474"/>
      <c r="AC152" s="470">
        <v>165553.24</v>
      </c>
    </row>
    <row r="153" spans="1:29" ht="20.25" customHeight="1">
      <c r="A153" s="589" t="s">
        <v>661</v>
      </c>
      <c r="B153" s="590" t="s">
        <v>138</v>
      </c>
      <c r="C153" s="591">
        <v>3088.92</v>
      </c>
      <c r="D153" s="471"/>
      <c r="E153" s="471"/>
      <c r="F153" s="471"/>
      <c r="G153" s="471"/>
      <c r="H153" s="472"/>
      <c r="I153" s="473"/>
      <c r="J153" s="471"/>
      <c r="K153" s="471"/>
      <c r="L153" s="471"/>
      <c r="M153" s="471"/>
      <c r="N153" s="471"/>
      <c r="O153" s="471"/>
      <c r="P153" s="471"/>
      <c r="Q153" s="471"/>
      <c r="R153" s="471"/>
      <c r="S153" s="471"/>
      <c r="T153" s="471"/>
      <c r="U153" s="471"/>
      <c r="V153" s="471"/>
      <c r="W153" s="471"/>
      <c r="X153" s="471"/>
      <c r="Y153" s="467">
        <v>1</v>
      </c>
      <c r="Z153" s="471"/>
      <c r="AA153" s="471"/>
      <c r="AB153" s="471"/>
      <c r="AC153" s="468">
        <v>1</v>
      </c>
    </row>
    <row r="154" spans="1:29" ht="20.25" customHeight="1">
      <c r="A154" s="589"/>
      <c r="B154" s="590"/>
      <c r="C154" s="591"/>
      <c r="D154" s="474"/>
      <c r="E154" s="474"/>
      <c r="F154" s="474"/>
      <c r="G154" s="474"/>
      <c r="H154" s="475"/>
      <c r="I154" s="476"/>
      <c r="J154" s="474"/>
      <c r="K154" s="474"/>
      <c r="L154" s="474"/>
      <c r="M154" s="474"/>
      <c r="N154" s="474"/>
      <c r="O154" s="474"/>
      <c r="P154" s="474"/>
      <c r="Q154" s="474"/>
      <c r="R154" s="474"/>
      <c r="S154" s="474"/>
      <c r="T154" s="474"/>
      <c r="U154" s="474"/>
      <c r="V154" s="474"/>
      <c r="W154" s="474"/>
      <c r="X154" s="474"/>
      <c r="Y154" s="469">
        <v>3088.92</v>
      </c>
      <c r="Z154" s="474"/>
      <c r="AA154" s="474"/>
      <c r="AB154" s="474"/>
      <c r="AC154" s="470">
        <v>3088.92</v>
      </c>
    </row>
    <row r="155" spans="1:29" ht="20.25" customHeight="1">
      <c r="A155" s="589" t="s">
        <v>666</v>
      </c>
      <c r="B155" s="590" t="s">
        <v>170</v>
      </c>
      <c r="C155" s="591">
        <v>207219.17</v>
      </c>
      <c r="D155" s="471"/>
      <c r="E155" s="471"/>
      <c r="F155" s="471"/>
      <c r="G155" s="471"/>
      <c r="H155" s="472"/>
      <c r="I155" s="473"/>
      <c r="J155" s="471"/>
      <c r="K155" s="471"/>
      <c r="L155" s="471"/>
      <c r="M155" s="471"/>
      <c r="N155" s="471"/>
      <c r="O155" s="471"/>
      <c r="P155" s="471"/>
      <c r="Q155" s="471"/>
      <c r="R155" s="471"/>
      <c r="S155" s="471"/>
      <c r="T155" s="471"/>
      <c r="U155" s="471"/>
      <c r="V155" s="467">
        <v>0.25</v>
      </c>
      <c r="W155" s="467">
        <v>0.25</v>
      </c>
      <c r="X155" s="467">
        <v>0.25</v>
      </c>
      <c r="Y155" s="467">
        <v>0.25</v>
      </c>
      <c r="Z155" s="471"/>
      <c r="AA155" s="471"/>
      <c r="AB155" s="471"/>
      <c r="AC155" s="468">
        <v>1</v>
      </c>
    </row>
    <row r="156" spans="1:29" ht="20.25" customHeight="1">
      <c r="A156" s="589"/>
      <c r="B156" s="590"/>
      <c r="C156" s="591"/>
      <c r="D156" s="474"/>
      <c r="E156" s="474"/>
      <c r="F156" s="474"/>
      <c r="G156" s="474"/>
      <c r="H156" s="475"/>
      <c r="I156" s="476"/>
      <c r="J156" s="474"/>
      <c r="K156" s="474"/>
      <c r="L156" s="474"/>
      <c r="M156" s="474"/>
      <c r="N156" s="474"/>
      <c r="O156" s="474"/>
      <c r="P156" s="474"/>
      <c r="Q156" s="474"/>
      <c r="R156" s="474"/>
      <c r="S156" s="474"/>
      <c r="T156" s="474"/>
      <c r="U156" s="474"/>
      <c r="V156" s="469">
        <v>51804.79</v>
      </c>
      <c r="W156" s="469">
        <v>51804.79</v>
      </c>
      <c r="X156" s="469">
        <v>51804.79</v>
      </c>
      <c r="Y156" s="469">
        <v>51804.800000000003</v>
      </c>
      <c r="Z156" s="474"/>
      <c r="AA156" s="474"/>
      <c r="AB156" s="474"/>
      <c r="AC156" s="470">
        <v>207219.17</v>
      </c>
    </row>
    <row r="157" spans="1:29" ht="20.25" customHeight="1">
      <c r="A157" s="589" t="s">
        <v>676</v>
      </c>
      <c r="B157" s="590" t="s">
        <v>677</v>
      </c>
      <c r="C157" s="591">
        <v>794716.79</v>
      </c>
      <c r="D157" s="471"/>
      <c r="E157" s="471"/>
      <c r="F157" s="471"/>
      <c r="G157" s="471"/>
      <c r="H157" s="472"/>
      <c r="I157" s="473"/>
      <c r="J157" s="471"/>
      <c r="K157" s="471"/>
      <c r="L157" s="471"/>
      <c r="M157" s="471"/>
      <c r="N157" s="471"/>
      <c r="O157" s="471"/>
      <c r="P157" s="471"/>
      <c r="Q157" s="471"/>
      <c r="R157" s="471"/>
      <c r="S157" s="471"/>
      <c r="T157" s="471"/>
      <c r="U157" s="471"/>
      <c r="V157" s="471"/>
      <c r="W157" s="471"/>
      <c r="X157" s="471"/>
      <c r="Y157" s="467">
        <v>0.23680000000000001</v>
      </c>
      <c r="Z157" s="467">
        <v>0.41820000000000002</v>
      </c>
      <c r="AA157" s="467">
        <v>0.2155</v>
      </c>
      <c r="AB157" s="467">
        <v>0.1295</v>
      </c>
      <c r="AC157" s="468">
        <v>1</v>
      </c>
    </row>
    <row r="158" spans="1:29" ht="20.25" customHeight="1">
      <c r="A158" s="589"/>
      <c r="B158" s="590"/>
      <c r="C158" s="591"/>
      <c r="D158" s="474"/>
      <c r="E158" s="474"/>
      <c r="F158" s="474"/>
      <c r="G158" s="474"/>
      <c r="H158" s="475"/>
      <c r="I158" s="476"/>
      <c r="J158" s="474"/>
      <c r="K158" s="474"/>
      <c r="L158" s="474"/>
      <c r="M158" s="474"/>
      <c r="N158" s="474"/>
      <c r="O158" s="474"/>
      <c r="P158" s="474"/>
      <c r="Q158" s="474"/>
      <c r="R158" s="474"/>
      <c r="S158" s="474"/>
      <c r="T158" s="474"/>
      <c r="U158" s="474"/>
      <c r="V158" s="474"/>
      <c r="W158" s="474"/>
      <c r="X158" s="474"/>
      <c r="Y158" s="469">
        <v>187698.94</v>
      </c>
      <c r="Z158" s="469">
        <v>332708.05</v>
      </c>
      <c r="AA158" s="469">
        <v>171689.71</v>
      </c>
      <c r="AB158" s="469">
        <v>102620.09</v>
      </c>
      <c r="AC158" s="470">
        <v>794716.79</v>
      </c>
    </row>
    <row r="159" spans="1:29" ht="20.25" customHeight="1">
      <c r="A159" s="589" t="s">
        <v>678</v>
      </c>
      <c r="B159" s="590" t="s">
        <v>15</v>
      </c>
      <c r="C159" s="591">
        <v>8606.0400000000009</v>
      </c>
      <c r="D159" s="471"/>
      <c r="E159" s="471"/>
      <c r="F159" s="471"/>
      <c r="G159" s="471"/>
      <c r="H159" s="472"/>
      <c r="I159" s="473"/>
      <c r="J159" s="471"/>
      <c r="K159" s="471"/>
      <c r="L159" s="471"/>
      <c r="M159" s="471"/>
      <c r="N159" s="471"/>
      <c r="O159" s="471"/>
      <c r="P159" s="471"/>
      <c r="Q159" s="471"/>
      <c r="R159" s="471"/>
      <c r="S159" s="471"/>
      <c r="T159" s="471"/>
      <c r="U159" s="471"/>
      <c r="V159" s="471"/>
      <c r="W159" s="471"/>
      <c r="X159" s="471"/>
      <c r="Y159" s="467">
        <v>1</v>
      </c>
      <c r="Z159" s="471"/>
      <c r="AA159" s="471"/>
      <c r="AB159" s="471"/>
      <c r="AC159" s="468">
        <v>1</v>
      </c>
    </row>
    <row r="160" spans="1:29" ht="20.25" customHeight="1">
      <c r="A160" s="589"/>
      <c r="B160" s="590"/>
      <c r="C160" s="591"/>
      <c r="D160" s="474"/>
      <c r="E160" s="474"/>
      <c r="F160" s="474"/>
      <c r="G160" s="474"/>
      <c r="H160" s="475"/>
      <c r="I160" s="476"/>
      <c r="J160" s="474"/>
      <c r="K160" s="474"/>
      <c r="L160" s="474"/>
      <c r="M160" s="474"/>
      <c r="N160" s="474"/>
      <c r="O160" s="474"/>
      <c r="P160" s="474"/>
      <c r="Q160" s="474"/>
      <c r="R160" s="474"/>
      <c r="S160" s="474"/>
      <c r="T160" s="474"/>
      <c r="U160" s="474"/>
      <c r="V160" s="474"/>
      <c r="W160" s="474"/>
      <c r="X160" s="474"/>
      <c r="Y160" s="469">
        <v>8606.0400000000009</v>
      </c>
      <c r="Z160" s="474"/>
      <c r="AA160" s="474"/>
      <c r="AB160" s="474"/>
      <c r="AC160" s="470">
        <v>8606.0400000000009</v>
      </c>
    </row>
    <row r="161" spans="1:29" ht="20.25" customHeight="1">
      <c r="A161" s="589" t="s">
        <v>681</v>
      </c>
      <c r="B161" s="590" t="s">
        <v>26</v>
      </c>
      <c r="C161" s="591">
        <v>25575.67</v>
      </c>
      <c r="D161" s="471"/>
      <c r="E161" s="471"/>
      <c r="F161" s="471"/>
      <c r="G161" s="471"/>
      <c r="H161" s="472"/>
      <c r="I161" s="473"/>
      <c r="J161" s="471"/>
      <c r="K161" s="471"/>
      <c r="L161" s="471"/>
      <c r="M161" s="471"/>
      <c r="N161" s="471"/>
      <c r="O161" s="471"/>
      <c r="P161" s="471"/>
      <c r="Q161" s="471"/>
      <c r="R161" s="471"/>
      <c r="S161" s="471"/>
      <c r="T161" s="471"/>
      <c r="U161" s="471"/>
      <c r="V161" s="471"/>
      <c r="W161" s="471"/>
      <c r="X161" s="471"/>
      <c r="Y161" s="467">
        <v>0.25</v>
      </c>
      <c r="Z161" s="467">
        <v>0.25</v>
      </c>
      <c r="AA161" s="467">
        <v>0.25</v>
      </c>
      <c r="AB161" s="467">
        <v>0.25</v>
      </c>
      <c r="AC161" s="468">
        <v>1</v>
      </c>
    </row>
    <row r="162" spans="1:29" ht="20.25" customHeight="1">
      <c r="A162" s="589"/>
      <c r="B162" s="590"/>
      <c r="C162" s="591"/>
      <c r="D162" s="474"/>
      <c r="E162" s="474"/>
      <c r="F162" s="474"/>
      <c r="G162" s="474"/>
      <c r="H162" s="475"/>
      <c r="I162" s="476"/>
      <c r="J162" s="474"/>
      <c r="K162" s="474"/>
      <c r="L162" s="474"/>
      <c r="M162" s="474"/>
      <c r="N162" s="474"/>
      <c r="O162" s="474"/>
      <c r="P162" s="474"/>
      <c r="Q162" s="474"/>
      <c r="R162" s="474"/>
      <c r="S162" s="474"/>
      <c r="T162" s="474"/>
      <c r="U162" s="474"/>
      <c r="V162" s="474"/>
      <c r="W162" s="474"/>
      <c r="X162" s="474"/>
      <c r="Y162" s="469">
        <v>6393.92</v>
      </c>
      <c r="Z162" s="469">
        <v>6393.92</v>
      </c>
      <c r="AA162" s="469">
        <v>6393.92</v>
      </c>
      <c r="AB162" s="469">
        <v>6393.91</v>
      </c>
      <c r="AC162" s="470">
        <v>25575.67</v>
      </c>
    </row>
    <row r="163" spans="1:29" ht="20.25" customHeight="1">
      <c r="A163" s="589" t="s">
        <v>684</v>
      </c>
      <c r="B163" s="590" t="s">
        <v>36</v>
      </c>
      <c r="C163" s="591">
        <v>6700.45</v>
      </c>
      <c r="D163" s="471"/>
      <c r="E163" s="471"/>
      <c r="F163" s="471"/>
      <c r="G163" s="471"/>
      <c r="H163" s="472"/>
      <c r="I163" s="473"/>
      <c r="J163" s="471"/>
      <c r="K163" s="471"/>
      <c r="L163" s="471"/>
      <c r="M163" s="471"/>
      <c r="N163" s="471"/>
      <c r="O163" s="471"/>
      <c r="P163" s="471"/>
      <c r="Q163" s="471"/>
      <c r="R163" s="471"/>
      <c r="S163" s="471"/>
      <c r="T163" s="471"/>
      <c r="U163" s="471"/>
      <c r="V163" s="471"/>
      <c r="W163" s="471"/>
      <c r="X163" s="471"/>
      <c r="Y163" s="467">
        <v>1</v>
      </c>
      <c r="Z163" s="471"/>
      <c r="AA163" s="471"/>
      <c r="AB163" s="471"/>
      <c r="AC163" s="468">
        <v>1</v>
      </c>
    </row>
    <row r="164" spans="1:29" ht="20.25" customHeight="1">
      <c r="A164" s="589"/>
      <c r="B164" s="590"/>
      <c r="C164" s="591"/>
      <c r="D164" s="474"/>
      <c r="E164" s="474"/>
      <c r="F164" s="474"/>
      <c r="G164" s="474"/>
      <c r="H164" s="475"/>
      <c r="I164" s="476"/>
      <c r="J164" s="474"/>
      <c r="K164" s="474"/>
      <c r="L164" s="474"/>
      <c r="M164" s="474"/>
      <c r="N164" s="474"/>
      <c r="O164" s="474"/>
      <c r="P164" s="474"/>
      <c r="Q164" s="474"/>
      <c r="R164" s="474"/>
      <c r="S164" s="474"/>
      <c r="T164" s="474"/>
      <c r="U164" s="474"/>
      <c r="V164" s="474"/>
      <c r="W164" s="474"/>
      <c r="X164" s="474"/>
      <c r="Y164" s="469">
        <v>6700.45</v>
      </c>
      <c r="Z164" s="474"/>
      <c r="AA164" s="474"/>
      <c r="AB164" s="474"/>
      <c r="AC164" s="470">
        <v>6700.45</v>
      </c>
    </row>
    <row r="165" spans="1:29" ht="20.25" customHeight="1">
      <c r="A165" s="589" t="s">
        <v>692</v>
      </c>
      <c r="B165" s="590" t="s">
        <v>381</v>
      </c>
      <c r="C165" s="591">
        <v>23956.61</v>
      </c>
      <c r="D165" s="471"/>
      <c r="E165" s="471"/>
      <c r="F165" s="471"/>
      <c r="G165" s="471"/>
      <c r="H165" s="472"/>
      <c r="I165" s="473"/>
      <c r="J165" s="471"/>
      <c r="K165" s="471"/>
      <c r="L165" s="471"/>
      <c r="M165" s="471"/>
      <c r="N165" s="471"/>
      <c r="O165" s="471"/>
      <c r="P165" s="471"/>
      <c r="Q165" s="471"/>
      <c r="R165" s="471"/>
      <c r="S165" s="471"/>
      <c r="T165" s="471"/>
      <c r="U165" s="471"/>
      <c r="V165" s="471"/>
      <c r="W165" s="471"/>
      <c r="X165" s="471"/>
      <c r="Y165" s="467">
        <v>0.6</v>
      </c>
      <c r="Z165" s="467">
        <v>0.4</v>
      </c>
      <c r="AA165" s="471"/>
      <c r="AB165" s="471"/>
      <c r="AC165" s="468">
        <v>1</v>
      </c>
    </row>
    <row r="166" spans="1:29" ht="20.25" customHeight="1">
      <c r="A166" s="589"/>
      <c r="B166" s="590"/>
      <c r="C166" s="591"/>
      <c r="D166" s="474"/>
      <c r="E166" s="474"/>
      <c r="F166" s="474"/>
      <c r="G166" s="474"/>
      <c r="H166" s="475"/>
      <c r="I166" s="476"/>
      <c r="J166" s="474"/>
      <c r="K166" s="474"/>
      <c r="L166" s="474"/>
      <c r="M166" s="474"/>
      <c r="N166" s="474"/>
      <c r="O166" s="474"/>
      <c r="P166" s="474"/>
      <c r="Q166" s="474"/>
      <c r="R166" s="474"/>
      <c r="S166" s="474"/>
      <c r="T166" s="474"/>
      <c r="U166" s="474"/>
      <c r="V166" s="474"/>
      <c r="W166" s="474"/>
      <c r="X166" s="474"/>
      <c r="Y166" s="469">
        <v>14373.97</v>
      </c>
      <c r="Z166" s="469">
        <v>9582.64</v>
      </c>
      <c r="AA166" s="474"/>
      <c r="AB166" s="474"/>
      <c r="AC166" s="470">
        <v>23956.61</v>
      </c>
    </row>
    <row r="167" spans="1:29" ht="20.25" customHeight="1">
      <c r="A167" s="589" t="s">
        <v>697</v>
      </c>
      <c r="B167" s="590" t="s">
        <v>11</v>
      </c>
      <c r="C167" s="591">
        <v>146402.26</v>
      </c>
      <c r="D167" s="471"/>
      <c r="E167" s="471"/>
      <c r="F167" s="471"/>
      <c r="G167" s="471"/>
      <c r="H167" s="472"/>
      <c r="I167" s="473"/>
      <c r="J167" s="471"/>
      <c r="K167" s="471"/>
      <c r="L167" s="471"/>
      <c r="M167" s="471"/>
      <c r="N167" s="471"/>
      <c r="O167" s="471"/>
      <c r="P167" s="471"/>
      <c r="Q167" s="471"/>
      <c r="R167" s="471"/>
      <c r="S167" s="471"/>
      <c r="T167" s="471"/>
      <c r="U167" s="471"/>
      <c r="V167" s="471"/>
      <c r="W167" s="471"/>
      <c r="X167" s="471"/>
      <c r="Y167" s="471"/>
      <c r="Z167" s="467">
        <v>0.4</v>
      </c>
      <c r="AA167" s="467">
        <v>0.4</v>
      </c>
      <c r="AB167" s="467">
        <v>0.2</v>
      </c>
      <c r="AC167" s="468">
        <v>1</v>
      </c>
    </row>
    <row r="168" spans="1:29" ht="20.25" customHeight="1">
      <c r="A168" s="589"/>
      <c r="B168" s="590"/>
      <c r="C168" s="591"/>
      <c r="D168" s="474"/>
      <c r="E168" s="474"/>
      <c r="F168" s="474"/>
      <c r="G168" s="474"/>
      <c r="H168" s="475"/>
      <c r="I168" s="476"/>
      <c r="J168" s="474"/>
      <c r="K168" s="474"/>
      <c r="L168" s="474"/>
      <c r="M168" s="474"/>
      <c r="N168" s="474"/>
      <c r="O168" s="474"/>
      <c r="P168" s="474"/>
      <c r="Q168" s="474"/>
      <c r="R168" s="474"/>
      <c r="S168" s="474"/>
      <c r="T168" s="474"/>
      <c r="U168" s="474"/>
      <c r="V168" s="474"/>
      <c r="W168" s="474"/>
      <c r="X168" s="474"/>
      <c r="Y168" s="474"/>
      <c r="Z168" s="469">
        <v>58560.9</v>
      </c>
      <c r="AA168" s="469">
        <v>58560.9</v>
      </c>
      <c r="AB168" s="469">
        <v>29280.46</v>
      </c>
      <c r="AC168" s="470">
        <v>146402.26</v>
      </c>
    </row>
    <row r="169" spans="1:29" ht="20.25" customHeight="1">
      <c r="A169" s="589" t="s">
        <v>704</v>
      </c>
      <c r="B169" s="590" t="s">
        <v>120</v>
      </c>
      <c r="C169" s="591">
        <v>105126.49</v>
      </c>
      <c r="D169" s="471"/>
      <c r="E169" s="471"/>
      <c r="F169" s="471"/>
      <c r="G169" s="471"/>
      <c r="H169" s="472"/>
      <c r="I169" s="473"/>
      <c r="J169" s="471"/>
      <c r="K169" s="471"/>
      <c r="L169" s="471"/>
      <c r="M169" s="471"/>
      <c r="N169" s="471"/>
      <c r="O169" s="471"/>
      <c r="P169" s="471"/>
      <c r="Q169" s="471"/>
      <c r="R169" s="471"/>
      <c r="S169" s="471"/>
      <c r="T169" s="471"/>
      <c r="U169" s="471"/>
      <c r="V169" s="471"/>
      <c r="W169" s="471"/>
      <c r="X169" s="471"/>
      <c r="Y169" s="471"/>
      <c r="Z169" s="467">
        <v>0.6</v>
      </c>
      <c r="AA169" s="467">
        <v>0.4</v>
      </c>
      <c r="AB169" s="471"/>
      <c r="AC169" s="468">
        <v>1</v>
      </c>
    </row>
    <row r="170" spans="1:29" ht="20.25" customHeight="1">
      <c r="A170" s="589"/>
      <c r="B170" s="590"/>
      <c r="C170" s="591"/>
      <c r="D170" s="474"/>
      <c r="E170" s="474"/>
      <c r="F170" s="474"/>
      <c r="G170" s="474"/>
      <c r="H170" s="475"/>
      <c r="I170" s="476"/>
      <c r="J170" s="474"/>
      <c r="K170" s="474"/>
      <c r="L170" s="474"/>
      <c r="M170" s="474"/>
      <c r="N170" s="474"/>
      <c r="O170" s="474"/>
      <c r="P170" s="474"/>
      <c r="Q170" s="474"/>
      <c r="R170" s="474"/>
      <c r="S170" s="474"/>
      <c r="T170" s="474"/>
      <c r="U170" s="474"/>
      <c r="V170" s="474"/>
      <c r="W170" s="474"/>
      <c r="X170" s="474"/>
      <c r="Y170" s="474"/>
      <c r="Z170" s="469">
        <v>63075.89</v>
      </c>
      <c r="AA170" s="469">
        <v>42050.6</v>
      </c>
      <c r="AB170" s="474"/>
      <c r="AC170" s="470">
        <v>105126.49</v>
      </c>
    </row>
    <row r="171" spans="1:29" ht="20.25" customHeight="1">
      <c r="A171" s="589" t="s">
        <v>727</v>
      </c>
      <c r="B171" s="590" t="s">
        <v>138</v>
      </c>
      <c r="C171" s="591">
        <v>2261.4299999999998</v>
      </c>
      <c r="D171" s="471"/>
      <c r="E171" s="471"/>
      <c r="F171" s="471"/>
      <c r="G171" s="471"/>
      <c r="H171" s="472"/>
      <c r="I171" s="473"/>
      <c r="J171" s="471"/>
      <c r="K171" s="471"/>
      <c r="L171" s="471"/>
      <c r="M171" s="471"/>
      <c r="N171" s="471"/>
      <c r="O171" s="471"/>
      <c r="P171" s="471"/>
      <c r="Q171" s="471"/>
      <c r="R171" s="471"/>
      <c r="S171" s="471"/>
      <c r="T171" s="471"/>
      <c r="U171" s="471"/>
      <c r="V171" s="471"/>
      <c r="W171" s="471"/>
      <c r="X171" s="471"/>
      <c r="Y171" s="471"/>
      <c r="Z171" s="471"/>
      <c r="AA171" s="471"/>
      <c r="AB171" s="467">
        <v>1</v>
      </c>
      <c r="AC171" s="468">
        <v>1</v>
      </c>
    </row>
    <row r="172" spans="1:29" ht="20.25" customHeight="1">
      <c r="A172" s="589"/>
      <c r="B172" s="590"/>
      <c r="C172" s="591"/>
      <c r="D172" s="474"/>
      <c r="E172" s="474"/>
      <c r="F172" s="474"/>
      <c r="G172" s="474"/>
      <c r="H172" s="475"/>
      <c r="I172" s="476"/>
      <c r="J172" s="474"/>
      <c r="K172" s="474"/>
      <c r="L172" s="474"/>
      <c r="M172" s="474"/>
      <c r="N172" s="474"/>
      <c r="O172" s="474"/>
      <c r="P172" s="474"/>
      <c r="Q172" s="474"/>
      <c r="R172" s="474"/>
      <c r="S172" s="474"/>
      <c r="T172" s="474"/>
      <c r="U172" s="474"/>
      <c r="V172" s="474"/>
      <c r="W172" s="474"/>
      <c r="X172" s="474"/>
      <c r="Y172" s="474"/>
      <c r="Z172" s="474"/>
      <c r="AA172" s="474"/>
      <c r="AB172" s="469">
        <v>2261.4299999999998</v>
      </c>
      <c r="AC172" s="470">
        <v>2261.4299999999998</v>
      </c>
    </row>
    <row r="173" spans="1:29" ht="20.25" customHeight="1">
      <c r="A173" s="589" t="s">
        <v>732</v>
      </c>
      <c r="B173" s="590" t="s">
        <v>733</v>
      </c>
      <c r="C173" s="591">
        <v>217350.68</v>
      </c>
      <c r="D173" s="471"/>
      <c r="E173" s="471"/>
      <c r="F173" s="471"/>
      <c r="G173" s="471"/>
      <c r="H173" s="472"/>
      <c r="I173" s="473"/>
      <c r="J173" s="471"/>
      <c r="K173" s="471"/>
      <c r="L173" s="471"/>
      <c r="M173" s="471"/>
      <c r="N173" s="471"/>
      <c r="O173" s="471"/>
      <c r="P173" s="471"/>
      <c r="Q173" s="471"/>
      <c r="R173" s="471"/>
      <c r="S173" s="471"/>
      <c r="T173" s="471"/>
      <c r="U173" s="471"/>
      <c r="V173" s="471"/>
      <c r="W173" s="471"/>
      <c r="X173" s="471"/>
      <c r="Y173" s="467">
        <v>0.4</v>
      </c>
      <c r="Z173" s="467">
        <v>0.6</v>
      </c>
      <c r="AA173" s="471"/>
      <c r="AB173" s="471"/>
      <c r="AC173" s="468">
        <v>1</v>
      </c>
    </row>
    <row r="174" spans="1:29" ht="20.25" customHeight="1">
      <c r="A174" s="589"/>
      <c r="B174" s="590"/>
      <c r="C174" s="591"/>
      <c r="D174" s="474"/>
      <c r="E174" s="474"/>
      <c r="F174" s="474"/>
      <c r="G174" s="474"/>
      <c r="H174" s="475"/>
      <c r="I174" s="476"/>
      <c r="J174" s="474"/>
      <c r="K174" s="474"/>
      <c r="L174" s="474"/>
      <c r="M174" s="474"/>
      <c r="N174" s="474"/>
      <c r="O174" s="474"/>
      <c r="P174" s="474"/>
      <c r="Q174" s="474"/>
      <c r="R174" s="474"/>
      <c r="S174" s="474"/>
      <c r="T174" s="474"/>
      <c r="U174" s="474"/>
      <c r="V174" s="474"/>
      <c r="W174" s="474"/>
      <c r="X174" s="474"/>
      <c r="Y174" s="469">
        <v>86940.27</v>
      </c>
      <c r="Z174" s="469">
        <v>130410.41</v>
      </c>
      <c r="AA174" s="474"/>
      <c r="AB174" s="474"/>
      <c r="AC174" s="470">
        <v>217350.68</v>
      </c>
    </row>
    <row r="175" spans="1:29" ht="20.25" customHeight="1">
      <c r="A175" s="589" t="s">
        <v>782</v>
      </c>
      <c r="B175" s="590" t="s">
        <v>170</v>
      </c>
      <c r="C175" s="591">
        <v>258737.16</v>
      </c>
      <c r="D175" s="471"/>
      <c r="E175" s="471"/>
      <c r="F175" s="471"/>
      <c r="G175" s="471"/>
      <c r="H175" s="472"/>
      <c r="I175" s="473"/>
      <c r="J175" s="471"/>
      <c r="K175" s="471"/>
      <c r="L175" s="471"/>
      <c r="M175" s="471"/>
      <c r="N175" s="471"/>
      <c r="O175" s="471"/>
      <c r="P175" s="471"/>
      <c r="Q175" s="471"/>
      <c r="R175" s="471"/>
      <c r="S175" s="471"/>
      <c r="T175" s="471"/>
      <c r="U175" s="471"/>
      <c r="V175" s="471"/>
      <c r="W175" s="471"/>
      <c r="X175" s="471"/>
      <c r="Y175" s="467">
        <v>0.25</v>
      </c>
      <c r="Z175" s="467">
        <v>0.25</v>
      </c>
      <c r="AA175" s="467">
        <v>0.25</v>
      </c>
      <c r="AB175" s="467">
        <v>0.25</v>
      </c>
      <c r="AC175" s="468">
        <v>1</v>
      </c>
    </row>
    <row r="176" spans="1:29" ht="20.25" customHeight="1">
      <c r="A176" s="589"/>
      <c r="B176" s="590"/>
      <c r="C176" s="591"/>
      <c r="D176" s="474"/>
      <c r="E176" s="474"/>
      <c r="F176" s="474"/>
      <c r="G176" s="474"/>
      <c r="H176" s="475"/>
      <c r="I176" s="476"/>
      <c r="J176" s="474"/>
      <c r="K176" s="474"/>
      <c r="L176" s="474"/>
      <c r="M176" s="474"/>
      <c r="N176" s="474"/>
      <c r="O176" s="474"/>
      <c r="P176" s="474"/>
      <c r="Q176" s="474"/>
      <c r="R176" s="474"/>
      <c r="S176" s="474"/>
      <c r="T176" s="474"/>
      <c r="U176" s="474"/>
      <c r="V176" s="474"/>
      <c r="W176" s="474"/>
      <c r="X176" s="474"/>
      <c r="Y176" s="469">
        <v>64684.29</v>
      </c>
      <c r="Z176" s="469">
        <v>64684.29</v>
      </c>
      <c r="AA176" s="469">
        <v>64684.29</v>
      </c>
      <c r="AB176" s="469">
        <v>64684.29</v>
      </c>
      <c r="AC176" s="470">
        <v>258737.16</v>
      </c>
    </row>
    <row r="177" spans="1:29" ht="20.25" customHeight="1">
      <c r="A177" s="589" t="s">
        <v>792</v>
      </c>
      <c r="B177" s="590" t="s">
        <v>793</v>
      </c>
      <c r="C177" s="591">
        <v>602074.57999999996</v>
      </c>
      <c r="D177" s="471"/>
      <c r="E177" s="471"/>
      <c r="F177" s="471"/>
      <c r="G177" s="471"/>
      <c r="H177" s="472"/>
      <c r="I177" s="473"/>
      <c r="J177" s="471"/>
      <c r="K177" s="471"/>
      <c r="L177" s="471"/>
      <c r="M177" s="471"/>
      <c r="N177" s="467">
        <v>0.21679999999999999</v>
      </c>
      <c r="O177" s="467">
        <v>0.32929999999999998</v>
      </c>
      <c r="P177" s="467">
        <v>0.25700000000000001</v>
      </c>
      <c r="Q177" s="467">
        <v>0.19690000000000002</v>
      </c>
      <c r="R177" s="471"/>
      <c r="S177" s="471"/>
      <c r="T177" s="471"/>
      <c r="U177" s="471"/>
      <c r="V177" s="471"/>
      <c r="W177" s="471"/>
      <c r="X177" s="471"/>
      <c r="Y177" s="471"/>
      <c r="Z177" s="471"/>
      <c r="AA177" s="471"/>
      <c r="AB177" s="471"/>
      <c r="AC177" s="468">
        <v>1</v>
      </c>
    </row>
    <row r="178" spans="1:29" ht="20.25" customHeight="1">
      <c r="A178" s="589"/>
      <c r="B178" s="590"/>
      <c r="C178" s="591"/>
      <c r="D178" s="474"/>
      <c r="E178" s="474"/>
      <c r="F178" s="474"/>
      <c r="G178" s="474"/>
      <c r="H178" s="475"/>
      <c r="I178" s="476"/>
      <c r="J178" s="474"/>
      <c r="K178" s="474"/>
      <c r="L178" s="474"/>
      <c r="M178" s="474"/>
      <c r="N178" s="469">
        <v>138115.59</v>
      </c>
      <c r="O178" s="469">
        <v>187055.62</v>
      </c>
      <c r="P178" s="469">
        <v>151987.96</v>
      </c>
      <c r="Q178" s="469">
        <v>124915.41</v>
      </c>
      <c r="R178" s="474"/>
      <c r="S178" s="474"/>
      <c r="T178" s="474"/>
      <c r="U178" s="474"/>
      <c r="V178" s="474"/>
      <c r="W178" s="474"/>
      <c r="X178" s="474"/>
      <c r="Y178" s="474"/>
      <c r="Z178" s="474"/>
      <c r="AA178" s="474"/>
      <c r="AB178" s="474"/>
      <c r="AC178" s="470">
        <v>602074.57999999996</v>
      </c>
    </row>
    <row r="179" spans="1:29" ht="20.25" customHeight="1">
      <c r="A179" s="589" t="s">
        <v>794</v>
      </c>
      <c r="B179" s="590" t="s">
        <v>795</v>
      </c>
      <c r="C179" s="591">
        <v>602074.57999999996</v>
      </c>
      <c r="D179" s="471"/>
      <c r="E179" s="471"/>
      <c r="F179" s="471"/>
      <c r="G179" s="471"/>
      <c r="H179" s="472"/>
      <c r="I179" s="473"/>
      <c r="J179" s="471"/>
      <c r="K179" s="471"/>
      <c r="L179" s="471"/>
      <c r="M179" s="471"/>
      <c r="N179" s="467">
        <v>0.21679999999999999</v>
      </c>
      <c r="O179" s="467">
        <v>0.32929999999999998</v>
      </c>
      <c r="P179" s="467">
        <v>0.25700000000000001</v>
      </c>
      <c r="Q179" s="467">
        <v>0.19690000000000002</v>
      </c>
      <c r="R179" s="471"/>
      <c r="S179" s="471"/>
      <c r="T179" s="471"/>
      <c r="U179" s="471"/>
      <c r="V179" s="471"/>
      <c r="W179" s="471"/>
      <c r="X179" s="471"/>
      <c r="Y179" s="471"/>
      <c r="Z179" s="471"/>
      <c r="AA179" s="471"/>
      <c r="AB179" s="471"/>
      <c r="AC179" s="468">
        <v>1</v>
      </c>
    </row>
    <row r="180" spans="1:29" ht="20.25" customHeight="1">
      <c r="A180" s="589"/>
      <c r="B180" s="590"/>
      <c r="C180" s="591"/>
      <c r="D180" s="474"/>
      <c r="E180" s="474"/>
      <c r="F180" s="474"/>
      <c r="G180" s="474"/>
      <c r="H180" s="475"/>
      <c r="I180" s="476"/>
      <c r="J180" s="474"/>
      <c r="K180" s="474"/>
      <c r="L180" s="474"/>
      <c r="M180" s="474"/>
      <c r="N180" s="469">
        <v>138115.59</v>
      </c>
      <c r="O180" s="469">
        <v>187055.62</v>
      </c>
      <c r="P180" s="469">
        <v>151987.96</v>
      </c>
      <c r="Q180" s="469">
        <v>124915.41</v>
      </c>
      <c r="R180" s="474"/>
      <c r="S180" s="474"/>
      <c r="T180" s="474"/>
      <c r="U180" s="474"/>
      <c r="V180" s="474"/>
      <c r="W180" s="474"/>
      <c r="X180" s="474"/>
      <c r="Y180" s="474"/>
      <c r="Z180" s="474"/>
      <c r="AA180" s="474"/>
      <c r="AB180" s="474"/>
      <c r="AC180" s="470">
        <v>602074.57999999996</v>
      </c>
    </row>
    <row r="181" spans="1:29" ht="20.25" customHeight="1">
      <c r="A181" s="589" t="s">
        <v>796</v>
      </c>
      <c r="B181" s="590" t="s">
        <v>15</v>
      </c>
      <c r="C181" s="591">
        <v>5205.03</v>
      </c>
      <c r="D181" s="471"/>
      <c r="E181" s="471"/>
      <c r="F181" s="471"/>
      <c r="G181" s="471"/>
      <c r="H181" s="472"/>
      <c r="I181" s="473"/>
      <c r="J181" s="471"/>
      <c r="K181" s="471"/>
      <c r="L181" s="471"/>
      <c r="M181" s="471"/>
      <c r="N181" s="467">
        <v>1</v>
      </c>
      <c r="O181" s="471"/>
      <c r="P181" s="471"/>
      <c r="Q181" s="471"/>
      <c r="R181" s="471"/>
      <c r="S181" s="471"/>
      <c r="T181" s="471"/>
      <c r="U181" s="471"/>
      <c r="V181" s="471"/>
      <c r="W181" s="471"/>
      <c r="X181" s="471"/>
      <c r="Y181" s="471"/>
      <c r="Z181" s="471"/>
      <c r="AA181" s="471"/>
      <c r="AB181" s="471"/>
      <c r="AC181" s="468">
        <v>1</v>
      </c>
    </row>
    <row r="182" spans="1:29" ht="20.25" customHeight="1">
      <c r="A182" s="589"/>
      <c r="B182" s="590"/>
      <c r="C182" s="591"/>
      <c r="D182" s="474"/>
      <c r="E182" s="474"/>
      <c r="F182" s="474"/>
      <c r="G182" s="474"/>
      <c r="H182" s="475"/>
      <c r="I182" s="476"/>
      <c r="J182" s="474"/>
      <c r="K182" s="474"/>
      <c r="L182" s="474"/>
      <c r="M182" s="474"/>
      <c r="N182" s="469">
        <v>5205.03</v>
      </c>
      <c r="O182" s="474"/>
      <c r="P182" s="474"/>
      <c r="Q182" s="474"/>
      <c r="R182" s="474"/>
      <c r="S182" s="474"/>
      <c r="T182" s="474"/>
      <c r="U182" s="474"/>
      <c r="V182" s="474"/>
      <c r="W182" s="474"/>
      <c r="X182" s="474"/>
      <c r="Y182" s="474"/>
      <c r="Z182" s="474"/>
      <c r="AA182" s="474"/>
      <c r="AB182" s="474"/>
      <c r="AC182" s="470">
        <v>5205.03</v>
      </c>
    </row>
    <row r="183" spans="1:29" ht="20.25" customHeight="1">
      <c r="A183" s="589" t="s">
        <v>799</v>
      </c>
      <c r="B183" s="590" t="s">
        <v>26</v>
      </c>
      <c r="C183" s="591">
        <v>25575.67</v>
      </c>
      <c r="D183" s="471"/>
      <c r="E183" s="471"/>
      <c r="F183" s="471"/>
      <c r="G183" s="471"/>
      <c r="H183" s="472"/>
      <c r="I183" s="473"/>
      <c r="J183" s="471"/>
      <c r="K183" s="471"/>
      <c r="L183" s="471"/>
      <c r="M183" s="471"/>
      <c r="N183" s="467">
        <v>0.25</v>
      </c>
      <c r="O183" s="467">
        <v>0.25</v>
      </c>
      <c r="P183" s="467">
        <v>0.25</v>
      </c>
      <c r="Q183" s="467">
        <v>0.25</v>
      </c>
      <c r="R183" s="471"/>
      <c r="S183" s="471"/>
      <c r="T183" s="471"/>
      <c r="U183" s="471"/>
      <c r="V183" s="471"/>
      <c r="W183" s="471"/>
      <c r="X183" s="471"/>
      <c r="Y183" s="471"/>
      <c r="Z183" s="471"/>
      <c r="AA183" s="471"/>
      <c r="AB183" s="471"/>
      <c r="AC183" s="468">
        <v>1</v>
      </c>
    </row>
    <row r="184" spans="1:29" ht="20.25" customHeight="1">
      <c r="A184" s="589"/>
      <c r="B184" s="590"/>
      <c r="C184" s="591"/>
      <c r="D184" s="474"/>
      <c r="E184" s="474"/>
      <c r="F184" s="474"/>
      <c r="G184" s="474"/>
      <c r="H184" s="475"/>
      <c r="I184" s="476"/>
      <c r="J184" s="474"/>
      <c r="K184" s="474"/>
      <c r="L184" s="474"/>
      <c r="M184" s="474"/>
      <c r="N184" s="469">
        <v>6393.92</v>
      </c>
      <c r="O184" s="469">
        <v>6393.92</v>
      </c>
      <c r="P184" s="469">
        <v>6393.92</v>
      </c>
      <c r="Q184" s="469">
        <v>6393.91</v>
      </c>
      <c r="R184" s="474"/>
      <c r="S184" s="474"/>
      <c r="T184" s="474"/>
      <c r="U184" s="474"/>
      <c r="V184" s="474"/>
      <c r="W184" s="474"/>
      <c r="X184" s="474"/>
      <c r="Y184" s="474"/>
      <c r="Z184" s="474"/>
      <c r="AA184" s="474"/>
      <c r="AB184" s="474"/>
      <c r="AC184" s="470">
        <v>25575.67</v>
      </c>
    </row>
    <row r="185" spans="1:29" ht="20.25" customHeight="1">
      <c r="A185" s="589" t="s">
        <v>802</v>
      </c>
      <c r="B185" s="590" t="s">
        <v>36</v>
      </c>
      <c r="C185" s="591">
        <v>101329.93</v>
      </c>
      <c r="D185" s="471"/>
      <c r="E185" s="471"/>
      <c r="F185" s="471"/>
      <c r="G185" s="471"/>
      <c r="H185" s="472"/>
      <c r="I185" s="473"/>
      <c r="J185" s="471"/>
      <c r="K185" s="471"/>
      <c r="L185" s="471"/>
      <c r="M185" s="471"/>
      <c r="N185" s="467">
        <v>0.5</v>
      </c>
      <c r="O185" s="467">
        <v>0.5</v>
      </c>
      <c r="P185" s="471"/>
      <c r="Q185" s="471"/>
      <c r="R185" s="471"/>
      <c r="S185" s="471"/>
      <c r="T185" s="471"/>
      <c r="U185" s="471"/>
      <c r="V185" s="471"/>
      <c r="W185" s="471"/>
      <c r="X185" s="471"/>
      <c r="Y185" s="471"/>
      <c r="Z185" s="471"/>
      <c r="AA185" s="471"/>
      <c r="AB185" s="471"/>
      <c r="AC185" s="468">
        <v>1</v>
      </c>
    </row>
    <row r="186" spans="1:29" ht="20.25" customHeight="1">
      <c r="A186" s="589"/>
      <c r="B186" s="590"/>
      <c r="C186" s="591"/>
      <c r="D186" s="474"/>
      <c r="E186" s="474"/>
      <c r="F186" s="474"/>
      <c r="G186" s="474"/>
      <c r="H186" s="475"/>
      <c r="I186" s="476"/>
      <c r="J186" s="474"/>
      <c r="K186" s="474"/>
      <c r="L186" s="474"/>
      <c r="M186" s="474"/>
      <c r="N186" s="469">
        <v>50664.97</v>
      </c>
      <c r="O186" s="469">
        <v>50664.959999999999</v>
      </c>
      <c r="P186" s="474"/>
      <c r="Q186" s="474"/>
      <c r="R186" s="474"/>
      <c r="S186" s="474"/>
      <c r="T186" s="474"/>
      <c r="U186" s="474"/>
      <c r="V186" s="474"/>
      <c r="W186" s="474"/>
      <c r="X186" s="474"/>
      <c r="Y186" s="474"/>
      <c r="Z186" s="474"/>
      <c r="AA186" s="474"/>
      <c r="AB186" s="474"/>
      <c r="AC186" s="470">
        <v>101329.93</v>
      </c>
    </row>
    <row r="187" spans="1:29" ht="20.25" customHeight="1">
      <c r="A187" s="589" t="s">
        <v>809</v>
      </c>
      <c r="B187" s="590" t="s">
        <v>795</v>
      </c>
      <c r="C187" s="591">
        <v>135362.68</v>
      </c>
      <c r="D187" s="471"/>
      <c r="E187" s="471"/>
      <c r="F187" s="471"/>
      <c r="G187" s="471"/>
      <c r="H187" s="472"/>
      <c r="I187" s="473"/>
      <c r="J187" s="471"/>
      <c r="K187" s="471"/>
      <c r="L187" s="471"/>
      <c r="M187" s="471"/>
      <c r="N187" s="471"/>
      <c r="O187" s="467">
        <v>0.4</v>
      </c>
      <c r="P187" s="467">
        <v>0.4</v>
      </c>
      <c r="Q187" s="467">
        <v>0.2</v>
      </c>
      <c r="R187" s="471"/>
      <c r="S187" s="471"/>
      <c r="T187" s="471"/>
      <c r="U187" s="471"/>
      <c r="V187" s="471"/>
      <c r="W187" s="471"/>
      <c r="X187" s="471"/>
      <c r="Y187" s="471"/>
      <c r="Z187" s="471"/>
      <c r="AA187" s="471"/>
      <c r="AB187" s="471"/>
      <c r="AC187" s="468">
        <v>1</v>
      </c>
    </row>
    <row r="188" spans="1:29" ht="20.25" customHeight="1">
      <c r="A188" s="589"/>
      <c r="B188" s="590"/>
      <c r="C188" s="591"/>
      <c r="D188" s="474"/>
      <c r="E188" s="474"/>
      <c r="F188" s="474"/>
      <c r="G188" s="474"/>
      <c r="H188" s="475"/>
      <c r="I188" s="476"/>
      <c r="J188" s="474"/>
      <c r="K188" s="474"/>
      <c r="L188" s="474"/>
      <c r="M188" s="474"/>
      <c r="N188" s="474"/>
      <c r="O188" s="469">
        <v>54145.07</v>
      </c>
      <c r="P188" s="469">
        <v>54145.07</v>
      </c>
      <c r="Q188" s="469">
        <v>27072.54</v>
      </c>
      <c r="R188" s="474"/>
      <c r="S188" s="474"/>
      <c r="T188" s="474"/>
      <c r="U188" s="474"/>
      <c r="V188" s="474"/>
      <c r="W188" s="474"/>
      <c r="X188" s="474"/>
      <c r="Y188" s="474"/>
      <c r="Z188" s="474"/>
      <c r="AA188" s="474"/>
      <c r="AB188" s="474"/>
      <c r="AC188" s="470">
        <v>135362.68</v>
      </c>
    </row>
    <row r="189" spans="1:29" ht="20.25" customHeight="1">
      <c r="A189" s="589" t="s">
        <v>816</v>
      </c>
      <c r="B189" s="590" t="s">
        <v>165</v>
      </c>
      <c r="C189" s="591">
        <v>31194.6</v>
      </c>
      <c r="D189" s="471"/>
      <c r="E189" s="471"/>
      <c r="F189" s="471"/>
      <c r="G189" s="471"/>
      <c r="H189" s="472"/>
      <c r="I189" s="473"/>
      <c r="J189" s="471"/>
      <c r="K189" s="471"/>
      <c r="L189" s="471"/>
      <c r="M189" s="471"/>
      <c r="N189" s="471"/>
      <c r="O189" s="471"/>
      <c r="P189" s="467">
        <v>0.5</v>
      </c>
      <c r="Q189" s="467">
        <v>0.5</v>
      </c>
      <c r="R189" s="471"/>
      <c r="S189" s="471"/>
      <c r="T189" s="471"/>
      <c r="U189" s="471"/>
      <c r="V189" s="471"/>
      <c r="W189" s="471"/>
      <c r="X189" s="471"/>
      <c r="Y189" s="471"/>
      <c r="Z189" s="471"/>
      <c r="AA189" s="471"/>
      <c r="AB189" s="471"/>
      <c r="AC189" s="468">
        <v>1</v>
      </c>
    </row>
    <row r="190" spans="1:29" ht="20.25" customHeight="1">
      <c r="A190" s="589"/>
      <c r="B190" s="590"/>
      <c r="C190" s="591"/>
      <c r="D190" s="474"/>
      <c r="E190" s="474"/>
      <c r="F190" s="474"/>
      <c r="G190" s="474"/>
      <c r="H190" s="475"/>
      <c r="I190" s="476"/>
      <c r="J190" s="474"/>
      <c r="K190" s="474"/>
      <c r="L190" s="474"/>
      <c r="M190" s="474"/>
      <c r="N190" s="474"/>
      <c r="O190" s="474"/>
      <c r="P190" s="469">
        <v>15597.3</v>
      </c>
      <c r="Q190" s="469">
        <v>15597.3</v>
      </c>
      <c r="R190" s="474"/>
      <c r="S190" s="474"/>
      <c r="T190" s="474"/>
      <c r="U190" s="474"/>
      <c r="V190" s="474"/>
      <c r="W190" s="474"/>
      <c r="X190" s="474"/>
      <c r="Y190" s="474"/>
      <c r="Z190" s="474"/>
      <c r="AA190" s="474"/>
      <c r="AB190" s="474"/>
      <c r="AC190" s="470">
        <v>31194.6</v>
      </c>
    </row>
    <row r="191" spans="1:29" ht="20.25" customHeight="1">
      <c r="A191" s="589" t="s">
        <v>824</v>
      </c>
      <c r="B191" s="590" t="s">
        <v>170</v>
      </c>
      <c r="C191" s="591">
        <v>303406.67</v>
      </c>
      <c r="D191" s="471"/>
      <c r="E191" s="471"/>
      <c r="F191" s="471"/>
      <c r="G191" s="471"/>
      <c r="H191" s="472"/>
      <c r="I191" s="473"/>
      <c r="J191" s="471"/>
      <c r="K191" s="471"/>
      <c r="L191" s="471"/>
      <c r="M191" s="471"/>
      <c r="N191" s="467">
        <v>0.25</v>
      </c>
      <c r="O191" s="467">
        <v>0.25</v>
      </c>
      <c r="P191" s="467">
        <v>0.25</v>
      </c>
      <c r="Q191" s="467">
        <v>0.25</v>
      </c>
      <c r="R191" s="471"/>
      <c r="S191" s="471"/>
      <c r="T191" s="471"/>
      <c r="U191" s="471"/>
      <c r="V191" s="471"/>
      <c r="W191" s="471"/>
      <c r="X191" s="471"/>
      <c r="Y191" s="471"/>
      <c r="Z191" s="471"/>
      <c r="AA191" s="471"/>
      <c r="AB191" s="471"/>
      <c r="AC191" s="468">
        <v>1</v>
      </c>
    </row>
    <row r="192" spans="1:29" ht="20.25" customHeight="1">
      <c r="A192" s="589"/>
      <c r="B192" s="590"/>
      <c r="C192" s="591"/>
      <c r="D192" s="474"/>
      <c r="E192" s="474"/>
      <c r="F192" s="474"/>
      <c r="G192" s="474"/>
      <c r="H192" s="475"/>
      <c r="I192" s="476"/>
      <c r="J192" s="474"/>
      <c r="K192" s="474"/>
      <c r="L192" s="474"/>
      <c r="M192" s="474"/>
      <c r="N192" s="469">
        <v>75851.67</v>
      </c>
      <c r="O192" s="469">
        <v>75851.67</v>
      </c>
      <c r="P192" s="469">
        <v>75851.67</v>
      </c>
      <c r="Q192" s="469">
        <v>75851.66</v>
      </c>
      <c r="R192" s="474"/>
      <c r="S192" s="474"/>
      <c r="T192" s="474"/>
      <c r="U192" s="474"/>
      <c r="V192" s="474"/>
      <c r="W192" s="474"/>
      <c r="X192" s="474"/>
      <c r="Y192" s="474"/>
      <c r="Z192" s="474"/>
      <c r="AA192" s="474"/>
      <c r="AB192" s="474"/>
      <c r="AC192" s="470">
        <v>303406.67</v>
      </c>
    </row>
    <row r="193" spans="1:29" ht="20.25" customHeight="1">
      <c r="A193" s="477"/>
      <c r="B193" s="478"/>
      <c r="C193" s="586">
        <v>6287972.9400000004</v>
      </c>
      <c r="D193" s="479">
        <v>162144.48000000001</v>
      </c>
      <c r="E193" s="479">
        <v>476093.19</v>
      </c>
      <c r="F193" s="479">
        <v>424540.2</v>
      </c>
      <c r="G193" s="479">
        <v>537237.67000000004</v>
      </c>
      <c r="H193" s="587">
        <v>645371.56999999995</v>
      </c>
      <c r="I193" s="587"/>
      <c r="J193" s="479">
        <v>432643.32</v>
      </c>
      <c r="K193" s="479">
        <v>339695.68</v>
      </c>
      <c r="L193" s="479">
        <v>94691.94</v>
      </c>
      <c r="M193" s="479">
        <v>101489.86</v>
      </c>
      <c r="N193" s="479">
        <v>277600.74</v>
      </c>
      <c r="O193" s="479">
        <v>289022.59999999998</v>
      </c>
      <c r="P193" s="479">
        <v>251243.34</v>
      </c>
      <c r="Q193" s="479">
        <v>264747.78000000003</v>
      </c>
      <c r="R193" s="479">
        <v>145692.99</v>
      </c>
      <c r="S193" s="479">
        <v>126696.38</v>
      </c>
      <c r="T193" s="479">
        <v>186040.77</v>
      </c>
      <c r="U193" s="479">
        <v>151485.29</v>
      </c>
      <c r="V193" s="479">
        <v>157494.88</v>
      </c>
      <c r="W193" s="479">
        <v>193913.81</v>
      </c>
      <c r="X193" s="479">
        <v>146517.81</v>
      </c>
      <c r="Y193" s="479">
        <v>276590.78999999998</v>
      </c>
      <c r="Z193" s="479">
        <v>332708.05</v>
      </c>
      <c r="AA193" s="479">
        <v>171689.71</v>
      </c>
      <c r="AB193" s="479">
        <v>102620.09</v>
      </c>
      <c r="AC193" s="588">
        <v>6287972.9400000004</v>
      </c>
    </row>
    <row r="194" spans="1:29" ht="20.25" customHeight="1">
      <c r="A194" s="480"/>
      <c r="B194" s="481"/>
      <c r="C194" s="586"/>
      <c r="D194" s="469">
        <v>162144.48000000001</v>
      </c>
      <c r="E194" s="469">
        <v>638237.67000000004</v>
      </c>
      <c r="F194" s="469">
        <v>1062777.8700000001</v>
      </c>
      <c r="G194" s="469">
        <v>1600015.54</v>
      </c>
      <c r="H194" s="588">
        <v>2245387.11</v>
      </c>
      <c r="I194" s="588"/>
      <c r="J194" s="469">
        <v>2678030.4300000002</v>
      </c>
      <c r="K194" s="469">
        <v>3017726.11</v>
      </c>
      <c r="L194" s="469">
        <v>3112418.05</v>
      </c>
      <c r="M194" s="469">
        <v>3213907.91</v>
      </c>
      <c r="N194" s="469">
        <v>3491508.65</v>
      </c>
      <c r="O194" s="469">
        <v>3780531.25</v>
      </c>
      <c r="P194" s="469">
        <v>4031774.59</v>
      </c>
      <c r="Q194" s="469">
        <v>4296522.37</v>
      </c>
      <c r="R194" s="469">
        <v>4442215.3600000003</v>
      </c>
      <c r="S194" s="469">
        <v>4568911.74</v>
      </c>
      <c r="T194" s="469">
        <v>4754952.51</v>
      </c>
      <c r="U194" s="469">
        <v>4906437.8</v>
      </c>
      <c r="V194" s="469">
        <v>5063932.68</v>
      </c>
      <c r="W194" s="469">
        <v>5257846.49</v>
      </c>
      <c r="X194" s="469">
        <v>5404364.2999999998</v>
      </c>
      <c r="Y194" s="469">
        <v>5680955.0899999999</v>
      </c>
      <c r="Z194" s="469">
        <v>6013663.1399999997</v>
      </c>
      <c r="AA194" s="469">
        <v>6185352.8499999996</v>
      </c>
      <c r="AB194" s="469">
        <v>6287972.9400000004</v>
      </c>
      <c r="AC194" s="588"/>
    </row>
  </sheetData>
  <mergeCells count="331">
    <mergeCell ref="A5:A6"/>
    <mergeCell ref="B5:B6"/>
    <mergeCell ref="C5:C6"/>
    <mergeCell ref="A7:A8"/>
    <mergeCell ref="B7:B8"/>
    <mergeCell ref="C7:C8"/>
    <mergeCell ref="A1:H1"/>
    <mergeCell ref="H2:I2"/>
    <mergeCell ref="A3:A4"/>
    <mergeCell ref="B3:B4"/>
    <mergeCell ref="C3:C4"/>
    <mergeCell ref="H3:I3"/>
    <mergeCell ref="H4:I4"/>
    <mergeCell ref="A13:A14"/>
    <mergeCell ref="B13:B14"/>
    <mergeCell ref="C13:C14"/>
    <mergeCell ref="A15:A16"/>
    <mergeCell ref="B15:B16"/>
    <mergeCell ref="C15:C16"/>
    <mergeCell ref="A9:A10"/>
    <mergeCell ref="B9:B10"/>
    <mergeCell ref="C9:C10"/>
    <mergeCell ref="A11:A12"/>
    <mergeCell ref="B11:B12"/>
    <mergeCell ref="C11:C12"/>
    <mergeCell ref="H25:I25"/>
    <mergeCell ref="H26:I26"/>
    <mergeCell ref="A21:A22"/>
    <mergeCell ref="B21:B22"/>
    <mergeCell ref="C21:C22"/>
    <mergeCell ref="A23:A24"/>
    <mergeCell ref="B23:B24"/>
    <mergeCell ref="C23:C24"/>
    <mergeCell ref="A17:A18"/>
    <mergeCell ref="B17:B18"/>
    <mergeCell ref="C17:C18"/>
    <mergeCell ref="A19:A20"/>
    <mergeCell ref="B19:B20"/>
    <mergeCell ref="C19:C20"/>
    <mergeCell ref="A27:A28"/>
    <mergeCell ref="B27:B28"/>
    <mergeCell ref="C27:C28"/>
    <mergeCell ref="A29:A30"/>
    <mergeCell ref="B29:B30"/>
    <mergeCell ref="C29:C30"/>
    <mergeCell ref="A25:A26"/>
    <mergeCell ref="B25:B26"/>
    <mergeCell ref="C25:C26"/>
    <mergeCell ref="A33:A34"/>
    <mergeCell ref="B33:B34"/>
    <mergeCell ref="C33:C34"/>
    <mergeCell ref="H33:I33"/>
    <mergeCell ref="H34:I34"/>
    <mergeCell ref="H29:I29"/>
    <mergeCell ref="H30:I30"/>
    <mergeCell ref="A31:A32"/>
    <mergeCell ref="B31:B32"/>
    <mergeCell ref="C31:C32"/>
    <mergeCell ref="A37:A38"/>
    <mergeCell ref="B37:B38"/>
    <mergeCell ref="C37:C38"/>
    <mergeCell ref="H37:I37"/>
    <mergeCell ref="H38:I38"/>
    <mergeCell ref="A35:A36"/>
    <mergeCell ref="B35:B36"/>
    <mergeCell ref="C35:C36"/>
    <mergeCell ref="H35:I35"/>
    <mergeCell ref="H36:I36"/>
    <mergeCell ref="A41:A42"/>
    <mergeCell ref="B41:B42"/>
    <mergeCell ref="C41:C42"/>
    <mergeCell ref="H41:I41"/>
    <mergeCell ref="H42:I42"/>
    <mergeCell ref="A39:A40"/>
    <mergeCell ref="B39:B40"/>
    <mergeCell ref="C39:C40"/>
    <mergeCell ref="H39:I39"/>
    <mergeCell ref="H40:I40"/>
    <mergeCell ref="A45:A46"/>
    <mergeCell ref="B45:B46"/>
    <mergeCell ref="C45:C46"/>
    <mergeCell ref="H45:I45"/>
    <mergeCell ref="H46:I46"/>
    <mergeCell ref="A43:A44"/>
    <mergeCell ref="B43:B44"/>
    <mergeCell ref="C43:C44"/>
    <mergeCell ref="H43:I43"/>
    <mergeCell ref="H44:I44"/>
    <mergeCell ref="H49:I49"/>
    <mergeCell ref="H50:I50"/>
    <mergeCell ref="A51:A52"/>
    <mergeCell ref="B51:B52"/>
    <mergeCell ref="C51:C52"/>
    <mergeCell ref="A47:A48"/>
    <mergeCell ref="B47:B48"/>
    <mergeCell ref="C47:C48"/>
    <mergeCell ref="A49:A50"/>
    <mergeCell ref="B49:B50"/>
    <mergeCell ref="C49:C50"/>
    <mergeCell ref="H55:I55"/>
    <mergeCell ref="H56:I56"/>
    <mergeCell ref="A57:A58"/>
    <mergeCell ref="B57:B58"/>
    <mergeCell ref="C57:C58"/>
    <mergeCell ref="H57:I57"/>
    <mergeCell ref="H58:I58"/>
    <mergeCell ref="A53:A54"/>
    <mergeCell ref="B53:B54"/>
    <mergeCell ref="C53:C54"/>
    <mergeCell ref="A55:A56"/>
    <mergeCell ref="B55:B56"/>
    <mergeCell ref="C55:C56"/>
    <mergeCell ref="H65:I65"/>
    <mergeCell ref="H66:I66"/>
    <mergeCell ref="A63:A64"/>
    <mergeCell ref="B63:B64"/>
    <mergeCell ref="C63:C64"/>
    <mergeCell ref="H63:I63"/>
    <mergeCell ref="H64:I64"/>
    <mergeCell ref="A59:A60"/>
    <mergeCell ref="B59:B60"/>
    <mergeCell ref="C59:C60"/>
    <mergeCell ref="A61:A62"/>
    <mergeCell ref="B61:B62"/>
    <mergeCell ref="C61:C62"/>
    <mergeCell ref="A67:A68"/>
    <mergeCell ref="B67:B68"/>
    <mergeCell ref="C67:C68"/>
    <mergeCell ref="A69:A70"/>
    <mergeCell ref="B69:B70"/>
    <mergeCell ref="C69:C70"/>
    <mergeCell ref="A65:A66"/>
    <mergeCell ref="B65:B66"/>
    <mergeCell ref="C65:C66"/>
    <mergeCell ref="A73:A74"/>
    <mergeCell ref="B73:B74"/>
    <mergeCell ref="C73:C74"/>
    <mergeCell ref="H73:I73"/>
    <mergeCell ref="H74:I74"/>
    <mergeCell ref="H69:I69"/>
    <mergeCell ref="H70:I70"/>
    <mergeCell ref="A71:A72"/>
    <mergeCell ref="B71:B72"/>
    <mergeCell ref="C71:C72"/>
    <mergeCell ref="A77:A78"/>
    <mergeCell ref="B77:B78"/>
    <mergeCell ref="C77:C78"/>
    <mergeCell ref="H77:I77"/>
    <mergeCell ref="H78:I78"/>
    <mergeCell ref="A75:A76"/>
    <mergeCell ref="B75:B76"/>
    <mergeCell ref="C75:C76"/>
    <mergeCell ref="H75:I75"/>
    <mergeCell ref="H76:I76"/>
    <mergeCell ref="H81:I81"/>
    <mergeCell ref="H82:I82"/>
    <mergeCell ref="A83:A84"/>
    <mergeCell ref="B83:B84"/>
    <mergeCell ref="C83:C84"/>
    <mergeCell ref="A79:A80"/>
    <mergeCell ref="B79:B80"/>
    <mergeCell ref="C79:C80"/>
    <mergeCell ref="A81:A82"/>
    <mergeCell ref="B81:B82"/>
    <mergeCell ref="C81:C82"/>
    <mergeCell ref="A89:A90"/>
    <mergeCell ref="B89:B90"/>
    <mergeCell ref="C89:C90"/>
    <mergeCell ref="A91:A92"/>
    <mergeCell ref="B91:B92"/>
    <mergeCell ref="C91:C92"/>
    <mergeCell ref="A85:A86"/>
    <mergeCell ref="B85:B86"/>
    <mergeCell ref="C85:C86"/>
    <mergeCell ref="A87:A88"/>
    <mergeCell ref="B87:B88"/>
    <mergeCell ref="C87:C88"/>
    <mergeCell ref="A97:A98"/>
    <mergeCell ref="B97:B98"/>
    <mergeCell ref="C97:C98"/>
    <mergeCell ref="A99:A100"/>
    <mergeCell ref="B99:B100"/>
    <mergeCell ref="C99:C100"/>
    <mergeCell ref="A93:A94"/>
    <mergeCell ref="B93:B94"/>
    <mergeCell ref="C93:C94"/>
    <mergeCell ref="A95:A96"/>
    <mergeCell ref="B95:B96"/>
    <mergeCell ref="C95:C96"/>
    <mergeCell ref="A105:A106"/>
    <mergeCell ref="B105:B106"/>
    <mergeCell ref="C105:C106"/>
    <mergeCell ref="A107:A108"/>
    <mergeCell ref="B107:B108"/>
    <mergeCell ref="C107:C108"/>
    <mergeCell ref="A101:A102"/>
    <mergeCell ref="B101:B102"/>
    <mergeCell ref="C101:C102"/>
    <mergeCell ref="A103:A104"/>
    <mergeCell ref="B103:B104"/>
    <mergeCell ref="C103:C104"/>
    <mergeCell ref="A113:A114"/>
    <mergeCell ref="B113:B114"/>
    <mergeCell ref="C113:C114"/>
    <mergeCell ref="A115:A116"/>
    <mergeCell ref="B115:B116"/>
    <mergeCell ref="C115:C116"/>
    <mergeCell ref="A109:A110"/>
    <mergeCell ref="B109:B110"/>
    <mergeCell ref="C109:C110"/>
    <mergeCell ref="A111:A112"/>
    <mergeCell ref="B111:B112"/>
    <mergeCell ref="C111:C112"/>
    <mergeCell ref="A121:A122"/>
    <mergeCell ref="B121:B122"/>
    <mergeCell ref="C121:C122"/>
    <mergeCell ref="A123:A124"/>
    <mergeCell ref="B123:B124"/>
    <mergeCell ref="C123:C124"/>
    <mergeCell ref="A117:A118"/>
    <mergeCell ref="B117:B118"/>
    <mergeCell ref="C117:C118"/>
    <mergeCell ref="A119:A120"/>
    <mergeCell ref="B119:B120"/>
    <mergeCell ref="C119:C120"/>
    <mergeCell ref="A129:A130"/>
    <mergeCell ref="B129:B130"/>
    <mergeCell ref="C129:C130"/>
    <mergeCell ref="A131:A132"/>
    <mergeCell ref="B131:B132"/>
    <mergeCell ref="C131:C132"/>
    <mergeCell ref="A125:A126"/>
    <mergeCell ref="B125:B126"/>
    <mergeCell ref="C125:C126"/>
    <mergeCell ref="A127:A128"/>
    <mergeCell ref="B127:B128"/>
    <mergeCell ref="C127:C128"/>
    <mergeCell ref="A137:A138"/>
    <mergeCell ref="B137:B138"/>
    <mergeCell ref="C137:C138"/>
    <mergeCell ref="A139:A140"/>
    <mergeCell ref="B139:B140"/>
    <mergeCell ref="C139:C140"/>
    <mergeCell ref="A133:A134"/>
    <mergeCell ref="B133:B134"/>
    <mergeCell ref="C133:C134"/>
    <mergeCell ref="A135:A136"/>
    <mergeCell ref="B135:B136"/>
    <mergeCell ref="C135:C136"/>
    <mergeCell ref="A145:A146"/>
    <mergeCell ref="B145:B146"/>
    <mergeCell ref="C145:C146"/>
    <mergeCell ref="A147:A148"/>
    <mergeCell ref="B147:B148"/>
    <mergeCell ref="C147:C148"/>
    <mergeCell ref="A141:A142"/>
    <mergeCell ref="B141:B142"/>
    <mergeCell ref="C141:C142"/>
    <mergeCell ref="A143:A144"/>
    <mergeCell ref="B143:B144"/>
    <mergeCell ref="C143:C144"/>
    <mergeCell ref="A153:A154"/>
    <mergeCell ref="B153:B154"/>
    <mergeCell ref="C153:C154"/>
    <mergeCell ref="A155:A156"/>
    <mergeCell ref="B155:B156"/>
    <mergeCell ref="C155:C156"/>
    <mergeCell ref="A149:A150"/>
    <mergeCell ref="B149:B150"/>
    <mergeCell ref="C149:C150"/>
    <mergeCell ref="A151:A152"/>
    <mergeCell ref="B151:B152"/>
    <mergeCell ref="C151:C152"/>
    <mergeCell ref="A161:A162"/>
    <mergeCell ref="B161:B162"/>
    <mergeCell ref="C161:C162"/>
    <mergeCell ref="A163:A164"/>
    <mergeCell ref="B163:B164"/>
    <mergeCell ref="C163:C164"/>
    <mergeCell ref="A157:A158"/>
    <mergeCell ref="B157:B158"/>
    <mergeCell ref="C157:C158"/>
    <mergeCell ref="A159:A160"/>
    <mergeCell ref="B159:B160"/>
    <mergeCell ref="C159:C160"/>
    <mergeCell ref="A169:A170"/>
    <mergeCell ref="B169:B170"/>
    <mergeCell ref="C169:C170"/>
    <mergeCell ref="A171:A172"/>
    <mergeCell ref="B171:B172"/>
    <mergeCell ref="C171:C172"/>
    <mergeCell ref="A165:A166"/>
    <mergeCell ref="B165:B166"/>
    <mergeCell ref="C165:C166"/>
    <mergeCell ref="A167:A168"/>
    <mergeCell ref="B167:B168"/>
    <mergeCell ref="C167:C168"/>
    <mergeCell ref="A177:A178"/>
    <mergeCell ref="B177:B178"/>
    <mergeCell ref="C177:C178"/>
    <mergeCell ref="A179:A180"/>
    <mergeCell ref="B179:B180"/>
    <mergeCell ref="C179:C180"/>
    <mergeCell ref="A173:A174"/>
    <mergeCell ref="B173:B174"/>
    <mergeCell ref="C173:C174"/>
    <mergeCell ref="A175:A176"/>
    <mergeCell ref="B175:B176"/>
    <mergeCell ref="C175:C176"/>
    <mergeCell ref="A185:A186"/>
    <mergeCell ref="B185:B186"/>
    <mergeCell ref="C185:C186"/>
    <mergeCell ref="A187:A188"/>
    <mergeCell ref="B187:B188"/>
    <mergeCell ref="C187:C188"/>
    <mergeCell ref="A181:A182"/>
    <mergeCell ref="B181:B182"/>
    <mergeCell ref="C181:C182"/>
    <mergeCell ref="A183:A184"/>
    <mergeCell ref="B183:B184"/>
    <mergeCell ref="C183:C184"/>
    <mergeCell ref="C193:C194"/>
    <mergeCell ref="H193:I193"/>
    <mergeCell ref="AC193:AC194"/>
    <mergeCell ref="H194:I194"/>
    <mergeCell ref="A189:A190"/>
    <mergeCell ref="B189:B190"/>
    <mergeCell ref="C189:C190"/>
    <mergeCell ref="A191:A192"/>
    <mergeCell ref="B191:B192"/>
    <mergeCell ref="C191:C192"/>
  </mergeCells>
  <printOptions horizontalCentered="1"/>
  <pageMargins left="0" right="0" top="0.39370078740157483" bottom="0.78740157480314965" header="0" footer="0"/>
  <pageSetup paperSize="9" scale="37" orientation="landscape" r:id="rId1"/>
  <headerFooter>
    <oddFooter>&amp;C&amp;P/&amp;N&amp;R&amp;G</oddFoot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AA50D-D2E6-4210-9DF9-7042EC9255E0}">
  <dimension ref="A1:H58"/>
  <sheetViews>
    <sheetView view="pageBreakPreview" zoomScale="90" zoomScaleNormal="100" zoomScaleSheetLayoutView="90" workbookViewId="0">
      <selection activeCell="D601" sqref="D601"/>
    </sheetView>
  </sheetViews>
  <sheetFormatPr defaultColWidth="9.140625" defaultRowHeight="12.75"/>
  <cols>
    <col min="1" max="1" width="15" style="381" customWidth="1"/>
    <col min="2" max="2" width="35" style="381" customWidth="1"/>
    <col min="3" max="3" width="9.140625" style="381"/>
    <col min="4" max="4" width="16.140625" style="381" customWidth="1"/>
    <col min="5" max="5" width="22" style="381" customWidth="1"/>
    <col min="6" max="6" width="25.7109375" style="381" customWidth="1"/>
    <col min="7" max="7" width="32.140625" style="381" customWidth="1"/>
    <col min="8" max="8" width="41" style="381" bestFit="1" customWidth="1"/>
    <col min="9" max="16384" width="9.140625" style="381"/>
  </cols>
  <sheetData>
    <row r="1" spans="1:8" ht="15.75">
      <c r="A1" s="380"/>
      <c r="B1" s="380"/>
      <c r="C1" s="380"/>
      <c r="D1" s="380"/>
      <c r="E1" s="380"/>
      <c r="F1" s="380"/>
      <c r="G1" s="380"/>
      <c r="H1" s="380"/>
    </row>
    <row r="2" spans="1:8" ht="15.75">
      <c r="A2" s="380"/>
      <c r="B2" s="380"/>
      <c r="C2" s="380"/>
      <c r="D2" s="380"/>
      <c r="E2" s="380"/>
      <c r="F2" s="380"/>
      <c r="G2" s="380"/>
      <c r="H2" s="380"/>
    </row>
    <row r="3" spans="1:8" ht="15.75">
      <c r="A3" s="380"/>
      <c r="B3" s="380"/>
      <c r="C3" s="380"/>
      <c r="D3" s="380"/>
      <c r="E3" s="380"/>
      <c r="F3" s="380"/>
      <c r="G3" s="380"/>
      <c r="H3" s="380"/>
    </row>
    <row r="4" spans="1:8" ht="15.75">
      <c r="A4" s="380"/>
      <c r="B4" s="380"/>
      <c r="C4" s="380"/>
      <c r="D4" s="380"/>
      <c r="E4" s="380"/>
      <c r="F4" s="380"/>
      <c r="G4" s="380"/>
      <c r="H4" s="380"/>
    </row>
    <row r="5" spans="1:8" ht="15.75">
      <c r="A5" s="380"/>
      <c r="B5" s="380"/>
      <c r="C5" s="380"/>
      <c r="D5" s="380"/>
      <c r="E5" s="380"/>
      <c r="F5" s="380"/>
      <c r="G5" s="380"/>
      <c r="H5" s="380"/>
    </row>
    <row r="6" spans="1:8" ht="15.75">
      <c r="A6" s="605" t="s">
        <v>1985</v>
      </c>
      <c r="B6" s="605"/>
      <c r="C6" s="605"/>
      <c r="D6" s="605"/>
      <c r="E6" s="605"/>
      <c r="F6" s="605"/>
      <c r="G6" s="605"/>
      <c r="H6" s="605"/>
    </row>
    <row r="7" spans="1:8" ht="15.75">
      <c r="A7" s="382"/>
      <c r="B7" s="383"/>
      <c r="C7" s="384"/>
      <c r="D7" s="384"/>
      <c r="E7" s="384"/>
      <c r="F7" s="384"/>
      <c r="G7" s="384"/>
      <c r="H7" s="385"/>
    </row>
    <row r="8" spans="1:8" ht="15.75" hidden="1">
      <c r="A8" s="386" t="s">
        <v>1986</v>
      </c>
      <c r="B8" s="386" t="s">
        <v>1987</v>
      </c>
      <c r="C8" s="609" t="s">
        <v>1988</v>
      </c>
      <c r="D8" s="609"/>
      <c r="E8" s="387" t="s">
        <v>1989</v>
      </c>
      <c r="F8" s="387" t="s">
        <v>1990</v>
      </c>
      <c r="G8" s="387" t="s">
        <v>1991</v>
      </c>
      <c r="H8" s="387" t="s">
        <v>1992</v>
      </c>
    </row>
    <row r="9" spans="1:8" ht="15.75" hidden="1">
      <c r="A9" s="388" t="s">
        <v>1993</v>
      </c>
      <c r="B9" s="389" t="s">
        <v>1994</v>
      </c>
      <c r="C9" s="603" t="s">
        <v>1995</v>
      </c>
      <c r="D9" s="604"/>
      <c r="E9" s="390" t="s">
        <v>1996</v>
      </c>
      <c r="F9" s="390" t="s">
        <v>1997</v>
      </c>
      <c r="G9" s="390"/>
      <c r="H9" s="391"/>
    </row>
    <row r="10" spans="1:8" ht="47.25" hidden="1">
      <c r="A10" s="388" t="s">
        <v>1998</v>
      </c>
      <c r="B10" s="392" t="s">
        <v>1999</v>
      </c>
      <c r="C10" s="610" t="s">
        <v>2000</v>
      </c>
      <c r="D10" s="611"/>
      <c r="E10" s="390"/>
      <c r="F10" s="390" t="s">
        <v>2001</v>
      </c>
      <c r="G10" s="390"/>
      <c r="H10" s="391"/>
    </row>
    <row r="11" spans="1:8" ht="47.25" hidden="1">
      <c r="A11" s="388" t="s">
        <v>2002</v>
      </c>
      <c r="B11" s="392" t="s">
        <v>2003</v>
      </c>
      <c r="C11" s="610" t="s">
        <v>2004</v>
      </c>
      <c r="D11" s="611"/>
      <c r="E11" s="390"/>
      <c r="F11" s="390" t="s">
        <v>2005</v>
      </c>
      <c r="G11" s="390"/>
      <c r="H11" s="393" t="s">
        <v>2006</v>
      </c>
    </row>
    <row r="12" spans="1:8" ht="15.75" hidden="1">
      <c r="A12" s="394"/>
      <c r="B12" s="384"/>
      <c r="C12" s="384"/>
      <c r="D12" s="384"/>
      <c r="E12" s="384"/>
      <c r="F12" s="384"/>
      <c r="G12" s="384"/>
      <c r="H12" s="385"/>
    </row>
    <row r="13" spans="1:8" ht="15.75" hidden="1">
      <c r="A13" s="605" t="s">
        <v>2007</v>
      </c>
      <c r="B13" s="605"/>
      <c r="C13" s="605"/>
      <c r="D13" s="605"/>
      <c r="E13" s="605"/>
      <c r="F13" s="605"/>
      <c r="G13" s="605"/>
      <c r="H13" s="605"/>
    </row>
    <row r="14" spans="1:8" ht="15.75" hidden="1">
      <c r="A14" s="382"/>
      <c r="B14" s="383"/>
      <c r="C14" s="384"/>
      <c r="D14" s="384"/>
      <c r="E14" s="384"/>
      <c r="F14" s="384"/>
      <c r="G14" s="384"/>
      <c r="H14" s="385"/>
    </row>
    <row r="15" spans="1:8" ht="15.75" hidden="1">
      <c r="A15" s="386" t="s">
        <v>1</v>
      </c>
      <c r="B15" s="386" t="s">
        <v>3</v>
      </c>
      <c r="C15" s="387" t="s">
        <v>836</v>
      </c>
      <c r="D15" s="387" t="s">
        <v>2008</v>
      </c>
      <c r="E15" s="387" t="s">
        <v>2009</v>
      </c>
      <c r="F15" s="387" t="s">
        <v>2010</v>
      </c>
      <c r="G15" s="387" t="s">
        <v>2011</v>
      </c>
      <c r="H15" s="387" t="s">
        <v>2012</v>
      </c>
    </row>
    <row r="16" spans="1:8" ht="15.75" hidden="1">
      <c r="A16" s="395"/>
      <c r="B16" s="396"/>
      <c r="C16" s="397"/>
      <c r="D16" s="398"/>
      <c r="E16" s="399"/>
      <c r="F16" s="400"/>
      <c r="G16" s="400"/>
      <c r="H16" s="400"/>
    </row>
    <row r="17" spans="1:8" ht="47.25" hidden="1">
      <c r="A17" s="606" t="s">
        <v>2013</v>
      </c>
      <c r="B17" s="607" t="s">
        <v>2014</v>
      </c>
      <c r="C17" s="608" t="s">
        <v>2015</v>
      </c>
      <c r="D17" s="612">
        <f>MEDIAN(F24:H24)</f>
        <v>495</v>
      </c>
      <c r="E17" s="402" t="s">
        <v>2016</v>
      </c>
      <c r="F17" s="401" t="str">
        <f>B9</f>
        <v>TERPAV ENGENHARIA LTDA</v>
      </c>
      <c r="G17" s="401" t="str">
        <f>B10</f>
        <v>BRASILAR COMÉRCIO, INDÚSTRIA E SERVIÇOS DE CONSTRUÇÃO LTDA</v>
      </c>
      <c r="H17" s="401" t="str">
        <f>B11</f>
        <v>SÓPEDRA TRANSPORTE COMÉRCIO E CONSTRUÇÃO LTDA</v>
      </c>
    </row>
    <row r="18" spans="1:8" ht="15.75" hidden="1">
      <c r="A18" s="606"/>
      <c r="B18" s="607"/>
      <c r="C18" s="608"/>
      <c r="D18" s="613"/>
      <c r="E18" s="402" t="s">
        <v>2017</v>
      </c>
      <c r="F18" s="401" t="str">
        <f>C9</f>
        <v>19.993.011/0001-48</v>
      </c>
      <c r="G18" s="401" t="str">
        <f>C10</f>
        <v>02.173.244/0001-00</v>
      </c>
      <c r="H18" s="401" t="str">
        <f>C11</f>
        <v>07.305.450/0001-31</v>
      </c>
    </row>
    <row r="19" spans="1:8" ht="15.75" hidden="1">
      <c r="A19" s="606"/>
      <c r="B19" s="607"/>
      <c r="C19" s="608"/>
      <c r="D19" s="613"/>
      <c r="E19" s="402" t="s">
        <v>1989</v>
      </c>
      <c r="F19" s="401" t="str">
        <f>E9</f>
        <v>Fernando Odilon</v>
      </c>
      <c r="G19" s="401">
        <f>E10</f>
        <v>0</v>
      </c>
      <c r="H19" s="401">
        <f>E11</f>
        <v>0</v>
      </c>
    </row>
    <row r="20" spans="1:8" ht="15.75" hidden="1">
      <c r="A20" s="606"/>
      <c r="B20" s="607"/>
      <c r="C20" s="608"/>
      <c r="D20" s="613"/>
      <c r="E20" s="402" t="s">
        <v>2018</v>
      </c>
      <c r="F20" s="403" t="s">
        <v>2019</v>
      </c>
      <c r="G20" s="403" t="s">
        <v>2020</v>
      </c>
      <c r="H20" s="403" t="s">
        <v>2020</v>
      </c>
    </row>
    <row r="21" spans="1:8" ht="15.75" hidden="1">
      <c r="A21" s="606"/>
      <c r="B21" s="607"/>
      <c r="C21" s="608"/>
      <c r="D21" s="613"/>
      <c r="E21" s="402" t="s">
        <v>2021</v>
      </c>
      <c r="F21" s="401" t="str">
        <f>F9</f>
        <v>(81) 9.8501-4732</v>
      </c>
      <c r="G21" s="401" t="str">
        <f>F10</f>
        <v>(81) 3429-2902</v>
      </c>
      <c r="H21" s="401" t="str">
        <f>F11</f>
        <v>(81) 9.9961-1833</v>
      </c>
    </row>
    <row r="22" spans="1:8" ht="15.75" hidden="1">
      <c r="A22" s="606"/>
      <c r="B22" s="607"/>
      <c r="C22" s="608"/>
      <c r="D22" s="613"/>
      <c r="E22" s="402" t="s">
        <v>2022</v>
      </c>
      <c r="F22" s="404">
        <v>420</v>
      </c>
      <c r="G22" s="404">
        <v>450</v>
      </c>
      <c r="H22" s="404">
        <v>450</v>
      </c>
    </row>
    <row r="23" spans="1:8" ht="15.75" hidden="1">
      <c r="A23" s="606"/>
      <c r="B23" s="607"/>
      <c r="C23" s="608"/>
      <c r="D23" s="613"/>
      <c r="E23" s="402" t="s">
        <v>2023</v>
      </c>
      <c r="F23" s="404">
        <f>F22*0.1</f>
        <v>42</v>
      </c>
      <c r="G23" s="404">
        <f>G22*0.1</f>
        <v>45</v>
      </c>
      <c r="H23" s="404">
        <f>H22*0.1</f>
        <v>45</v>
      </c>
    </row>
    <row r="24" spans="1:8" ht="15.75" hidden="1">
      <c r="A24" s="606"/>
      <c r="B24" s="607"/>
      <c r="C24" s="608"/>
      <c r="D24" s="613"/>
      <c r="E24" s="402" t="s">
        <v>2024</v>
      </c>
      <c r="F24" s="404">
        <f>F22+F23</f>
        <v>462</v>
      </c>
      <c r="G24" s="404">
        <f>G22+G23</f>
        <v>495</v>
      </c>
      <c r="H24" s="404">
        <f>H22+H23</f>
        <v>495</v>
      </c>
    </row>
    <row r="25" spans="1:8" ht="15.75" hidden="1">
      <c r="A25" s="405"/>
      <c r="B25" s="405"/>
      <c r="C25" s="405"/>
      <c r="D25" s="405"/>
      <c r="E25" s="405"/>
      <c r="F25" s="405"/>
      <c r="G25" s="405"/>
      <c r="H25" s="405"/>
    </row>
    <row r="26" spans="1:8" ht="15.75">
      <c r="A26" s="386" t="s">
        <v>1986</v>
      </c>
      <c r="B26" s="386" t="s">
        <v>1987</v>
      </c>
      <c r="C26" s="609" t="s">
        <v>1988</v>
      </c>
      <c r="D26" s="609"/>
      <c r="E26" s="387" t="s">
        <v>1989</v>
      </c>
      <c r="F26" s="387" t="s">
        <v>1990</v>
      </c>
      <c r="G26" s="387" t="s">
        <v>1991</v>
      </c>
      <c r="H26" s="387" t="s">
        <v>1992</v>
      </c>
    </row>
    <row r="27" spans="1:8" ht="15.75">
      <c r="A27" s="388" t="s">
        <v>1993</v>
      </c>
      <c r="B27" s="389" t="s">
        <v>2025</v>
      </c>
      <c r="C27" s="603" t="s">
        <v>2026</v>
      </c>
      <c r="D27" s="604"/>
      <c r="E27" s="390" t="str">
        <f>F37</f>
        <v>IANA</v>
      </c>
      <c r="F27" s="390" t="s">
        <v>2027</v>
      </c>
      <c r="G27" s="390" t="s">
        <v>2028</v>
      </c>
      <c r="H27" s="406" t="s">
        <v>2029</v>
      </c>
    </row>
    <row r="28" spans="1:8" ht="15.75">
      <c r="A28" s="388" t="s">
        <v>1998</v>
      </c>
      <c r="B28" s="389" t="s">
        <v>2030</v>
      </c>
      <c r="C28" s="603" t="str">
        <f>G36</f>
        <v>11.356.463/0001-07</v>
      </c>
      <c r="D28" s="604"/>
      <c r="E28" s="390" t="s">
        <v>2031</v>
      </c>
      <c r="F28" s="390" t="s">
        <v>2032</v>
      </c>
      <c r="G28" s="390"/>
      <c r="H28" s="407" t="s">
        <v>2033</v>
      </c>
    </row>
    <row r="29" spans="1:8" ht="15.75">
      <c r="A29" s="388" t="s">
        <v>2002</v>
      </c>
      <c r="B29" s="389" t="s">
        <v>2034</v>
      </c>
      <c r="C29" s="603" t="s">
        <v>2035</v>
      </c>
      <c r="D29" s="604"/>
      <c r="E29" s="390" t="s">
        <v>2036</v>
      </c>
      <c r="F29" s="390" t="s">
        <v>2037</v>
      </c>
      <c r="G29" s="390" t="s">
        <v>2038</v>
      </c>
      <c r="H29" s="393" t="s">
        <v>2039</v>
      </c>
    </row>
    <row r="30" spans="1:8" ht="15.75">
      <c r="A30" s="394"/>
      <c r="B30" s="384"/>
      <c r="C30" s="384"/>
      <c r="D30" s="384"/>
      <c r="E30" s="384"/>
      <c r="F30" s="384"/>
      <c r="G30" s="384"/>
      <c r="H30" s="385"/>
    </row>
    <row r="31" spans="1:8" ht="15.75">
      <c r="A31" s="605" t="s">
        <v>2007</v>
      </c>
      <c r="B31" s="605"/>
      <c r="C31" s="605"/>
      <c r="D31" s="605"/>
      <c r="E31" s="605"/>
      <c r="F31" s="605"/>
      <c r="G31" s="605"/>
      <c r="H31" s="605"/>
    </row>
    <row r="32" spans="1:8" ht="15.75">
      <c r="A32" s="382"/>
      <c r="B32" s="383"/>
      <c r="C32" s="384"/>
      <c r="D32" s="384"/>
      <c r="E32" s="384"/>
      <c r="F32" s="384"/>
      <c r="G32" s="384"/>
      <c r="H32" s="385"/>
    </row>
    <row r="33" spans="1:8" ht="15.75">
      <c r="A33" s="386" t="s">
        <v>1</v>
      </c>
      <c r="B33" s="386" t="s">
        <v>3</v>
      </c>
      <c r="C33" s="387" t="s">
        <v>836</v>
      </c>
      <c r="D33" s="387" t="s">
        <v>2008</v>
      </c>
      <c r="E33" s="387" t="s">
        <v>2009</v>
      </c>
      <c r="F33" s="387" t="s">
        <v>2010</v>
      </c>
      <c r="G33" s="387" t="s">
        <v>2011</v>
      </c>
      <c r="H33" s="387" t="s">
        <v>2012</v>
      </c>
    </row>
    <row r="34" spans="1:8" ht="15.75">
      <c r="A34" s="395"/>
      <c r="B34" s="396"/>
      <c r="C34" s="397"/>
      <c r="D34" s="398"/>
      <c r="E34" s="399"/>
      <c r="F34" s="400"/>
      <c r="G34" s="400"/>
      <c r="H34" s="400"/>
    </row>
    <row r="35" spans="1:8" ht="15.75">
      <c r="A35" s="606" t="s">
        <v>2040</v>
      </c>
      <c r="B35" s="607" t="s">
        <v>23</v>
      </c>
      <c r="C35" s="608" t="s">
        <v>24</v>
      </c>
      <c r="D35" s="600">
        <f>MIN(F42:H42)</f>
        <v>700</v>
      </c>
      <c r="E35" s="402" t="s">
        <v>2016</v>
      </c>
      <c r="F35" s="401" t="str">
        <f>B27</f>
        <v>Litoral banheiros quimicos</v>
      </c>
      <c r="G35" s="408" t="s">
        <v>2041</v>
      </c>
      <c r="H35" s="401" t="str">
        <f>B29</f>
        <v>BW LOCAÇÕES</v>
      </c>
    </row>
    <row r="36" spans="1:8" ht="15.75">
      <c r="A36" s="606"/>
      <c r="B36" s="607"/>
      <c r="C36" s="608"/>
      <c r="D36" s="601"/>
      <c r="E36" s="402" t="s">
        <v>2017</v>
      </c>
      <c r="F36" s="401" t="str">
        <f>C27</f>
        <v>11.761.604/0001-77</v>
      </c>
      <c r="G36" s="401" t="s">
        <v>2042</v>
      </c>
      <c r="H36" s="401" t="str">
        <f>C29</f>
        <v>03.609.5070001-35</v>
      </c>
    </row>
    <row r="37" spans="1:8" ht="15.75">
      <c r="A37" s="606"/>
      <c r="B37" s="607"/>
      <c r="C37" s="608"/>
      <c r="D37" s="601"/>
      <c r="E37" s="402" t="s">
        <v>1989</v>
      </c>
      <c r="F37" s="401" t="s">
        <v>2043</v>
      </c>
      <c r="G37" s="401" t="str">
        <f>E28</f>
        <v xml:space="preserve">Brisa Luanna </v>
      </c>
      <c r="H37" s="401" t="str">
        <f>E29</f>
        <v>Luiz Bezerra</v>
      </c>
    </row>
    <row r="38" spans="1:8" ht="15.75">
      <c r="A38" s="606"/>
      <c r="B38" s="607"/>
      <c r="C38" s="608"/>
      <c r="D38" s="601"/>
      <c r="E38" s="402" t="s">
        <v>2018</v>
      </c>
      <c r="F38" s="409">
        <v>44637</v>
      </c>
      <c r="G38" s="409">
        <v>44608</v>
      </c>
      <c r="H38" s="409">
        <v>44608</v>
      </c>
    </row>
    <row r="39" spans="1:8" ht="15.75">
      <c r="A39" s="606"/>
      <c r="B39" s="607"/>
      <c r="C39" s="608"/>
      <c r="D39" s="601"/>
      <c r="E39" s="402" t="s">
        <v>2021</v>
      </c>
      <c r="F39" s="401" t="str">
        <f>F27</f>
        <v xml:space="preserve">(81) 99812-5679 </v>
      </c>
      <c r="G39" s="401" t="s">
        <v>2044</v>
      </c>
      <c r="H39" s="401" t="str">
        <f>F29</f>
        <v>(81) 3339-1469</v>
      </c>
    </row>
    <row r="40" spans="1:8" ht="15.75">
      <c r="A40" s="606"/>
      <c r="B40" s="607"/>
      <c r="C40" s="608"/>
      <c r="D40" s="601"/>
      <c r="E40" s="402" t="s">
        <v>2022</v>
      </c>
      <c r="F40" s="410">
        <v>700</v>
      </c>
      <c r="G40" s="410">
        <v>700</v>
      </c>
      <c r="H40" s="410">
        <v>800</v>
      </c>
    </row>
    <row r="41" spans="1:8" ht="31.5">
      <c r="A41" s="606"/>
      <c r="B41" s="607"/>
      <c r="C41" s="608"/>
      <c r="D41" s="601"/>
      <c r="E41" s="402" t="s">
        <v>2045</v>
      </c>
      <c r="F41" s="410">
        <v>0</v>
      </c>
      <c r="G41" s="410">
        <v>0</v>
      </c>
      <c r="H41" s="410">
        <v>0</v>
      </c>
    </row>
    <row r="42" spans="1:8" ht="15.75">
      <c r="A42" s="606"/>
      <c r="B42" s="607"/>
      <c r="C42" s="608"/>
      <c r="D42" s="602"/>
      <c r="E42" s="402" t="s">
        <v>2024</v>
      </c>
      <c r="F42" s="404">
        <f>F40+F41</f>
        <v>700</v>
      </c>
      <c r="G42" s="404">
        <f>G40+G41</f>
        <v>700</v>
      </c>
      <c r="H42" s="404">
        <f>H40+H41</f>
        <v>800</v>
      </c>
    </row>
    <row r="43" spans="1:8" ht="31.5">
      <c r="A43" s="594" t="s">
        <v>976</v>
      </c>
      <c r="B43" s="597" t="s">
        <v>2046</v>
      </c>
      <c r="C43" s="597" t="s">
        <v>328</v>
      </c>
      <c r="D43" s="600">
        <f>MIN(F50:H50)</f>
        <v>5.32</v>
      </c>
      <c r="E43" s="411" t="s">
        <v>2016</v>
      </c>
      <c r="F43" s="412" t="s">
        <v>2047</v>
      </c>
      <c r="G43" s="412" t="s">
        <v>2048</v>
      </c>
      <c r="H43" s="412" t="s">
        <v>2049</v>
      </c>
    </row>
    <row r="44" spans="1:8" ht="15.75">
      <c r="A44" s="595"/>
      <c r="B44" s="598"/>
      <c r="C44" s="598"/>
      <c r="D44" s="601"/>
      <c r="E44" s="411" t="s">
        <v>2017</v>
      </c>
      <c r="F44" s="413" t="s">
        <v>2050</v>
      </c>
      <c r="G44" s="413" t="s">
        <v>2051</v>
      </c>
      <c r="H44" s="413"/>
    </row>
    <row r="45" spans="1:8" ht="15">
      <c r="A45" s="595"/>
      <c r="B45" s="598"/>
      <c r="C45" s="598"/>
      <c r="D45" s="601"/>
      <c r="E45" s="411" t="s">
        <v>1989</v>
      </c>
      <c r="F45" s="414">
        <v>6.16</v>
      </c>
      <c r="G45" s="414">
        <v>7.49</v>
      </c>
      <c r="H45" s="414">
        <v>5.32</v>
      </c>
    </row>
    <row r="46" spans="1:8" ht="15.75">
      <c r="A46" s="595"/>
      <c r="B46" s="598"/>
      <c r="C46" s="598"/>
      <c r="D46" s="601"/>
      <c r="E46" s="411" t="s">
        <v>2018</v>
      </c>
      <c r="F46" s="413">
        <v>44777</v>
      </c>
      <c r="G46" s="413">
        <v>44679</v>
      </c>
      <c r="H46" s="413">
        <v>44777</v>
      </c>
    </row>
    <row r="47" spans="1:8" ht="15">
      <c r="A47" s="595"/>
      <c r="B47" s="598"/>
      <c r="C47" s="598"/>
      <c r="D47" s="601"/>
      <c r="E47" s="411" t="s">
        <v>2052</v>
      </c>
      <c r="F47" s="415"/>
      <c r="G47" s="416"/>
      <c r="H47" s="417"/>
    </row>
    <row r="48" spans="1:8" ht="15">
      <c r="A48" s="595"/>
      <c r="B48" s="598"/>
      <c r="C48" s="598"/>
      <c r="D48" s="601"/>
      <c r="E48" s="411" t="s">
        <v>2022</v>
      </c>
      <c r="F48" s="414">
        <f>F45</f>
        <v>6.16</v>
      </c>
      <c r="G48" s="414">
        <f>G45</f>
        <v>7.49</v>
      </c>
      <c r="H48" s="414">
        <f>H45</f>
        <v>5.32</v>
      </c>
    </row>
    <row r="49" spans="1:8" ht="15">
      <c r="A49" s="595"/>
      <c r="B49" s="598"/>
      <c r="C49" s="598"/>
      <c r="D49" s="601"/>
      <c r="E49" s="411" t="s">
        <v>2053</v>
      </c>
      <c r="F49" s="418"/>
      <c r="G49" s="418"/>
      <c r="H49" s="419"/>
    </row>
    <row r="50" spans="1:8" ht="15">
      <c r="A50" s="596"/>
      <c r="B50" s="599"/>
      <c r="C50" s="599"/>
      <c r="D50" s="602"/>
      <c r="E50" s="411" t="s">
        <v>2054</v>
      </c>
      <c r="F50" s="420">
        <f>F48+F49</f>
        <v>6.16</v>
      </c>
      <c r="G50" s="420">
        <f>G48+G49</f>
        <v>7.49</v>
      </c>
      <c r="H50" s="420">
        <f>H48+H49</f>
        <v>5.32</v>
      </c>
    </row>
    <row r="51" spans="1:8" ht="15.75">
      <c r="A51" s="594" t="s">
        <v>188</v>
      </c>
      <c r="B51" s="597" t="s">
        <v>1051</v>
      </c>
      <c r="C51" s="597" t="s">
        <v>60</v>
      </c>
      <c r="D51" s="600">
        <f>MIN(F58:H58)</f>
        <v>56.099999999999994</v>
      </c>
      <c r="E51" s="411" t="s">
        <v>2016</v>
      </c>
      <c r="F51" s="412" t="s">
        <v>2055</v>
      </c>
      <c r="G51" s="412" t="s">
        <v>2056</v>
      </c>
      <c r="H51" s="412" t="s">
        <v>2057</v>
      </c>
    </row>
    <row r="52" spans="1:8" ht="15.75">
      <c r="A52" s="595"/>
      <c r="B52" s="598"/>
      <c r="C52" s="598"/>
      <c r="D52" s="601"/>
      <c r="E52" s="411" t="s">
        <v>2017</v>
      </c>
      <c r="F52" s="413" t="s">
        <v>2058</v>
      </c>
      <c r="G52" s="413" t="s">
        <v>2059</v>
      </c>
      <c r="H52" s="413" t="s">
        <v>2060</v>
      </c>
    </row>
    <row r="53" spans="1:8" ht="15">
      <c r="A53" s="595"/>
      <c r="B53" s="598"/>
      <c r="C53" s="598"/>
      <c r="D53" s="601"/>
      <c r="E53" s="411" t="s">
        <v>1989</v>
      </c>
      <c r="F53" s="414"/>
      <c r="G53" s="414"/>
      <c r="H53" s="414"/>
    </row>
    <row r="54" spans="1:8" ht="15.75">
      <c r="A54" s="595"/>
      <c r="B54" s="598"/>
      <c r="C54" s="598"/>
      <c r="D54" s="601"/>
      <c r="E54" s="411" t="s">
        <v>2018</v>
      </c>
      <c r="F54" s="413">
        <v>44825</v>
      </c>
      <c r="G54" s="413">
        <v>44825</v>
      </c>
      <c r="H54" s="413">
        <v>44825</v>
      </c>
    </row>
    <row r="55" spans="1:8" ht="15">
      <c r="A55" s="595"/>
      <c r="B55" s="598"/>
      <c r="C55" s="598"/>
      <c r="D55" s="601"/>
      <c r="E55" s="411" t="s">
        <v>2052</v>
      </c>
      <c r="F55" s="415"/>
      <c r="G55" s="416"/>
      <c r="H55" s="417"/>
    </row>
    <row r="56" spans="1:8" ht="15">
      <c r="A56" s="595"/>
      <c r="B56" s="598"/>
      <c r="C56" s="598"/>
      <c r="D56" s="601"/>
      <c r="E56" s="411" t="s">
        <v>2022</v>
      </c>
      <c r="F56" s="414">
        <v>64.349999999999994</v>
      </c>
      <c r="G56" s="414">
        <f>34*1.65</f>
        <v>56.099999999999994</v>
      </c>
      <c r="H56" s="414">
        <f>40*1.65</f>
        <v>66</v>
      </c>
    </row>
    <row r="57" spans="1:8" ht="15">
      <c r="A57" s="595"/>
      <c r="B57" s="598"/>
      <c r="C57" s="598"/>
      <c r="D57" s="601"/>
      <c r="E57" s="411" t="s">
        <v>2053</v>
      </c>
      <c r="F57" s="418"/>
      <c r="G57" s="418"/>
      <c r="H57" s="419"/>
    </row>
    <row r="58" spans="1:8" ht="15">
      <c r="A58" s="596"/>
      <c r="B58" s="599"/>
      <c r="C58" s="599"/>
      <c r="D58" s="602"/>
      <c r="E58" s="411" t="s">
        <v>2054</v>
      </c>
      <c r="F58" s="420">
        <f>F56+F57</f>
        <v>64.349999999999994</v>
      </c>
      <c r="G58" s="420">
        <f>G56+G57</f>
        <v>56.099999999999994</v>
      </c>
      <c r="H58" s="420">
        <f>H56+H57</f>
        <v>66</v>
      </c>
    </row>
  </sheetData>
  <mergeCells count="27">
    <mergeCell ref="C27:D27"/>
    <mergeCell ref="A6:H6"/>
    <mergeCell ref="C8:D8"/>
    <mergeCell ref="C9:D9"/>
    <mergeCell ref="C10:D10"/>
    <mergeCell ref="C11:D11"/>
    <mergeCell ref="A13:H13"/>
    <mergeCell ref="A17:A24"/>
    <mergeCell ref="B17:B24"/>
    <mergeCell ref="C17:C24"/>
    <mergeCell ref="D17:D24"/>
    <mergeCell ref="C26:D26"/>
    <mergeCell ref="C28:D28"/>
    <mergeCell ref="C29:D29"/>
    <mergeCell ref="A31:H31"/>
    <mergeCell ref="A35:A42"/>
    <mergeCell ref="B35:B42"/>
    <mergeCell ref="C35:C42"/>
    <mergeCell ref="D35:D42"/>
    <mergeCell ref="A43:A50"/>
    <mergeCell ref="B43:B50"/>
    <mergeCell ref="C43:C50"/>
    <mergeCell ref="D43:D50"/>
    <mergeCell ref="A51:A58"/>
    <mergeCell ref="B51:B58"/>
    <mergeCell ref="C51:C58"/>
    <mergeCell ref="D51:D58"/>
  </mergeCells>
  <conditionalFormatting sqref="D35">
    <cfRule type="cellIs" dxfId="2" priority="2" operator="equal">
      <formula>0</formula>
    </cfRule>
  </conditionalFormatting>
  <conditionalFormatting sqref="D43">
    <cfRule type="cellIs" dxfId="1" priority="3" operator="equal">
      <formula>0</formula>
    </cfRule>
  </conditionalFormatting>
  <conditionalFormatting sqref="D51">
    <cfRule type="cellIs" dxfId="0" priority="1" operator="equal">
      <formula>0</formula>
    </cfRule>
  </conditionalFormatting>
  <hyperlinks>
    <hyperlink ref="H11" r:id="rId1" xr:uid="{EB73A8E0-848E-4662-80A8-D258B351E51D}"/>
    <hyperlink ref="H29" r:id="rId2" xr:uid="{A92816DF-7FE6-4EE2-A2BC-68540B887848}"/>
    <hyperlink ref="H28" r:id="rId3" xr:uid="{58E526C5-A99E-43A6-A449-2F31F9AD8504}"/>
    <hyperlink ref="H27" r:id="rId4" display="mailto:litoralbanheirosquimicos@gmail.com" xr:uid="{E6CE1BD1-079C-444A-A765-1A895D84972F}"/>
  </hyperlinks>
  <printOptions horizontalCentered="1"/>
  <pageMargins left="0.51181102362204722" right="0.51181102362204722" top="0.78740157480314965" bottom="0.78740157480314965" header="0.31496062992125984" footer="0.31496062992125984"/>
  <pageSetup paperSize="9" scale="47" orientation="portrait" r:id="rId5"/>
  <headerFooter>
    <oddFooter>&amp;C&amp;P/&amp;N&amp;R&amp;G</oddFooter>
  </headerFooter>
  <drawing r:id="rId6"/>
  <legacyDrawingHF r:id="rId7"/>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D48"/>
  <sheetViews>
    <sheetView view="pageBreakPreview" topLeftCell="A28" zoomScaleNormal="100" zoomScaleSheetLayoutView="100" workbookViewId="0">
      <selection activeCell="D601" sqref="D601"/>
    </sheetView>
  </sheetViews>
  <sheetFormatPr defaultRowHeight="15"/>
  <cols>
    <col min="1" max="1" width="9.28515625" customWidth="1"/>
    <col min="2" max="2" width="60.28515625" customWidth="1"/>
    <col min="3" max="3" width="8.28515625" customWidth="1"/>
    <col min="4" max="4" width="37.42578125" customWidth="1"/>
  </cols>
  <sheetData>
    <row r="1" spans="1:4" ht="113.1" customHeight="1">
      <c r="A1" s="495"/>
      <c r="B1" s="495"/>
      <c r="C1" s="495"/>
      <c r="D1" s="495"/>
    </row>
    <row r="2" spans="1:4" ht="12" customHeight="1">
      <c r="A2" s="1"/>
      <c r="B2" s="585" t="s">
        <v>1122</v>
      </c>
      <c r="C2" s="585"/>
      <c r="D2" s="585"/>
    </row>
    <row r="3" spans="1:4" ht="15" customHeight="1">
      <c r="A3" s="482" t="s">
        <v>1570</v>
      </c>
      <c r="B3" s="482" t="s">
        <v>3</v>
      </c>
      <c r="C3" s="482" t="s">
        <v>1127</v>
      </c>
      <c r="D3" s="433"/>
    </row>
    <row r="4" spans="1:4" ht="8.1" customHeight="1">
      <c r="A4" s="433"/>
      <c r="B4" s="614"/>
      <c r="C4" s="614"/>
      <c r="D4" s="433"/>
    </row>
    <row r="5" spans="1:4" ht="12.95" customHeight="1">
      <c r="A5" s="433"/>
      <c r="B5" s="483" t="s">
        <v>1571</v>
      </c>
      <c r="C5" s="433"/>
      <c r="D5" s="433"/>
    </row>
    <row r="6" spans="1:4" ht="12.95" customHeight="1">
      <c r="A6" s="484" t="s">
        <v>1572</v>
      </c>
      <c r="B6" s="485" t="s">
        <v>1573</v>
      </c>
      <c r="C6" s="486">
        <v>0.32</v>
      </c>
      <c r="D6" s="433"/>
    </row>
    <row r="7" spans="1:4" ht="12.95" customHeight="1">
      <c r="A7" s="484" t="s">
        <v>1006</v>
      </c>
      <c r="B7" s="485" t="s">
        <v>1574</v>
      </c>
      <c r="C7" s="486">
        <v>2.73</v>
      </c>
      <c r="D7" s="433"/>
    </row>
    <row r="8" spans="1:4" ht="15" customHeight="1">
      <c r="A8" s="433"/>
      <c r="B8" s="487" t="s">
        <v>838</v>
      </c>
      <c r="C8" s="488">
        <v>3.05</v>
      </c>
      <c r="D8" s="433"/>
    </row>
    <row r="9" spans="1:4" ht="15" customHeight="1">
      <c r="A9" s="433"/>
      <c r="B9" s="614" t="s">
        <v>1122</v>
      </c>
      <c r="C9" s="614"/>
      <c r="D9" s="433"/>
    </row>
    <row r="10" spans="1:4" ht="8.1" customHeight="1">
      <c r="A10" s="433"/>
      <c r="B10" s="614"/>
      <c r="C10" s="614"/>
      <c r="D10" s="433"/>
    </row>
    <row r="11" spans="1:4" ht="12.95" customHeight="1">
      <c r="A11" s="433"/>
      <c r="B11" s="483" t="s">
        <v>1575</v>
      </c>
      <c r="C11" s="433"/>
      <c r="D11" s="433"/>
    </row>
    <row r="12" spans="1:4" ht="12.95" customHeight="1">
      <c r="A12" s="484" t="s">
        <v>1576</v>
      </c>
      <c r="B12" s="485" t="s">
        <v>1577</v>
      </c>
      <c r="C12" s="486">
        <v>3.8</v>
      </c>
      <c r="D12" s="433"/>
    </row>
    <row r="13" spans="1:4" ht="12.95" customHeight="1">
      <c r="A13" s="484" t="s">
        <v>1578</v>
      </c>
      <c r="B13" s="485" t="s">
        <v>1579</v>
      </c>
      <c r="C13" s="486">
        <v>1.02</v>
      </c>
      <c r="D13" s="433"/>
    </row>
    <row r="14" spans="1:4" ht="12.95" customHeight="1">
      <c r="A14" s="484" t="s">
        <v>1580</v>
      </c>
      <c r="B14" s="485" t="s">
        <v>1581</v>
      </c>
      <c r="C14" s="486">
        <v>0.5</v>
      </c>
      <c r="D14" s="433"/>
    </row>
    <row r="15" spans="1:4" ht="15" customHeight="1">
      <c r="A15" s="433"/>
      <c r="B15" s="487" t="s">
        <v>838</v>
      </c>
      <c r="C15" s="488">
        <v>5.32</v>
      </c>
      <c r="D15" s="433"/>
    </row>
    <row r="16" spans="1:4" ht="15" customHeight="1">
      <c r="A16" s="433"/>
      <c r="B16" s="614" t="s">
        <v>1122</v>
      </c>
      <c r="C16" s="614"/>
      <c r="D16" s="433"/>
    </row>
    <row r="17" spans="1:4" ht="8.1" customHeight="1">
      <c r="A17" s="433"/>
      <c r="B17" s="614"/>
      <c r="C17" s="614"/>
      <c r="D17" s="433"/>
    </row>
    <row r="18" spans="1:4" ht="12.95" customHeight="1">
      <c r="A18" s="489" t="s">
        <v>1582</v>
      </c>
      <c r="B18" s="483" t="s">
        <v>1583</v>
      </c>
      <c r="C18" s="433"/>
      <c r="D18" s="433"/>
    </row>
    <row r="19" spans="1:4" ht="12.95" customHeight="1">
      <c r="A19" s="484"/>
      <c r="B19" s="485" t="s">
        <v>1584</v>
      </c>
      <c r="C19" s="486">
        <v>3</v>
      </c>
      <c r="D19" s="433"/>
    </row>
    <row r="20" spans="1:4" ht="12.95" customHeight="1">
      <c r="A20" s="484"/>
      <c r="B20" s="485" t="s">
        <v>1585</v>
      </c>
      <c r="C20" s="486">
        <v>4</v>
      </c>
      <c r="D20" s="433"/>
    </row>
    <row r="21" spans="1:4" ht="12.95" customHeight="1">
      <c r="A21" s="484"/>
      <c r="B21" s="485" t="s">
        <v>1586</v>
      </c>
      <c r="C21" s="486">
        <v>0.65</v>
      </c>
      <c r="D21" s="433"/>
    </row>
    <row r="22" spans="1:4" ht="15" customHeight="1">
      <c r="A22" s="433"/>
      <c r="B22" s="487" t="s">
        <v>838</v>
      </c>
      <c r="C22" s="488">
        <v>7.65</v>
      </c>
      <c r="D22" s="433"/>
    </row>
    <row r="23" spans="1:4" ht="15" customHeight="1">
      <c r="A23" s="433"/>
      <c r="B23" s="614" t="s">
        <v>1122</v>
      </c>
      <c r="C23" s="614"/>
      <c r="D23" s="433"/>
    </row>
    <row r="24" spans="1:4" ht="26.1" customHeight="1">
      <c r="A24" s="433"/>
      <c r="B24" s="615" t="s">
        <v>1587</v>
      </c>
      <c r="C24" s="615"/>
      <c r="D24" s="433"/>
    </row>
    <row r="25" spans="1:4" ht="24" customHeight="1">
      <c r="A25" s="433"/>
      <c r="B25" s="615" t="s">
        <v>1588</v>
      </c>
      <c r="C25" s="615"/>
      <c r="D25" s="615"/>
    </row>
    <row r="26" spans="1:4" ht="12" customHeight="1">
      <c r="A26" s="433"/>
      <c r="B26" s="614" t="s">
        <v>1122</v>
      </c>
      <c r="C26" s="614"/>
      <c r="D26" s="614"/>
    </row>
    <row r="27" spans="1:4" ht="15" customHeight="1">
      <c r="A27" s="482" t="s">
        <v>1570</v>
      </c>
      <c r="B27" s="482" t="s">
        <v>3</v>
      </c>
      <c r="C27" s="482" t="s">
        <v>1127</v>
      </c>
      <c r="D27" s="433"/>
    </row>
    <row r="28" spans="1:4" ht="8.1" customHeight="1">
      <c r="A28" s="433"/>
      <c r="B28" s="614"/>
      <c r="C28" s="614"/>
      <c r="D28" s="433"/>
    </row>
    <row r="29" spans="1:4" ht="12.95" customHeight="1">
      <c r="A29" s="433"/>
      <c r="B29" s="483" t="s">
        <v>1571</v>
      </c>
      <c r="C29" s="433"/>
      <c r="D29" s="433"/>
    </row>
    <row r="30" spans="1:4" ht="12.95" customHeight="1">
      <c r="A30" s="484" t="s">
        <v>1572</v>
      </c>
      <c r="B30" s="485" t="s">
        <v>1573</v>
      </c>
      <c r="C30" s="486">
        <v>0.3</v>
      </c>
      <c r="D30" s="433"/>
    </row>
    <row r="31" spans="1:4" ht="12.95" customHeight="1">
      <c r="A31" s="484" t="s">
        <v>1006</v>
      </c>
      <c r="B31" s="485" t="s">
        <v>1574</v>
      </c>
      <c r="C31" s="486">
        <v>2.73</v>
      </c>
      <c r="D31" s="433"/>
    </row>
    <row r="32" spans="1:4" ht="15" customHeight="1">
      <c r="A32" s="433"/>
      <c r="B32" s="487" t="s">
        <v>838</v>
      </c>
      <c r="C32" s="488">
        <v>3.03</v>
      </c>
      <c r="D32" s="433"/>
    </row>
    <row r="33" spans="1:4" ht="15" customHeight="1">
      <c r="A33" s="433"/>
      <c r="B33" s="614" t="s">
        <v>1122</v>
      </c>
      <c r="C33" s="614"/>
      <c r="D33" s="433"/>
    </row>
    <row r="34" spans="1:4" ht="8.1" customHeight="1">
      <c r="A34" s="433"/>
      <c r="B34" s="614"/>
      <c r="C34" s="614"/>
      <c r="D34" s="433"/>
    </row>
    <row r="35" spans="1:4" ht="12.95" customHeight="1">
      <c r="A35" s="433"/>
      <c r="B35" s="483" t="s">
        <v>1575</v>
      </c>
      <c r="C35" s="433"/>
      <c r="D35" s="433"/>
    </row>
    <row r="36" spans="1:4" ht="12.95" customHeight="1">
      <c r="A36" s="484" t="s">
        <v>1576</v>
      </c>
      <c r="B36" s="485" t="s">
        <v>1577</v>
      </c>
      <c r="C36" s="486">
        <v>1.5</v>
      </c>
      <c r="D36" s="433"/>
    </row>
    <row r="37" spans="1:4" ht="12.95" customHeight="1">
      <c r="A37" s="484" t="s">
        <v>1578</v>
      </c>
      <c r="B37" s="485" t="s">
        <v>1579</v>
      </c>
      <c r="C37" s="486">
        <v>0.85</v>
      </c>
      <c r="D37" s="433"/>
    </row>
    <row r="38" spans="1:4" ht="12.95" customHeight="1">
      <c r="A38" s="484" t="s">
        <v>1580</v>
      </c>
      <c r="B38" s="485" t="s">
        <v>1581</v>
      </c>
      <c r="C38" s="486">
        <v>0.56000000000000005</v>
      </c>
      <c r="D38" s="433"/>
    </row>
    <row r="39" spans="1:4" ht="15" customHeight="1">
      <c r="A39" s="433"/>
      <c r="B39" s="487" t="s">
        <v>838</v>
      </c>
      <c r="C39" s="488">
        <v>2.91</v>
      </c>
      <c r="D39" s="433"/>
    </row>
    <row r="40" spans="1:4" ht="15" customHeight="1">
      <c r="A40" s="433"/>
      <c r="B40" s="614" t="s">
        <v>1122</v>
      </c>
      <c r="C40" s="614"/>
      <c r="D40" s="433"/>
    </row>
    <row r="41" spans="1:4" ht="8.1" customHeight="1">
      <c r="A41" s="433"/>
      <c r="B41" s="614"/>
      <c r="C41" s="614"/>
      <c r="D41" s="433"/>
    </row>
    <row r="42" spans="1:4" ht="12.95" customHeight="1">
      <c r="A42" s="489" t="s">
        <v>1582</v>
      </c>
      <c r="B42" s="483" t="s">
        <v>1583</v>
      </c>
      <c r="C42" s="433"/>
      <c r="D42" s="433"/>
    </row>
    <row r="43" spans="1:4" ht="12.95" customHeight="1">
      <c r="A43" s="484"/>
      <c r="B43" s="485" t="s">
        <v>1584</v>
      </c>
      <c r="C43" s="486">
        <v>3</v>
      </c>
      <c r="D43" s="433"/>
    </row>
    <row r="44" spans="1:4" ht="12.95" customHeight="1">
      <c r="A44" s="484"/>
      <c r="B44" s="485" t="s">
        <v>1586</v>
      </c>
      <c r="C44" s="486">
        <v>0.65</v>
      </c>
      <c r="D44" s="433"/>
    </row>
    <row r="45" spans="1:4" ht="15" customHeight="1">
      <c r="A45" s="433"/>
      <c r="B45" s="487" t="s">
        <v>838</v>
      </c>
      <c r="C45" s="488">
        <v>3.65</v>
      </c>
      <c r="D45" s="433"/>
    </row>
    <row r="46" spans="1:4" ht="15" customHeight="1">
      <c r="A46" s="433"/>
      <c r="B46" s="614" t="s">
        <v>1122</v>
      </c>
      <c r="C46" s="614"/>
      <c r="D46" s="433"/>
    </row>
    <row r="47" spans="1:4" ht="26.1" customHeight="1">
      <c r="A47" s="433"/>
      <c r="B47" s="615" t="s">
        <v>1589</v>
      </c>
      <c r="C47" s="615"/>
      <c r="D47" s="433"/>
    </row>
    <row r="48" spans="1:4" ht="24" customHeight="1">
      <c r="A48" s="433"/>
      <c r="B48" s="615" t="s">
        <v>1588</v>
      </c>
      <c r="C48" s="615"/>
      <c r="D48" s="615"/>
    </row>
  </sheetData>
  <mergeCells count="19">
    <mergeCell ref="A1:D1"/>
    <mergeCell ref="B2:D2"/>
    <mergeCell ref="B4:C4"/>
    <mergeCell ref="B9:C9"/>
    <mergeCell ref="B10:C10"/>
    <mergeCell ref="B16:C16"/>
    <mergeCell ref="B17:C17"/>
    <mergeCell ref="B23:C23"/>
    <mergeCell ref="B24:C24"/>
    <mergeCell ref="B25:D25"/>
    <mergeCell ref="B41:C41"/>
    <mergeCell ref="B46:C46"/>
    <mergeCell ref="B47:C47"/>
    <mergeCell ref="B48:D48"/>
    <mergeCell ref="B26:D26"/>
    <mergeCell ref="B28:C28"/>
    <mergeCell ref="B33:C33"/>
    <mergeCell ref="B34:C34"/>
    <mergeCell ref="B40:C40"/>
  </mergeCells>
  <printOptions horizontalCentered="1"/>
  <pageMargins left="0" right="0" top="0.39370078740157483" bottom="0.78740157480314965" header="0" footer="0"/>
  <pageSetup paperSize="9" scale="85" orientation="portrait" r:id="rId1"/>
  <headerFooter>
    <oddFooter>&amp;C&amp;P/&amp;N&amp;R&amp;G</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24</vt:i4>
      </vt:variant>
    </vt:vector>
  </HeadingPairs>
  <TitlesOfParts>
    <vt:vector size="34" baseType="lpstr">
      <vt:lpstr>RESUMO</vt:lpstr>
      <vt:lpstr>PLANILHA ORCAMENTARIA</vt:lpstr>
      <vt:lpstr>Memória de Cálculo</vt:lpstr>
      <vt:lpstr>COMPOSICOES PROPRIAS</vt:lpstr>
      <vt:lpstr>CURVA ABC SERVICOS</vt:lpstr>
      <vt:lpstr>CURVA ABC ADM</vt:lpstr>
      <vt:lpstr>CURVA ABC INSUMOS</vt:lpstr>
      <vt:lpstr>CRONOGRAMA</vt:lpstr>
      <vt:lpstr>mapa cotação</vt:lpstr>
      <vt:lpstr>BDI</vt:lpstr>
      <vt:lpstr>BDI!Area_de_impressao</vt:lpstr>
      <vt:lpstr>'COMPOSICOES PROPRIAS'!Area_de_impressao</vt:lpstr>
      <vt:lpstr>CRONOGRAMA!Area_de_impressao</vt:lpstr>
      <vt:lpstr>'CURVA ABC INSUMOS'!Area_de_impressao</vt:lpstr>
      <vt:lpstr>'CURVA ABC SERVICOS'!Area_de_impressao</vt:lpstr>
      <vt:lpstr>'Memória de Cálculo'!Area_de_impressao</vt:lpstr>
      <vt:lpstr>'PLANILHA ORCAMENTARIA'!Area_de_impressao</vt:lpstr>
      <vt:lpstr>RESUMO!Area_de_impressao</vt:lpstr>
      <vt:lpstr>'CURVA ABC SERVICOS'!JR_PAGE_ANCHOR_0_1</vt:lpstr>
      <vt:lpstr>JR_PAGE_ANCHOR_0_1</vt:lpstr>
      <vt:lpstr>JR_PAGE_ANCHOR_1_1</vt:lpstr>
      <vt:lpstr>JR_PAGE_ANCHOR_2_1</vt:lpstr>
      <vt:lpstr>JR_PAGE_ANCHOR_4_1</vt:lpstr>
      <vt:lpstr>JR_PAGE_ANCHOR_5_1</vt:lpstr>
      <vt:lpstr>JR_PAGE_ANCHOR_6_1</vt:lpstr>
      <vt:lpstr>'Memória de Cálculo'!Print_Area</vt:lpstr>
      <vt:lpstr>BDI!Titulos_de_impressao</vt:lpstr>
      <vt:lpstr>'COMPOSICOES PROPRIAS'!Titulos_de_impressao</vt:lpstr>
      <vt:lpstr>CRONOGRAMA!Titulos_de_impressao</vt:lpstr>
      <vt:lpstr>'CURVA ABC INSUMOS'!Titulos_de_impressao</vt:lpstr>
      <vt:lpstr>'CURVA ABC SERVICOS'!Titulos_de_impressao</vt:lpstr>
      <vt:lpstr>'Memória de Cálculo'!Titulos_de_impressao</vt:lpstr>
      <vt:lpstr>'PLANILHA ORCAMENTARIA'!Titulos_de_impressao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2023-03-16T11:30:41Z</dcterms:created>
  <dcterms:modified xsi:type="dcterms:W3CDTF">2023-07-11T20:17:01Z</dcterms:modified>
</cp:coreProperties>
</file>