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7442520B-6538-4770-8D5B-43B17E940654}" xr6:coauthVersionLast="47" xr6:coauthVersionMax="47" xr10:uidLastSave="{00000000-0000-0000-0000-000000000000}"/>
  <bookViews>
    <workbookView xWindow="-120" yWindow="-120" windowWidth="20730" windowHeight="11040" tabRatio="834" xr2:uid="{00000000-000D-0000-FFFF-FFFF00000000}"/>
  </bookViews>
  <sheets>
    <sheet name="RESUMO" sheetId="2" r:id="rId1"/>
    <sheet name="PLANILHA ORCAMENTARIA" sheetId="1" r:id="rId2"/>
    <sheet name="Memória de Cálculo" sheetId="11" r:id="rId3"/>
    <sheet name="COMPOSICOES PROPRIAS" sheetId="3" r:id="rId4"/>
    <sheet name="CURVA ABC SERVIÇOS" sheetId="8" r:id="rId5"/>
    <sheet name="CURVA ABC ADM" sheetId="9" r:id="rId6"/>
    <sheet name="CURVA ABC INSUMOS" sheetId="5" r:id="rId7"/>
    <sheet name="CRONOGRAMA" sheetId="10" r:id="rId8"/>
    <sheet name="BDI" sheetId="7" r:id="rId9"/>
    <sheet name="mapa cotação" sheetId="12" r:id="rId10"/>
  </sheets>
  <externalReferences>
    <externalReference r:id="rId11"/>
    <externalReference r:id="rId12"/>
    <externalReference r:id="rId13"/>
    <externalReference r:id="rId14"/>
  </externalReferences>
  <definedNames>
    <definedName name="_Order1" hidden="1">255</definedName>
    <definedName name="_xlnm.Print_Area" localSheetId="8">BDI!$A$1:$C$48</definedName>
    <definedName name="_xlnm.Print_Area" localSheetId="6">'CURVA ABC INSUMOS'!$A$1:$K$261</definedName>
    <definedName name="_xlnm.Print_Area" localSheetId="4">'CURVA ABC SERVIÇOS'!$A$1:$K$77</definedName>
    <definedName name="_xlnm.Print_Area" localSheetId="2">'Memória de Cálculo'!$A$1:$J$3706</definedName>
    <definedName name="_xlnm.Print_Area" localSheetId="0">RESUMO!$A$1:$E$24</definedName>
    <definedName name="BDI.Opcao" hidden="1">[1]DADOS!$F$18</definedName>
    <definedName name="BDI.TipoObra" hidden="1">[1]BDI!$A$138:$A$146</definedName>
    <definedName name="DESONERACAO" localSheetId="9" hidden="1">IF(OR(Import.Desoneracao="DESONERADO",Import.Desoneracao="SIM"),"SIM","NÃO")</definedName>
    <definedName name="DESONERACAO" localSheetId="2" hidden="1">IF(OR(Import.Desoneracao="DESONERADO",Import.Desoneracao="SIM"),"SIM","NÃO")</definedName>
    <definedName name="DESONERACAO" hidden="1">IF(OR(Import.Desoneracao="DESONERADO",Import.Desoneracao="SIM"),"SIM","NÃO")</definedName>
    <definedName name="Import.Apelido" hidden="1">[1]DADOS!$F$16</definedName>
    <definedName name="Import.CR" hidden="1">[1]DADOS!$F$7</definedName>
    <definedName name="Import.DescLote" hidden="1">[1]DADOS!$F$17</definedName>
    <definedName name="Import.Desoneracao" hidden="1">OFFSET([1]DADOS!$G$18,0,-1)</definedName>
    <definedName name="Import.Município" hidden="1">[1]DADOS!$F$6</definedName>
    <definedName name="Import.Proponente" hidden="1">[1]DADOS!$F$5</definedName>
    <definedName name="Import.RespOrçamento" hidden="1">[1]DADOS!$F$22:$F$24</definedName>
    <definedName name="Import.SICONV" hidden="1">[1]DADOS!$F$8</definedName>
    <definedName name="JR_PAGE_ANCHOR_0_1" localSheetId="7">CRONOGRAMA!$A$1</definedName>
    <definedName name="JR_PAGE_ANCHOR_0_1" localSheetId="4">'CURVA ABC SERVIÇOS'!$A$1</definedName>
    <definedName name="JR_PAGE_ANCHOR_0_1">'PLANILHA ORCAMENTARIA'!$A$1</definedName>
    <definedName name="JR_PAGE_ANCHOR_1_1">RESUMO!$A$1</definedName>
    <definedName name="JR_PAGE_ANCHOR_2_1">'COMPOSICOES PROPRIAS'!$A$1</definedName>
    <definedName name="JR_PAGE_ANCHOR_3_1">#REF!</definedName>
    <definedName name="JR_PAGE_ANCHOR_4_1">'CURVA ABC INSUMOS'!$A$1</definedName>
    <definedName name="JR_PAGE_ANCHOR_5_1">#REF!</definedName>
    <definedName name="JR_PAGE_ANCHOR_6_1">BDI!$A$1</definedName>
    <definedName name="medidas" localSheetId="2">#REF!</definedName>
    <definedName name="medidas">#REF!</definedName>
    <definedName name="Print_Area" localSheetId="2">'Memória de Cálculo'!$A$1:$J$9</definedName>
    <definedName name="TABELA">'[2]PLANILHA FONTE'!$B$2:$G$290</definedName>
    <definedName name="_xlnm.Print_Titles" localSheetId="3">'COMPOSICOES PROPRIAS'!$1:$2</definedName>
    <definedName name="_xlnm.Print_Titles" localSheetId="7">CRONOGRAMA!$1:$2</definedName>
    <definedName name="_xlnm.Print_Titles" localSheetId="6">'CURVA ABC INSUMOS'!$1:$3</definedName>
    <definedName name="_xlnm.Print_Titles" localSheetId="4">'CURVA ABC SERVIÇOS'!$1:$3</definedName>
    <definedName name="_xlnm.Print_Titles" localSheetId="2">'Memória de Cálculo'!$1:$9</definedName>
    <definedName name="_xlnm.Print_Titles" localSheetId="1">'PLANILHA ORCAMENTARIA'!$1:$2</definedName>
    <definedName name="_xlnm.Print_Titles" localSheetId="0">RESUMO!$1:$3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8" i="12" l="1"/>
  <c r="H56" i="12"/>
  <c r="H58" i="12" s="1"/>
  <c r="G56" i="12"/>
  <c r="G58" i="12" s="1"/>
  <c r="D51" i="12" s="1"/>
  <c r="G50" i="12"/>
  <c r="H48" i="12"/>
  <c r="H50" i="12" s="1"/>
  <c r="G48" i="12"/>
  <c r="F48" i="12"/>
  <c r="F50" i="12" s="1"/>
  <c r="D43" i="12" s="1"/>
  <c r="H42" i="12"/>
  <c r="G42" i="12"/>
  <c r="F42" i="12"/>
  <c r="D35" i="12" s="1"/>
  <c r="H39" i="12"/>
  <c r="F39" i="12"/>
  <c r="H37" i="12"/>
  <c r="G37" i="12"/>
  <c r="H36" i="12"/>
  <c r="F36" i="12"/>
  <c r="H35" i="12"/>
  <c r="F35" i="12"/>
  <c r="C28" i="12"/>
  <c r="E27" i="12"/>
  <c r="H24" i="12"/>
  <c r="F24" i="12"/>
  <c r="H23" i="12"/>
  <c r="G23" i="12"/>
  <c r="G24" i="12" s="1"/>
  <c r="D17" i="12" s="1"/>
  <c r="F23" i="12"/>
  <c r="H21" i="12"/>
  <c r="G21" i="12"/>
  <c r="F21" i="12"/>
  <c r="H19" i="12"/>
  <c r="G19" i="12"/>
  <c r="F19" i="12"/>
  <c r="H18" i="12"/>
  <c r="G18" i="12"/>
  <c r="F18" i="12"/>
  <c r="H17" i="12"/>
  <c r="G17" i="12"/>
  <c r="F17" i="12"/>
  <c r="J3705" i="11"/>
  <c r="J3702" i="11" s="1"/>
  <c r="J3704" i="11"/>
  <c r="A3702" i="11"/>
  <c r="J3700" i="11"/>
  <c r="J3699" i="11"/>
  <c r="J3698" i="11" s="1"/>
  <c r="D3698" i="11"/>
  <c r="A3698" i="11"/>
  <c r="C3698" i="11" s="1"/>
  <c r="J3696" i="11"/>
  <c r="J3695" i="11"/>
  <c r="J3694" i="11"/>
  <c r="D3692" i="11"/>
  <c r="A3692" i="11"/>
  <c r="C3692" i="11" s="1"/>
  <c r="J3690" i="11"/>
  <c r="J3689" i="11"/>
  <c r="J3687" i="11"/>
  <c r="D3687" i="11"/>
  <c r="C3687" i="11"/>
  <c r="A3687" i="11"/>
  <c r="B3687" i="11" s="1"/>
  <c r="J3685" i="11"/>
  <c r="J3683" i="11"/>
  <c r="C3683" i="11"/>
  <c r="B3683" i="11"/>
  <c r="A3683" i="11"/>
  <c r="D3683" i="11" s="1"/>
  <c r="J3681" i="11"/>
  <c r="H3680" i="11"/>
  <c r="J3680" i="11" s="1"/>
  <c r="J3679" i="11"/>
  <c r="J3677" i="11"/>
  <c r="D3677" i="11"/>
  <c r="C3677" i="11"/>
  <c r="B3677" i="11"/>
  <c r="A3677" i="11"/>
  <c r="H3675" i="11"/>
  <c r="J3675" i="11" s="1"/>
  <c r="J3673" i="11"/>
  <c r="A3673" i="11"/>
  <c r="D3673" i="11" s="1"/>
  <c r="C3672" i="11"/>
  <c r="A3672" i="11"/>
  <c r="I3670" i="11"/>
  <c r="E3670" i="11"/>
  <c r="J3670" i="11" s="1"/>
  <c r="J3667" i="11" s="1"/>
  <c r="D3667" i="11"/>
  <c r="C3667" i="11"/>
  <c r="B3667" i="11"/>
  <c r="A3667" i="11"/>
  <c r="A3666" i="11"/>
  <c r="C3666" i="11" s="1"/>
  <c r="J3664" i="11"/>
  <c r="J3662" i="11"/>
  <c r="D3662" i="11"/>
  <c r="C3662" i="11"/>
  <c r="B3662" i="11"/>
  <c r="A3662" i="11"/>
  <c r="J3660" i="11"/>
  <c r="J3658" i="11"/>
  <c r="A3658" i="11"/>
  <c r="D3658" i="11" s="1"/>
  <c r="C3657" i="11"/>
  <c r="A3657" i="11"/>
  <c r="A3656" i="11"/>
  <c r="B3656" i="11" s="1"/>
  <c r="B3655" i="11"/>
  <c r="A3655" i="11"/>
  <c r="A3651" i="11"/>
  <c r="A3647" i="11"/>
  <c r="D3643" i="11"/>
  <c r="C3643" i="11"/>
  <c r="A3643" i="11"/>
  <c r="B3643" i="11" s="1"/>
  <c r="D3639" i="11"/>
  <c r="C3639" i="11"/>
  <c r="B3639" i="11"/>
  <c r="A3639" i="11"/>
  <c r="A3635" i="11"/>
  <c r="D3635" i="11" s="1"/>
  <c r="D3630" i="11"/>
  <c r="A3630" i="11"/>
  <c r="C3630" i="11" s="1"/>
  <c r="D3626" i="11"/>
  <c r="C3626" i="11"/>
  <c r="B3626" i="11"/>
  <c r="A3626" i="11"/>
  <c r="A3622" i="11"/>
  <c r="D3622" i="11" s="1"/>
  <c r="I3620" i="11"/>
  <c r="J3620" i="11" s="1"/>
  <c r="J3618" i="11" s="1"/>
  <c r="A3618" i="11"/>
  <c r="I3616" i="11"/>
  <c r="J3616" i="11" s="1"/>
  <c r="J3614" i="11"/>
  <c r="A3614" i="11"/>
  <c r="C3613" i="11"/>
  <c r="A3613" i="11"/>
  <c r="I3611" i="11"/>
  <c r="J3611" i="11" s="1"/>
  <c r="J3609" i="11" s="1"/>
  <c r="I3467" i="11" s="1"/>
  <c r="J3467" i="11" s="1"/>
  <c r="B3609" i="11"/>
  <c r="A3609" i="11"/>
  <c r="C3608" i="11"/>
  <c r="A3608" i="11"/>
  <c r="J3606" i="11"/>
  <c r="J3604" i="11"/>
  <c r="A3604" i="11"/>
  <c r="J3602" i="11"/>
  <c r="J3600" i="11" s="1"/>
  <c r="D3600" i="11"/>
  <c r="C3600" i="11"/>
  <c r="A3600" i="11"/>
  <c r="B3600" i="11" s="1"/>
  <c r="J3598" i="11"/>
  <c r="J3596" i="11"/>
  <c r="C3596" i="11"/>
  <c r="A3596" i="11"/>
  <c r="J3594" i="11"/>
  <c r="J3592" i="11"/>
  <c r="A3592" i="11"/>
  <c r="H3590" i="11"/>
  <c r="J3590" i="11" s="1"/>
  <c r="H3589" i="11"/>
  <c r="J3589" i="11" s="1"/>
  <c r="J3588" i="11"/>
  <c r="B3586" i="11"/>
  <c r="A3586" i="11"/>
  <c r="D3586" i="11" s="1"/>
  <c r="A3585" i="11"/>
  <c r="C3585" i="11" s="1"/>
  <c r="J3583" i="11"/>
  <c r="J3581" i="11" s="1"/>
  <c r="A3581" i="11"/>
  <c r="F3579" i="11"/>
  <c r="F3628" i="11" s="1"/>
  <c r="J3628" i="11" s="1"/>
  <c r="J3626" i="11" s="1"/>
  <c r="D3577" i="11"/>
  <c r="C3577" i="11"/>
  <c r="A3577" i="11"/>
  <c r="B3577" i="11" s="1"/>
  <c r="D3573" i="11"/>
  <c r="C3573" i="11"/>
  <c r="B3573" i="11"/>
  <c r="A3573" i="11"/>
  <c r="E3571" i="11"/>
  <c r="B3568" i="11"/>
  <c r="A3568" i="11"/>
  <c r="D3568" i="11" s="1"/>
  <c r="A3564" i="11"/>
  <c r="D3564" i="11" s="1"/>
  <c r="B3560" i="11"/>
  <c r="A3560" i="11"/>
  <c r="D3556" i="11"/>
  <c r="A3556" i="11"/>
  <c r="F3554" i="11"/>
  <c r="A3552" i="11"/>
  <c r="F3550" i="11"/>
  <c r="D3548" i="11"/>
  <c r="C3548" i="11"/>
  <c r="A3548" i="11"/>
  <c r="B3548" i="11" s="1"/>
  <c r="F3546" i="11"/>
  <c r="J3546" i="11" s="1"/>
  <c r="J3544" i="11"/>
  <c r="D3544" i="11"/>
  <c r="C3544" i="11"/>
  <c r="B3544" i="11"/>
  <c r="A3544" i="11"/>
  <c r="F3541" i="11"/>
  <c r="G3542" i="11" s="1"/>
  <c r="J3542" i="11" s="1"/>
  <c r="D3539" i="11"/>
  <c r="C3539" i="11"/>
  <c r="A3539" i="11"/>
  <c r="B3539" i="11" s="1"/>
  <c r="D3535" i="11"/>
  <c r="C3535" i="11"/>
  <c r="B3535" i="11"/>
  <c r="A3535" i="11"/>
  <c r="A3531" i="11"/>
  <c r="F3529" i="11"/>
  <c r="J3529" i="11" s="1"/>
  <c r="I3528" i="11"/>
  <c r="J3528" i="11" s="1"/>
  <c r="J3525" i="11" s="1"/>
  <c r="D3525" i="11"/>
  <c r="C3525" i="11"/>
  <c r="A3525" i="11"/>
  <c r="B3525" i="11" s="1"/>
  <c r="I3522" i="11"/>
  <c r="F3522" i="11"/>
  <c r="J3522" i="11" s="1"/>
  <c r="A3519" i="11"/>
  <c r="G3517" i="11"/>
  <c r="J3517" i="11" s="1"/>
  <c r="J3515" i="11" s="1"/>
  <c r="I3521" i="11" s="1"/>
  <c r="J3521" i="11" s="1"/>
  <c r="J3519" i="11" s="1"/>
  <c r="D3515" i="11"/>
  <c r="A3515" i="11"/>
  <c r="H3512" i="11"/>
  <c r="H3529" i="11" s="1"/>
  <c r="G3512" i="11"/>
  <c r="J3512" i="11" s="1"/>
  <c r="J3509" i="11"/>
  <c r="A3509" i="11"/>
  <c r="C3508" i="11"/>
  <c r="A3508" i="11"/>
  <c r="J3506" i="11"/>
  <c r="J3504" i="11" s="1"/>
  <c r="I3492" i="11" s="1"/>
  <c r="A3504" i="11"/>
  <c r="G3502" i="11"/>
  <c r="J3502" i="11" s="1"/>
  <c r="J3499" i="11" s="1"/>
  <c r="F3502" i="11"/>
  <c r="D3499" i="11"/>
  <c r="A3499" i="11"/>
  <c r="J3497" i="11"/>
  <c r="J3494" i="11"/>
  <c r="D3494" i="11"/>
  <c r="C3494" i="11"/>
  <c r="B3494" i="11"/>
  <c r="A3494" i="11"/>
  <c r="F3492" i="11"/>
  <c r="J3492" i="11" s="1"/>
  <c r="J3490" i="11" s="1"/>
  <c r="D3490" i="11"/>
  <c r="C3490" i="11"/>
  <c r="B3490" i="11"/>
  <c r="A3490" i="11"/>
  <c r="C3489" i="11"/>
  <c r="A3489" i="11"/>
  <c r="F3487" i="11"/>
  <c r="A3485" i="11"/>
  <c r="B3485" i="11" s="1"/>
  <c r="C3480" i="11"/>
  <c r="A3480" i="11"/>
  <c r="B3480" i="11" s="1"/>
  <c r="F3478" i="11"/>
  <c r="J3478" i="11" s="1"/>
  <c r="J3476" i="11" s="1"/>
  <c r="A3476" i="11"/>
  <c r="D3476" i="11" s="1"/>
  <c r="J3474" i="11"/>
  <c r="F3473" i="11"/>
  <c r="J3473" i="11" s="1"/>
  <c r="J3471" i="11" s="1"/>
  <c r="B3471" i="11"/>
  <c r="A3471" i="11"/>
  <c r="D3471" i="11" s="1"/>
  <c r="J3469" i="11"/>
  <c r="I3466" i="11"/>
  <c r="J3466" i="11" s="1"/>
  <c r="J3464" i="11"/>
  <c r="I3649" i="11" s="1"/>
  <c r="J3649" i="11" s="1"/>
  <c r="J3647" i="11" s="1"/>
  <c r="D3464" i="11"/>
  <c r="C3464" i="11"/>
  <c r="A3464" i="11"/>
  <c r="B3464" i="11" s="1"/>
  <c r="J3462" i="11"/>
  <c r="J3460" i="11"/>
  <c r="B3460" i="11"/>
  <c r="A3460" i="11"/>
  <c r="A3456" i="11"/>
  <c r="D3456" i="11" s="1"/>
  <c r="D3452" i="11"/>
  <c r="C3452" i="11"/>
  <c r="A3452" i="11"/>
  <c r="B3452" i="11" s="1"/>
  <c r="G3450" i="11"/>
  <c r="J3450" i="11" s="1"/>
  <c r="F3450" i="11"/>
  <c r="J3448" i="11"/>
  <c r="J3446" i="11" s="1"/>
  <c r="A3446" i="11"/>
  <c r="D3446" i="11" s="1"/>
  <c r="J3444" i="11"/>
  <c r="J3442" i="11"/>
  <c r="I3448" i="11" s="1"/>
  <c r="J3440" i="11"/>
  <c r="I3645" i="11" s="1"/>
  <c r="J3645" i="11" s="1"/>
  <c r="J3643" i="11" s="1"/>
  <c r="D3440" i="11"/>
  <c r="C3440" i="11"/>
  <c r="A3440" i="11"/>
  <c r="B3440" i="11" s="1"/>
  <c r="D3436" i="11"/>
  <c r="A3436" i="11"/>
  <c r="C3436" i="11" s="1"/>
  <c r="A3432" i="11"/>
  <c r="D3432" i="11" s="1"/>
  <c r="J3430" i="11"/>
  <c r="J3428" i="11" s="1"/>
  <c r="G3430" i="11"/>
  <c r="F3430" i="11"/>
  <c r="A3428" i="11"/>
  <c r="J3426" i="11"/>
  <c r="J3424" i="11" s="1"/>
  <c r="I3637" i="11" s="1"/>
  <c r="G3426" i="11"/>
  <c r="F3426" i="11"/>
  <c r="A3424" i="11"/>
  <c r="J3422" i="11"/>
  <c r="J3420" i="11" s="1"/>
  <c r="G3422" i="11"/>
  <c r="F3422" i="11"/>
  <c r="A3420" i="11"/>
  <c r="D3420" i="11" s="1"/>
  <c r="J3418" i="11"/>
  <c r="J3416" i="11" s="1"/>
  <c r="G3418" i="11"/>
  <c r="A3416" i="11"/>
  <c r="D3416" i="11" s="1"/>
  <c r="A3415" i="11"/>
  <c r="C3415" i="11" s="1"/>
  <c r="D3411" i="11"/>
  <c r="C3411" i="11"/>
  <c r="A3411" i="11"/>
  <c r="B3411" i="11" s="1"/>
  <c r="C3407" i="11"/>
  <c r="A3407" i="11"/>
  <c r="D3407" i="11" s="1"/>
  <c r="I3405" i="11"/>
  <c r="J3405" i="11" s="1"/>
  <c r="J3403" i="11" s="1"/>
  <c r="I3409" i="11" s="1"/>
  <c r="J3409" i="11" s="1"/>
  <c r="J3407" i="11" s="1"/>
  <c r="I3413" i="11" s="1"/>
  <c r="J3413" i="11" s="1"/>
  <c r="J3411" i="11" s="1"/>
  <c r="B3403" i="11"/>
  <c r="A3403" i="11"/>
  <c r="C3402" i="11"/>
  <c r="A3402" i="11"/>
  <c r="F3399" i="11"/>
  <c r="J3399" i="11" s="1"/>
  <c r="J3398" i="11"/>
  <c r="F3398" i="11"/>
  <c r="F3397" i="11"/>
  <c r="J3397" i="11" s="1"/>
  <c r="J3395" i="11" s="1"/>
  <c r="D3395" i="11"/>
  <c r="C3395" i="11"/>
  <c r="B3395" i="11"/>
  <c r="A3395" i="11"/>
  <c r="A3394" i="11"/>
  <c r="C3394" i="11" s="1"/>
  <c r="I3390" i="11"/>
  <c r="J3390" i="11" s="1"/>
  <c r="J3388" i="11" s="1"/>
  <c r="E3390" i="11"/>
  <c r="D3388" i="11"/>
  <c r="C3388" i="11"/>
  <c r="A3388" i="11"/>
  <c r="B3388" i="11" s="1"/>
  <c r="I3384" i="11"/>
  <c r="E3384" i="11"/>
  <c r="D3382" i="11"/>
  <c r="A3382" i="11"/>
  <c r="B3382" i="11" s="1"/>
  <c r="A3381" i="11"/>
  <c r="C3381" i="11" s="1"/>
  <c r="J3379" i="11"/>
  <c r="J3377" i="11" s="1"/>
  <c r="D3377" i="11"/>
  <c r="C3377" i="11"/>
  <c r="A3377" i="11"/>
  <c r="B3377" i="11" s="1"/>
  <c r="J3375" i="11"/>
  <c r="J3373" i="11" s="1"/>
  <c r="A3373" i="11"/>
  <c r="A3372" i="11"/>
  <c r="C3372" i="11" s="1"/>
  <c r="A3371" i="11"/>
  <c r="B3371" i="11" s="1"/>
  <c r="D3367" i="11"/>
  <c r="A3367" i="11"/>
  <c r="C3367" i="11" s="1"/>
  <c r="A3363" i="11"/>
  <c r="D3359" i="11"/>
  <c r="C3359" i="11"/>
  <c r="B3359" i="11"/>
  <c r="A3359" i="11"/>
  <c r="C3355" i="11"/>
  <c r="A3355" i="11"/>
  <c r="D3355" i="11" s="1"/>
  <c r="A3351" i="11"/>
  <c r="D3347" i="11"/>
  <c r="C3347" i="11"/>
  <c r="A3347" i="11"/>
  <c r="B3347" i="11" s="1"/>
  <c r="B3343" i="11"/>
  <c r="A3343" i="11"/>
  <c r="I3341" i="11"/>
  <c r="I3345" i="11" s="1"/>
  <c r="J3345" i="11" s="1"/>
  <c r="J3343" i="11" s="1"/>
  <c r="C3339" i="11"/>
  <c r="A3339" i="11"/>
  <c r="D3339" i="11" s="1"/>
  <c r="C3338" i="11"/>
  <c r="A3338" i="11"/>
  <c r="J3336" i="11"/>
  <c r="J3334" i="11" s="1"/>
  <c r="I3336" i="11"/>
  <c r="A3334" i="11"/>
  <c r="C3333" i="11"/>
  <c r="A3333" i="11"/>
  <c r="J3331" i="11"/>
  <c r="J3329" i="11" s="1"/>
  <c r="D3329" i="11"/>
  <c r="C3329" i="11"/>
  <c r="B3329" i="11"/>
  <c r="A3329" i="11"/>
  <c r="J3327" i="11"/>
  <c r="J3325" i="11"/>
  <c r="D3325" i="11"/>
  <c r="B3325" i="11"/>
  <c r="A3325" i="11"/>
  <c r="C3325" i="11" s="1"/>
  <c r="J3323" i="11"/>
  <c r="J3321" i="11"/>
  <c r="D3321" i="11"/>
  <c r="C3321" i="11"/>
  <c r="B3321" i="11"/>
  <c r="A3321" i="11"/>
  <c r="J3319" i="11"/>
  <c r="J3317" i="11" s="1"/>
  <c r="C3317" i="11"/>
  <c r="A3317" i="11"/>
  <c r="J3315" i="11"/>
  <c r="H3315" i="11"/>
  <c r="H3314" i="11"/>
  <c r="J3314" i="11" s="1"/>
  <c r="J3313" i="11"/>
  <c r="J3312" i="11"/>
  <c r="H3312" i="11"/>
  <c r="H3311" i="11"/>
  <c r="J3311" i="11" s="1"/>
  <c r="J3308" i="11" s="1"/>
  <c r="J3310" i="11"/>
  <c r="D3308" i="11"/>
  <c r="C3308" i="11"/>
  <c r="B3308" i="11"/>
  <c r="A3308" i="11"/>
  <c r="H3306" i="11"/>
  <c r="J3306" i="11" s="1"/>
  <c r="J3304" i="11" s="1"/>
  <c r="D3304" i="11"/>
  <c r="A3304" i="11"/>
  <c r="B3304" i="11" s="1"/>
  <c r="C3303" i="11"/>
  <c r="A3303" i="11"/>
  <c r="D3299" i="11"/>
  <c r="C3299" i="11"/>
  <c r="B3299" i="11"/>
  <c r="A3299" i="11"/>
  <c r="B3294" i="11"/>
  <c r="A3294" i="11"/>
  <c r="F3292" i="11"/>
  <c r="F3288" i="11" s="1"/>
  <c r="J3288" i="11" s="1"/>
  <c r="B3290" i="11"/>
  <c r="A3290" i="11"/>
  <c r="J3286" i="11"/>
  <c r="F3297" i="11" s="1"/>
  <c r="J3297" i="11" s="1"/>
  <c r="J3294" i="11" s="1"/>
  <c r="D3286" i="11"/>
  <c r="B3286" i="11"/>
  <c r="A3286" i="11"/>
  <c r="C3286" i="11" s="1"/>
  <c r="J3284" i="11"/>
  <c r="I3284" i="11"/>
  <c r="C3281" i="11"/>
  <c r="B3281" i="11"/>
  <c r="A3281" i="11"/>
  <c r="D3281" i="11" s="1"/>
  <c r="J3279" i="11"/>
  <c r="J3277" i="11" s="1"/>
  <c r="I3279" i="11"/>
  <c r="D3277" i="11"/>
  <c r="A3277" i="11"/>
  <c r="C3277" i="11" s="1"/>
  <c r="D3273" i="11"/>
  <c r="C3273" i="11"/>
  <c r="A3273" i="11"/>
  <c r="B3273" i="11" s="1"/>
  <c r="D3269" i="11"/>
  <c r="C3269" i="11"/>
  <c r="B3269" i="11"/>
  <c r="A3269" i="11"/>
  <c r="F3267" i="11"/>
  <c r="J3267" i="11" s="1"/>
  <c r="J3265" i="11" s="1"/>
  <c r="A3265" i="11"/>
  <c r="G3263" i="11"/>
  <c r="D3261" i="11"/>
  <c r="C3261" i="11"/>
  <c r="A3261" i="11"/>
  <c r="B3261" i="11" s="1"/>
  <c r="G3259" i="11"/>
  <c r="F3259" i="11"/>
  <c r="D3257" i="11"/>
  <c r="C3257" i="11"/>
  <c r="B3257" i="11"/>
  <c r="A3257" i="11"/>
  <c r="D3252" i="11"/>
  <c r="C3252" i="11"/>
  <c r="A3252" i="11"/>
  <c r="B3252" i="11" s="1"/>
  <c r="D3248" i="11"/>
  <c r="C3248" i="11"/>
  <c r="A3248" i="11"/>
  <c r="B3248" i="11" s="1"/>
  <c r="I3246" i="11"/>
  <c r="H3245" i="11"/>
  <c r="I3244" i="11"/>
  <c r="J3244" i="11" s="1"/>
  <c r="D3242" i="11"/>
  <c r="B3242" i="11"/>
  <c r="A3242" i="11"/>
  <c r="C3242" i="11" s="1"/>
  <c r="J3240" i="11"/>
  <c r="J3238" i="11"/>
  <c r="I3365" i="11" s="1"/>
  <c r="J3365" i="11" s="1"/>
  <c r="J3363" i="11" s="1"/>
  <c r="D3238" i="11"/>
  <c r="C3238" i="11"/>
  <c r="B3238" i="11"/>
  <c r="A3238" i="11"/>
  <c r="J3236" i="11"/>
  <c r="I3245" i="11" s="1"/>
  <c r="I3236" i="11"/>
  <c r="J3235" i="11"/>
  <c r="D3233" i="11"/>
  <c r="C3233" i="11"/>
  <c r="B3233" i="11"/>
  <c r="A3233" i="11"/>
  <c r="D3229" i="11"/>
  <c r="B3229" i="11"/>
  <c r="A3229" i="11"/>
  <c r="C3229" i="11" s="1"/>
  <c r="I3227" i="11"/>
  <c r="J3227" i="11" s="1"/>
  <c r="J3225" i="11" s="1"/>
  <c r="I3231" i="11" s="1"/>
  <c r="J3231" i="11" s="1"/>
  <c r="J3229" i="11" s="1"/>
  <c r="A3225" i="11"/>
  <c r="J3223" i="11"/>
  <c r="I3223" i="11"/>
  <c r="J3221" i="11"/>
  <c r="D3221" i="11"/>
  <c r="C3221" i="11"/>
  <c r="A3221" i="11"/>
  <c r="B3221" i="11" s="1"/>
  <c r="A3220" i="11"/>
  <c r="C3220" i="11" s="1"/>
  <c r="A3216" i="11"/>
  <c r="J3214" i="11"/>
  <c r="J3212" i="11" s="1"/>
  <c r="I3218" i="11" s="1"/>
  <c r="J3218" i="11" s="1"/>
  <c r="J3216" i="11" s="1"/>
  <c r="B3212" i="11"/>
  <c r="A3212" i="11"/>
  <c r="J3210" i="11"/>
  <c r="J3208" i="11"/>
  <c r="I3214" i="11" s="1"/>
  <c r="C3208" i="11"/>
  <c r="A3208" i="11"/>
  <c r="A3207" i="11"/>
  <c r="C3207" i="11" s="1"/>
  <c r="J3205" i="11"/>
  <c r="J3203" i="11" s="1"/>
  <c r="D3203" i="11"/>
  <c r="C3203" i="11"/>
  <c r="B3203" i="11"/>
  <c r="A3203" i="11"/>
  <c r="J3201" i="11"/>
  <c r="A3197" i="11"/>
  <c r="B3197" i="11" s="1"/>
  <c r="J3195" i="11"/>
  <c r="J3193" i="11"/>
  <c r="F3201" i="11" s="1"/>
  <c r="A3193" i="11"/>
  <c r="J3191" i="11"/>
  <c r="J3189" i="11"/>
  <c r="I3199" i="11" s="1"/>
  <c r="J3199" i="11" s="1"/>
  <c r="J3197" i="11" s="1"/>
  <c r="I3205" i="11" s="1"/>
  <c r="D3189" i="11"/>
  <c r="C3189" i="11"/>
  <c r="A3189" i="11"/>
  <c r="B3189" i="11" s="1"/>
  <c r="J3187" i="11"/>
  <c r="J3185" i="11" s="1"/>
  <c r="F3187" i="11"/>
  <c r="D3185" i="11"/>
  <c r="C3185" i="11"/>
  <c r="B3185" i="11"/>
  <c r="A3185" i="11"/>
  <c r="A3184" i="11"/>
  <c r="C3184" i="11" s="1"/>
  <c r="I3180" i="11"/>
  <c r="E3180" i="11"/>
  <c r="D3178" i="11"/>
  <c r="B3178" i="11"/>
  <c r="A3178" i="11"/>
  <c r="C3178" i="11" s="1"/>
  <c r="I3174" i="11"/>
  <c r="E3174" i="11"/>
  <c r="J3174" i="11" s="1"/>
  <c r="J3172" i="11"/>
  <c r="A3172" i="11"/>
  <c r="C3171" i="11"/>
  <c r="A3171" i="11"/>
  <c r="J3169" i="11"/>
  <c r="J3167" i="11"/>
  <c r="D3167" i="11"/>
  <c r="A3167" i="11"/>
  <c r="C3167" i="11" s="1"/>
  <c r="J3165" i="11"/>
  <c r="J3163" i="11" s="1"/>
  <c r="A3163" i="11"/>
  <c r="A3162" i="11"/>
  <c r="C3162" i="11" s="1"/>
  <c r="A3161" i="11"/>
  <c r="B3161" i="11" s="1"/>
  <c r="B3157" i="11"/>
  <c r="A3157" i="11"/>
  <c r="C3157" i="11" s="1"/>
  <c r="B3153" i="11"/>
  <c r="A3153" i="11"/>
  <c r="C3153" i="11" s="1"/>
  <c r="C3149" i="11"/>
  <c r="B3149" i="11"/>
  <c r="A3149" i="11"/>
  <c r="D3149" i="11" s="1"/>
  <c r="D3145" i="11"/>
  <c r="B3145" i="11"/>
  <c r="A3145" i="11"/>
  <c r="C3145" i="11" s="1"/>
  <c r="D3141" i="11"/>
  <c r="C3141" i="11"/>
  <c r="A3141" i="11"/>
  <c r="B3141" i="11" s="1"/>
  <c r="J3139" i="11"/>
  <c r="J3137" i="11" s="1"/>
  <c r="D3137" i="11"/>
  <c r="A3137" i="11"/>
  <c r="F3135" i="11"/>
  <c r="J3135" i="11" s="1"/>
  <c r="J3133" i="11" s="1"/>
  <c r="D3133" i="11"/>
  <c r="C3133" i="11"/>
  <c r="B3133" i="11"/>
  <c r="A3133" i="11"/>
  <c r="A3129" i="11"/>
  <c r="D3125" i="11"/>
  <c r="B3125" i="11"/>
  <c r="A3125" i="11"/>
  <c r="C3125" i="11" s="1"/>
  <c r="B3121" i="11"/>
  <c r="A3121" i="11"/>
  <c r="I3119" i="11"/>
  <c r="J3119" i="11" s="1"/>
  <c r="J3117" i="11" s="1"/>
  <c r="D3117" i="11"/>
  <c r="B3117" i="11"/>
  <c r="A3117" i="11"/>
  <c r="C3117" i="11" s="1"/>
  <c r="A3116" i="11"/>
  <c r="C3116" i="11" s="1"/>
  <c r="I3114" i="11"/>
  <c r="J3114" i="11" s="1"/>
  <c r="J3112" i="11"/>
  <c r="I2958" i="11" s="1"/>
  <c r="J2958" i="11" s="1"/>
  <c r="C3112" i="11"/>
  <c r="B3112" i="11"/>
  <c r="A3112" i="11"/>
  <c r="D3112" i="11" s="1"/>
  <c r="C3111" i="11"/>
  <c r="A3111" i="11"/>
  <c r="J3109" i="11"/>
  <c r="J3107" i="11"/>
  <c r="C3107" i="11"/>
  <c r="A3107" i="11"/>
  <c r="D3107" i="11" s="1"/>
  <c r="J3105" i="11"/>
  <c r="J3103" i="11"/>
  <c r="A3103" i="11"/>
  <c r="J3101" i="11"/>
  <c r="J3099" i="11"/>
  <c r="D3099" i="11"/>
  <c r="B3099" i="11"/>
  <c r="A3099" i="11"/>
  <c r="C3099" i="11" s="1"/>
  <c r="J3097" i="11"/>
  <c r="J3095" i="11"/>
  <c r="D3095" i="11"/>
  <c r="C3095" i="11"/>
  <c r="B3095" i="11"/>
  <c r="A3095" i="11"/>
  <c r="J3093" i="11"/>
  <c r="J3091" i="11" s="1"/>
  <c r="C3091" i="11"/>
  <c r="A3091" i="11"/>
  <c r="J3089" i="11"/>
  <c r="H3089" i="11"/>
  <c r="H3088" i="11"/>
  <c r="J3088" i="11" s="1"/>
  <c r="J3087" i="11"/>
  <c r="B3085" i="11"/>
  <c r="A3085" i="11"/>
  <c r="C3085" i="11" s="1"/>
  <c r="H3083" i="11"/>
  <c r="J3083" i="11" s="1"/>
  <c r="J3081" i="11" s="1"/>
  <c r="C3081" i="11"/>
  <c r="A3081" i="11"/>
  <c r="D3081" i="11" s="1"/>
  <c r="A3080" i="11"/>
  <c r="C3080" i="11" s="1"/>
  <c r="E3078" i="11"/>
  <c r="D3075" i="11"/>
  <c r="B3075" i="11"/>
  <c r="A3075" i="11"/>
  <c r="C3075" i="11" s="1"/>
  <c r="D3070" i="11"/>
  <c r="C3070" i="11"/>
  <c r="B3070" i="11"/>
  <c r="A3070" i="11"/>
  <c r="C3066" i="11"/>
  <c r="B3066" i="11"/>
  <c r="A3066" i="11"/>
  <c r="D3066" i="11" s="1"/>
  <c r="D3062" i="11"/>
  <c r="B3062" i="11"/>
  <c r="A3062" i="11"/>
  <c r="C3062" i="11" s="1"/>
  <c r="D3058" i="11"/>
  <c r="C3058" i="11"/>
  <c r="B3058" i="11"/>
  <c r="A3058" i="11"/>
  <c r="F3056" i="11"/>
  <c r="A3054" i="11"/>
  <c r="D3054" i="11" s="1"/>
  <c r="F3052" i="11"/>
  <c r="B3050" i="11"/>
  <c r="A3050" i="11"/>
  <c r="D3050" i="11" s="1"/>
  <c r="J3048" i="11"/>
  <c r="F3048" i="11"/>
  <c r="J3046" i="11"/>
  <c r="D3046" i="11"/>
  <c r="B3046" i="11"/>
  <c r="A3046" i="11"/>
  <c r="C3046" i="11" s="1"/>
  <c r="J3044" i="11"/>
  <c r="J3042" i="11" s="1"/>
  <c r="F3044" i="11"/>
  <c r="F3131" i="11" s="1"/>
  <c r="J3131" i="11" s="1"/>
  <c r="J3129" i="11" s="1"/>
  <c r="D3042" i="11"/>
  <c r="C3042" i="11"/>
  <c r="B3042" i="11"/>
  <c r="A3042" i="11"/>
  <c r="D3037" i="11"/>
  <c r="C3037" i="11"/>
  <c r="B3037" i="11"/>
  <c r="A3037" i="11"/>
  <c r="J3035" i="11"/>
  <c r="J3033" i="11" s="1"/>
  <c r="I3035" i="11"/>
  <c r="D3033" i="11"/>
  <c r="C3033" i="11"/>
  <c r="B3033" i="11"/>
  <c r="A3033" i="11"/>
  <c r="J3031" i="11"/>
  <c r="F3031" i="11"/>
  <c r="J3030" i="11"/>
  <c r="J3028" i="11" s="1"/>
  <c r="I3039" i="11" s="1"/>
  <c r="J3039" i="11" s="1"/>
  <c r="I3030" i="11"/>
  <c r="A3028" i="11"/>
  <c r="D3028" i="11" s="1"/>
  <c r="D3024" i="11"/>
  <c r="B3024" i="11"/>
  <c r="A3024" i="11"/>
  <c r="C3024" i="11" s="1"/>
  <c r="A3020" i="11"/>
  <c r="H3018" i="11"/>
  <c r="F3018" i="11"/>
  <c r="J3018" i="11" s="1"/>
  <c r="A3015" i="11"/>
  <c r="I3013" i="11"/>
  <c r="J3013" i="11" s="1"/>
  <c r="F3013" i="11"/>
  <c r="I3012" i="11"/>
  <c r="J3012" i="11" s="1"/>
  <c r="I3010" i="11"/>
  <c r="J3010" i="11" s="1"/>
  <c r="I3009" i="11"/>
  <c r="J3009" i="11" s="1"/>
  <c r="C3007" i="11"/>
  <c r="A3007" i="11"/>
  <c r="I3005" i="11"/>
  <c r="F3005" i="11"/>
  <c r="J3005" i="11" s="1"/>
  <c r="J3002" i="11" s="1"/>
  <c r="B3002" i="11"/>
  <c r="A3002" i="11"/>
  <c r="C3002" i="11" s="1"/>
  <c r="J2999" i="11"/>
  <c r="J2996" i="11" s="1"/>
  <c r="I3004" i="11" s="1"/>
  <c r="J3004" i="11" s="1"/>
  <c r="H2999" i="11"/>
  <c r="D2996" i="11"/>
  <c r="C2996" i="11"/>
  <c r="B2996" i="11"/>
  <c r="A2996" i="11"/>
  <c r="J2994" i="11"/>
  <c r="J2992" i="11" s="1"/>
  <c r="I3017" i="11" s="1"/>
  <c r="J3017" i="11" s="1"/>
  <c r="H2994" i="11"/>
  <c r="G2994" i="11"/>
  <c r="A2992" i="11"/>
  <c r="G2990" i="11"/>
  <c r="J2990" i="11" s="1"/>
  <c r="J2988" i="11"/>
  <c r="J2985" i="11" s="1"/>
  <c r="F2988" i="11"/>
  <c r="D2985" i="11"/>
  <c r="C2985" i="11"/>
  <c r="B2985" i="11"/>
  <c r="A2985" i="11"/>
  <c r="A2984" i="11"/>
  <c r="C2984" i="11" s="1"/>
  <c r="F2982" i="11"/>
  <c r="J2982" i="11" s="1"/>
  <c r="J2980" i="11"/>
  <c r="F2980" i="11"/>
  <c r="J2977" i="11"/>
  <c r="D2977" i="11"/>
  <c r="C2977" i="11"/>
  <c r="B2977" i="11"/>
  <c r="A2977" i="11"/>
  <c r="F2975" i="11"/>
  <c r="J2975" i="11" s="1"/>
  <c r="F2973" i="11"/>
  <c r="J2973" i="11" s="1"/>
  <c r="J2972" i="11"/>
  <c r="F2972" i="11"/>
  <c r="C2969" i="11"/>
  <c r="A2969" i="11"/>
  <c r="D2969" i="11" s="1"/>
  <c r="J2967" i="11"/>
  <c r="J2965" i="11"/>
  <c r="A2965" i="11"/>
  <c r="J2963" i="11"/>
  <c r="J2962" i="11"/>
  <c r="J2960" i="11" s="1"/>
  <c r="F2962" i="11"/>
  <c r="D2960" i="11"/>
  <c r="C2960" i="11"/>
  <c r="A2960" i="11"/>
  <c r="B2960" i="11" s="1"/>
  <c r="D2955" i="11"/>
  <c r="B2955" i="11"/>
  <c r="A2955" i="11"/>
  <c r="C2955" i="11" s="1"/>
  <c r="J2953" i="11"/>
  <c r="D2951" i="11"/>
  <c r="C2951" i="11"/>
  <c r="B2951" i="11"/>
  <c r="A2951" i="11"/>
  <c r="D2947" i="11"/>
  <c r="B2947" i="11"/>
  <c r="A2947" i="11"/>
  <c r="C2947" i="11" s="1"/>
  <c r="A2943" i="11"/>
  <c r="G2941" i="11"/>
  <c r="F2941" i="11"/>
  <c r="J2941" i="11" s="1"/>
  <c r="J2939" i="11" s="1"/>
  <c r="B2939" i="11"/>
  <c r="A2939" i="11"/>
  <c r="D2939" i="11" s="1"/>
  <c r="J2937" i="11"/>
  <c r="J2935" i="11" s="1"/>
  <c r="I3143" i="11" s="1"/>
  <c r="G2937" i="11"/>
  <c r="F2937" i="11"/>
  <c r="A2935" i="11"/>
  <c r="D2935" i="11" s="1"/>
  <c r="J2933" i="11"/>
  <c r="J2931" i="11" s="1"/>
  <c r="G2933" i="11"/>
  <c r="D2931" i="11"/>
  <c r="A2931" i="11"/>
  <c r="C2931" i="11" s="1"/>
  <c r="D2926" i="11"/>
  <c r="C2926" i="11"/>
  <c r="B2926" i="11"/>
  <c r="A2926" i="11"/>
  <c r="A2922" i="11"/>
  <c r="J2920" i="11"/>
  <c r="F2920" i="11"/>
  <c r="H2917" i="11"/>
  <c r="H2918" i="11" s="1"/>
  <c r="D2914" i="11"/>
  <c r="A2914" i="11"/>
  <c r="C2914" i="11" s="1"/>
  <c r="J2912" i="11"/>
  <c r="J2910" i="11"/>
  <c r="I2918" i="11" s="1"/>
  <c r="D2908" i="11"/>
  <c r="A2908" i="11"/>
  <c r="J2906" i="11"/>
  <c r="J2903" i="11" s="1"/>
  <c r="J2905" i="11"/>
  <c r="I2916" i="11" s="1"/>
  <c r="J2916" i="11" s="1"/>
  <c r="D2903" i="11"/>
  <c r="C2903" i="11"/>
  <c r="B2903" i="11"/>
  <c r="A2903" i="11"/>
  <c r="D2899" i="11"/>
  <c r="B2899" i="11"/>
  <c r="A2899" i="11"/>
  <c r="C2899" i="11" s="1"/>
  <c r="J2895" i="11"/>
  <c r="I2901" i="11" s="1"/>
  <c r="J2901" i="11" s="1"/>
  <c r="J2899" i="11" s="1"/>
  <c r="C2895" i="11"/>
  <c r="A2895" i="11"/>
  <c r="D2895" i="11" s="1"/>
  <c r="J2893" i="11"/>
  <c r="J2891" i="11" s="1"/>
  <c r="I2897" i="11" s="1"/>
  <c r="J2897" i="11" s="1"/>
  <c r="A2891" i="11"/>
  <c r="A2890" i="11"/>
  <c r="C2890" i="11" s="1"/>
  <c r="J2888" i="11"/>
  <c r="J2886" i="11" s="1"/>
  <c r="A2886" i="11"/>
  <c r="B2886" i="11" s="1"/>
  <c r="I2884" i="11"/>
  <c r="J2884" i="11" s="1"/>
  <c r="J2882" i="11" s="1"/>
  <c r="C2882" i="11"/>
  <c r="A2882" i="11"/>
  <c r="D2882" i="11" s="1"/>
  <c r="D2878" i="11"/>
  <c r="B2878" i="11"/>
  <c r="A2878" i="11"/>
  <c r="C2878" i="11" s="1"/>
  <c r="J2876" i="11"/>
  <c r="J2874" i="11" s="1"/>
  <c r="I2880" i="11" s="1"/>
  <c r="J2880" i="11" s="1"/>
  <c r="J2878" i="11" s="1"/>
  <c r="I2876" i="11"/>
  <c r="A2874" i="11"/>
  <c r="B2874" i="11" s="1"/>
  <c r="A2873" i="11"/>
  <c r="C2873" i="11" s="1"/>
  <c r="D2869" i="11"/>
  <c r="B2869" i="11"/>
  <c r="A2869" i="11"/>
  <c r="C2869" i="11" s="1"/>
  <c r="A2865" i="11"/>
  <c r="J2863" i="11"/>
  <c r="J2861" i="11"/>
  <c r="I2867" i="11" s="1"/>
  <c r="J2867" i="11" s="1"/>
  <c r="J2865" i="11" s="1"/>
  <c r="I2871" i="11" s="1"/>
  <c r="J2871" i="11" s="1"/>
  <c r="J2869" i="11" s="1"/>
  <c r="A2861" i="11"/>
  <c r="F2859" i="11"/>
  <c r="J2859" i="11" s="1"/>
  <c r="J2858" i="11"/>
  <c r="J2856" i="11" s="1"/>
  <c r="F2858" i="11"/>
  <c r="D2856" i="11"/>
  <c r="C2856" i="11"/>
  <c r="B2856" i="11"/>
  <c r="A2856" i="11"/>
  <c r="A2855" i="11"/>
  <c r="C2855" i="11" s="1"/>
  <c r="J2851" i="11"/>
  <c r="J2849" i="11" s="1"/>
  <c r="I2851" i="11"/>
  <c r="E2851" i="11"/>
  <c r="D2849" i="11"/>
  <c r="B2849" i="11"/>
  <c r="A2849" i="11"/>
  <c r="C2849" i="11" s="1"/>
  <c r="I2845" i="11"/>
  <c r="E2845" i="11"/>
  <c r="J2845" i="11" s="1"/>
  <c r="J2843" i="11" s="1"/>
  <c r="B2843" i="11"/>
  <c r="A2843" i="11"/>
  <c r="C2843" i="11" s="1"/>
  <c r="A2842" i="11"/>
  <c r="C2842" i="11" s="1"/>
  <c r="J2840" i="11"/>
  <c r="J2838" i="11"/>
  <c r="D2838" i="11"/>
  <c r="B2838" i="11"/>
  <c r="A2838" i="11"/>
  <c r="C2838" i="11" s="1"/>
  <c r="J2836" i="11"/>
  <c r="J2834" i="11" s="1"/>
  <c r="D2834" i="11"/>
  <c r="C2834" i="11"/>
  <c r="B2834" i="11"/>
  <c r="A2834" i="11"/>
  <c r="A2833" i="11"/>
  <c r="C2833" i="11" s="1"/>
  <c r="B2832" i="11"/>
  <c r="A2832" i="11"/>
  <c r="C2828" i="11"/>
  <c r="A2828" i="11"/>
  <c r="D2828" i="11" s="1"/>
  <c r="D2824" i="11"/>
  <c r="B2824" i="11"/>
  <c r="A2824" i="11"/>
  <c r="C2824" i="11" s="1"/>
  <c r="A2820" i="11"/>
  <c r="D2816" i="11"/>
  <c r="C2816" i="11"/>
  <c r="B2816" i="11"/>
  <c r="A2816" i="11"/>
  <c r="D2812" i="11"/>
  <c r="C2812" i="11"/>
  <c r="B2812" i="11"/>
  <c r="A2812" i="11"/>
  <c r="C2808" i="11"/>
  <c r="A2808" i="11"/>
  <c r="B2808" i="11" s="1"/>
  <c r="D2804" i="11"/>
  <c r="B2804" i="11"/>
  <c r="A2804" i="11"/>
  <c r="C2804" i="11" s="1"/>
  <c r="J2802" i="11"/>
  <c r="J2800" i="11" s="1"/>
  <c r="D2800" i="11"/>
  <c r="A2800" i="11"/>
  <c r="C2800" i="11" s="1"/>
  <c r="I2798" i="11"/>
  <c r="I2802" i="11" s="1"/>
  <c r="C2796" i="11"/>
  <c r="B2796" i="11"/>
  <c r="A2796" i="11"/>
  <c r="D2796" i="11" s="1"/>
  <c r="A2795" i="11"/>
  <c r="C2795" i="11" s="1"/>
  <c r="J2793" i="11"/>
  <c r="J2791" i="11"/>
  <c r="I2687" i="11" s="1"/>
  <c r="C2791" i="11"/>
  <c r="B2791" i="11"/>
  <c r="A2791" i="11"/>
  <c r="D2791" i="11" s="1"/>
  <c r="A2790" i="11"/>
  <c r="C2790" i="11" s="1"/>
  <c r="J2788" i="11"/>
  <c r="J2786" i="11"/>
  <c r="B2786" i="11"/>
  <c r="A2786" i="11"/>
  <c r="D2786" i="11" s="1"/>
  <c r="J2784" i="11"/>
  <c r="J2782" i="11" s="1"/>
  <c r="C2782" i="11"/>
  <c r="A2782" i="11"/>
  <c r="B2782" i="11" s="1"/>
  <c r="J2780" i="11"/>
  <c r="J2778" i="11" s="1"/>
  <c r="A2778" i="11"/>
  <c r="J2776" i="11"/>
  <c r="J2774" i="11"/>
  <c r="A2774" i="11"/>
  <c r="D2774" i="11" s="1"/>
  <c r="H2772" i="11"/>
  <c r="J2772" i="11" s="1"/>
  <c r="H2771" i="11"/>
  <c r="J2771" i="11" s="1"/>
  <c r="J2768" i="11" s="1"/>
  <c r="J2770" i="11"/>
  <c r="D2768" i="11"/>
  <c r="C2768" i="11"/>
  <c r="B2768" i="11"/>
  <c r="A2768" i="11"/>
  <c r="A2767" i="11"/>
  <c r="C2767" i="11" s="1"/>
  <c r="D2763" i="11"/>
  <c r="C2763" i="11"/>
  <c r="B2763" i="11"/>
  <c r="A2763" i="11"/>
  <c r="E2761" i="11"/>
  <c r="D2758" i="11"/>
  <c r="C2758" i="11"/>
  <c r="B2758" i="11"/>
  <c r="A2758" i="11"/>
  <c r="D2754" i="11"/>
  <c r="C2754" i="11"/>
  <c r="B2754" i="11"/>
  <c r="A2754" i="11"/>
  <c r="C2750" i="11"/>
  <c r="A2750" i="11"/>
  <c r="B2750" i="11" s="1"/>
  <c r="J2748" i="11"/>
  <c r="J2746" i="11" s="1"/>
  <c r="I2752" i="11" s="1"/>
  <c r="J2752" i="11" s="1"/>
  <c r="J2750" i="11" s="1"/>
  <c r="I2756" i="11" s="1"/>
  <c r="J2756" i="11" s="1"/>
  <c r="J2754" i="11" s="1"/>
  <c r="H2748" i="11"/>
  <c r="D2746" i="11"/>
  <c r="C2746" i="11"/>
  <c r="B2746" i="11"/>
  <c r="A2746" i="11"/>
  <c r="J2744" i="11"/>
  <c r="J2742" i="11" s="1"/>
  <c r="I2830" i="11" s="1"/>
  <c r="J2830" i="11" s="1"/>
  <c r="J2828" i="11" s="1"/>
  <c r="F2744" i="11"/>
  <c r="D2742" i="11"/>
  <c r="B2742" i="11"/>
  <c r="A2742" i="11"/>
  <c r="C2742" i="11" s="1"/>
  <c r="J2740" i="11"/>
  <c r="J2738" i="11" s="1"/>
  <c r="F2740" i="11"/>
  <c r="H2744" i="11" s="1"/>
  <c r="F2748" i="11" s="1"/>
  <c r="C2738" i="11"/>
  <c r="B2738" i="11"/>
  <c r="A2738" i="11"/>
  <c r="D2738" i="11" s="1"/>
  <c r="J2736" i="11"/>
  <c r="J2734" i="11" s="1"/>
  <c r="F2736" i="11"/>
  <c r="A2734" i="11"/>
  <c r="G2732" i="11"/>
  <c r="J2732" i="11" s="1"/>
  <c r="J2729" i="11" s="1"/>
  <c r="J2731" i="11"/>
  <c r="F2731" i="11"/>
  <c r="D2729" i="11"/>
  <c r="A2729" i="11"/>
  <c r="D2725" i="11"/>
  <c r="C2725" i="11"/>
  <c r="B2725" i="11"/>
  <c r="A2725" i="11"/>
  <c r="A2721" i="11"/>
  <c r="D2721" i="11" s="1"/>
  <c r="J2719" i="11"/>
  <c r="H2719" i="11"/>
  <c r="F2719" i="11"/>
  <c r="D2715" i="11"/>
  <c r="B2715" i="11"/>
  <c r="A2715" i="11"/>
  <c r="C2715" i="11" s="1"/>
  <c r="K2712" i="11"/>
  <c r="H2712" i="11"/>
  <c r="G2712" i="11"/>
  <c r="J2712" i="11" s="1"/>
  <c r="J2709" i="11" s="1"/>
  <c r="I2718" i="11" s="1"/>
  <c r="J2718" i="11" s="1"/>
  <c r="J2715" i="11" s="1"/>
  <c r="I2723" i="11" s="1"/>
  <c r="J2723" i="11" s="1"/>
  <c r="J2721" i="11" s="1"/>
  <c r="I2727" i="11" s="1"/>
  <c r="J2727" i="11" s="1"/>
  <c r="J2725" i="11" s="1"/>
  <c r="D2709" i="11"/>
  <c r="C2709" i="11"/>
  <c r="B2709" i="11"/>
  <c r="A2709" i="11"/>
  <c r="C2708" i="11"/>
  <c r="A2708" i="11"/>
  <c r="F2705" i="11"/>
  <c r="F2701" i="11" s="1"/>
  <c r="J2701" i="11" s="1"/>
  <c r="J2698" i="11" s="1"/>
  <c r="A2703" i="11"/>
  <c r="A2698" i="11"/>
  <c r="D2698" i="11" s="1"/>
  <c r="J2696" i="11"/>
  <c r="F2696" i="11"/>
  <c r="J2694" i="11"/>
  <c r="D2694" i="11"/>
  <c r="C2694" i="11"/>
  <c r="B2694" i="11"/>
  <c r="A2694" i="11"/>
  <c r="J2692" i="11"/>
  <c r="J2689" i="11" s="1"/>
  <c r="J2691" i="11"/>
  <c r="F2691" i="11"/>
  <c r="D2689" i="11"/>
  <c r="C2689" i="11"/>
  <c r="B2689" i="11"/>
  <c r="A2689" i="11"/>
  <c r="J2687" i="11"/>
  <c r="I2686" i="11"/>
  <c r="J2686" i="11" s="1"/>
  <c r="J2684" i="11"/>
  <c r="I2826" i="11" s="1"/>
  <c r="J2826" i="11" s="1"/>
  <c r="J2824" i="11" s="1"/>
  <c r="C2684" i="11"/>
  <c r="A2684" i="11"/>
  <c r="D2684" i="11" s="1"/>
  <c r="J2682" i="11"/>
  <c r="J2680" i="11" s="1"/>
  <c r="D2680" i="11"/>
  <c r="C2680" i="11"/>
  <c r="B2680" i="11"/>
  <c r="A2680" i="11"/>
  <c r="B2676" i="11"/>
  <c r="A2676" i="11"/>
  <c r="D2676" i="11" s="1"/>
  <c r="D2672" i="11"/>
  <c r="B2672" i="11"/>
  <c r="A2672" i="11"/>
  <c r="C2672" i="11" s="1"/>
  <c r="J2670" i="11"/>
  <c r="F2670" i="11"/>
  <c r="C2666" i="11"/>
  <c r="B2666" i="11"/>
  <c r="A2666" i="11"/>
  <c r="D2666" i="11" s="1"/>
  <c r="J2664" i="11"/>
  <c r="J2662" i="11"/>
  <c r="I2668" i="11" s="1"/>
  <c r="J2668" i="11" s="1"/>
  <c r="J2666" i="11" s="1"/>
  <c r="J2660" i="11"/>
  <c r="I2822" i="11" s="1"/>
  <c r="J2822" i="11" s="1"/>
  <c r="J2820" i="11" s="1"/>
  <c r="B2660" i="11"/>
  <c r="A2660" i="11"/>
  <c r="C2660" i="11" s="1"/>
  <c r="D2656" i="11"/>
  <c r="C2656" i="11"/>
  <c r="A2656" i="11"/>
  <c r="B2656" i="11" s="1"/>
  <c r="A2652" i="11"/>
  <c r="G2650" i="11"/>
  <c r="C2648" i="11"/>
  <c r="A2648" i="11"/>
  <c r="G2646" i="11"/>
  <c r="A2644" i="11"/>
  <c r="G2642" i="11"/>
  <c r="C2640" i="11"/>
  <c r="A2640" i="11"/>
  <c r="G2638" i="11"/>
  <c r="F2638" i="11"/>
  <c r="C2636" i="11"/>
  <c r="A2636" i="11"/>
  <c r="A2635" i="11"/>
  <c r="C2635" i="11" s="1"/>
  <c r="J2633" i="11"/>
  <c r="J2631" i="11"/>
  <c r="A2631" i="11"/>
  <c r="D2627" i="11"/>
  <c r="B2627" i="11"/>
  <c r="A2627" i="11"/>
  <c r="C2627" i="11" s="1"/>
  <c r="A2623" i="11"/>
  <c r="J2621" i="11"/>
  <c r="J2619" i="11"/>
  <c r="I2625" i="11" s="1"/>
  <c r="J2625" i="11" s="1"/>
  <c r="J2623" i="11" s="1"/>
  <c r="I2629" i="11" s="1"/>
  <c r="J2629" i="11" s="1"/>
  <c r="J2627" i="11" s="1"/>
  <c r="C2619" i="11"/>
  <c r="A2619" i="11"/>
  <c r="D2619" i="11" s="1"/>
  <c r="A2618" i="11"/>
  <c r="C2618" i="11" s="1"/>
  <c r="D2614" i="11"/>
  <c r="C2614" i="11"/>
  <c r="B2614" i="11"/>
  <c r="A2614" i="11"/>
  <c r="J2612" i="11"/>
  <c r="J2610" i="11" s="1"/>
  <c r="I2616" i="11" s="1"/>
  <c r="J2616" i="11" s="1"/>
  <c r="J2614" i="11" s="1"/>
  <c r="C2610" i="11"/>
  <c r="A2610" i="11"/>
  <c r="J2608" i="11"/>
  <c r="J2606" i="11"/>
  <c r="I2612" i="11" s="1"/>
  <c r="C2606" i="11"/>
  <c r="A2606" i="11"/>
  <c r="F2604" i="11"/>
  <c r="J2604" i="11" s="1"/>
  <c r="J2602" i="11" s="1"/>
  <c r="D2602" i="11"/>
  <c r="C2602" i="11"/>
  <c r="B2602" i="11"/>
  <c r="A2602" i="11"/>
  <c r="C2601" i="11"/>
  <c r="A2601" i="11"/>
  <c r="I2597" i="11"/>
  <c r="E2597" i="11"/>
  <c r="J2597" i="11" s="1"/>
  <c r="J2595" i="11" s="1"/>
  <c r="D2595" i="11"/>
  <c r="B2595" i="11"/>
  <c r="A2595" i="11"/>
  <c r="C2595" i="11" s="1"/>
  <c r="J2591" i="11"/>
  <c r="J2589" i="11" s="1"/>
  <c r="I2591" i="11"/>
  <c r="E2591" i="11"/>
  <c r="D2589" i="11"/>
  <c r="B2589" i="11"/>
  <c r="A2589" i="11"/>
  <c r="C2589" i="11" s="1"/>
  <c r="C2588" i="11"/>
  <c r="A2588" i="11"/>
  <c r="J2586" i="11"/>
  <c r="J2584" i="11" s="1"/>
  <c r="D2584" i="11"/>
  <c r="B2584" i="11"/>
  <c r="A2584" i="11"/>
  <c r="C2584" i="11" s="1"/>
  <c r="J2582" i="11"/>
  <c r="J2580" i="11" s="1"/>
  <c r="D2580" i="11"/>
  <c r="C2580" i="11"/>
  <c r="B2580" i="11"/>
  <c r="A2580" i="11"/>
  <c r="C2579" i="11"/>
  <c r="A2579" i="11"/>
  <c r="B2578" i="11"/>
  <c r="A2578" i="11"/>
  <c r="C2574" i="11"/>
  <c r="A2574" i="11"/>
  <c r="D2570" i="11"/>
  <c r="B2570" i="11"/>
  <c r="A2570" i="11"/>
  <c r="C2570" i="11" s="1"/>
  <c r="C2566" i="11"/>
  <c r="A2566" i="11"/>
  <c r="D2562" i="11"/>
  <c r="C2562" i="11"/>
  <c r="B2562" i="11"/>
  <c r="A2562" i="11"/>
  <c r="A2558" i="11"/>
  <c r="D2553" i="11"/>
  <c r="B2553" i="11"/>
  <c r="A2553" i="11"/>
  <c r="C2553" i="11" s="1"/>
  <c r="A2549" i="11"/>
  <c r="I2547" i="11"/>
  <c r="J2547" i="11" s="1"/>
  <c r="J2545" i="11" s="1"/>
  <c r="D2545" i="11"/>
  <c r="C2545" i="11"/>
  <c r="B2545" i="11"/>
  <c r="A2545" i="11"/>
  <c r="J2543" i="11"/>
  <c r="J2541" i="11" s="1"/>
  <c r="I2543" i="11"/>
  <c r="A2541" i="11"/>
  <c r="A2540" i="11"/>
  <c r="C2540" i="11" s="1"/>
  <c r="J2538" i="11"/>
  <c r="J2536" i="11"/>
  <c r="C2536" i="11"/>
  <c r="A2536" i="11"/>
  <c r="A2535" i="11"/>
  <c r="C2535" i="11" s="1"/>
  <c r="J2533" i="11"/>
  <c r="J2531" i="11"/>
  <c r="A2531" i="11"/>
  <c r="J2529" i="11"/>
  <c r="J2527" i="11"/>
  <c r="A2527" i="11"/>
  <c r="J2525" i="11"/>
  <c r="J2523" i="11"/>
  <c r="A2523" i="11"/>
  <c r="J2521" i="11"/>
  <c r="J2519" i="11"/>
  <c r="A2519" i="11"/>
  <c r="H2517" i="11"/>
  <c r="J2517" i="11" s="1"/>
  <c r="H2516" i="11"/>
  <c r="J2516" i="11" s="1"/>
  <c r="J2515" i="11"/>
  <c r="J2513" i="11"/>
  <c r="A2513" i="11"/>
  <c r="A2512" i="11"/>
  <c r="C2512" i="11" s="1"/>
  <c r="D2508" i="11"/>
  <c r="C2508" i="11"/>
  <c r="B2508" i="11"/>
  <c r="A2508" i="11"/>
  <c r="E2506" i="11"/>
  <c r="D2503" i="11"/>
  <c r="C2503" i="11"/>
  <c r="B2503" i="11"/>
  <c r="A2503" i="11"/>
  <c r="B2499" i="11"/>
  <c r="A2499" i="11"/>
  <c r="D2499" i="11" s="1"/>
  <c r="B2495" i="11"/>
  <c r="A2495" i="11"/>
  <c r="C2495" i="11" s="1"/>
  <c r="C2491" i="11"/>
  <c r="A2491" i="11"/>
  <c r="F2489" i="11"/>
  <c r="C2487" i="11"/>
  <c r="A2487" i="11"/>
  <c r="J2485" i="11"/>
  <c r="J2483" i="11" s="1"/>
  <c r="F2485" i="11"/>
  <c r="H2489" i="11" s="1"/>
  <c r="D2483" i="11"/>
  <c r="C2483" i="11"/>
  <c r="B2483" i="11"/>
  <c r="A2483" i="11"/>
  <c r="J2481" i="11"/>
  <c r="J2479" i="11" s="1"/>
  <c r="F2481" i="11"/>
  <c r="C2479" i="11"/>
  <c r="B2479" i="11"/>
  <c r="A2479" i="11"/>
  <c r="D2479" i="11" s="1"/>
  <c r="G2477" i="11"/>
  <c r="J2477" i="11" s="1"/>
  <c r="J2476" i="11"/>
  <c r="J2474" i="11"/>
  <c r="B2474" i="11"/>
  <c r="A2474" i="11"/>
  <c r="D2474" i="11" s="1"/>
  <c r="A2473" i="11"/>
  <c r="C2473" i="11" s="1"/>
  <c r="J2470" i="11"/>
  <c r="J2468" i="11"/>
  <c r="C2468" i="11"/>
  <c r="B2468" i="11"/>
  <c r="A2468" i="11"/>
  <c r="D2468" i="11" s="1"/>
  <c r="F2466" i="11"/>
  <c r="A2464" i="11"/>
  <c r="C2464" i="11" s="1"/>
  <c r="C2460" i="11"/>
  <c r="A2460" i="11"/>
  <c r="B2460" i="11" s="1"/>
  <c r="J2458" i="11"/>
  <c r="J2456" i="11" s="1"/>
  <c r="F2458" i="11"/>
  <c r="D2456" i="11"/>
  <c r="C2456" i="11"/>
  <c r="B2456" i="11"/>
  <c r="A2456" i="11"/>
  <c r="J2454" i="11"/>
  <c r="J2452" i="11" s="1"/>
  <c r="F2454" i="11"/>
  <c r="B2452" i="11"/>
  <c r="A2452" i="11"/>
  <c r="D2452" i="11" s="1"/>
  <c r="F2450" i="11"/>
  <c r="J2450" i="11" s="1"/>
  <c r="F2449" i="11"/>
  <c r="J2449" i="11" s="1"/>
  <c r="D2447" i="11"/>
  <c r="C2447" i="11"/>
  <c r="B2447" i="11"/>
  <c r="A2447" i="11"/>
  <c r="I2445" i="11"/>
  <c r="J2445" i="11" s="1"/>
  <c r="D2442" i="11"/>
  <c r="C2442" i="11"/>
  <c r="A2442" i="11"/>
  <c r="B2442" i="11" s="1"/>
  <c r="J2440" i="11"/>
  <c r="J2438" i="11" s="1"/>
  <c r="I2444" i="11" s="1"/>
  <c r="J2444" i="11" s="1"/>
  <c r="I2440" i="11"/>
  <c r="D2438" i="11"/>
  <c r="C2438" i="11"/>
  <c r="B2438" i="11"/>
  <c r="A2438" i="11"/>
  <c r="C2434" i="11"/>
  <c r="B2434" i="11"/>
  <c r="A2434" i="11"/>
  <c r="D2434" i="11" s="1"/>
  <c r="A2430" i="11"/>
  <c r="C2430" i="11" s="1"/>
  <c r="J2428" i="11"/>
  <c r="F2428" i="11"/>
  <c r="A2424" i="11"/>
  <c r="D2424" i="11" s="1"/>
  <c r="J2422" i="11"/>
  <c r="J2420" i="11"/>
  <c r="I2420" i="11"/>
  <c r="C2418" i="11"/>
  <c r="B2418" i="11"/>
  <c r="A2418" i="11"/>
  <c r="D2418" i="11" s="1"/>
  <c r="D2414" i="11"/>
  <c r="A2414" i="11"/>
  <c r="C2414" i="11" s="1"/>
  <c r="C2410" i="11"/>
  <c r="A2410" i="11"/>
  <c r="B2410" i="11" s="1"/>
  <c r="J2408" i="11"/>
  <c r="J2406" i="11" s="1"/>
  <c r="G2408" i="11"/>
  <c r="F2408" i="11"/>
  <c r="A2406" i="11"/>
  <c r="B2406" i="11" s="1"/>
  <c r="G2404" i="11"/>
  <c r="J2404" i="11" s="1"/>
  <c r="J2402" i="11" s="1"/>
  <c r="I2560" i="11" s="1"/>
  <c r="F2404" i="11"/>
  <c r="D2402" i="11"/>
  <c r="C2402" i="11"/>
  <c r="A2402" i="11"/>
  <c r="B2402" i="11" s="1"/>
  <c r="J2400" i="11"/>
  <c r="J2398" i="11" s="1"/>
  <c r="G2400" i="11"/>
  <c r="D2398" i="11"/>
  <c r="C2398" i="11"/>
  <c r="B2398" i="11"/>
  <c r="A2398" i="11"/>
  <c r="C2397" i="11"/>
  <c r="A2397" i="11"/>
  <c r="J2395" i="11"/>
  <c r="J2393" i="11" s="1"/>
  <c r="D2393" i="11"/>
  <c r="C2393" i="11"/>
  <c r="B2393" i="11"/>
  <c r="A2393" i="11"/>
  <c r="A2389" i="11"/>
  <c r="D2385" i="11"/>
  <c r="B2385" i="11"/>
  <c r="A2385" i="11"/>
  <c r="C2385" i="11" s="1"/>
  <c r="J2383" i="11"/>
  <c r="I2383" i="11"/>
  <c r="J2381" i="11"/>
  <c r="I2387" i="11" s="1"/>
  <c r="J2387" i="11" s="1"/>
  <c r="J2385" i="11" s="1"/>
  <c r="I2391" i="11" s="1"/>
  <c r="J2391" i="11" s="1"/>
  <c r="J2389" i="11" s="1"/>
  <c r="C2381" i="11"/>
  <c r="A2381" i="11"/>
  <c r="B2381" i="11" s="1"/>
  <c r="C2380" i="11"/>
  <c r="A2380" i="11"/>
  <c r="D2376" i="11"/>
  <c r="A2376" i="11"/>
  <c r="C2376" i="11" s="1"/>
  <c r="G2374" i="11"/>
  <c r="J2374" i="11" s="1"/>
  <c r="J2368" i="11"/>
  <c r="I2378" i="11" s="1"/>
  <c r="J2378" i="11" s="1"/>
  <c r="J2376" i="11" s="1"/>
  <c r="B2368" i="11"/>
  <c r="A2368" i="11"/>
  <c r="C2368" i="11" s="1"/>
  <c r="J2366" i="11"/>
  <c r="J2364" i="11" s="1"/>
  <c r="I2374" i="11" s="1"/>
  <c r="D2364" i="11"/>
  <c r="C2364" i="11"/>
  <c r="B2364" i="11"/>
  <c r="A2364" i="11"/>
  <c r="J2362" i="11"/>
  <c r="J2360" i="11"/>
  <c r="F2372" i="11" s="1"/>
  <c r="J2372" i="11" s="1"/>
  <c r="D2360" i="11"/>
  <c r="B2360" i="11"/>
  <c r="A2360" i="11"/>
  <c r="C2360" i="11" s="1"/>
  <c r="J2358" i="11"/>
  <c r="J2356" i="11" s="1"/>
  <c r="I2370" i="11" s="1"/>
  <c r="J2370" i="11" s="1"/>
  <c r="D2356" i="11"/>
  <c r="C2356" i="11"/>
  <c r="B2356" i="11"/>
  <c r="A2356" i="11"/>
  <c r="F2354" i="11"/>
  <c r="J2354" i="11" s="1"/>
  <c r="J2353" i="11"/>
  <c r="F2353" i="11"/>
  <c r="F2352" i="11"/>
  <c r="J2352" i="11" s="1"/>
  <c r="C2350" i="11"/>
  <c r="A2350" i="11"/>
  <c r="D2350" i="11" s="1"/>
  <c r="A2349" i="11"/>
  <c r="C2349" i="11" s="1"/>
  <c r="J2345" i="11"/>
  <c r="J2343" i="11" s="1"/>
  <c r="I2345" i="11"/>
  <c r="E2345" i="11"/>
  <c r="D2343" i="11"/>
  <c r="A2343" i="11"/>
  <c r="B2343" i="11" s="1"/>
  <c r="I2339" i="11"/>
  <c r="J2339" i="11" s="1"/>
  <c r="E2339" i="11"/>
  <c r="J2337" i="11"/>
  <c r="C2337" i="11"/>
  <c r="A2337" i="11"/>
  <c r="B2337" i="11" s="1"/>
  <c r="C2336" i="11"/>
  <c r="A2336" i="11"/>
  <c r="J2334" i="11"/>
  <c r="J2332" i="11"/>
  <c r="D2332" i="11"/>
  <c r="A2332" i="11"/>
  <c r="B2332" i="11" s="1"/>
  <c r="J2330" i="11"/>
  <c r="J2328" i="11"/>
  <c r="B2328" i="11"/>
  <c r="A2328" i="11"/>
  <c r="D2328" i="11" s="1"/>
  <c r="A2327" i="11"/>
  <c r="C2327" i="11" s="1"/>
  <c r="A2326" i="11"/>
  <c r="B2326" i="11" s="1"/>
  <c r="B2322" i="11"/>
  <c r="A2322" i="11"/>
  <c r="C2322" i="11" s="1"/>
  <c r="J2320" i="11"/>
  <c r="J2318" i="11" s="1"/>
  <c r="D2318" i="11"/>
  <c r="A2318" i="11"/>
  <c r="B2318" i="11" s="1"/>
  <c r="D2314" i="11"/>
  <c r="C2314" i="11"/>
  <c r="B2314" i="11"/>
  <c r="A2314" i="11"/>
  <c r="A2310" i="11"/>
  <c r="D2306" i="11"/>
  <c r="B2306" i="11"/>
  <c r="A2306" i="11"/>
  <c r="C2306" i="11" s="1"/>
  <c r="D2302" i="11"/>
  <c r="A2302" i="11"/>
  <c r="B2302" i="11" s="1"/>
  <c r="D2298" i="11"/>
  <c r="C2298" i="11"/>
  <c r="B2298" i="11"/>
  <c r="A2298" i="11"/>
  <c r="I2296" i="11"/>
  <c r="J2296" i="11" s="1"/>
  <c r="J2294" i="11" s="1"/>
  <c r="A2294" i="11"/>
  <c r="D2294" i="11" s="1"/>
  <c r="I2292" i="11"/>
  <c r="J2292" i="11" s="1"/>
  <c r="J2290" i="11"/>
  <c r="B2290" i="11"/>
  <c r="A2290" i="11"/>
  <c r="C2290" i="11" s="1"/>
  <c r="C2289" i="11"/>
  <c r="A2289" i="11"/>
  <c r="J2287" i="11"/>
  <c r="J2285" i="11" s="1"/>
  <c r="I2183" i="11" s="1"/>
  <c r="J2183" i="11" s="1"/>
  <c r="D2285" i="11"/>
  <c r="A2285" i="11"/>
  <c r="C2285" i="11" s="1"/>
  <c r="C2284" i="11"/>
  <c r="A2284" i="11"/>
  <c r="J2282" i="11"/>
  <c r="J2280" i="11"/>
  <c r="D2280" i="11"/>
  <c r="B2280" i="11"/>
  <c r="A2280" i="11"/>
  <c r="C2280" i="11" s="1"/>
  <c r="J2278" i="11"/>
  <c r="J2276" i="11" s="1"/>
  <c r="D2276" i="11"/>
  <c r="C2276" i="11"/>
  <c r="B2276" i="11"/>
  <c r="A2276" i="11"/>
  <c r="J2274" i="11"/>
  <c r="J2272" i="11"/>
  <c r="B2272" i="11"/>
  <c r="A2272" i="11"/>
  <c r="C2272" i="11" s="1"/>
  <c r="J2270" i="11"/>
  <c r="J2268" i="11" s="1"/>
  <c r="D2268" i="11"/>
  <c r="C2268" i="11"/>
  <c r="B2268" i="11"/>
  <c r="A2268" i="11"/>
  <c r="H2266" i="11"/>
  <c r="J2266" i="11" s="1"/>
  <c r="J2262" i="11" s="1"/>
  <c r="J2265" i="11"/>
  <c r="H2265" i="11"/>
  <c r="J2264" i="11"/>
  <c r="D2262" i="11"/>
  <c r="B2262" i="11"/>
  <c r="A2262" i="11"/>
  <c r="C2262" i="11" s="1"/>
  <c r="C2261" i="11"/>
  <c r="A2261" i="11"/>
  <c r="C2257" i="11"/>
  <c r="B2257" i="11"/>
  <c r="A2257" i="11"/>
  <c r="D2257" i="11" s="1"/>
  <c r="E2255" i="11"/>
  <c r="B2252" i="11"/>
  <c r="A2252" i="11"/>
  <c r="D2252" i="11" s="1"/>
  <c r="D2248" i="11"/>
  <c r="A2248" i="11"/>
  <c r="C2248" i="11" s="1"/>
  <c r="D2244" i="11"/>
  <c r="C2244" i="11"/>
  <c r="A2244" i="11"/>
  <c r="B2244" i="11" s="1"/>
  <c r="D2240" i="11"/>
  <c r="C2240" i="11"/>
  <c r="B2240" i="11"/>
  <c r="A2240" i="11"/>
  <c r="F2238" i="11"/>
  <c r="D2236" i="11"/>
  <c r="C2236" i="11"/>
  <c r="B2236" i="11"/>
  <c r="A2236" i="11"/>
  <c r="F2234" i="11"/>
  <c r="C2232" i="11"/>
  <c r="A2232" i="11"/>
  <c r="D2232" i="11" s="1"/>
  <c r="F2230" i="11"/>
  <c r="J2230" i="11" s="1"/>
  <c r="J2228" i="11"/>
  <c r="D2228" i="11"/>
  <c r="B2228" i="11"/>
  <c r="A2228" i="11"/>
  <c r="C2228" i="11" s="1"/>
  <c r="J2226" i="11"/>
  <c r="F2225" i="11"/>
  <c r="G2226" i="11" s="1"/>
  <c r="A2223" i="11"/>
  <c r="D2219" i="11"/>
  <c r="B2219" i="11"/>
  <c r="A2219" i="11"/>
  <c r="C2219" i="11" s="1"/>
  <c r="D2215" i="11"/>
  <c r="A2215" i="11"/>
  <c r="B2215" i="11" s="1"/>
  <c r="F2213" i="11"/>
  <c r="B2209" i="11"/>
  <c r="A2209" i="11"/>
  <c r="D2209" i="11" s="1"/>
  <c r="H2206" i="11"/>
  <c r="H2213" i="11" s="1"/>
  <c r="J2213" i="11" s="1"/>
  <c r="G2206" i="11"/>
  <c r="C2203" i="11"/>
  <c r="B2203" i="11"/>
  <c r="A2203" i="11"/>
  <c r="D2203" i="11" s="1"/>
  <c r="A2202" i="11"/>
  <c r="C2202" i="11" s="1"/>
  <c r="F2200" i="11"/>
  <c r="J2200" i="11" s="1"/>
  <c r="J2198" i="11" s="1"/>
  <c r="D2198" i="11"/>
  <c r="C2198" i="11"/>
  <c r="B2198" i="11"/>
  <c r="A2198" i="11"/>
  <c r="F2196" i="11"/>
  <c r="J2196" i="11" s="1"/>
  <c r="J2194" i="11" s="1"/>
  <c r="C2194" i="11"/>
  <c r="A2194" i="11"/>
  <c r="D2194" i="11" s="1"/>
  <c r="F2192" i="11"/>
  <c r="J2192" i="11" s="1"/>
  <c r="J2190" i="11"/>
  <c r="B2190" i="11"/>
  <c r="A2190" i="11"/>
  <c r="C2190" i="11" s="1"/>
  <c r="J2188" i="11"/>
  <c r="D2185" i="11"/>
  <c r="B2185" i="11"/>
  <c r="A2185" i="11"/>
  <c r="C2185" i="11" s="1"/>
  <c r="A2180" i="11"/>
  <c r="I2178" i="11"/>
  <c r="J2178" i="11" s="1"/>
  <c r="J2176" i="11"/>
  <c r="I2182" i="11" s="1"/>
  <c r="J2182" i="11" s="1"/>
  <c r="J2180" i="11" s="1"/>
  <c r="I2320" i="11" s="1"/>
  <c r="D2176" i="11"/>
  <c r="B2176" i="11"/>
  <c r="A2176" i="11"/>
  <c r="C2176" i="11" s="1"/>
  <c r="D2172" i="11"/>
  <c r="A2172" i="11"/>
  <c r="B2172" i="11" s="1"/>
  <c r="D2168" i="11"/>
  <c r="C2168" i="11"/>
  <c r="B2168" i="11"/>
  <c r="A2168" i="11"/>
  <c r="J2166" i="11"/>
  <c r="D2162" i="11"/>
  <c r="C2162" i="11"/>
  <c r="B2162" i="11"/>
  <c r="A2162" i="11"/>
  <c r="J2160" i="11"/>
  <c r="I2158" i="11"/>
  <c r="J2158" i="11" s="1"/>
  <c r="D2156" i="11"/>
  <c r="C2156" i="11"/>
  <c r="B2156" i="11"/>
  <c r="A2156" i="11"/>
  <c r="C2152" i="11"/>
  <c r="A2152" i="11"/>
  <c r="D2152" i="11" s="1"/>
  <c r="D2148" i="11"/>
  <c r="B2148" i="11"/>
  <c r="A2148" i="11"/>
  <c r="C2148" i="11" s="1"/>
  <c r="J2146" i="11"/>
  <c r="J2144" i="11" s="1"/>
  <c r="D2144" i="11"/>
  <c r="A2144" i="11"/>
  <c r="B2144" i="11" s="1"/>
  <c r="G2142" i="11"/>
  <c r="D2140" i="11"/>
  <c r="A2140" i="11"/>
  <c r="B2140" i="11" s="1"/>
  <c r="G2138" i="11"/>
  <c r="F2138" i="11"/>
  <c r="F2142" i="11" s="1"/>
  <c r="F2146" i="11" s="1"/>
  <c r="C2136" i="11"/>
  <c r="A2136" i="11"/>
  <c r="B2136" i="11" s="1"/>
  <c r="C2135" i="11"/>
  <c r="A2135" i="11"/>
  <c r="B2131" i="11"/>
  <c r="A2131" i="11"/>
  <c r="C2131" i="11" s="1"/>
  <c r="D2127" i="11"/>
  <c r="C2127" i="11"/>
  <c r="A2127" i="11"/>
  <c r="B2127" i="11" s="1"/>
  <c r="J2125" i="11"/>
  <c r="J2123" i="11" s="1"/>
  <c r="I2129" i="11" s="1"/>
  <c r="J2129" i="11" s="1"/>
  <c r="J2127" i="11" s="1"/>
  <c r="I2133" i="11" s="1"/>
  <c r="J2133" i="11" s="1"/>
  <c r="J2131" i="11" s="1"/>
  <c r="I2125" i="11"/>
  <c r="D2123" i="11"/>
  <c r="C2123" i="11"/>
  <c r="B2123" i="11"/>
  <c r="A2123" i="11"/>
  <c r="A2122" i="11"/>
  <c r="C2122" i="11" s="1"/>
  <c r="F2120" i="11"/>
  <c r="J2120" i="11" s="1"/>
  <c r="J2118" i="11" s="1"/>
  <c r="A2118" i="11"/>
  <c r="A2117" i="11"/>
  <c r="C2117" i="11" s="1"/>
  <c r="I2113" i="11"/>
  <c r="J2113" i="11" s="1"/>
  <c r="J2111" i="11" s="1"/>
  <c r="E2113" i="11"/>
  <c r="C2111" i="11"/>
  <c r="B2111" i="11"/>
  <c r="A2111" i="11"/>
  <c r="D2111" i="11" s="1"/>
  <c r="J2107" i="11"/>
  <c r="J2105" i="11" s="1"/>
  <c r="I2107" i="11"/>
  <c r="E2107" i="11"/>
  <c r="A2105" i="11"/>
  <c r="A2104" i="11"/>
  <c r="C2104" i="11" s="1"/>
  <c r="J2102" i="11"/>
  <c r="J2100" i="11"/>
  <c r="A2100" i="11"/>
  <c r="D2100" i="11" s="1"/>
  <c r="J2098" i="11"/>
  <c r="J2096" i="11" s="1"/>
  <c r="D2096" i="11"/>
  <c r="A2096" i="11"/>
  <c r="B2096" i="11" s="1"/>
  <c r="A2095" i="11"/>
  <c r="C2095" i="11" s="1"/>
  <c r="A2094" i="11"/>
  <c r="B2094" i="11" s="1"/>
  <c r="C2090" i="11"/>
  <c r="A2090" i="11"/>
  <c r="D2090" i="11" s="1"/>
  <c r="C2086" i="11"/>
  <c r="A2086" i="11"/>
  <c r="D2086" i="11" s="1"/>
  <c r="D2082" i="11"/>
  <c r="A2082" i="11"/>
  <c r="C2082" i="11" s="1"/>
  <c r="A2078" i="11"/>
  <c r="D2074" i="11"/>
  <c r="C2074" i="11"/>
  <c r="B2074" i="11"/>
  <c r="A2074" i="11"/>
  <c r="C2070" i="11"/>
  <c r="A2070" i="11"/>
  <c r="D2070" i="11" s="1"/>
  <c r="C2066" i="11"/>
  <c r="A2066" i="11"/>
  <c r="D2066" i="11" s="1"/>
  <c r="C2062" i="11"/>
  <c r="A2062" i="11"/>
  <c r="I2060" i="11"/>
  <c r="I2064" i="11" s="1"/>
  <c r="J2064" i="11" s="1"/>
  <c r="J2062" i="11" s="1"/>
  <c r="A2058" i="11"/>
  <c r="A2057" i="11"/>
  <c r="C2057" i="11" s="1"/>
  <c r="J2055" i="11"/>
  <c r="J2053" i="11" s="1"/>
  <c r="D2053" i="11"/>
  <c r="A2053" i="11"/>
  <c r="C2053" i="11" s="1"/>
  <c r="C2052" i="11"/>
  <c r="A2052" i="11"/>
  <c r="J2050" i="11"/>
  <c r="J2048" i="11" s="1"/>
  <c r="C2048" i="11"/>
  <c r="A2048" i="11"/>
  <c r="D2048" i="11" s="1"/>
  <c r="J2046" i="11"/>
  <c r="J2044" i="11"/>
  <c r="B2044" i="11"/>
  <c r="A2044" i="11"/>
  <c r="C2044" i="11" s="1"/>
  <c r="J2042" i="11"/>
  <c r="J2040" i="11" s="1"/>
  <c r="D2040" i="11"/>
  <c r="C2040" i="11"/>
  <c r="B2040" i="11"/>
  <c r="A2040" i="11"/>
  <c r="J2038" i="11"/>
  <c r="J2036" i="11" s="1"/>
  <c r="D2036" i="11"/>
  <c r="A2036" i="11"/>
  <c r="C2036" i="11" s="1"/>
  <c r="J2034" i="11"/>
  <c r="H2034" i="11"/>
  <c r="J2033" i="11"/>
  <c r="H2033" i="11"/>
  <c r="J2032" i="11"/>
  <c r="H2032" i="11"/>
  <c r="J2031" i="11"/>
  <c r="D2029" i="11"/>
  <c r="A2029" i="11"/>
  <c r="A2028" i="11"/>
  <c r="C2028" i="11" s="1"/>
  <c r="J2026" i="11"/>
  <c r="J2024" i="11"/>
  <c r="D2024" i="11"/>
  <c r="B2024" i="11"/>
  <c r="A2024" i="11"/>
  <c r="C2024" i="11" s="1"/>
  <c r="A2020" i="11"/>
  <c r="B2020" i="11" s="1"/>
  <c r="E2018" i="11"/>
  <c r="D2015" i="11"/>
  <c r="A2015" i="11"/>
  <c r="B2015" i="11" s="1"/>
  <c r="D2011" i="11"/>
  <c r="C2011" i="11"/>
  <c r="B2011" i="11"/>
  <c r="A2011" i="11"/>
  <c r="A2007" i="11"/>
  <c r="C2003" i="11"/>
  <c r="A2003" i="11"/>
  <c r="F2001" i="11"/>
  <c r="J2001" i="11" s="1"/>
  <c r="J1999" i="11" s="1"/>
  <c r="I2092" i="11" s="1"/>
  <c r="J2092" i="11" s="1"/>
  <c r="J2090" i="11" s="1"/>
  <c r="D1999" i="11"/>
  <c r="C1999" i="11"/>
  <c r="B1999" i="11"/>
  <c r="A1999" i="11"/>
  <c r="J1997" i="11"/>
  <c r="J1995" i="11" s="1"/>
  <c r="F1997" i="11"/>
  <c r="H2001" i="11" s="1"/>
  <c r="F2005" i="11" s="1"/>
  <c r="J2005" i="11" s="1"/>
  <c r="J2003" i="11" s="1"/>
  <c r="A1995" i="11"/>
  <c r="F1993" i="11"/>
  <c r="J1993" i="11" s="1"/>
  <c r="J1991" i="11" s="1"/>
  <c r="C1991" i="11"/>
  <c r="A1991" i="11"/>
  <c r="D1991" i="11" s="1"/>
  <c r="G1989" i="11"/>
  <c r="J1989" i="11" s="1"/>
  <c r="J1986" i="11" s="1"/>
  <c r="J1988" i="11"/>
  <c r="F1988" i="11"/>
  <c r="D1986" i="11"/>
  <c r="A1986" i="11"/>
  <c r="C1986" i="11" s="1"/>
  <c r="D1982" i="11"/>
  <c r="C1982" i="11"/>
  <c r="B1982" i="11"/>
  <c r="A1982" i="11"/>
  <c r="B1978" i="11"/>
  <c r="A1978" i="11"/>
  <c r="D1978" i="11" s="1"/>
  <c r="F1976" i="11"/>
  <c r="A1972" i="11"/>
  <c r="H1969" i="11"/>
  <c r="H1976" i="11" s="1"/>
  <c r="J1976" i="11" s="1"/>
  <c r="G1969" i="11"/>
  <c r="C1966" i="11"/>
  <c r="A1966" i="11"/>
  <c r="A1965" i="11"/>
  <c r="C1965" i="11" s="1"/>
  <c r="J1963" i="11"/>
  <c r="J1961" i="11"/>
  <c r="C1961" i="11"/>
  <c r="A1961" i="11"/>
  <c r="J1959" i="11"/>
  <c r="J1957" i="11"/>
  <c r="C1957" i="11"/>
  <c r="B1957" i="11"/>
  <c r="A1957" i="11"/>
  <c r="D1957" i="11" s="1"/>
  <c r="J1955" i="11"/>
  <c r="J1953" i="11" s="1"/>
  <c r="F1955" i="11"/>
  <c r="F1951" i="11" s="1"/>
  <c r="J1951" i="11" s="1"/>
  <c r="J1949" i="11" s="1"/>
  <c r="A1953" i="11"/>
  <c r="D1949" i="11"/>
  <c r="C1949" i="11"/>
  <c r="A1949" i="11"/>
  <c r="B1949" i="11" s="1"/>
  <c r="F1947" i="11"/>
  <c r="J1947" i="11" s="1"/>
  <c r="J1945" i="11" s="1"/>
  <c r="D1945" i="11"/>
  <c r="C1945" i="11"/>
  <c r="B1945" i="11"/>
  <c r="A1945" i="11"/>
  <c r="F1943" i="11"/>
  <c r="J1943" i="11" s="1"/>
  <c r="J1941" i="11"/>
  <c r="D1941" i="11"/>
  <c r="B1941" i="11"/>
  <c r="A1941" i="11"/>
  <c r="C1941" i="11" s="1"/>
  <c r="F1939" i="11"/>
  <c r="J1939" i="11" s="1"/>
  <c r="J1936" i="11" s="1"/>
  <c r="F1938" i="11"/>
  <c r="J1938" i="11" s="1"/>
  <c r="D1936" i="11"/>
  <c r="C1936" i="11"/>
  <c r="B1936" i="11"/>
  <c r="A1936" i="11"/>
  <c r="J1934" i="11"/>
  <c r="I1934" i="11"/>
  <c r="C1931" i="11"/>
  <c r="A1931" i="11"/>
  <c r="B1931" i="11" s="1"/>
  <c r="J1929" i="11"/>
  <c r="J1927" i="11" s="1"/>
  <c r="I1933" i="11" s="1"/>
  <c r="J1933" i="11" s="1"/>
  <c r="J1931" i="11" s="1"/>
  <c r="I2088" i="11" s="1"/>
  <c r="J2088" i="11" s="1"/>
  <c r="J2086" i="11" s="1"/>
  <c r="D1927" i="11"/>
  <c r="C1927" i="11"/>
  <c r="B1927" i="11"/>
  <c r="A1927" i="11"/>
  <c r="A1923" i="11"/>
  <c r="D1919" i="11"/>
  <c r="C1919" i="11"/>
  <c r="B1919" i="11"/>
  <c r="A1919" i="11"/>
  <c r="F1917" i="11"/>
  <c r="J1917" i="11" s="1"/>
  <c r="I1915" i="11"/>
  <c r="J1915" i="11" s="1"/>
  <c r="D1913" i="11"/>
  <c r="C1913" i="11"/>
  <c r="B1913" i="11"/>
  <c r="A1913" i="11"/>
  <c r="J1911" i="11"/>
  <c r="I1909" i="11"/>
  <c r="J1909" i="11" s="1"/>
  <c r="J1907" i="11"/>
  <c r="I2084" i="11" s="1"/>
  <c r="J2084" i="11" s="1"/>
  <c r="J2082" i="11" s="1"/>
  <c r="A1907" i="11"/>
  <c r="D1903" i="11"/>
  <c r="C1903" i="11"/>
  <c r="A1903" i="11"/>
  <c r="B1903" i="11" s="1"/>
  <c r="D1899" i="11"/>
  <c r="C1899" i="11"/>
  <c r="B1899" i="11"/>
  <c r="A1899" i="11"/>
  <c r="G1897" i="11"/>
  <c r="D1895" i="11"/>
  <c r="C1895" i="11"/>
  <c r="B1895" i="11"/>
  <c r="A1895" i="11"/>
  <c r="G1893" i="11"/>
  <c r="D1891" i="11"/>
  <c r="C1891" i="11"/>
  <c r="B1891" i="11"/>
  <c r="A1891" i="11"/>
  <c r="G1889" i="11"/>
  <c r="F1889" i="11"/>
  <c r="J1889" i="11" s="1"/>
  <c r="J1887" i="11" s="1"/>
  <c r="D1887" i="11"/>
  <c r="C1887" i="11"/>
  <c r="B1887" i="11"/>
  <c r="A1887" i="11"/>
  <c r="G1885" i="11"/>
  <c r="F1885" i="11"/>
  <c r="D1883" i="11"/>
  <c r="C1883" i="11"/>
  <c r="B1883" i="11"/>
  <c r="A1883" i="11"/>
  <c r="C1882" i="11"/>
  <c r="A1882" i="11"/>
  <c r="D1878" i="11"/>
  <c r="C1878" i="11"/>
  <c r="A1878" i="11"/>
  <c r="B1878" i="11" s="1"/>
  <c r="D1874" i="11"/>
  <c r="C1874" i="11"/>
  <c r="B1874" i="11"/>
  <c r="A1874" i="11"/>
  <c r="J1872" i="11"/>
  <c r="J1870" i="11" s="1"/>
  <c r="I1876" i="11" s="1"/>
  <c r="J1876" i="11" s="1"/>
  <c r="J1874" i="11" s="1"/>
  <c r="I1880" i="11" s="1"/>
  <c r="J1880" i="11" s="1"/>
  <c r="J1878" i="11" s="1"/>
  <c r="I1872" i="11"/>
  <c r="C1870" i="11"/>
  <c r="A1870" i="11"/>
  <c r="D1870" i="11" s="1"/>
  <c r="A1869" i="11"/>
  <c r="C1869" i="11" s="1"/>
  <c r="D1865" i="11"/>
  <c r="C1865" i="11"/>
  <c r="B1865" i="11"/>
  <c r="A1865" i="11"/>
  <c r="D1859" i="11"/>
  <c r="C1859" i="11"/>
  <c r="A1859" i="11"/>
  <c r="B1859" i="11" s="1"/>
  <c r="J1857" i="11"/>
  <c r="J1855" i="11"/>
  <c r="F1863" i="11" s="1"/>
  <c r="J1863" i="11" s="1"/>
  <c r="B1855" i="11"/>
  <c r="A1855" i="11"/>
  <c r="D1855" i="11" s="1"/>
  <c r="J1853" i="11"/>
  <c r="J1851" i="11"/>
  <c r="I1861" i="11" s="1"/>
  <c r="J1861" i="11" s="1"/>
  <c r="J1859" i="11" s="1"/>
  <c r="I1867" i="11" s="1"/>
  <c r="J1867" i="11" s="1"/>
  <c r="J1865" i="11" s="1"/>
  <c r="C1851" i="11"/>
  <c r="A1851" i="11"/>
  <c r="J1849" i="11"/>
  <c r="J1847" i="11" s="1"/>
  <c r="F1849" i="11"/>
  <c r="D1847" i="11"/>
  <c r="C1847" i="11"/>
  <c r="B1847" i="11"/>
  <c r="A1847" i="11"/>
  <c r="C1846" i="11"/>
  <c r="A1846" i="11"/>
  <c r="J1842" i="11"/>
  <c r="J1840" i="11" s="1"/>
  <c r="I1842" i="11"/>
  <c r="E1842" i="11"/>
  <c r="A1840" i="11"/>
  <c r="J1836" i="11"/>
  <c r="J1834" i="11" s="1"/>
  <c r="I1836" i="11"/>
  <c r="E1836" i="11"/>
  <c r="B1834" i="11"/>
  <c r="A1834" i="11"/>
  <c r="C1834" i="11" s="1"/>
  <c r="C1833" i="11"/>
  <c r="A1833" i="11"/>
  <c r="J1831" i="11"/>
  <c r="J1829" i="11" s="1"/>
  <c r="D1829" i="11"/>
  <c r="B1829" i="11"/>
  <c r="A1829" i="11"/>
  <c r="C1829" i="11" s="1"/>
  <c r="J1827" i="11"/>
  <c r="J1825" i="11" s="1"/>
  <c r="D1825" i="11"/>
  <c r="C1825" i="11"/>
  <c r="B1825" i="11"/>
  <c r="A1825" i="11"/>
  <c r="A1824" i="11"/>
  <c r="C1824" i="11" s="1"/>
  <c r="B1823" i="11"/>
  <c r="A1823" i="11"/>
  <c r="C1819" i="11"/>
  <c r="A1819" i="11"/>
  <c r="D1819" i="11" s="1"/>
  <c r="B1815" i="11"/>
  <c r="A1815" i="11"/>
  <c r="D1811" i="11"/>
  <c r="A1811" i="11"/>
  <c r="B1811" i="11" s="1"/>
  <c r="D1807" i="11"/>
  <c r="C1807" i="11"/>
  <c r="B1807" i="11"/>
  <c r="A1807" i="11"/>
  <c r="C1803" i="11"/>
  <c r="B1803" i="11"/>
  <c r="A1803" i="11"/>
  <c r="D1803" i="11" s="1"/>
  <c r="B1799" i="11"/>
  <c r="A1799" i="11"/>
  <c r="C1799" i="11" s="1"/>
  <c r="D1795" i="11"/>
  <c r="A1795" i="11"/>
  <c r="B1795" i="11" s="1"/>
  <c r="D1791" i="11"/>
  <c r="C1791" i="11"/>
  <c r="B1791" i="11"/>
  <c r="A1791" i="11"/>
  <c r="I1789" i="11"/>
  <c r="J1789" i="11" s="1"/>
  <c r="J1787" i="11" s="1"/>
  <c r="A1787" i="11"/>
  <c r="A1786" i="11"/>
  <c r="C1786" i="11" s="1"/>
  <c r="J1784" i="11"/>
  <c r="J1783" i="11"/>
  <c r="D1781" i="11"/>
  <c r="C1781" i="11"/>
  <c r="B1781" i="11"/>
  <c r="A1781" i="11"/>
  <c r="A1780" i="11"/>
  <c r="C1780" i="11" s="1"/>
  <c r="J1778" i="11"/>
  <c r="J1776" i="11" s="1"/>
  <c r="D1776" i="11"/>
  <c r="C1776" i="11"/>
  <c r="B1776" i="11"/>
  <c r="A1776" i="11"/>
  <c r="J1774" i="11"/>
  <c r="J1772" i="11"/>
  <c r="D1772" i="11"/>
  <c r="B1772" i="11"/>
  <c r="A1772" i="11"/>
  <c r="C1772" i="11" s="1"/>
  <c r="J1770" i="11"/>
  <c r="J1768" i="11" s="1"/>
  <c r="D1768" i="11"/>
  <c r="C1768" i="11"/>
  <c r="B1768" i="11"/>
  <c r="A1768" i="11"/>
  <c r="J1766" i="11"/>
  <c r="J1764" i="11" s="1"/>
  <c r="B1764" i="11"/>
  <c r="A1764" i="11"/>
  <c r="C1764" i="11" s="1"/>
  <c r="J1762" i="11"/>
  <c r="H1762" i="11"/>
  <c r="H1761" i="11"/>
  <c r="J1761" i="11" s="1"/>
  <c r="J1760" i="11"/>
  <c r="D1758" i="11"/>
  <c r="C1758" i="11"/>
  <c r="B1758" i="11"/>
  <c r="A1758" i="11"/>
  <c r="H1756" i="11"/>
  <c r="J1756" i="11" s="1"/>
  <c r="J1754" i="11"/>
  <c r="C1754" i="11"/>
  <c r="A1754" i="11"/>
  <c r="D1754" i="11" s="1"/>
  <c r="A1753" i="11"/>
  <c r="C1753" i="11" s="1"/>
  <c r="D1750" i="11"/>
  <c r="C1750" i="11"/>
  <c r="B1750" i="11"/>
  <c r="A1750" i="11"/>
  <c r="E1748" i="11"/>
  <c r="D1745" i="11"/>
  <c r="C1745" i="11"/>
  <c r="B1745" i="11"/>
  <c r="A1745" i="11"/>
  <c r="A1741" i="11"/>
  <c r="B1737" i="11"/>
  <c r="A1737" i="11"/>
  <c r="C1737" i="11" s="1"/>
  <c r="D1733" i="11"/>
  <c r="C1733" i="11"/>
  <c r="A1733" i="11"/>
  <c r="B1733" i="11" s="1"/>
  <c r="H1731" i="11"/>
  <c r="F1735" i="11" s="1"/>
  <c r="J1735" i="11" s="1"/>
  <c r="J1733" i="11" s="1"/>
  <c r="F1731" i="11"/>
  <c r="C1729" i="11"/>
  <c r="A1729" i="11"/>
  <c r="J1727" i="11"/>
  <c r="J1725" i="11" s="1"/>
  <c r="F1727" i="11"/>
  <c r="D1725" i="11"/>
  <c r="C1725" i="11"/>
  <c r="B1725" i="11"/>
  <c r="A1725" i="11"/>
  <c r="J1723" i="11"/>
  <c r="J1721" i="11" s="1"/>
  <c r="F1723" i="11"/>
  <c r="B1721" i="11"/>
  <c r="A1721" i="11"/>
  <c r="D1721" i="11" s="1"/>
  <c r="G1719" i="11"/>
  <c r="J1719" i="11" s="1"/>
  <c r="J1718" i="11"/>
  <c r="J1716" i="11"/>
  <c r="C1716" i="11"/>
  <c r="B1716" i="11"/>
  <c r="A1716" i="11"/>
  <c r="D1716" i="11" s="1"/>
  <c r="A1715" i="11"/>
  <c r="C1715" i="11" s="1"/>
  <c r="F1713" i="11"/>
  <c r="J1713" i="11" s="1"/>
  <c r="F1712" i="11"/>
  <c r="J1712" i="11" s="1"/>
  <c r="J1710" i="11"/>
  <c r="D1710" i="11"/>
  <c r="B1710" i="11"/>
  <c r="A1710" i="11"/>
  <c r="C1710" i="11" s="1"/>
  <c r="C1705" i="11"/>
  <c r="B1705" i="11"/>
  <c r="A1705" i="11"/>
  <c r="D1705" i="11" s="1"/>
  <c r="I1703" i="11"/>
  <c r="J1703" i="11" s="1"/>
  <c r="J1701" i="11"/>
  <c r="I1707" i="11" s="1"/>
  <c r="J1707" i="11" s="1"/>
  <c r="D1701" i="11"/>
  <c r="B1701" i="11"/>
  <c r="A1701" i="11"/>
  <c r="C1701" i="11" s="1"/>
  <c r="D1697" i="11"/>
  <c r="A1697" i="11"/>
  <c r="B1697" i="11" s="1"/>
  <c r="D1693" i="11"/>
  <c r="C1693" i="11"/>
  <c r="B1693" i="11"/>
  <c r="A1693" i="11"/>
  <c r="F1691" i="11"/>
  <c r="J1691" i="11" s="1"/>
  <c r="A1687" i="11"/>
  <c r="J1685" i="11"/>
  <c r="J1683" i="11"/>
  <c r="D1681" i="11"/>
  <c r="C1681" i="11"/>
  <c r="B1681" i="11"/>
  <c r="A1681" i="11"/>
  <c r="B1677" i="11"/>
  <c r="A1677" i="11"/>
  <c r="D1677" i="11" s="1"/>
  <c r="D1673" i="11"/>
  <c r="B1673" i="11"/>
  <c r="A1673" i="11"/>
  <c r="C1673" i="11" s="1"/>
  <c r="G1671" i="11"/>
  <c r="A1669" i="11"/>
  <c r="G1667" i="11"/>
  <c r="A1665" i="11"/>
  <c r="G1663" i="11"/>
  <c r="D1661" i="11"/>
  <c r="B1661" i="11"/>
  <c r="A1661" i="11"/>
  <c r="C1661" i="11" s="1"/>
  <c r="J1659" i="11"/>
  <c r="J1657" i="11" s="1"/>
  <c r="G1659" i="11"/>
  <c r="F1659" i="11"/>
  <c r="F1663" i="11" s="1"/>
  <c r="J1663" i="11" s="1"/>
  <c r="J1661" i="11" s="1"/>
  <c r="D1657" i="11"/>
  <c r="A1657" i="11"/>
  <c r="C1657" i="11" s="1"/>
  <c r="C1656" i="11"/>
  <c r="A1656" i="11"/>
  <c r="J1654" i="11"/>
  <c r="J1652" i="11" s="1"/>
  <c r="I1654" i="11"/>
  <c r="C1652" i="11"/>
  <c r="A1652" i="11"/>
  <c r="D1652" i="11" s="1"/>
  <c r="J1648" i="11"/>
  <c r="D1648" i="11"/>
  <c r="B1648" i="11"/>
  <c r="A1648" i="11"/>
  <c r="C1648" i="11" s="1"/>
  <c r="J1646" i="11"/>
  <c r="J1644" i="11" s="1"/>
  <c r="I1650" i="11" s="1"/>
  <c r="J1650" i="11" s="1"/>
  <c r="I1646" i="11"/>
  <c r="A1644" i="11"/>
  <c r="J1642" i="11"/>
  <c r="J1640" i="11" s="1"/>
  <c r="I1642" i="11"/>
  <c r="D1640" i="11"/>
  <c r="C1640" i="11"/>
  <c r="B1640" i="11"/>
  <c r="A1640" i="11"/>
  <c r="A1639" i="11"/>
  <c r="C1639" i="11" s="1"/>
  <c r="D1635" i="11"/>
  <c r="A1635" i="11"/>
  <c r="B1635" i="11" s="1"/>
  <c r="I1633" i="11"/>
  <c r="J1633" i="11" s="1"/>
  <c r="J1631" i="11" s="1"/>
  <c r="I1637" i="11" s="1"/>
  <c r="J1637" i="11" s="1"/>
  <c r="J1635" i="11" s="1"/>
  <c r="D1631" i="11"/>
  <c r="C1631" i="11"/>
  <c r="B1631" i="11"/>
  <c r="A1631" i="11"/>
  <c r="J1629" i="11"/>
  <c r="J1627" i="11"/>
  <c r="B1627" i="11"/>
  <c r="A1627" i="11"/>
  <c r="J1625" i="11"/>
  <c r="J1623" i="11" s="1"/>
  <c r="F1625" i="11"/>
  <c r="D1623" i="11"/>
  <c r="C1623" i="11"/>
  <c r="A1623" i="11"/>
  <c r="B1623" i="11" s="1"/>
  <c r="C1622" i="11"/>
  <c r="A1622" i="11"/>
  <c r="I1618" i="11"/>
  <c r="E1618" i="11"/>
  <c r="C1616" i="11"/>
  <c r="B1616" i="11"/>
  <c r="A1616" i="11"/>
  <c r="D1616" i="11" s="1"/>
  <c r="I1612" i="11"/>
  <c r="E1612" i="11"/>
  <c r="J1612" i="11" s="1"/>
  <c r="J1610" i="11" s="1"/>
  <c r="B1610" i="11"/>
  <c r="A1610" i="11"/>
  <c r="D1610" i="11" s="1"/>
  <c r="A1609" i="11"/>
  <c r="C1609" i="11" s="1"/>
  <c r="J1607" i="11"/>
  <c r="J1605" i="11"/>
  <c r="C1605" i="11"/>
  <c r="B1605" i="11"/>
  <c r="A1605" i="11"/>
  <c r="D1605" i="11" s="1"/>
  <c r="J1603" i="11"/>
  <c r="J1601" i="11"/>
  <c r="A1601" i="11"/>
  <c r="C1600" i="11"/>
  <c r="A1600" i="11"/>
  <c r="A1599" i="11"/>
  <c r="B1599" i="11" s="1"/>
  <c r="D1595" i="11"/>
  <c r="C1595" i="11"/>
  <c r="B1595" i="11"/>
  <c r="A1595" i="11"/>
  <c r="C1591" i="11"/>
  <c r="B1591" i="11"/>
  <c r="A1591" i="11"/>
  <c r="D1591" i="11" s="1"/>
  <c r="D1587" i="11"/>
  <c r="A1587" i="11"/>
  <c r="C1587" i="11" s="1"/>
  <c r="C1583" i="11"/>
  <c r="A1583" i="11"/>
  <c r="D1579" i="11"/>
  <c r="C1579" i="11"/>
  <c r="B1579" i="11"/>
  <c r="A1579" i="11"/>
  <c r="B1575" i="11"/>
  <c r="A1575" i="11"/>
  <c r="D1575" i="11" s="1"/>
  <c r="I1573" i="11"/>
  <c r="J1573" i="11" s="1"/>
  <c r="J1571" i="11" s="1"/>
  <c r="D1571" i="11"/>
  <c r="B1571" i="11"/>
  <c r="A1571" i="11"/>
  <c r="C1571" i="11" s="1"/>
  <c r="J1569" i="11"/>
  <c r="I1569" i="11"/>
  <c r="J1567" i="11"/>
  <c r="A1567" i="11"/>
  <c r="C1566" i="11"/>
  <c r="A1566" i="11"/>
  <c r="J1564" i="11"/>
  <c r="J1563" i="11"/>
  <c r="J1561" i="11" s="1"/>
  <c r="I1515" i="11" s="1"/>
  <c r="J1515" i="11" s="1"/>
  <c r="A1561" i="11"/>
  <c r="C1560" i="11"/>
  <c r="A1560" i="11"/>
  <c r="J1558" i="11"/>
  <c r="J1556" i="11"/>
  <c r="D1556" i="11"/>
  <c r="B1556" i="11"/>
  <c r="A1556" i="11"/>
  <c r="C1556" i="11" s="1"/>
  <c r="J1554" i="11"/>
  <c r="J1552" i="11" s="1"/>
  <c r="D1552" i="11"/>
  <c r="C1552" i="11"/>
  <c r="B1552" i="11"/>
  <c r="A1552" i="11"/>
  <c r="J1550" i="11"/>
  <c r="J1548" i="11"/>
  <c r="B1548" i="11"/>
  <c r="A1548" i="11"/>
  <c r="J1546" i="11"/>
  <c r="J1544" i="11" s="1"/>
  <c r="D1544" i="11"/>
  <c r="C1544" i="11"/>
  <c r="B1544" i="11"/>
  <c r="A1544" i="11"/>
  <c r="H1542" i="11"/>
  <c r="J1542" i="11" s="1"/>
  <c r="J1541" i="11"/>
  <c r="J1539" i="11" s="1"/>
  <c r="D1539" i="11"/>
  <c r="C1539" i="11"/>
  <c r="B1539" i="11"/>
  <c r="A1539" i="11"/>
  <c r="J1537" i="11"/>
  <c r="H1537" i="11"/>
  <c r="J1535" i="11"/>
  <c r="C1535" i="11"/>
  <c r="B1535" i="11"/>
  <c r="A1535" i="11"/>
  <c r="D1535" i="11" s="1"/>
  <c r="A1534" i="11"/>
  <c r="C1534" i="11" s="1"/>
  <c r="F1532" i="11"/>
  <c r="J1532" i="11" s="1"/>
  <c r="J1530" i="11" s="1"/>
  <c r="D1530" i="11"/>
  <c r="C1530" i="11"/>
  <c r="B1530" i="11"/>
  <c r="A1530" i="11"/>
  <c r="F1528" i="11"/>
  <c r="J1528" i="11" s="1"/>
  <c r="J1526" i="11" s="1"/>
  <c r="A1526" i="11"/>
  <c r="F1524" i="11"/>
  <c r="J1524" i="11" s="1"/>
  <c r="J1522" i="11" s="1"/>
  <c r="B1522" i="11"/>
  <c r="A1522" i="11"/>
  <c r="C1522" i="11" s="1"/>
  <c r="J1520" i="11"/>
  <c r="F1520" i="11"/>
  <c r="J1519" i="11"/>
  <c r="J1517" i="11" s="1"/>
  <c r="F1519" i="11"/>
  <c r="B1517" i="11"/>
  <c r="A1517" i="11"/>
  <c r="D1517" i="11" s="1"/>
  <c r="I1514" i="11"/>
  <c r="J1514" i="11" s="1"/>
  <c r="D1512" i="11"/>
  <c r="C1512" i="11"/>
  <c r="B1512" i="11"/>
  <c r="A1512" i="11"/>
  <c r="I1510" i="11"/>
  <c r="J1510" i="11" s="1"/>
  <c r="J1508" i="11" s="1"/>
  <c r="A1508" i="11"/>
  <c r="D1508" i="11" s="1"/>
  <c r="D1504" i="11"/>
  <c r="B1504" i="11"/>
  <c r="A1504" i="11"/>
  <c r="C1504" i="11" s="1"/>
  <c r="A1500" i="11"/>
  <c r="D1496" i="11"/>
  <c r="C1496" i="11"/>
  <c r="B1496" i="11"/>
  <c r="A1496" i="11"/>
  <c r="I1494" i="11"/>
  <c r="J1494" i="11" s="1"/>
  <c r="J1492" i="11" s="1"/>
  <c r="A1492" i="11"/>
  <c r="B1488" i="11"/>
  <c r="A1488" i="11"/>
  <c r="C1488" i="11" s="1"/>
  <c r="D1484" i="11"/>
  <c r="C1484" i="11"/>
  <c r="A1484" i="11"/>
  <c r="B1484" i="11" s="1"/>
  <c r="D1480" i="11"/>
  <c r="C1480" i="11"/>
  <c r="B1480" i="11"/>
  <c r="A1480" i="11"/>
  <c r="G1478" i="11"/>
  <c r="D1476" i="11"/>
  <c r="C1476" i="11"/>
  <c r="B1476" i="11"/>
  <c r="A1476" i="11"/>
  <c r="G1474" i="11"/>
  <c r="F1474" i="11"/>
  <c r="D1472" i="11"/>
  <c r="C1472" i="11"/>
  <c r="B1472" i="11"/>
  <c r="A1472" i="11"/>
  <c r="G1470" i="11"/>
  <c r="F1470" i="11"/>
  <c r="D1468" i="11"/>
  <c r="C1468" i="11"/>
  <c r="B1468" i="11"/>
  <c r="A1468" i="11"/>
  <c r="C1467" i="11"/>
  <c r="A1467" i="11"/>
  <c r="A1463" i="11"/>
  <c r="D1459" i="11"/>
  <c r="C1459" i="11"/>
  <c r="B1459" i="11"/>
  <c r="A1459" i="11"/>
  <c r="I1457" i="11"/>
  <c r="J1457" i="11" s="1"/>
  <c r="J1455" i="11" s="1"/>
  <c r="I1461" i="11" s="1"/>
  <c r="J1461" i="11" s="1"/>
  <c r="J1459" i="11" s="1"/>
  <c r="I1465" i="11" s="1"/>
  <c r="J1465" i="11" s="1"/>
  <c r="J1463" i="11" s="1"/>
  <c r="A1455" i="11"/>
  <c r="A1454" i="11"/>
  <c r="C1454" i="11" s="1"/>
  <c r="D1450" i="11"/>
  <c r="C1450" i="11"/>
  <c r="B1450" i="11"/>
  <c r="A1450" i="11"/>
  <c r="J1448" i="11"/>
  <c r="I1448" i="11"/>
  <c r="J1446" i="11"/>
  <c r="I1452" i="11" s="1"/>
  <c r="J1452" i="11" s="1"/>
  <c r="J1450" i="11" s="1"/>
  <c r="B1446" i="11"/>
  <c r="A1446" i="11"/>
  <c r="D1446" i="11" s="1"/>
  <c r="J1444" i="11"/>
  <c r="J1442" i="11"/>
  <c r="C1442" i="11"/>
  <c r="A1442" i="11"/>
  <c r="B1442" i="11" s="1"/>
  <c r="F1440" i="11"/>
  <c r="J1440" i="11" s="1"/>
  <c r="J1438" i="11" s="1"/>
  <c r="D1438" i="11"/>
  <c r="C1438" i="11"/>
  <c r="B1438" i="11"/>
  <c r="A1438" i="11"/>
  <c r="A1437" i="11"/>
  <c r="C1437" i="11" s="1"/>
  <c r="I1433" i="11"/>
  <c r="E1433" i="11"/>
  <c r="J1433" i="11" s="1"/>
  <c r="J1431" i="11" s="1"/>
  <c r="B1431" i="11"/>
  <c r="A1431" i="11"/>
  <c r="J1427" i="11"/>
  <c r="J1425" i="11" s="1"/>
  <c r="I1427" i="11"/>
  <c r="E1427" i="11"/>
  <c r="A1425" i="11"/>
  <c r="C1424" i="11"/>
  <c r="A1424" i="11"/>
  <c r="J1422" i="11"/>
  <c r="J1420" i="11"/>
  <c r="D1420" i="11"/>
  <c r="B1420" i="11"/>
  <c r="A1420" i="11"/>
  <c r="C1420" i="11" s="1"/>
  <c r="J1418" i="11"/>
  <c r="J1416" i="11" s="1"/>
  <c r="D1416" i="11"/>
  <c r="C1416" i="11"/>
  <c r="B1416" i="11"/>
  <c r="A1416" i="11"/>
  <c r="C1415" i="11"/>
  <c r="A1415" i="11"/>
  <c r="A1414" i="11"/>
  <c r="B1414" i="11" s="1"/>
  <c r="C1410" i="11"/>
  <c r="B1410" i="11"/>
  <c r="A1410" i="11"/>
  <c r="D1410" i="11" s="1"/>
  <c r="D1406" i="11"/>
  <c r="B1406" i="11"/>
  <c r="A1406" i="11"/>
  <c r="C1406" i="11" s="1"/>
  <c r="J1403" i="11"/>
  <c r="J1401" i="11" s="1"/>
  <c r="A1401" i="11"/>
  <c r="D1397" i="11"/>
  <c r="C1397" i="11"/>
  <c r="B1397" i="11"/>
  <c r="A1397" i="11"/>
  <c r="I1395" i="11"/>
  <c r="J1395" i="11" s="1"/>
  <c r="J1393" i="11" s="1"/>
  <c r="C1393" i="11"/>
  <c r="A1393" i="11"/>
  <c r="I1391" i="11"/>
  <c r="J1391" i="11" s="1"/>
  <c r="J1389" i="11" s="1"/>
  <c r="B1389" i="11"/>
  <c r="A1389" i="11"/>
  <c r="C1388" i="11"/>
  <c r="A1388" i="11"/>
  <c r="J1386" i="11"/>
  <c r="J1384" i="11" s="1"/>
  <c r="A1384" i="11"/>
  <c r="J1382" i="11"/>
  <c r="J1380" i="11" s="1"/>
  <c r="D1380" i="11"/>
  <c r="C1380" i="11"/>
  <c r="B1380" i="11"/>
  <c r="A1380" i="11"/>
  <c r="J1378" i="11"/>
  <c r="J1376" i="11" s="1"/>
  <c r="D1376" i="11"/>
  <c r="A1376" i="11"/>
  <c r="C1376" i="11" s="1"/>
  <c r="J1374" i="11"/>
  <c r="H1374" i="11"/>
  <c r="J1373" i="11"/>
  <c r="J1371" i="11" s="1"/>
  <c r="B1371" i="11"/>
  <c r="A1371" i="11"/>
  <c r="J1369" i="11"/>
  <c r="J1367" i="11" s="1"/>
  <c r="H1369" i="11"/>
  <c r="D1367" i="11"/>
  <c r="C1367" i="11"/>
  <c r="A1367" i="11"/>
  <c r="B1367" i="11" s="1"/>
  <c r="C1366" i="11"/>
  <c r="A1366" i="11"/>
  <c r="A1362" i="11"/>
  <c r="C1362" i="11" s="1"/>
  <c r="E1360" i="11"/>
  <c r="D1358" i="11"/>
  <c r="A1358" i="11"/>
  <c r="A1354" i="11"/>
  <c r="D1350" i="11"/>
  <c r="C1350" i="11"/>
  <c r="B1350" i="11"/>
  <c r="A1350" i="11"/>
  <c r="A1346" i="11"/>
  <c r="H1344" i="11"/>
  <c r="F1348" i="11" s="1"/>
  <c r="J1348" i="11" s="1"/>
  <c r="J1346" i="11" s="1"/>
  <c r="F1344" i="11"/>
  <c r="C1342" i="11"/>
  <c r="B1342" i="11"/>
  <c r="A1342" i="11"/>
  <c r="D1342" i="11" s="1"/>
  <c r="F1340" i="11"/>
  <c r="J1340" i="11" s="1"/>
  <c r="J1338" i="11"/>
  <c r="D1338" i="11"/>
  <c r="A1338" i="11"/>
  <c r="J1336" i="11"/>
  <c r="F1336" i="11"/>
  <c r="F1335" i="11"/>
  <c r="J1335" i="11" s="1"/>
  <c r="J1333" i="11"/>
  <c r="A1333" i="11"/>
  <c r="F1331" i="11"/>
  <c r="J1331" i="11" s="1"/>
  <c r="J1329" i="11" s="1"/>
  <c r="B1329" i="11"/>
  <c r="A1329" i="11"/>
  <c r="F1326" i="11"/>
  <c r="J1324" i="11"/>
  <c r="H1324" i="11"/>
  <c r="F1324" i="11"/>
  <c r="D1322" i="11"/>
  <c r="B1322" i="11"/>
  <c r="A1322" i="11"/>
  <c r="C1322" i="11" s="1"/>
  <c r="D1318" i="11"/>
  <c r="B1318" i="11"/>
  <c r="A1318" i="11"/>
  <c r="C1318" i="11" s="1"/>
  <c r="D1314" i="11"/>
  <c r="C1314" i="11"/>
  <c r="B1314" i="11"/>
  <c r="A1314" i="11"/>
  <c r="F1312" i="11"/>
  <c r="A1309" i="11"/>
  <c r="B1309" i="11" s="1"/>
  <c r="H1307" i="11"/>
  <c r="J1307" i="11" s="1"/>
  <c r="J1305" i="11" s="1"/>
  <c r="G1307" i="11"/>
  <c r="D1305" i="11"/>
  <c r="A1305" i="11"/>
  <c r="B1305" i="11" s="1"/>
  <c r="J1303" i="11"/>
  <c r="J1301" i="11" s="1"/>
  <c r="H1303" i="11"/>
  <c r="D1301" i="11"/>
  <c r="C1301" i="11"/>
  <c r="B1301" i="11"/>
  <c r="A1301" i="11"/>
  <c r="A1300" i="11"/>
  <c r="C1300" i="11" s="1"/>
  <c r="J1298" i="11"/>
  <c r="F1298" i="11"/>
  <c r="J1297" i="11"/>
  <c r="J1295" i="11" s="1"/>
  <c r="F1297" i="11"/>
  <c r="C1295" i="11"/>
  <c r="A1295" i="11"/>
  <c r="D1295" i="11" s="1"/>
  <c r="I1293" i="11"/>
  <c r="J1293" i="11" s="1"/>
  <c r="I1403" i="11" s="1"/>
  <c r="J1292" i="11"/>
  <c r="J1290" i="11"/>
  <c r="I1290" i="11"/>
  <c r="D1288" i="11"/>
  <c r="A1288" i="11"/>
  <c r="B1288" i="11" s="1"/>
  <c r="D1284" i="11"/>
  <c r="C1284" i="11"/>
  <c r="B1284" i="11"/>
  <c r="A1284" i="11"/>
  <c r="B1280" i="11"/>
  <c r="A1280" i="11"/>
  <c r="J1278" i="11"/>
  <c r="J1277" i="11"/>
  <c r="J1274" i="11" s="1"/>
  <c r="I1277" i="11"/>
  <c r="J1276" i="11"/>
  <c r="I1276" i="11"/>
  <c r="D1274" i="11"/>
  <c r="C1274" i="11"/>
  <c r="A1274" i="11"/>
  <c r="B1274" i="11" s="1"/>
  <c r="J1272" i="11"/>
  <c r="J1271" i="11"/>
  <c r="D1269" i="11"/>
  <c r="C1269" i="11"/>
  <c r="B1269" i="11"/>
  <c r="A1269" i="11"/>
  <c r="C1268" i="11"/>
  <c r="A1268" i="11"/>
  <c r="J1266" i="11"/>
  <c r="J1264" i="11" s="1"/>
  <c r="I1266" i="11"/>
  <c r="A1264" i="11"/>
  <c r="D1260" i="11"/>
  <c r="C1260" i="11"/>
  <c r="B1260" i="11"/>
  <c r="A1260" i="11"/>
  <c r="I1258" i="11"/>
  <c r="J1258" i="11" s="1"/>
  <c r="J1256" i="11" s="1"/>
  <c r="I1262" i="11" s="1"/>
  <c r="J1262" i="11" s="1"/>
  <c r="J1260" i="11" s="1"/>
  <c r="C1256" i="11"/>
  <c r="B1256" i="11"/>
  <c r="A1256" i="11"/>
  <c r="D1256" i="11" s="1"/>
  <c r="I1254" i="11"/>
  <c r="J1254" i="11" s="1"/>
  <c r="J1252" i="11"/>
  <c r="B1252" i="11"/>
  <c r="A1252" i="11"/>
  <c r="C1251" i="11"/>
  <c r="A1251" i="11"/>
  <c r="A1247" i="11"/>
  <c r="I1245" i="11"/>
  <c r="J1245" i="11" s="1"/>
  <c r="J1243" i="11" s="1"/>
  <c r="I1249" i="11" s="1"/>
  <c r="J1249" i="11" s="1"/>
  <c r="J1247" i="11" s="1"/>
  <c r="A1243" i="11"/>
  <c r="C1243" i="11" s="1"/>
  <c r="J1241" i="11"/>
  <c r="J1239" i="11" s="1"/>
  <c r="D1239" i="11"/>
  <c r="C1239" i="11"/>
  <c r="B1239" i="11"/>
  <c r="A1239" i="11"/>
  <c r="F1237" i="11"/>
  <c r="J1237" i="11" s="1"/>
  <c r="J1235" i="11" s="1"/>
  <c r="A1235" i="11"/>
  <c r="A1234" i="11"/>
  <c r="C1234" i="11" s="1"/>
  <c r="J1230" i="11"/>
  <c r="I1230" i="11"/>
  <c r="E1230" i="11"/>
  <c r="J1228" i="11"/>
  <c r="A1228" i="11"/>
  <c r="J1224" i="11"/>
  <c r="J1222" i="11" s="1"/>
  <c r="I1224" i="11"/>
  <c r="E1224" i="11"/>
  <c r="A1222" i="11"/>
  <c r="A1221" i="11"/>
  <c r="C1221" i="11" s="1"/>
  <c r="J1219" i="11"/>
  <c r="J1216" i="11"/>
  <c r="C1216" i="11"/>
  <c r="A1216" i="11"/>
  <c r="B1216" i="11" s="1"/>
  <c r="J1214" i="11"/>
  <c r="J1212" i="11"/>
  <c r="C1212" i="11"/>
  <c r="B1212" i="11"/>
  <c r="A1212" i="11"/>
  <c r="D1212" i="11" s="1"/>
  <c r="A1211" i="11"/>
  <c r="C1211" i="11" s="1"/>
  <c r="A1210" i="11"/>
  <c r="B1210" i="11" s="1"/>
  <c r="D1206" i="11"/>
  <c r="B1206" i="11"/>
  <c r="A1206" i="11"/>
  <c r="C1206" i="11" s="1"/>
  <c r="J1202" i="11"/>
  <c r="C1202" i="11"/>
  <c r="A1202" i="11"/>
  <c r="D1198" i="11"/>
  <c r="C1198" i="11"/>
  <c r="B1198" i="11"/>
  <c r="A1198" i="11"/>
  <c r="C1194" i="11"/>
  <c r="A1194" i="11"/>
  <c r="D1194" i="11" s="1"/>
  <c r="A1190" i="11"/>
  <c r="D1186" i="11"/>
  <c r="C1186" i="11"/>
  <c r="A1186" i="11"/>
  <c r="B1186" i="11" s="1"/>
  <c r="I1184" i="11"/>
  <c r="J1184" i="11" s="1"/>
  <c r="J1182" i="11" s="1"/>
  <c r="D1182" i="11"/>
  <c r="C1182" i="11"/>
  <c r="B1182" i="11"/>
  <c r="A1182" i="11"/>
  <c r="J1180" i="11"/>
  <c r="J1178" i="11" s="1"/>
  <c r="I1180" i="11"/>
  <c r="B1178" i="11"/>
  <c r="A1178" i="11"/>
  <c r="A1177" i="11"/>
  <c r="C1177" i="11" s="1"/>
  <c r="J1175" i="11"/>
  <c r="J1174" i="11"/>
  <c r="J1172" i="11" s="1"/>
  <c r="I1126" i="11" s="1"/>
  <c r="J1126" i="11" s="1"/>
  <c r="D1172" i="11"/>
  <c r="C1172" i="11"/>
  <c r="B1172" i="11"/>
  <c r="A1172" i="11"/>
  <c r="C1171" i="11"/>
  <c r="A1171" i="11"/>
  <c r="J1169" i="11"/>
  <c r="J1167" i="11" s="1"/>
  <c r="D1167" i="11"/>
  <c r="C1167" i="11"/>
  <c r="B1167" i="11"/>
  <c r="A1167" i="11"/>
  <c r="J1165" i="11"/>
  <c r="J1163" i="11" s="1"/>
  <c r="A1163" i="11"/>
  <c r="J1161" i="11"/>
  <c r="J1159" i="11" s="1"/>
  <c r="D1159" i="11"/>
  <c r="C1159" i="11"/>
  <c r="B1159" i="11"/>
  <c r="A1159" i="11"/>
  <c r="J1157" i="11"/>
  <c r="J1155" i="11"/>
  <c r="D1155" i="11"/>
  <c r="A1155" i="11"/>
  <c r="J1153" i="11"/>
  <c r="H1153" i="11"/>
  <c r="J1152" i="11"/>
  <c r="B1150" i="11"/>
  <c r="A1150" i="11"/>
  <c r="C1150" i="11" s="1"/>
  <c r="C1149" i="11"/>
  <c r="A1149" i="11"/>
  <c r="F1147" i="11"/>
  <c r="J1147" i="11" s="1"/>
  <c r="J1145" i="11" s="1"/>
  <c r="A1145" i="11"/>
  <c r="D1141" i="11"/>
  <c r="A1141" i="11"/>
  <c r="J1139" i="11"/>
  <c r="F1139" i="11"/>
  <c r="J1137" i="11"/>
  <c r="D1137" i="11"/>
  <c r="C1137" i="11"/>
  <c r="A1137" i="11"/>
  <c r="B1137" i="11" s="1"/>
  <c r="J1135" i="11"/>
  <c r="J1133" i="11" s="1"/>
  <c r="F1135" i="11"/>
  <c r="F1130" i="11" s="1"/>
  <c r="C1133" i="11"/>
  <c r="A1133" i="11"/>
  <c r="D1133" i="11" s="1"/>
  <c r="F1131" i="11"/>
  <c r="J1131" i="11" s="1"/>
  <c r="J1130" i="11"/>
  <c r="J1128" i="11" s="1"/>
  <c r="D1128" i="11"/>
  <c r="A1128" i="11"/>
  <c r="C1128" i="11" s="1"/>
  <c r="B1123" i="11"/>
  <c r="A1123" i="11"/>
  <c r="J1121" i="11"/>
  <c r="I1121" i="11"/>
  <c r="J1119" i="11"/>
  <c r="I1125" i="11" s="1"/>
  <c r="J1125" i="11" s="1"/>
  <c r="J1123" i="11" s="1"/>
  <c r="I1208" i="11" s="1"/>
  <c r="J1208" i="11" s="1"/>
  <c r="J1206" i="11" s="1"/>
  <c r="B1119" i="11"/>
  <c r="A1119" i="11"/>
  <c r="D1119" i="11" s="1"/>
  <c r="C1115" i="11"/>
  <c r="A1115" i="11"/>
  <c r="A1111" i="11"/>
  <c r="D1107" i="11"/>
  <c r="B1107" i="11"/>
  <c r="A1107" i="11"/>
  <c r="C1107" i="11" s="1"/>
  <c r="I1105" i="11"/>
  <c r="J1105" i="11" s="1"/>
  <c r="J1102" i="11" s="1"/>
  <c r="I1204" i="11" s="1"/>
  <c r="J1204" i="11" s="1"/>
  <c r="C1102" i="11"/>
  <c r="A1102" i="11"/>
  <c r="B1102" i="11" s="1"/>
  <c r="D1098" i="11"/>
  <c r="C1098" i="11"/>
  <c r="B1098" i="11"/>
  <c r="A1098" i="11"/>
  <c r="A1094" i="11"/>
  <c r="G1092" i="11"/>
  <c r="B1089" i="11"/>
  <c r="A1089" i="11"/>
  <c r="D1089" i="11" s="1"/>
  <c r="G1087" i="11"/>
  <c r="F1087" i="11"/>
  <c r="D1084" i="11"/>
  <c r="A1084" i="11"/>
  <c r="G1082" i="11"/>
  <c r="F1082" i="11"/>
  <c r="J1082" i="11" s="1"/>
  <c r="J1079" i="11" s="1"/>
  <c r="D1079" i="11"/>
  <c r="C1079" i="11"/>
  <c r="A1079" i="11"/>
  <c r="B1079" i="11" s="1"/>
  <c r="G1077" i="11"/>
  <c r="J1077" i="11" s="1"/>
  <c r="J1074" i="11" s="1"/>
  <c r="B1074" i="11"/>
  <c r="A1074" i="11"/>
  <c r="D1074" i="11" s="1"/>
  <c r="C1073" i="11"/>
  <c r="A1073" i="11"/>
  <c r="D1069" i="11"/>
  <c r="C1069" i="11"/>
  <c r="B1069" i="11"/>
  <c r="A1069" i="11"/>
  <c r="D1065" i="11"/>
  <c r="C1065" i="11"/>
  <c r="B1065" i="11"/>
  <c r="A1065" i="11"/>
  <c r="J1063" i="11"/>
  <c r="J1061" i="11" s="1"/>
  <c r="I1067" i="11" s="1"/>
  <c r="J1067" i="11" s="1"/>
  <c r="J1065" i="11" s="1"/>
  <c r="I1071" i="11" s="1"/>
  <c r="J1071" i="11" s="1"/>
  <c r="J1069" i="11" s="1"/>
  <c r="I1063" i="11"/>
  <c r="A1061" i="11"/>
  <c r="C1060" i="11"/>
  <c r="A1060" i="11"/>
  <c r="D1056" i="11"/>
  <c r="B1056" i="11"/>
  <c r="A1056" i="11"/>
  <c r="C1056" i="11" s="1"/>
  <c r="J1054" i="11"/>
  <c r="B1050" i="11"/>
  <c r="A1050" i="11"/>
  <c r="D1050" i="11" s="1"/>
  <c r="J1048" i="11"/>
  <c r="J1046" i="11"/>
  <c r="F1054" i="11" s="1"/>
  <c r="A1046" i="11"/>
  <c r="J1044" i="11"/>
  <c r="J1042" i="11" s="1"/>
  <c r="I1052" i="11" s="1"/>
  <c r="J1052" i="11" s="1"/>
  <c r="J1050" i="11" s="1"/>
  <c r="I1058" i="11" s="1"/>
  <c r="J1058" i="11" s="1"/>
  <c r="J1056" i="11" s="1"/>
  <c r="C1042" i="11"/>
  <c r="B1042" i="11"/>
  <c r="A1042" i="11"/>
  <c r="D1042" i="11" s="1"/>
  <c r="F1040" i="11"/>
  <c r="J1040" i="11" s="1"/>
  <c r="J1039" i="11"/>
  <c r="F1039" i="11"/>
  <c r="F1038" i="11"/>
  <c r="J1038" i="11" s="1"/>
  <c r="F1037" i="11"/>
  <c r="J1037" i="11" s="1"/>
  <c r="J1035" i="11" s="1"/>
  <c r="D1035" i="11"/>
  <c r="C1035" i="11"/>
  <c r="B1035" i="11"/>
  <c r="A1035" i="11"/>
  <c r="C1034" i="11"/>
  <c r="A1034" i="11"/>
  <c r="J1030" i="11"/>
  <c r="I1030" i="11"/>
  <c r="E1030" i="11"/>
  <c r="J1028" i="11"/>
  <c r="B1028" i="11"/>
  <c r="A1028" i="11"/>
  <c r="J1024" i="11"/>
  <c r="J1022" i="11" s="1"/>
  <c r="I1024" i="11"/>
  <c r="E1024" i="11"/>
  <c r="B1022" i="11"/>
  <c r="A1022" i="11"/>
  <c r="C1022" i="11" s="1"/>
  <c r="C1021" i="11"/>
  <c r="A1021" i="11"/>
  <c r="J1019" i="11"/>
  <c r="J1016" i="11" s="1"/>
  <c r="A1016" i="11"/>
  <c r="J1014" i="11"/>
  <c r="J1012" i="11"/>
  <c r="D1012" i="11"/>
  <c r="C1012" i="11"/>
  <c r="B1012" i="11"/>
  <c r="A1012" i="11"/>
  <c r="A1011" i="11"/>
  <c r="C1011" i="11" s="1"/>
  <c r="A1010" i="11"/>
  <c r="B1010" i="11" s="1"/>
  <c r="B1006" i="11"/>
  <c r="A1006" i="11"/>
  <c r="D1002" i="11"/>
  <c r="A1002" i="11"/>
  <c r="C1002" i="11" s="1"/>
  <c r="C998" i="11"/>
  <c r="A998" i="11"/>
  <c r="B998" i="11" s="1"/>
  <c r="D994" i="11"/>
  <c r="C994" i="11"/>
  <c r="B994" i="11"/>
  <c r="A994" i="11"/>
  <c r="D990" i="11"/>
  <c r="A990" i="11"/>
  <c r="C990" i="11" s="1"/>
  <c r="B986" i="11"/>
  <c r="A986" i="11"/>
  <c r="D982" i="11"/>
  <c r="C982" i="11"/>
  <c r="A982" i="11"/>
  <c r="B982" i="11" s="1"/>
  <c r="J980" i="11"/>
  <c r="J978" i="11" s="1"/>
  <c r="I980" i="11"/>
  <c r="C978" i="11"/>
  <c r="A978" i="11"/>
  <c r="D978" i="11" s="1"/>
  <c r="I976" i="11"/>
  <c r="J976" i="11" s="1"/>
  <c r="J974" i="11"/>
  <c r="C974" i="11"/>
  <c r="B974" i="11"/>
  <c r="A974" i="11"/>
  <c r="D974" i="11" s="1"/>
  <c r="C973" i="11"/>
  <c r="A973" i="11"/>
  <c r="J971" i="11"/>
  <c r="J970" i="11"/>
  <c r="J968" i="11" s="1"/>
  <c r="I894" i="11" s="1"/>
  <c r="J894" i="11" s="1"/>
  <c r="D968" i="11"/>
  <c r="C968" i="11"/>
  <c r="B968" i="11"/>
  <c r="A968" i="11"/>
  <c r="C967" i="11"/>
  <c r="A967" i="11"/>
  <c r="J965" i="11"/>
  <c r="J963" i="11" s="1"/>
  <c r="D963" i="11"/>
  <c r="C963" i="11"/>
  <c r="B963" i="11"/>
  <c r="A963" i="11"/>
  <c r="J961" i="11"/>
  <c r="J959" i="11"/>
  <c r="A959" i="11"/>
  <c r="J957" i="11"/>
  <c r="J955" i="11"/>
  <c r="D955" i="11"/>
  <c r="C955" i="11"/>
  <c r="B955" i="11"/>
  <c r="A955" i="11"/>
  <c r="J953" i="11"/>
  <c r="J951" i="11"/>
  <c r="D951" i="11"/>
  <c r="C951" i="11"/>
  <c r="B951" i="11"/>
  <c r="A951" i="11"/>
  <c r="J949" i="11"/>
  <c r="H949" i="11"/>
  <c r="H948" i="11"/>
  <c r="J948" i="11" s="1"/>
  <c r="J947" i="11"/>
  <c r="J945" i="11"/>
  <c r="D945" i="11"/>
  <c r="C945" i="11"/>
  <c r="B945" i="11"/>
  <c r="A945" i="11"/>
  <c r="A944" i="11"/>
  <c r="C944" i="11" s="1"/>
  <c r="D940" i="11"/>
  <c r="C940" i="11"/>
  <c r="A940" i="11"/>
  <c r="B940" i="11" s="1"/>
  <c r="E938" i="11"/>
  <c r="A935" i="11"/>
  <c r="D931" i="11"/>
  <c r="C931" i="11"/>
  <c r="B931" i="11"/>
  <c r="A931" i="11"/>
  <c r="D927" i="11"/>
  <c r="A927" i="11"/>
  <c r="C927" i="11" s="1"/>
  <c r="B923" i="11"/>
  <c r="A923" i="11"/>
  <c r="F921" i="11"/>
  <c r="A919" i="11"/>
  <c r="B919" i="11" s="1"/>
  <c r="D915" i="11"/>
  <c r="B915" i="11"/>
  <c r="A915" i="11"/>
  <c r="C915" i="11" s="1"/>
  <c r="F913" i="11"/>
  <c r="D911" i="11"/>
  <c r="C911" i="11"/>
  <c r="B911" i="11"/>
  <c r="A911" i="11"/>
  <c r="G909" i="11"/>
  <c r="J909" i="11" s="1"/>
  <c r="J908" i="11"/>
  <c r="B906" i="11"/>
  <c r="A906" i="11"/>
  <c r="C905" i="11"/>
  <c r="A905" i="11"/>
  <c r="J903" i="11"/>
  <c r="J901" i="11" s="1"/>
  <c r="F903" i="11"/>
  <c r="D901" i="11"/>
  <c r="C901" i="11"/>
  <c r="B901" i="11"/>
  <c r="A901" i="11"/>
  <c r="F899" i="11"/>
  <c r="J899" i="11" s="1"/>
  <c r="J896" i="11" s="1"/>
  <c r="F898" i="11"/>
  <c r="J898" i="11" s="1"/>
  <c r="D896" i="11"/>
  <c r="C896" i="11"/>
  <c r="B896" i="11"/>
  <c r="A896" i="11"/>
  <c r="D891" i="11"/>
  <c r="C891" i="11"/>
  <c r="B891" i="11"/>
  <c r="A891" i="11"/>
  <c r="I889" i="11"/>
  <c r="J889" i="11" s="1"/>
  <c r="J887" i="11"/>
  <c r="I893" i="11" s="1"/>
  <c r="J893" i="11" s="1"/>
  <c r="A887" i="11"/>
  <c r="C883" i="11"/>
  <c r="A883" i="11"/>
  <c r="D883" i="11" s="1"/>
  <c r="D879" i="11"/>
  <c r="A879" i="11"/>
  <c r="C879" i="11" s="1"/>
  <c r="F877" i="11"/>
  <c r="J877" i="11" s="1"/>
  <c r="J875" i="11"/>
  <c r="J873" i="11"/>
  <c r="I984" i="11" s="1"/>
  <c r="J984" i="11" s="1"/>
  <c r="J982" i="11" s="1"/>
  <c r="D873" i="11"/>
  <c r="A873" i="11"/>
  <c r="C873" i="11" s="1"/>
  <c r="J871" i="11"/>
  <c r="J869" i="11"/>
  <c r="I875" i="11" s="1"/>
  <c r="I869" i="11"/>
  <c r="J866" i="11"/>
  <c r="I1000" i="11" s="1"/>
  <c r="J1000" i="11" s="1"/>
  <c r="J998" i="11" s="1"/>
  <c r="D866" i="11"/>
  <c r="A866" i="11"/>
  <c r="C866" i="11" s="1"/>
  <c r="D862" i="11"/>
  <c r="C862" i="11"/>
  <c r="B862" i="11"/>
  <c r="A862" i="11"/>
  <c r="A858" i="11"/>
  <c r="G856" i="11"/>
  <c r="A853" i="11"/>
  <c r="D853" i="11" s="1"/>
  <c r="G851" i="11"/>
  <c r="C848" i="11"/>
  <c r="A848" i="11"/>
  <c r="D848" i="11" s="1"/>
  <c r="G845" i="11"/>
  <c r="B843" i="11"/>
  <c r="A843" i="11"/>
  <c r="D843" i="11" s="1"/>
  <c r="G841" i="11"/>
  <c r="F841" i="11"/>
  <c r="F845" i="11" s="1"/>
  <c r="J845" i="11" s="1"/>
  <c r="J843" i="11" s="1"/>
  <c r="J840" i="11"/>
  <c r="D838" i="11"/>
  <c r="B838" i="11"/>
  <c r="A838" i="11"/>
  <c r="C838" i="11" s="1"/>
  <c r="A837" i="11"/>
  <c r="C837" i="11" s="1"/>
  <c r="D833" i="11"/>
  <c r="B833" i="11"/>
  <c r="A833" i="11"/>
  <c r="C833" i="11" s="1"/>
  <c r="D829" i="11"/>
  <c r="C829" i="11"/>
  <c r="B829" i="11"/>
  <c r="A829" i="11"/>
  <c r="J827" i="11"/>
  <c r="J825" i="11" s="1"/>
  <c r="I831" i="11" s="1"/>
  <c r="J831" i="11" s="1"/>
  <c r="J829" i="11" s="1"/>
  <c r="I835" i="11" s="1"/>
  <c r="J835" i="11" s="1"/>
  <c r="J833" i="11" s="1"/>
  <c r="I827" i="11"/>
  <c r="A825" i="11"/>
  <c r="C824" i="11"/>
  <c r="A824" i="11"/>
  <c r="B820" i="11"/>
  <c r="A820" i="11"/>
  <c r="B814" i="11"/>
  <c r="A814" i="11"/>
  <c r="J812" i="11"/>
  <c r="J810" i="11" s="1"/>
  <c r="I816" i="11" s="1"/>
  <c r="J816" i="11" s="1"/>
  <c r="C810" i="11"/>
  <c r="A810" i="11"/>
  <c r="D810" i="11" s="1"/>
  <c r="J808" i="11"/>
  <c r="J806" i="11"/>
  <c r="F818" i="11" s="1"/>
  <c r="J818" i="11" s="1"/>
  <c r="D806" i="11"/>
  <c r="A806" i="11"/>
  <c r="C806" i="11" s="1"/>
  <c r="F804" i="11"/>
  <c r="J804" i="11" s="1"/>
  <c r="J802" i="11" s="1"/>
  <c r="D802" i="11"/>
  <c r="C802" i="11"/>
  <c r="B802" i="11"/>
  <c r="A802" i="11"/>
  <c r="C801" i="11"/>
  <c r="A801" i="11"/>
  <c r="I797" i="11"/>
  <c r="E797" i="11"/>
  <c r="J797" i="11" s="1"/>
  <c r="J795" i="11" s="1"/>
  <c r="D795" i="11"/>
  <c r="B795" i="11"/>
  <c r="A795" i="11"/>
  <c r="C795" i="11" s="1"/>
  <c r="I791" i="11"/>
  <c r="E791" i="11"/>
  <c r="J791" i="11" s="1"/>
  <c r="J789" i="11"/>
  <c r="D789" i="11"/>
  <c r="B789" i="11"/>
  <c r="A789" i="11"/>
  <c r="C789" i="11" s="1"/>
  <c r="A788" i="11"/>
  <c r="C788" i="11" s="1"/>
  <c r="J786" i="11"/>
  <c r="J783" i="11"/>
  <c r="D783" i="11"/>
  <c r="B783" i="11"/>
  <c r="A783" i="11"/>
  <c r="C783" i="11" s="1"/>
  <c r="J781" i="11"/>
  <c r="J779" i="11"/>
  <c r="D779" i="11"/>
  <c r="C779" i="11"/>
  <c r="B779" i="11"/>
  <c r="A779" i="11"/>
  <c r="C778" i="11"/>
  <c r="A778" i="11"/>
  <c r="A777" i="11"/>
  <c r="B777" i="11" s="1"/>
  <c r="C773" i="11"/>
  <c r="A773" i="11"/>
  <c r="D773" i="11" s="1"/>
  <c r="D769" i="11"/>
  <c r="B769" i="11"/>
  <c r="A769" i="11"/>
  <c r="C769" i="11" s="1"/>
  <c r="D765" i="11"/>
  <c r="A765" i="11"/>
  <c r="C765" i="11" s="1"/>
  <c r="D761" i="11"/>
  <c r="C761" i="11"/>
  <c r="B761" i="11"/>
  <c r="A761" i="11"/>
  <c r="D757" i="11"/>
  <c r="C757" i="11"/>
  <c r="B757" i="11"/>
  <c r="A757" i="11"/>
  <c r="F755" i="11"/>
  <c r="J755" i="11" s="1"/>
  <c r="J753" i="11" s="1"/>
  <c r="B753" i="11"/>
  <c r="A753" i="11"/>
  <c r="A749" i="11"/>
  <c r="D745" i="11"/>
  <c r="A745" i="11"/>
  <c r="C745" i="11" s="1"/>
  <c r="J743" i="11"/>
  <c r="J741" i="11" s="1"/>
  <c r="I743" i="11"/>
  <c r="C741" i="11"/>
  <c r="A741" i="11"/>
  <c r="D741" i="11" s="1"/>
  <c r="I739" i="11"/>
  <c r="J739" i="11" s="1"/>
  <c r="J737" i="11"/>
  <c r="D737" i="11"/>
  <c r="B737" i="11"/>
  <c r="A737" i="11"/>
  <c r="C737" i="11" s="1"/>
  <c r="A736" i="11"/>
  <c r="C736" i="11" s="1"/>
  <c r="J734" i="11"/>
  <c r="J733" i="11"/>
  <c r="C731" i="11"/>
  <c r="A731" i="11"/>
  <c r="D731" i="11" s="1"/>
  <c r="A730" i="11"/>
  <c r="C730" i="11" s="1"/>
  <c r="J728" i="11"/>
  <c r="J726" i="11" s="1"/>
  <c r="C726" i="11"/>
  <c r="A726" i="11"/>
  <c r="D726" i="11" s="1"/>
  <c r="J724" i="11"/>
  <c r="J722" i="11"/>
  <c r="D722" i="11"/>
  <c r="A722" i="11"/>
  <c r="C722" i="11" s="1"/>
  <c r="J720" i="11"/>
  <c r="J718" i="11"/>
  <c r="D718" i="11"/>
  <c r="C718" i="11"/>
  <c r="B718" i="11"/>
  <c r="A718" i="11"/>
  <c r="J716" i="11"/>
  <c r="J714" i="11"/>
  <c r="A714" i="11"/>
  <c r="J712" i="11"/>
  <c r="H712" i="11"/>
  <c r="H711" i="11"/>
  <c r="J711" i="11" s="1"/>
  <c r="J708" i="11" s="1"/>
  <c r="J710" i="11"/>
  <c r="D708" i="11"/>
  <c r="C708" i="11"/>
  <c r="B708" i="11"/>
  <c r="A708" i="11"/>
  <c r="A707" i="11"/>
  <c r="C707" i="11" s="1"/>
  <c r="F705" i="11"/>
  <c r="J705" i="11" s="1"/>
  <c r="J703" i="11" s="1"/>
  <c r="D703" i="11"/>
  <c r="C703" i="11"/>
  <c r="B703" i="11"/>
  <c r="A703" i="11"/>
  <c r="J701" i="11"/>
  <c r="J699" i="11" s="1"/>
  <c r="F701" i="11"/>
  <c r="F751" i="11" s="1"/>
  <c r="J751" i="11" s="1"/>
  <c r="J749" i="11" s="1"/>
  <c r="D699" i="11"/>
  <c r="C699" i="11"/>
  <c r="B699" i="11"/>
  <c r="A699" i="11"/>
  <c r="B695" i="11"/>
  <c r="A695" i="11"/>
  <c r="A691" i="11"/>
  <c r="J689" i="11"/>
  <c r="J687" i="11" s="1"/>
  <c r="I689" i="11"/>
  <c r="I693" i="11" s="1"/>
  <c r="J693" i="11" s="1"/>
  <c r="J691" i="11" s="1"/>
  <c r="D687" i="11"/>
  <c r="A687" i="11"/>
  <c r="C687" i="11" s="1"/>
  <c r="J685" i="11"/>
  <c r="J683" i="11" s="1"/>
  <c r="I685" i="11"/>
  <c r="C683" i="11"/>
  <c r="A683" i="11"/>
  <c r="D683" i="11" s="1"/>
  <c r="I681" i="11"/>
  <c r="J681" i="11" s="1"/>
  <c r="J680" i="11"/>
  <c r="J678" i="11" s="1"/>
  <c r="I697" i="11" s="1"/>
  <c r="J697" i="11" s="1"/>
  <c r="J695" i="11" s="1"/>
  <c r="I680" i="11"/>
  <c r="D678" i="11"/>
  <c r="A678" i="11"/>
  <c r="C678" i="11" s="1"/>
  <c r="C674" i="11"/>
  <c r="A674" i="11"/>
  <c r="D674" i="11" s="1"/>
  <c r="D670" i="11"/>
  <c r="B670" i="11"/>
  <c r="A670" i="11"/>
  <c r="C670" i="11" s="1"/>
  <c r="I667" i="11"/>
  <c r="H667" i="11"/>
  <c r="J667" i="11" s="1"/>
  <c r="J666" i="11"/>
  <c r="I664" i="11"/>
  <c r="F664" i="11"/>
  <c r="I663" i="11"/>
  <c r="J663" i="11" s="1"/>
  <c r="J661" i="11"/>
  <c r="I661" i="11"/>
  <c r="A658" i="11"/>
  <c r="J656" i="11"/>
  <c r="I656" i="11"/>
  <c r="F656" i="11"/>
  <c r="D653" i="11"/>
  <c r="C653" i="11"/>
  <c r="B653" i="11"/>
  <c r="A653" i="11"/>
  <c r="J651" i="11"/>
  <c r="J648" i="11"/>
  <c r="I655" i="11" s="1"/>
  <c r="J655" i="11" s="1"/>
  <c r="J653" i="11" s="1"/>
  <c r="B648" i="11"/>
  <c r="A648" i="11"/>
  <c r="J646" i="11"/>
  <c r="I666" i="11" s="1"/>
  <c r="H646" i="11"/>
  <c r="F646" i="11"/>
  <c r="J644" i="11"/>
  <c r="G644" i="11"/>
  <c r="F642" i="11"/>
  <c r="J642" i="11" s="1"/>
  <c r="I660" i="11" s="1"/>
  <c r="J660" i="11" s="1"/>
  <c r="J639" i="11"/>
  <c r="D639" i="11"/>
  <c r="A639" i="11"/>
  <c r="A638" i="11"/>
  <c r="C638" i="11" s="1"/>
  <c r="F636" i="11"/>
  <c r="J636" i="11" s="1"/>
  <c r="J634" i="11" s="1"/>
  <c r="D634" i="11"/>
  <c r="B634" i="11"/>
  <c r="A634" i="11"/>
  <c r="C634" i="11" s="1"/>
  <c r="A630" i="11"/>
  <c r="F628" i="11"/>
  <c r="J628" i="11" s="1"/>
  <c r="J626" i="11" s="1"/>
  <c r="D626" i="11"/>
  <c r="C626" i="11"/>
  <c r="B626" i="11"/>
  <c r="A626" i="11"/>
  <c r="J624" i="11"/>
  <c r="J622" i="11" s="1"/>
  <c r="F624" i="11"/>
  <c r="D622" i="11"/>
  <c r="C622" i="11"/>
  <c r="B622" i="11"/>
  <c r="A622" i="11"/>
  <c r="F620" i="11"/>
  <c r="J620" i="11" s="1"/>
  <c r="J618" i="11" s="1"/>
  <c r="F632" i="11" s="1"/>
  <c r="J632" i="11" s="1"/>
  <c r="J630" i="11" s="1"/>
  <c r="A618" i="11"/>
  <c r="D618" i="11" s="1"/>
  <c r="J615" i="11"/>
  <c r="D613" i="11"/>
  <c r="C613" i="11"/>
  <c r="B613" i="11"/>
  <c r="A613" i="11"/>
  <c r="I611" i="11"/>
  <c r="J611" i="11" s="1"/>
  <c r="J609" i="11" s="1"/>
  <c r="I615" i="11" s="1"/>
  <c r="A609" i="11"/>
  <c r="D609" i="11" s="1"/>
  <c r="B604" i="11"/>
  <c r="A604" i="11"/>
  <c r="D600" i="11"/>
  <c r="A600" i="11"/>
  <c r="C596" i="11"/>
  <c r="A596" i="11"/>
  <c r="D596" i="11" s="1"/>
  <c r="J594" i="11"/>
  <c r="J591" i="11" s="1"/>
  <c r="I594" i="11"/>
  <c r="D591" i="11"/>
  <c r="B591" i="11"/>
  <c r="A591" i="11"/>
  <c r="C591" i="11" s="1"/>
  <c r="D587" i="11"/>
  <c r="A587" i="11"/>
  <c r="D583" i="11"/>
  <c r="C583" i="11"/>
  <c r="B583" i="11"/>
  <c r="A583" i="11"/>
  <c r="D578" i="11"/>
  <c r="C578" i="11"/>
  <c r="B578" i="11"/>
  <c r="A578" i="11"/>
  <c r="G576" i="11"/>
  <c r="J575" i="11"/>
  <c r="D573" i="11"/>
  <c r="C573" i="11"/>
  <c r="B573" i="11"/>
  <c r="A573" i="11"/>
  <c r="J571" i="11"/>
  <c r="G571" i="11"/>
  <c r="F571" i="11"/>
  <c r="F576" i="11" s="1"/>
  <c r="J568" i="11"/>
  <c r="D568" i="11"/>
  <c r="C568" i="11"/>
  <c r="B568" i="11"/>
  <c r="A568" i="11"/>
  <c r="C567" i="11"/>
  <c r="A567" i="11"/>
  <c r="D563" i="11"/>
  <c r="C563" i="11"/>
  <c r="A563" i="11"/>
  <c r="B563" i="11" s="1"/>
  <c r="D559" i="11"/>
  <c r="C559" i="11"/>
  <c r="B559" i="11"/>
  <c r="A559" i="11"/>
  <c r="J557" i="11"/>
  <c r="J555" i="11" s="1"/>
  <c r="I561" i="11" s="1"/>
  <c r="J561" i="11" s="1"/>
  <c r="J559" i="11" s="1"/>
  <c r="I565" i="11" s="1"/>
  <c r="J565" i="11" s="1"/>
  <c r="J563" i="11" s="1"/>
  <c r="I557" i="11"/>
  <c r="A555" i="11"/>
  <c r="D555" i="11" s="1"/>
  <c r="A554" i="11"/>
  <c r="C554" i="11" s="1"/>
  <c r="J550" i="11"/>
  <c r="D550" i="11"/>
  <c r="C550" i="11"/>
  <c r="B550" i="11"/>
  <c r="A550" i="11"/>
  <c r="J548" i="11"/>
  <c r="J546" i="11" s="1"/>
  <c r="I552" i="11" s="1"/>
  <c r="J552" i="11" s="1"/>
  <c r="A546" i="11"/>
  <c r="D546" i="11" s="1"/>
  <c r="J544" i="11"/>
  <c r="J542" i="11"/>
  <c r="I548" i="11" s="1"/>
  <c r="B542" i="11"/>
  <c r="A542" i="11"/>
  <c r="F540" i="11"/>
  <c r="J540" i="11" s="1"/>
  <c r="J538" i="11" s="1"/>
  <c r="A538" i="11"/>
  <c r="C537" i="11"/>
  <c r="A537" i="11"/>
  <c r="I533" i="11"/>
  <c r="E533" i="11"/>
  <c r="J533" i="11" s="1"/>
  <c r="J531" i="11" s="1"/>
  <c r="A531" i="11"/>
  <c r="D531" i="11" s="1"/>
  <c r="J527" i="11"/>
  <c r="J525" i="11" s="1"/>
  <c r="I527" i="11"/>
  <c r="E527" i="11"/>
  <c r="A525" i="11"/>
  <c r="D525" i="11" s="1"/>
  <c r="C524" i="11"/>
  <c r="A524" i="11"/>
  <c r="J522" i="11"/>
  <c r="J519" i="11" s="1"/>
  <c r="B519" i="11"/>
  <c r="A519" i="11"/>
  <c r="D519" i="11" s="1"/>
  <c r="J517" i="11"/>
  <c r="J515" i="11" s="1"/>
  <c r="D515" i="11"/>
  <c r="A515" i="11"/>
  <c r="C514" i="11"/>
  <c r="A514" i="11"/>
  <c r="B513" i="11"/>
  <c r="A513" i="11"/>
  <c r="A509" i="11"/>
  <c r="C509" i="11" s="1"/>
  <c r="B505" i="11"/>
  <c r="A505" i="11"/>
  <c r="D505" i="11" s="1"/>
  <c r="A501" i="11"/>
  <c r="B501" i="11" s="1"/>
  <c r="D497" i="11"/>
  <c r="A497" i="11"/>
  <c r="C493" i="11"/>
  <c r="A493" i="11"/>
  <c r="D493" i="11" s="1"/>
  <c r="D489" i="11"/>
  <c r="B489" i="11"/>
  <c r="A489" i="11"/>
  <c r="C489" i="11" s="1"/>
  <c r="I487" i="11"/>
  <c r="J487" i="11" s="1"/>
  <c r="J485" i="11" s="1"/>
  <c r="C485" i="11"/>
  <c r="A485" i="11"/>
  <c r="B485" i="11" s="1"/>
  <c r="A484" i="11"/>
  <c r="C484" i="11" s="1"/>
  <c r="J482" i="11"/>
  <c r="I482" i="11"/>
  <c r="J480" i="11"/>
  <c r="I392" i="11" s="1"/>
  <c r="J392" i="11" s="1"/>
  <c r="D480" i="11"/>
  <c r="B480" i="11"/>
  <c r="A480" i="11"/>
  <c r="C480" i="11" s="1"/>
  <c r="A479" i="11"/>
  <c r="C479" i="11" s="1"/>
  <c r="J477" i="11"/>
  <c r="J475" i="11"/>
  <c r="D475" i="11"/>
  <c r="B475" i="11"/>
  <c r="A475" i="11"/>
  <c r="C475" i="11" s="1"/>
  <c r="J473" i="11"/>
  <c r="J471" i="11"/>
  <c r="D471" i="11"/>
  <c r="C471" i="11"/>
  <c r="B471" i="11"/>
  <c r="A471" i="11"/>
  <c r="J469" i="11"/>
  <c r="J467" i="11" s="1"/>
  <c r="C467" i="11"/>
  <c r="A467" i="11"/>
  <c r="D467" i="11" s="1"/>
  <c r="J465" i="11"/>
  <c r="H465" i="11"/>
  <c r="J464" i="11"/>
  <c r="J462" i="11" s="1"/>
  <c r="C462" i="11"/>
  <c r="B462" i="11"/>
  <c r="A462" i="11"/>
  <c r="D462" i="11" s="1"/>
  <c r="C461" i="11"/>
  <c r="A461" i="11"/>
  <c r="A457" i="11"/>
  <c r="D457" i="11" s="1"/>
  <c r="E455" i="11"/>
  <c r="A452" i="11"/>
  <c r="D452" i="11" s="1"/>
  <c r="C448" i="11"/>
  <c r="B448" i="11"/>
  <c r="A448" i="11"/>
  <c r="D448" i="11" s="1"/>
  <c r="A444" i="11"/>
  <c r="D440" i="11"/>
  <c r="A440" i="11"/>
  <c r="F438" i="11"/>
  <c r="D436" i="11"/>
  <c r="A436" i="11"/>
  <c r="J434" i="11"/>
  <c r="J432" i="11" s="1"/>
  <c r="F434" i="11"/>
  <c r="H438" i="11" s="1"/>
  <c r="C432" i="11"/>
  <c r="A432" i="11"/>
  <c r="D432" i="11" s="1"/>
  <c r="F430" i="11"/>
  <c r="J430" i="11" s="1"/>
  <c r="J428" i="11" s="1"/>
  <c r="D428" i="11"/>
  <c r="B428" i="11"/>
  <c r="A428" i="11"/>
  <c r="C428" i="11" s="1"/>
  <c r="G426" i="11"/>
  <c r="J426" i="11" s="1"/>
  <c r="F425" i="11"/>
  <c r="J425" i="11" s="1"/>
  <c r="J422" i="11" s="1"/>
  <c r="C422" i="11"/>
  <c r="A422" i="11"/>
  <c r="D422" i="11" s="1"/>
  <c r="D418" i="11"/>
  <c r="B418" i="11"/>
  <c r="A418" i="11"/>
  <c r="C418" i="11" s="1"/>
  <c r="D414" i="11"/>
  <c r="A414" i="11"/>
  <c r="B414" i="11" s="1"/>
  <c r="F412" i="11"/>
  <c r="C409" i="11"/>
  <c r="A409" i="11"/>
  <c r="D409" i="11" s="1"/>
  <c r="H406" i="11"/>
  <c r="H412" i="11" s="1"/>
  <c r="G406" i="11"/>
  <c r="J406" i="11" s="1"/>
  <c r="J404" i="11" s="1"/>
  <c r="C404" i="11"/>
  <c r="A404" i="11"/>
  <c r="D404" i="11" s="1"/>
  <c r="C403" i="11"/>
  <c r="A403" i="11"/>
  <c r="F401" i="11"/>
  <c r="F396" i="11" s="1"/>
  <c r="A399" i="11"/>
  <c r="J397" i="11"/>
  <c r="F397" i="11"/>
  <c r="J396" i="11"/>
  <c r="J394" i="11" s="1"/>
  <c r="A394" i="11"/>
  <c r="I391" i="11"/>
  <c r="J391" i="11" s="1"/>
  <c r="C389" i="11"/>
  <c r="B389" i="11"/>
  <c r="A389" i="11"/>
  <c r="D389" i="11" s="1"/>
  <c r="J387" i="11"/>
  <c r="I387" i="11"/>
  <c r="J385" i="11"/>
  <c r="A385" i="11"/>
  <c r="B385" i="11" s="1"/>
  <c r="D381" i="11"/>
  <c r="A381" i="11"/>
  <c r="C377" i="11"/>
  <c r="A377" i="11"/>
  <c r="D377" i="11" s="1"/>
  <c r="J375" i="11"/>
  <c r="F375" i="11"/>
  <c r="I373" i="11"/>
  <c r="J373" i="11" s="1"/>
  <c r="J371" i="11" s="1"/>
  <c r="H373" i="11"/>
  <c r="B371" i="11"/>
  <c r="A371" i="11"/>
  <c r="J369" i="11"/>
  <c r="J364" i="11" s="1"/>
  <c r="I503" i="11" s="1"/>
  <c r="J503" i="11" s="1"/>
  <c r="J501" i="11" s="1"/>
  <c r="J367" i="11"/>
  <c r="I367" i="11"/>
  <c r="A364" i="11"/>
  <c r="D360" i="11"/>
  <c r="A360" i="11"/>
  <c r="C356" i="11"/>
  <c r="A356" i="11"/>
  <c r="D356" i="11" s="1"/>
  <c r="G354" i="11"/>
  <c r="C351" i="11"/>
  <c r="A351" i="11"/>
  <c r="D351" i="11" s="1"/>
  <c r="G349" i="11"/>
  <c r="F349" i="11"/>
  <c r="F354" i="11" s="1"/>
  <c r="J354" i="11" s="1"/>
  <c r="J351" i="11" s="1"/>
  <c r="C346" i="11"/>
  <c r="A346" i="11"/>
  <c r="D346" i="11" s="1"/>
  <c r="C345" i="11"/>
  <c r="A345" i="11"/>
  <c r="A341" i="11"/>
  <c r="D341" i="11" s="1"/>
  <c r="C337" i="11"/>
  <c r="A337" i="11"/>
  <c r="D337" i="11" s="1"/>
  <c r="J335" i="11"/>
  <c r="I335" i="11"/>
  <c r="J333" i="11"/>
  <c r="I339" i="11" s="1"/>
  <c r="J339" i="11" s="1"/>
  <c r="J337" i="11" s="1"/>
  <c r="I343" i="11" s="1"/>
  <c r="J343" i="11" s="1"/>
  <c r="J341" i="11" s="1"/>
  <c r="D333" i="11"/>
  <c r="B333" i="11"/>
  <c r="A333" i="11"/>
  <c r="C333" i="11" s="1"/>
  <c r="A332" i="11"/>
  <c r="C332" i="11" s="1"/>
  <c r="C328" i="11"/>
  <c r="A328" i="11"/>
  <c r="D328" i="11" s="1"/>
  <c r="D322" i="11"/>
  <c r="A322" i="11"/>
  <c r="J320" i="11"/>
  <c r="J318" i="11" s="1"/>
  <c r="F326" i="11" s="1"/>
  <c r="J326" i="11" s="1"/>
  <c r="D318" i="11"/>
  <c r="B318" i="11"/>
  <c r="A318" i="11"/>
  <c r="C318" i="11" s="1"/>
  <c r="J316" i="11"/>
  <c r="J314" i="11"/>
  <c r="I324" i="11" s="1"/>
  <c r="J324" i="11" s="1"/>
  <c r="D314" i="11"/>
  <c r="C314" i="11"/>
  <c r="B314" i="11"/>
  <c r="A314" i="11"/>
  <c r="J312" i="11"/>
  <c r="J310" i="11" s="1"/>
  <c r="F312" i="11"/>
  <c r="A310" i="11"/>
  <c r="D310" i="11" s="1"/>
  <c r="A309" i="11"/>
  <c r="C309" i="11" s="1"/>
  <c r="I304" i="11"/>
  <c r="E304" i="11"/>
  <c r="J304" i="11" s="1"/>
  <c r="J302" i="11" s="1"/>
  <c r="C302" i="11"/>
  <c r="A302" i="11"/>
  <c r="B302" i="11" s="1"/>
  <c r="I298" i="11"/>
  <c r="E298" i="11"/>
  <c r="J298" i="11" s="1"/>
  <c r="J296" i="11" s="1"/>
  <c r="D296" i="11"/>
  <c r="C296" i="11"/>
  <c r="A296" i="11"/>
  <c r="B296" i="11" s="1"/>
  <c r="A295" i="11"/>
  <c r="C295" i="11" s="1"/>
  <c r="J293" i="11"/>
  <c r="J290" i="11"/>
  <c r="A290" i="11"/>
  <c r="B290" i="11" s="1"/>
  <c r="J288" i="11"/>
  <c r="J286" i="11"/>
  <c r="D286" i="11"/>
  <c r="C286" i="11"/>
  <c r="B286" i="11"/>
  <c r="A286" i="11"/>
  <c r="A285" i="11"/>
  <c r="C285" i="11" s="1"/>
  <c r="D281" i="11"/>
  <c r="C281" i="11"/>
  <c r="B281" i="11"/>
  <c r="A281" i="11"/>
  <c r="D277" i="11"/>
  <c r="B277" i="11"/>
  <c r="A277" i="11"/>
  <c r="C277" i="11" s="1"/>
  <c r="A273" i="11"/>
  <c r="D273" i="11" s="1"/>
  <c r="B269" i="11"/>
  <c r="A269" i="11"/>
  <c r="A265" i="11"/>
  <c r="D265" i="11" s="1"/>
  <c r="C261" i="11"/>
  <c r="A261" i="11"/>
  <c r="D261" i="11" s="1"/>
  <c r="D257" i="11"/>
  <c r="B257" i="11"/>
  <c r="A257" i="11"/>
  <c r="C257" i="11" s="1"/>
  <c r="I255" i="11"/>
  <c r="J255" i="11" s="1"/>
  <c r="J253" i="11" s="1"/>
  <c r="A253" i="11"/>
  <c r="B253" i="11" s="1"/>
  <c r="I251" i="11"/>
  <c r="J251" i="11" s="1"/>
  <c r="J249" i="11" s="1"/>
  <c r="D249" i="11"/>
  <c r="C249" i="11"/>
  <c r="B249" i="11"/>
  <c r="A249" i="11"/>
  <c r="C248" i="11"/>
  <c r="A248" i="11"/>
  <c r="J246" i="11"/>
  <c r="J244" i="11"/>
  <c r="D244" i="11"/>
  <c r="C244" i="11"/>
  <c r="B244" i="11"/>
  <c r="A244" i="11"/>
  <c r="C243" i="11"/>
  <c r="A243" i="11"/>
  <c r="J241" i="11"/>
  <c r="J239" i="11"/>
  <c r="D239" i="11"/>
  <c r="C239" i="11"/>
  <c r="B239" i="11"/>
  <c r="A239" i="11"/>
  <c r="J237" i="11"/>
  <c r="J235" i="11" s="1"/>
  <c r="C235" i="11"/>
  <c r="B235" i="11"/>
  <c r="A235" i="11"/>
  <c r="D235" i="11" s="1"/>
  <c r="J233" i="11"/>
  <c r="J231" i="11" s="1"/>
  <c r="D231" i="11"/>
  <c r="A231" i="11"/>
  <c r="J229" i="11"/>
  <c r="J227" i="11" s="1"/>
  <c r="D227" i="11"/>
  <c r="B227" i="11"/>
  <c r="A227" i="11"/>
  <c r="C227" i="11" s="1"/>
  <c r="J225" i="11"/>
  <c r="J224" i="11"/>
  <c r="H224" i="11"/>
  <c r="J223" i="11"/>
  <c r="J220" i="11" s="1"/>
  <c r="H223" i="11"/>
  <c r="J222" i="11"/>
  <c r="A220" i="11"/>
  <c r="C219" i="11"/>
  <c r="A219" i="11"/>
  <c r="B215" i="11"/>
  <c r="A215" i="11"/>
  <c r="D215" i="11" s="1"/>
  <c r="E213" i="11"/>
  <c r="A210" i="11"/>
  <c r="D210" i="11" s="1"/>
  <c r="B206" i="11"/>
  <c r="A206" i="11"/>
  <c r="A202" i="11"/>
  <c r="C198" i="11"/>
  <c r="A198" i="11"/>
  <c r="D198" i="11" s="1"/>
  <c r="F196" i="11"/>
  <c r="C194" i="11"/>
  <c r="A194" i="11"/>
  <c r="D194" i="11" s="1"/>
  <c r="F192" i="11"/>
  <c r="J192" i="11" s="1"/>
  <c r="J190" i="11" s="1"/>
  <c r="D190" i="11"/>
  <c r="B190" i="11"/>
  <c r="A190" i="11"/>
  <c r="C190" i="11" s="1"/>
  <c r="F188" i="11"/>
  <c r="J188" i="11" s="1"/>
  <c r="J186" i="11" s="1"/>
  <c r="C186" i="11"/>
  <c r="A186" i="11"/>
  <c r="B186" i="11" s="1"/>
  <c r="F183" i="11"/>
  <c r="G184" i="11" s="1"/>
  <c r="J184" i="11" s="1"/>
  <c r="D181" i="11"/>
  <c r="B181" i="11"/>
  <c r="A181" i="11"/>
  <c r="C181" i="11" s="1"/>
  <c r="C177" i="11"/>
  <c r="A177" i="11"/>
  <c r="B177" i="11" s="1"/>
  <c r="D173" i="11"/>
  <c r="C173" i="11"/>
  <c r="B173" i="11"/>
  <c r="A173" i="11"/>
  <c r="F171" i="11"/>
  <c r="D167" i="11"/>
  <c r="B167" i="11"/>
  <c r="A167" i="11"/>
  <c r="C167" i="11" s="1"/>
  <c r="H164" i="11"/>
  <c r="H171" i="11" s="1"/>
  <c r="J171" i="11" s="1"/>
  <c r="G164" i="11"/>
  <c r="J164" i="11" s="1"/>
  <c r="J161" i="11" s="1"/>
  <c r="D161" i="11"/>
  <c r="B161" i="11"/>
  <c r="A161" i="11"/>
  <c r="C161" i="11" s="1"/>
  <c r="A160" i="11"/>
  <c r="C160" i="11" s="1"/>
  <c r="J158" i="11"/>
  <c r="J156" i="11" s="1"/>
  <c r="D156" i="11"/>
  <c r="B156" i="11"/>
  <c r="A156" i="11"/>
  <c r="C156" i="11" s="1"/>
  <c r="J154" i="11"/>
  <c r="J152" i="11"/>
  <c r="D152" i="11"/>
  <c r="C152" i="11"/>
  <c r="B152" i="11"/>
  <c r="A152" i="11"/>
  <c r="J150" i="11"/>
  <c r="F150" i="11"/>
  <c r="F148" i="11"/>
  <c r="J148" i="11" s="1"/>
  <c r="J145" i="11" s="1"/>
  <c r="D145" i="11"/>
  <c r="C145" i="11"/>
  <c r="A145" i="11"/>
  <c r="B145" i="11" s="1"/>
  <c r="F143" i="11"/>
  <c r="J143" i="11" s="1"/>
  <c r="F141" i="11"/>
  <c r="J141" i="11" s="1"/>
  <c r="J140" i="11"/>
  <c r="F140" i="11"/>
  <c r="D137" i="11"/>
  <c r="A137" i="11"/>
  <c r="F135" i="11"/>
  <c r="J135" i="11" s="1"/>
  <c r="J133" i="11" s="1"/>
  <c r="C133" i="11"/>
  <c r="A133" i="11"/>
  <c r="D133" i="11" s="1"/>
  <c r="F131" i="11"/>
  <c r="J131" i="11" s="1"/>
  <c r="J129" i="11" s="1"/>
  <c r="D129" i="11"/>
  <c r="B129" i="11"/>
  <c r="A129" i="11"/>
  <c r="C129" i="11" s="1"/>
  <c r="F127" i="11"/>
  <c r="J127" i="11" s="1"/>
  <c r="C124" i="11"/>
  <c r="A124" i="11"/>
  <c r="D124" i="11" s="1"/>
  <c r="J122" i="11"/>
  <c r="I122" i="11"/>
  <c r="A119" i="11"/>
  <c r="J117" i="11"/>
  <c r="I117" i="11"/>
  <c r="J115" i="11"/>
  <c r="I121" i="11" s="1"/>
  <c r="J121" i="11" s="1"/>
  <c r="J119" i="11" s="1"/>
  <c r="I279" i="11" s="1"/>
  <c r="J279" i="11" s="1"/>
  <c r="J277" i="11" s="1"/>
  <c r="C115" i="11"/>
  <c r="A115" i="11"/>
  <c r="D115" i="11" s="1"/>
  <c r="D111" i="11"/>
  <c r="B111" i="11"/>
  <c r="A111" i="11"/>
  <c r="C111" i="11" s="1"/>
  <c r="A107" i="11"/>
  <c r="B107" i="11" s="1"/>
  <c r="F105" i="11"/>
  <c r="J105" i="11" s="1"/>
  <c r="I103" i="11"/>
  <c r="J103" i="11" s="1"/>
  <c r="J101" i="11" s="1"/>
  <c r="D101" i="11"/>
  <c r="B101" i="11"/>
  <c r="A101" i="11"/>
  <c r="C101" i="11" s="1"/>
  <c r="J99" i="11"/>
  <c r="J97" i="11"/>
  <c r="I97" i="11"/>
  <c r="J95" i="11"/>
  <c r="I275" i="11" s="1"/>
  <c r="J275" i="11" s="1"/>
  <c r="J273" i="11" s="1"/>
  <c r="D95" i="11"/>
  <c r="B95" i="11"/>
  <c r="A95" i="11"/>
  <c r="C95" i="11" s="1"/>
  <c r="A90" i="11"/>
  <c r="B90" i="11" s="1"/>
  <c r="D86" i="11"/>
  <c r="C86" i="11"/>
  <c r="B86" i="11"/>
  <c r="A86" i="11"/>
  <c r="G84" i="11"/>
  <c r="D82" i="11"/>
  <c r="C82" i="11"/>
  <c r="B82" i="11"/>
  <c r="A82" i="11"/>
  <c r="G80" i="11"/>
  <c r="D78" i="11"/>
  <c r="C78" i="11"/>
  <c r="B78" i="11"/>
  <c r="A78" i="11"/>
  <c r="G76" i="11"/>
  <c r="D74" i="11"/>
  <c r="C74" i="11"/>
  <c r="B74" i="11"/>
  <c r="A74" i="11"/>
  <c r="C73" i="11"/>
  <c r="A73" i="11"/>
  <c r="D68" i="11"/>
  <c r="A68" i="11"/>
  <c r="B68" i="11" s="1"/>
  <c r="I66" i="11"/>
  <c r="J66" i="11" s="1"/>
  <c r="J63" i="11" s="1"/>
  <c r="I71" i="11" s="1"/>
  <c r="J71" i="11" s="1"/>
  <c r="J68" i="11" s="1"/>
  <c r="D63" i="11"/>
  <c r="C63" i="11"/>
  <c r="B63" i="11"/>
  <c r="A63" i="11"/>
  <c r="J61" i="11"/>
  <c r="I61" i="11"/>
  <c r="J59" i="11"/>
  <c r="A59" i="11"/>
  <c r="D59" i="11" s="1"/>
  <c r="A58" i="11"/>
  <c r="C58" i="11" s="1"/>
  <c r="D54" i="11"/>
  <c r="C54" i="11"/>
  <c r="B54" i="11"/>
  <c r="A54" i="11"/>
  <c r="A48" i="11"/>
  <c r="B48" i="11" s="1"/>
  <c r="J46" i="11"/>
  <c r="J44" i="11"/>
  <c r="F52" i="11" s="1"/>
  <c r="J52" i="11" s="1"/>
  <c r="D44" i="11"/>
  <c r="B44" i="11"/>
  <c r="A44" i="11"/>
  <c r="C44" i="11" s="1"/>
  <c r="J42" i="11"/>
  <c r="J40" i="11"/>
  <c r="I50" i="11" s="1"/>
  <c r="J50" i="11" s="1"/>
  <c r="B40" i="11"/>
  <c r="A40" i="11"/>
  <c r="D40" i="11" s="1"/>
  <c r="F38" i="11"/>
  <c r="J38" i="11" s="1"/>
  <c r="J34" i="11" s="1"/>
  <c r="F76" i="11" s="1"/>
  <c r="F37" i="11"/>
  <c r="J37" i="11" s="1"/>
  <c r="F36" i="11"/>
  <c r="J36" i="11" s="1"/>
  <c r="D34" i="11"/>
  <c r="C34" i="11"/>
  <c r="B34" i="11"/>
  <c r="A34" i="11"/>
  <c r="C33" i="11"/>
  <c r="A33" i="11"/>
  <c r="I30" i="11"/>
  <c r="E30" i="11"/>
  <c r="J30" i="11" s="1"/>
  <c r="J28" i="11" s="1"/>
  <c r="D28" i="11"/>
  <c r="B28" i="11"/>
  <c r="A28" i="11"/>
  <c r="C28" i="11" s="1"/>
  <c r="I24" i="11"/>
  <c r="E24" i="11"/>
  <c r="J24" i="11" s="1"/>
  <c r="J22" i="11" s="1"/>
  <c r="D22" i="11"/>
  <c r="B22" i="11"/>
  <c r="A22" i="11"/>
  <c r="C22" i="11" s="1"/>
  <c r="C21" i="11"/>
  <c r="A21" i="11"/>
  <c r="J19" i="11"/>
  <c r="J16" i="11"/>
  <c r="D16" i="11"/>
  <c r="B16" i="11"/>
  <c r="A16" i="11"/>
  <c r="C16" i="11" s="1"/>
  <c r="J14" i="11"/>
  <c r="J12" i="11"/>
  <c r="D12" i="11"/>
  <c r="C12" i="11"/>
  <c r="B12" i="11"/>
  <c r="A12" i="11"/>
  <c r="C11" i="11"/>
  <c r="A11" i="11"/>
  <c r="A10" i="11"/>
  <c r="B10" i="11" s="1"/>
  <c r="J8" i="11"/>
  <c r="J8" i="11" a="1"/>
  <c r="A6" i="11"/>
  <c r="I13" i="9"/>
  <c r="J7" i="8"/>
  <c r="J8" i="8"/>
  <c r="J9" i="8" s="1"/>
  <c r="J10" i="8" s="1"/>
  <c r="J11" i="8" s="1"/>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J40" i="8" s="1"/>
  <c r="J41" i="8" s="1"/>
  <c r="J42" i="8" s="1"/>
  <c r="J43" i="8" s="1"/>
  <c r="J44" i="8" s="1"/>
  <c r="J45" i="8" s="1"/>
  <c r="J46" i="8" s="1"/>
  <c r="J47" i="8" s="1"/>
  <c r="J48" i="8" s="1"/>
  <c r="J49" i="8" s="1"/>
  <c r="J50" i="8" s="1"/>
  <c r="J51" i="8" s="1"/>
  <c r="J52" i="8" s="1"/>
  <c r="J53" i="8" s="1"/>
  <c r="J54" i="8" s="1"/>
  <c r="J55" i="8" s="1"/>
  <c r="J56" i="8" s="1"/>
  <c r="J57" i="8" s="1"/>
  <c r="J58" i="8" s="1"/>
  <c r="J59" i="8" s="1"/>
  <c r="J60" i="8" s="1"/>
  <c r="J61" i="8" s="1"/>
  <c r="J62" i="8" s="1"/>
  <c r="J63" i="8" s="1"/>
  <c r="J64" i="8" s="1"/>
  <c r="J65" i="8" s="1"/>
  <c r="J66" i="8" s="1"/>
  <c r="J67" i="8" s="1"/>
  <c r="J68" i="8" s="1"/>
  <c r="J69" i="8" s="1"/>
  <c r="J70" i="8" s="1"/>
  <c r="J71" i="8" s="1"/>
  <c r="J72" i="8" s="1"/>
  <c r="J73" i="8" s="1"/>
  <c r="J74" i="8" s="1"/>
  <c r="J75" i="8" s="1"/>
  <c r="J6" i="8"/>
  <c r="J5" i="8"/>
  <c r="J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4" i="8"/>
  <c r="I77" i="8"/>
  <c r="I9" i="9"/>
  <c r="J9" i="9" s="1"/>
  <c r="I10" i="9"/>
  <c r="C3416" i="11" l="1"/>
  <c r="C3432" i="11"/>
  <c r="D3480" i="11"/>
  <c r="C3485" i="11"/>
  <c r="B3436" i="11"/>
  <c r="C3476" i="11"/>
  <c r="D3485" i="11"/>
  <c r="I175" i="11"/>
  <c r="J175" i="11" s="1"/>
  <c r="J173" i="11" s="1"/>
  <c r="I179" i="11" s="1"/>
  <c r="J179" i="11" s="1"/>
  <c r="J177" i="11" s="1"/>
  <c r="I170" i="11"/>
  <c r="J170" i="11" s="1"/>
  <c r="J167" i="11" s="1"/>
  <c r="J322" i="11"/>
  <c r="I330" i="11" s="1"/>
  <c r="J330" i="11" s="1"/>
  <c r="J328" i="11" s="1"/>
  <c r="I499" i="11"/>
  <c r="J499" i="11" s="1"/>
  <c r="J497" i="11" s="1"/>
  <c r="I358" i="11"/>
  <c r="J358" i="11" s="1"/>
  <c r="J356" i="11" s="1"/>
  <c r="I362" i="11" s="1"/>
  <c r="J362" i="11" s="1"/>
  <c r="J360" i="11" s="1"/>
  <c r="I379" i="11"/>
  <c r="J379" i="11" s="1"/>
  <c r="J377" i="11" s="1"/>
  <c r="I383" i="11" s="1"/>
  <c r="J383" i="11" s="1"/>
  <c r="J381" i="11" s="1"/>
  <c r="I495" i="11"/>
  <c r="J495" i="11" s="1"/>
  <c r="J493" i="11" s="1"/>
  <c r="I411" i="11"/>
  <c r="J411" i="11" s="1"/>
  <c r="J438" i="11"/>
  <c r="J436" i="11" s="1"/>
  <c r="I511" i="11" s="1"/>
  <c r="J511" i="11" s="1"/>
  <c r="J509" i="11" s="1"/>
  <c r="F442" i="11"/>
  <c r="J442" i="11" s="1"/>
  <c r="J440" i="11" s="1"/>
  <c r="I598" i="11"/>
  <c r="J598" i="11" s="1"/>
  <c r="J596" i="11" s="1"/>
  <c r="I771" i="11"/>
  <c r="J771" i="11" s="1"/>
  <c r="J769" i="11" s="1"/>
  <c r="F80" i="11"/>
  <c r="J80" i="11" s="1"/>
  <c r="J78" i="11" s="1"/>
  <c r="I267" i="11" s="1"/>
  <c r="J76" i="11"/>
  <c r="J74" i="11" s="1"/>
  <c r="F84" i="11"/>
  <c r="J84" i="11" s="1"/>
  <c r="J82" i="11" s="1"/>
  <c r="J48" i="11"/>
  <c r="I56" i="11" s="1"/>
  <c r="J56" i="11" s="1"/>
  <c r="J54" i="11" s="1"/>
  <c r="I259" i="11"/>
  <c r="J259" i="11" s="1"/>
  <c r="J257" i="11" s="1"/>
  <c r="I109" i="11"/>
  <c r="J109" i="11" s="1"/>
  <c r="J107" i="11" s="1"/>
  <c r="I113" i="11" s="1"/>
  <c r="J113" i="11" s="1"/>
  <c r="J111" i="11" s="1"/>
  <c r="D1061" i="11"/>
  <c r="C1061" i="11"/>
  <c r="D1094" i="11"/>
  <c r="B1094" i="11"/>
  <c r="C1094" i="11"/>
  <c r="C1190" i="11"/>
  <c r="D1190" i="11"/>
  <c r="D1346" i="11"/>
  <c r="C1346" i="11"/>
  <c r="B1346" i="11"/>
  <c r="C538" i="11"/>
  <c r="B538" i="11"/>
  <c r="C40" i="11"/>
  <c r="B59" i="11"/>
  <c r="C215" i="11"/>
  <c r="C253" i="11"/>
  <c r="B273" i="11"/>
  <c r="B310" i="11"/>
  <c r="C322" i="11"/>
  <c r="B322" i="11"/>
  <c r="D371" i="11"/>
  <c r="C371" i="11"/>
  <c r="C436" i="11"/>
  <c r="B436" i="11"/>
  <c r="B457" i="11"/>
  <c r="B509" i="11"/>
  <c r="C515" i="11"/>
  <c r="B515" i="11"/>
  <c r="B531" i="11"/>
  <c r="D538" i="11"/>
  <c r="B546" i="11"/>
  <c r="J664" i="11"/>
  <c r="J658" i="11" s="1"/>
  <c r="I672" i="11" s="1"/>
  <c r="J672" i="11" s="1"/>
  <c r="J670" i="11" s="1"/>
  <c r="I676" i="11" s="1"/>
  <c r="J676" i="11" s="1"/>
  <c r="J674" i="11" s="1"/>
  <c r="D820" i="11"/>
  <c r="C820" i="11"/>
  <c r="B935" i="11"/>
  <c r="D935" i="11"/>
  <c r="C935" i="11"/>
  <c r="B1061" i="11"/>
  <c r="B1190" i="11"/>
  <c r="D1280" i="11"/>
  <c r="C1280" i="11"/>
  <c r="F1893" i="11"/>
  <c r="J1885" i="11"/>
  <c r="J1883" i="11" s="1"/>
  <c r="C310" i="11"/>
  <c r="D887" i="11"/>
  <c r="C887" i="11"/>
  <c r="B887" i="11"/>
  <c r="J1288" i="11"/>
  <c r="I1399" i="11"/>
  <c r="J1399" i="11" s="1"/>
  <c r="J1397" i="11" s="1"/>
  <c r="C1665" i="11"/>
  <c r="D1665" i="11"/>
  <c r="B1665" i="11"/>
  <c r="C59" i="11"/>
  <c r="C202" i="11"/>
  <c r="B202" i="11"/>
  <c r="C273" i="11"/>
  <c r="J389" i="11"/>
  <c r="I507" i="11" s="1"/>
  <c r="J507" i="11" s="1"/>
  <c r="J505" i="11" s="1"/>
  <c r="D444" i="11"/>
  <c r="C444" i="11"/>
  <c r="C457" i="11"/>
  <c r="C531" i="11"/>
  <c r="C546" i="11"/>
  <c r="J576" i="11"/>
  <c r="J573" i="11" s="1"/>
  <c r="I763" i="11" s="1"/>
  <c r="F581" i="11"/>
  <c r="J581" i="11" s="1"/>
  <c r="J578" i="11" s="1"/>
  <c r="J613" i="11"/>
  <c r="I775" i="11" s="1"/>
  <c r="J775" i="11" s="1"/>
  <c r="J773" i="11" s="1"/>
  <c r="C48" i="11"/>
  <c r="C90" i="11"/>
  <c r="D177" i="11"/>
  <c r="J183" i="11"/>
  <c r="J181" i="11" s="1"/>
  <c r="H196" i="11"/>
  <c r="F200" i="11" s="1"/>
  <c r="J200" i="11" s="1"/>
  <c r="J198" i="11" s="1"/>
  <c r="D202" i="11"/>
  <c r="B210" i="11"/>
  <c r="C231" i="11"/>
  <c r="B231" i="11"/>
  <c r="D302" i="11"/>
  <c r="J349" i="11"/>
  <c r="J346" i="11" s="1"/>
  <c r="D364" i="11"/>
  <c r="C364" i="11"/>
  <c r="C399" i="11"/>
  <c r="B399" i="11"/>
  <c r="B444" i="11"/>
  <c r="B452" i="11"/>
  <c r="D509" i="11"/>
  <c r="B525" i="11"/>
  <c r="B609" i="11"/>
  <c r="C630" i="11"/>
  <c r="B630" i="11"/>
  <c r="D658" i="11"/>
  <c r="C658" i="11"/>
  <c r="J891" i="11"/>
  <c r="I1004" i="11" s="1"/>
  <c r="J1004" i="11" s="1"/>
  <c r="J1002" i="11" s="1"/>
  <c r="D1046" i="11"/>
  <c r="C1046" i="11"/>
  <c r="D501" i="11"/>
  <c r="C501" i="11"/>
  <c r="D253" i="11"/>
  <c r="D385" i="11"/>
  <c r="C385" i="11"/>
  <c r="D48" i="11"/>
  <c r="D90" i="11"/>
  <c r="C137" i="11"/>
  <c r="B137" i="11"/>
  <c r="C210" i="11"/>
  <c r="D269" i="11"/>
  <c r="C269" i="11"/>
  <c r="B364" i="11"/>
  <c r="D399" i="11"/>
  <c r="J412" i="11"/>
  <c r="C452" i="11"/>
  <c r="C497" i="11"/>
  <c r="B497" i="11"/>
  <c r="C525" i="11"/>
  <c r="D542" i="11"/>
  <c r="C542" i="11"/>
  <c r="B555" i="11"/>
  <c r="C600" i="11"/>
  <c r="B600" i="11"/>
  <c r="C609" i="11"/>
  <c r="B618" i="11"/>
  <c r="D630" i="11"/>
  <c r="B658" i="11"/>
  <c r="D691" i="11"/>
  <c r="C691" i="11"/>
  <c r="B691" i="11"/>
  <c r="D714" i="11"/>
  <c r="C714" i="11"/>
  <c r="B714" i="11"/>
  <c r="D858" i="11"/>
  <c r="C858" i="11"/>
  <c r="B858" i="11"/>
  <c r="B1046" i="11"/>
  <c r="D1178" i="11"/>
  <c r="C1178" i="11"/>
  <c r="J1474" i="11"/>
  <c r="J1472" i="11" s="1"/>
  <c r="C265" i="11"/>
  <c r="B265" i="11"/>
  <c r="C341" i="11"/>
  <c r="B341" i="11"/>
  <c r="C119" i="11"/>
  <c r="B119" i="11"/>
  <c r="D220" i="11"/>
  <c r="C220" i="11"/>
  <c r="D394" i="11"/>
  <c r="C394" i="11"/>
  <c r="I491" i="11"/>
  <c r="J491" i="11" s="1"/>
  <c r="J489" i="11" s="1"/>
  <c r="C555" i="11"/>
  <c r="C618" i="11"/>
  <c r="D825" i="11"/>
  <c r="C825" i="11"/>
  <c r="C68" i="11"/>
  <c r="C107" i="11"/>
  <c r="D119" i="11"/>
  <c r="F126" i="11"/>
  <c r="J126" i="11" s="1"/>
  <c r="J124" i="11" s="1"/>
  <c r="D186" i="11"/>
  <c r="D206" i="11"/>
  <c r="C206" i="11"/>
  <c r="B220" i="11"/>
  <c r="C290" i="11"/>
  <c r="C381" i="11"/>
  <c r="B381" i="11"/>
  <c r="B394" i="11"/>
  <c r="J401" i="11"/>
  <c r="J399" i="11" s="1"/>
  <c r="C414" i="11"/>
  <c r="C440" i="11"/>
  <c r="B440" i="11"/>
  <c r="B467" i="11"/>
  <c r="D485" i="11"/>
  <c r="C505" i="11"/>
  <c r="C519" i="11"/>
  <c r="C587" i="11"/>
  <c r="B587" i="11"/>
  <c r="C639" i="11"/>
  <c r="B639" i="11"/>
  <c r="D695" i="11"/>
  <c r="C695" i="11"/>
  <c r="D749" i="11"/>
  <c r="C749" i="11"/>
  <c r="B749" i="11"/>
  <c r="J814" i="11"/>
  <c r="I822" i="11" s="1"/>
  <c r="J822" i="11" s="1"/>
  <c r="J820" i="11" s="1"/>
  <c r="B825" i="11"/>
  <c r="I881" i="11"/>
  <c r="J881" i="11" s="1"/>
  <c r="J879" i="11" s="1"/>
  <c r="I885" i="11" s="1"/>
  <c r="J885" i="11" s="1"/>
  <c r="J883" i="11" s="1"/>
  <c r="C1028" i="11"/>
  <c r="D1028" i="11"/>
  <c r="D1123" i="11"/>
  <c r="C1123" i="11"/>
  <c r="D1235" i="11"/>
  <c r="C1235" i="11"/>
  <c r="B1235" i="11"/>
  <c r="D107" i="11"/>
  <c r="J137" i="11"/>
  <c r="D290" i="11"/>
  <c r="C360" i="11"/>
  <c r="B360" i="11"/>
  <c r="D604" i="11"/>
  <c r="C604" i="11"/>
  <c r="D648" i="11"/>
  <c r="C648" i="11"/>
  <c r="J731" i="11"/>
  <c r="I616" i="11" s="1"/>
  <c r="J616" i="11" s="1"/>
  <c r="D753" i="11"/>
  <c r="C753" i="11"/>
  <c r="D814" i="11"/>
  <c r="C814" i="11"/>
  <c r="F851" i="11"/>
  <c r="J841" i="11"/>
  <c r="J838" i="11" s="1"/>
  <c r="D906" i="11"/>
  <c r="C906" i="11"/>
  <c r="C923" i="11"/>
  <c r="D923" i="11"/>
  <c r="J1087" i="11"/>
  <c r="J1084" i="11" s="1"/>
  <c r="I1196" i="11" s="1"/>
  <c r="I1109" i="11"/>
  <c r="J1109" i="11" s="1"/>
  <c r="J1107" i="11" s="1"/>
  <c r="F1143" i="11"/>
  <c r="J1143" i="11" s="1"/>
  <c r="J1141" i="11" s="1"/>
  <c r="B1228" i="11"/>
  <c r="D1228" i="11"/>
  <c r="D1333" i="11"/>
  <c r="B1333" i="11"/>
  <c r="C1333" i="11"/>
  <c r="B1463" i="11"/>
  <c r="C1463" i="11"/>
  <c r="B1644" i="11"/>
  <c r="D1644" i="11"/>
  <c r="C1644" i="11"/>
  <c r="H1748" i="11"/>
  <c r="J1748" i="11" s="1"/>
  <c r="J1745" i="11" s="1"/>
  <c r="I1752" i="11" s="1"/>
  <c r="J1752" i="11" s="1"/>
  <c r="J1750" i="11" s="1"/>
  <c r="I1739" i="11"/>
  <c r="J1739" i="11" s="1"/>
  <c r="J1737" i="11" s="1"/>
  <c r="I1743" i="11" s="1"/>
  <c r="J1743" i="11" s="1"/>
  <c r="J1741" i="11" s="1"/>
  <c r="B678" i="11"/>
  <c r="B687" i="11"/>
  <c r="B745" i="11"/>
  <c r="B853" i="11"/>
  <c r="F917" i="11"/>
  <c r="J913" i="11"/>
  <c r="J911" i="11" s="1"/>
  <c r="C919" i="11"/>
  <c r="C959" i="11"/>
  <c r="B959" i="11"/>
  <c r="B990" i="11"/>
  <c r="D1111" i="11"/>
  <c r="C1111" i="11"/>
  <c r="B1111" i="11"/>
  <c r="D1145" i="11"/>
  <c r="B1145" i="11"/>
  <c r="J1150" i="11"/>
  <c r="C1228" i="11"/>
  <c r="D1247" i="11"/>
  <c r="C1247" i="11"/>
  <c r="D1463" i="11"/>
  <c r="C1840" i="11"/>
  <c r="D1840" i="11"/>
  <c r="B1840" i="11"/>
  <c r="B115" i="11"/>
  <c r="B124" i="11"/>
  <c r="B133" i="11"/>
  <c r="B194" i="11"/>
  <c r="B198" i="11"/>
  <c r="B261" i="11"/>
  <c r="B328" i="11"/>
  <c r="B337" i="11"/>
  <c r="B346" i="11"/>
  <c r="B351" i="11"/>
  <c r="B356" i="11"/>
  <c r="B377" i="11"/>
  <c r="B404" i="11"/>
  <c r="B409" i="11"/>
  <c r="B422" i="11"/>
  <c r="B432" i="11"/>
  <c r="B493" i="11"/>
  <c r="B596" i="11"/>
  <c r="B674" i="11"/>
  <c r="B683" i="11"/>
  <c r="B726" i="11"/>
  <c r="B731" i="11"/>
  <c r="B741" i="11"/>
  <c r="B773" i="11"/>
  <c r="B810" i="11"/>
  <c r="B848" i="11"/>
  <c r="C853" i="11"/>
  <c r="B883" i="11"/>
  <c r="D919" i="11"/>
  <c r="D959" i="11"/>
  <c r="B978" i="11"/>
  <c r="D1022" i="11"/>
  <c r="D1102" i="11"/>
  <c r="C1119" i="11"/>
  <c r="B1133" i="11"/>
  <c r="C1145" i="11"/>
  <c r="B1247" i="11"/>
  <c r="I1311" i="11"/>
  <c r="J1311" i="11" s="1"/>
  <c r="C1548" i="11"/>
  <c r="D1548" i="11"/>
  <c r="C1561" i="11"/>
  <c r="D1561" i="11"/>
  <c r="B1561" i="11"/>
  <c r="C1815" i="11"/>
  <c r="D1815" i="11"/>
  <c r="C1016" i="11"/>
  <c r="D1016" i="11"/>
  <c r="B1222" i="11"/>
  <c r="C1222" i="11"/>
  <c r="B1264" i="11"/>
  <c r="D1264" i="11"/>
  <c r="C1264" i="11"/>
  <c r="D1972" i="11"/>
  <c r="B1972" i="11"/>
  <c r="C1972" i="11"/>
  <c r="B722" i="11"/>
  <c r="B765" i="11"/>
  <c r="B806" i="11"/>
  <c r="C843" i="11"/>
  <c r="B866" i="11"/>
  <c r="B873" i="11"/>
  <c r="B879" i="11"/>
  <c r="B927" i="11"/>
  <c r="D986" i="11"/>
  <c r="C986" i="11"/>
  <c r="D998" i="11"/>
  <c r="B1016" i="11"/>
  <c r="C1050" i="11"/>
  <c r="C1074" i="11"/>
  <c r="B1128" i="11"/>
  <c r="C1155" i="11"/>
  <c r="B1155" i="11"/>
  <c r="D1222" i="11"/>
  <c r="I1408" i="11"/>
  <c r="J1408" i="11" s="1"/>
  <c r="J1406" i="11" s="1"/>
  <c r="I1282" i="11"/>
  <c r="J1282" i="11" s="1"/>
  <c r="J1280" i="11" s="1"/>
  <c r="I1286" i="11" s="1"/>
  <c r="J1286" i="11" s="1"/>
  <c r="J1284" i="11" s="1"/>
  <c r="D1006" i="11"/>
  <c r="C1006" i="11"/>
  <c r="C1084" i="11"/>
  <c r="B1084" i="11"/>
  <c r="F1092" i="11"/>
  <c r="J1092" i="11" s="1"/>
  <c r="J1089" i="11" s="1"/>
  <c r="D1115" i="11"/>
  <c r="B1115" i="11"/>
  <c r="C1141" i="11"/>
  <c r="B1141" i="11"/>
  <c r="C1163" i="11"/>
  <c r="D1163" i="11"/>
  <c r="B1163" i="11"/>
  <c r="B1202" i="11"/>
  <c r="D1202" i="11"/>
  <c r="C1252" i="11"/>
  <c r="D1252" i="11"/>
  <c r="H1312" i="11"/>
  <c r="J1312" i="11" s="1"/>
  <c r="H1360" i="11"/>
  <c r="I1352" i="11"/>
  <c r="J1352" i="11" s="1"/>
  <c r="J1350" i="11" s="1"/>
  <c r="I1356" i="11" s="1"/>
  <c r="J1356" i="11" s="1"/>
  <c r="J1354" i="11" s="1"/>
  <c r="J1360" i="11"/>
  <c r="J1358" i="11" s="1"/>
  <c r="C1389" i="11"/>
  <c r="D1389" i="11"/>
  <c r="D1455" i="11"/>
  <c r="C1455" i="11"/>
  <c r="B1455" i="11"/>
  <c r="F1478" i="11"/>
  <c r="J1478" i="11" s="1"/>
  <c r="J1476" i="11" s="1"/>
  <c r="I1585" i="11" s="1"/>
  <c r="J1470" i="11"/>
  <c r="J1468" i="11" s="1"/>
  <c r="D1787" i="11"/>
  <c r="C1787" i="11"/>
  <c r="B1787" i="11"/>
  <c r="I2304" i="11"/>
  <c r="J2304" i="11" s="1"/>
  <c r="J2302" i="11" s="1"/>
  <c r="G1327" i="11"/>
  <c r="J1327" i="11" s="1"/>
  <c r="J1326" i="11"/>
  <c r="B1354" i="11"/>
  <c r="D1354" i="11"/>
  <c r="C1425" i="11"/>
  <c r="D1425" i="11"/>
  <c r="B1425" i="11"/>
  <c r="B1500" i="11"/>
  <c r="C1500" i="11"/>
  <c r="J1512" i="11"/>
  <c r="I1597" i="11" s="1"/>
  <c r="J1597" i="11" s="1"/>
  <c r="J1595" i="11" s="1"/>
  <c r="C1669" i="11"/>
  <c r="D1669" i="11"/>
  <c r="B1687" i="11"/>
  <c r="D1687" i="11"/>
  <c r="C1923" i="11"/>
  <c r="B1923" i="11"/>
  <c r="D1923" i="11"/>
  <c r="H2018" i="11"/>
  <c r="J2018" i="11" s="1"/>
  <c r="J2015" i="11" s="1"/>
  <c r="I2022" i="11" s="1"/>
  <c r="J2022" i="11" s="1"/>
  <c r="J2020" i="11" s="1"/>
  <c r="I2009" i="11"/>
  <c r="J2009" i="11" s="1"/>
  <c r="J2007" i="11" s="1"/>
  <c r="I2013" i="11" s="1"/>
  <c r="J2013" i="11" s="1"/>
  <c r="J2011" i="11" s="1"/>
  <c r="C1089" i="11"/>
  <c r="D1150" i="11"/>
  <c r="D1216" i="11"/>
  <c r="B1243" i="11"/>
  <c r="C1309" i="11"/>
  <c r="C1354" i="11"/>
  <c r="B1362" i="11"/>
  <c r="D1442" i="11"/>
  <c r="D1500" i="11"/>
  <c r="B1508" i="11"/>
  <c r="B1669" i="11"/>
  <c r="C1687" i="11"/>
  <c r="D1907" i="11"/>
  <c r="B1907" i="11"/>
  <c r="C1907" i="11"/>
  <c r="D2007" i="11"/>
  <c r="B2007" i="11"/>
  <c r="C2007" i="11"/>
  <c r="D2523" i="11"/>
  <c r="B2523" i="11"/>
  <c r="C2523" i="11"/>
  <c r="D2644" i="11"/>
  <c r="B2644" i="11"/>
  <c r="C2644" i="11"/>
  <c r="J906" i="11"/>
  <c r="B1002" i="11"/>
  <c r="B1194" i="11"/>
  <c r="D1243" i="11"/>
  <c r="J1269" i="11"/>
  <c r="C1288" i="11"/>
  <c r="B1295" i="11"/>
  <c r="C1305" i="11"/>
  <c r="D1309" i="11"/>
  <c r="C1329" i="11"/>
  <c r="D1329" i="11"/>
  <c r="D1362" i="11"/>
  <c r="B1376" i="11"/>
  <c r="C1384" i="11"/>
  <c r="D1384" i="11"/>
  <c r="B1384" i="11"/>
  <c r="D1393" i="11"/>
  <c r="B1393" i="11"/>
  <c r="F1482" i="11"/>
  <c r="J1482" i="11" s="1"/>
  <c r="J1480" i="11" s="1"/>
  <c r="D1492" i="11"/>
  <c r="C1492" i="11"/>
  <c r="B1492" i="11"/>
  <c r="C1508" i="11"/>
  <c r="B1567" i="11"/>
  <c r="D1567" i="11"/>
  <c r="C1567" i="11"/>
  <c r="B1583" i="11"/>
  <c r="D1583" i="11"/>
  <c r="B1601" i="11"/>
  <c r="D1601" i="11"/>
  <c r="C1601" i="11"/>
  <c r="B1729" i="11"/>
  <c r="D1729" i="11"/>
  <c r="I1593" i="11"/>
  <c r="J1593" i="11" s="1"/>
  <c r="J1591" i="11" s="1"/>
  <c r="I1498" i="11"/>
  <c r="J1498" i="11" s="1"/>
  <c r="J1496" i="11" s="1"/>
  <c r="C1627" i="11"/>
  <c r="D1627" i="11"/>
  <c r="D2310" i="11"/>
  <c r="C2310" i="11"/>
  <c r="B2310" i="11"/>
  <c r="J2560" i="11"/>
  <c r="J2558" i="11" s="1"/>
  <c r="I2564" i="11"/>
  <c r="J2564" i="11" s="1"/>
  <c r="J2562" i="11" s="1"/>
  <c r="F2493" i="11"/>
  <c r="J2493" i="11" s="1"/>
  <c r="J2491" i="11" s="1"/>
  <c r="J2489" i="11"/>
  <c r="J2487" i="11" s="1"/>
  <c r="I2576" i="11" s="1"/>
  <c r="J2576" i="11" s="1"/>
  <c r="J2574" i="11" s="1"/>
  <c r="C1338" i="11"/>
  <c r="B1338" i="11"/>
  <c r="C1358" i="11"/>
  <c r="B1358" i="11"/>
  <c r="C1371" i="11"/>
  <c r="D1371" i="11"/>
  <c r="B1401" i="11"/>
  <c r="D1401" i="11"/>
  <c r="C1401" i="11"/>
  <c r="C1431" i="11"/>
  <c r="D1431" i="11"/>
  <c r="D1526" i="11"/>
  <c r="C1526" i="11"/>
  <c r="B1526" i="11"/>
  <c r="D1741" i="11"/>
  <c r="C1741" i="11"/>
  <c r="B1741" i="11"/>
  <c r="J1344" i="11"/>
  <c r="J1342" i="11" s="1"/>
  <c r="I1412" i="11" s="1"/>
  <c r="J1412" i="11" s="1"/>
  <c r="J1410" i="11" s="1"/>
  <c r="J1913" i="11"/>
  <c r="J2029" i="11"/>
  <c r="B2078" i="11"/>
  <c r="D2078" i="11"/>
  <c r="C2078" i="11"/>
  <c r="I1793" i="11"/>
  <c r="J1793" i="11" s="1"/>
  <c r="J1791" i="11" s="1"/>
  <c r="D2105" i="11"/>
  <c r="C2105" i="11"/>
  <c r="B2105" i="11"/>
  <c r="J2156" i="11"/>
  <c r="I2316" i="11" s="1"/>
  <c r="J2316" i="11" s="1"/>
  <c r="J2314" i="11" s="1"/>
  <c r="I2164" i="11"/>
  <c r="J2164" i="11" s="1"/>
  <c r="J2162" i="11" s="1"/>
  <c r="J2350" i="11"/>
  <c r="J2442" i="11"/>
  <c r="I2572" i="11" s="1"/>
  <c r="J2572" i="11" s="1"/>
  <c r="J2570" i="11" s="1"/>
  <c r="C1635" i="11"/>
  <c r="B1652" i="11"/>
  <c r="B1657" i="11"/>
  <c r="F1671" i="11"/>
  <c r="J1671" i="11" s="1"/>
  <c r="J1669" i="11" s="1"/>
  <c r="D1799" i="11"/>
  <c r="C1811" i="11"/>
  <c r="D1834" i="11"/>
  <c r="C1855" i="11"/>
  <c r="B1870" i="11"/>
  <c r="D1966" i="11"/>
  <c r="B1966" i="11"/>
  <c r="D2058" i="11"/>
  <c r="C2058" i="11"/>
  <c r="B2058" i="11"/>
  <c r="I2412" i="11"/>
  <c r="J2412" i="11" s="1"/>
  <c r="J2410" i="11" s="1"/>
  <c r="I2416" i="11" s="1"/>
  <c r="J2416" i="11" s="1"/>
  <c r="J2414" i="11" s="1"/>
  <c r="I2555" i="11"/>
  <c r="J2555" i="11" s="1"/>
  <c r="J2553" i="11" s="1"/>
  <c r="J2447" i="11"/>
  <c r="F1667" i="11"/>
  <c r="J1667" i="11" s="1"/>
  <c r="J1665" i="11" s="1"/>
  <c r="I1805" i="11" s="1"/>
  <c r="B2118" i="11"/>
  <c r="D2118" i="11"/>
  <c r="C2118" i="11"/>
  <c r="D2180" i="11"/>
  <c r="C2180" i="11"/>
  <c r="B2180" i="11"/>
  <c r="D2223" i="11"/>
  <c r="C2223" i="11"/>
  <c r="B2223" i="11"/>
  <c r="I2426" i="11"/>
  <c r="J2426" i="11" s="1"/>
  <c r="J2424" i="11" s="1"/>
  <c r="J2418" i="11"/>
  <c r="I2568" i="11" s="1"/>
  <c r="J2568" i="11" s="1"/>
  <c r="J2566" i="11" s="1"/>
  <c r="B2965" i="11"/>
  <c r="C2965" i="11"/>
  <c r="D2965" i="11"/>
  <c r="C1446" i="11"/>
  <c r="D1488" i="11"/>
  <c r="C1517" i="11"/>
  <c r="D1522" i="11"/>
  <c r="C1575" i="11"/>
  <c r="B1587" i="11"/>
  <c r="C1610" i="11"/>
  <c r="J1618" i="11"/>
  <c r="J1616" i="11" s="1"/>
  <c r="C1677" i="11"/>
  <c r="I1689" i="11"/>
  <c r="J1689" i="11" s="1"/>
  <c r="J1687" i="11" s="1"/>
  <c r="J1681" i="11"/>
  <c r="I1813" i="11" s="1"/>
  <c r="J1813" i="11" s="1"/>
  <c r="J1811" i="11" s="1"/>
  <c r="C1697" i="11"/>
  <c r="C1721" i="11"/>
  <c r="J1731" i="11"/>
  <c r="J1729" i="11" s="1"/>
  <c r="I1821" i="11" s="1"/>
  <c r="J1821" i="11" s="1"/>
  <c r="J1819" i="11" s="1"/>
  <c r="D1737" i="11"/>
  <c r="B1754" i="11"/>
  <c r="D1764" i="11"/>
  <c r="J1781" i="11"/>
  <c r="I1708" i="11" s="1"/>
  <c r="J1708" i="11" s="1"/>
  <c r="J1705" i="11" s="1"/>
  <c r="I1817" i="11" s="1"/>
  <c r="J1817" i="11" s="1"/>
  <c r="J1815" i="11" s="1"/>
  <c r="C1795" i="11"/>
  <c r="B1819" i="11"/>
  <c r="D1851" i="11"/>
  <c r="B1851" i="11"/>
  <c r="C1953" i="11"/>
  <c r="D1953" i="11"/>
  <c r="B1953" i="11"/>
  <c r="D1995" i="11"/>
  <c r="C1995" i="11"/>
  <c r="B1995" i="11"/>
  <c r="C2029" i="11"/>
  <c r="B2029" i="11"/>
  <c r="B2062" i="11"/>
  <c r="D2062" i="11"/>
  <c r="D2389" i="11"/>
  <c r="C2389" i="11"/>
  <c r="B2389" i="11"/>
  <c r="D2531" i="11"/>
  <c r="B2531" i="11"/>
  <c r="C2531" i="11"/>
  <c r="I2806" i="11"/>
  <c r="J2806" i="11" s="1"/>
  <c r="J2804" i="11" s="1"/>
  <c r="I2674" i="11"/>
  <c r="J2674" i="11" s="1"/>
  <c r="J2672" i="11" s="1"/>
  <c r="I2678" i="11" s="1"/>
  <c r="J2678" i="11" s="1"/>
  <c r="J2676" i="11" s="1"/>
  <c r="J3143" i="11"/>
  <c r="J3141" i="11" s="1"/>
  <c r="I3147" i="11"/>
  <c r="J3147" i="11" s="1"/>
  <c r="J3145" i="11" s="1"/>
  <c r="J1758" i="11"/>
  <c r="D1961" i="11"/>
  <c r="B1961" i="11"/>
  <c r="B2003" i="11"/>
  <c r="D2003" i="11"/>
  <c r="H2238" i="11"/>
  <c r="J2234" i="11"/>
  <c r="J2232" i="11" s="1"/>
  <c r="B2734" i="11"/>
  <c r="C2734" i="11"/>
  <c r="D2734" i="11"/>
  <c r="J2142" i="11"/>
  <c r="J2140" i="11" s="1"/>
  <c r="I2308" i="11" s="1"/>
  <c r="D2636" i="11"/>
  <c r="B2636" i="11"/>
  <c r="H2761" i="11"/>
  <c r="J2761" i="11" s="1"/>
  <c r="J2758" i="11" s="1"/>
  <c r="I2765" i="11" s="1"/>
  <c r="J2765" i="11" s="1"/>
  <c r="J2763" i="11" s="1"/>
  <c r="J2918" i="11"/>
  <c r="D2992" i="11"/>
  <c r="C2992" i="11"/>
  <c r="B2992" i="11"/>
  <c r="J3085" i="11"/>
  <c r="B1986" i="11"/>
  <c r="C2020" i="11"/>
  <c r="B2036" i="11"/>
  <c r="B2053" i="11"/>
  <c r="B2100" i="11"/>
  <c r="D2541" i="11"/>
  <c r="B2541" i="11"/>
  <c r="B2778" i="11"/>
  <c r="D2778" i="11"/>
  <c r="C2778" i="11"/>
  <c r="J3007" i="11"/>
  <c r="D3020" i="11"/>
  <c r="C3020" i="11"/>
  <c r="B3020" i="11"/>
  <c r="B3103" i="11"/>
  <c r="C3103" i="11"/>
  <c r="D3103" i="11"/>
  <c r="D3129" i="11"/>
  <c r="C3129" i="11"/>
  <c r="B3129" i="11"/>
  <c r="J1969" i="11"/>
  <c r="J1966" i="11" s="1"/>
  <c r="B1991" i="11"/>
  <c r="C2015" i="11"/>
  <c r="D2020" i="11"/>
  <c r="B2048" i="11"/>
  <c r="B2070" i="11"/>
  <c r="B2090" i="11"/>
  <c r="C2100" i="11"/>
  <c r="J2138" i="11"/>
  <c r="J2136" i="11" s="1"/>
  <c r="C2144" i="11"/>
  <c r="F2187" i="11"/>
  <c r="J2187" i="11" s="1"/>
  <c r="J2185" i="11" s="1"/>
  <c r="B2194" i="11"/>
  <c r="J2206" i="11"/>
  <c r="J2203" i="11" s="1"/>
  <c r="C2252" i="11"/>
  <c r="B2294" i="11"/>
  <c r="D2322" i="11"/>
  <c r="C2328" i="11"/>
  <c r="C2406" i="11"/>
  <c r="D2410" i="11"/>
  <c r="B2424" i="11"/>
  <c r="B2430" i="11"/>
  <c r="C2452" i="11"/>
  <c r="B2464" i="11"/>
  <c r="D2495" i="11"/>
  <c r="C2541" i="11"/>
  <c r="B2606" i="11"/>
  <c r="D2606" i="11"/>
  <c r="J2638" i="11"/>
  <c r="J2636" i="11" s="1"/>
  <c r="D2648" i="11"/>
  <c r="B2648" i="11"/>
  <c r="B2703" i="11"/>
  <c r="D2703" i="11"/>
  <c r="C2703" i="11"/>
  <c r="C2729" i="11"/>
  <c r="B2729" i="11"/>
  <c r="I2945" i="11"/>
  <c r="J2945" i="11" s="1"/>
  <c r="J2943" i="11" s="1"/>
  <c r="I2949" i="11" s="1"/>
  <c r="J2949" i="11" s="1"/>
  <c r="J2947" i="11" s="1"/>
  <c r="C3163" i="11"/>
  <c r="D3163" i="11"/>
  <c r="B3163" i="11"/>
  <c r="C2294" i="11"/>
  <c r="D2406" i="11"/>
  <c r="C2424" i="11"/>
  <c r="D2430" i="11"/>
  <c r="D2464" i="11"/>
  <c r="D2519" i="11"/>
  <c r="B2519" i="11"/>
  <c r="B2527" i="11"/>
  <c r="D2527" i="11"/>
  <c r="D2549" i="11"/>
  <c r="B2549" i="11"/>
  <c r="D2558" i="11"/>
  <c r="B2558" i="11"/>
  <c r="D2631" i="11"/>
  <c r="B2631" i="11"/>
  <c r="C2891" i="11"/>
  <c r="D2891" i="11"/>
  <c r="B2891" i="11"/>
  <c r="D2922" i="11"/>
  <c r="C2922" i="11"/>
  <c r="B2922" i="11"/>
  <c r="J3015" i="11"/>
  <c r="I3022" i="11" s="1"/>
  <c r="J3022" i="11" s="1"/>
  <c r="J3020" i="11" s="1"/>
  <c r="I3026" i="11" s="1"/>
  <c r="J3026" i="11" s="1"/>
  <c r="J3024" i="11" s="1"/>
  <c r="I3353" i="11"/>
  <c r="J3353" i="11" s="1"/>
  <c r="J3351" i="11" s="1"/>
  <c r="J2060" i="11"/>
  <c r="J2058" i="11" s="1"/>
  <c r="B2066" i="11"/>
  <c r="B2086" i="11"/>
  <c r="C2096" i="11"/>
  <c r="C2140" i="11"/>
  <c r="B2152" i="11"/>
  <c r="J2225" i="11"/>
  <c r="J2223" i="11" s="1"/>
  <c r="B2232" i="11"/>
  <c r="B2248" i="11"/>
  <c r="C2318" i="11"/>
  <c r="C2343" i="11"/>
  <c r="B2350" i="11"/>
  <c r="D2491" i="11"/>
  <c r="B2491" i="11"/>
  <c r="C2519" i="11"/>
  <c r="C2527" i="11"/>
  <c r="D2536" i="11"/>
  <c r="B2536" i="11"/>
  <c r="C2549" i="11"/>
  <c r="C2558" i="11"/>
  <c r="B2566" i="11"/>
  <c r="D2566" i="11"/>
  <c r="D2574" i="11"/>
  <c r="B2574" i="11"/>
  <c r="D2623" i="11"/>
  <c r="C2623" i="11"/>
  <c r="B2623" i="11"/>
  <c r="C2631" i="11"/>
  <c r="D2640" i="11"/>
  <c r="B2640" i="11"/>
  <c r="D2943" i="11"/>
  <c r="C2943" i="11"/>
  <c r="B2943" i="11"/>
  <c r="J2951" i="11"/>
  <c r="I2957" i="11"/>
  <c r="J2957" i="11" s="1"/>
  <c r="J2955" i="11" s="1"/>
  <c r="I3155" i="11" s="1"/>
  <c r="J3155" i="11" s="1"/>
  <c r="J3153" i="11" s="1"/>
  <c r="J2466" i="11"/>
  <c r="J2464" i="11" s="1"/>
  <c r="F2462" i="11"/>
  <c r="J2462" i="11" s="1"/>
  <c r="J2460" i="11" s="1"/>
  <c r="D2513" i="11"/>
  <c r="B2513" i="11"/>
  <c r="D2652" i="11"/>
  <c r="B2652" i="11"/>
  <c r="J2969" i="11"/>
  <c r="D1931" i="11"/>
  <c r="C1978" i="11"/>
  <c r="D2044" i="11"/>
  <c r="B2082" i="11"/>
  <c r="D2131" i="11"/>
  <c r="D2136" i="11"/>
  <c r="C2172" i="11"/>
  <c r="D2190" i="11"/>
  <c r="C2209" i="11"/>
  <c r="C2215" i="11"/>
  <c r="D2272" i="11"/>
  <c r="B2285" i="11"/>
  <c r="D2290" i="11"/>
  <c r="C2302" i="11"/>
  <c r="C2332" i="11"/>
  <c r="D2337" i="11"/>
  <c r="D2368" i="11"/>
  <c r="B2376" i="11"/>
  <c r="D2381" i="11"/>
  <c r="B2414" i="11"/>
  <c r="D2460" i="11"/>
  <c r="C2474" i="11"/>
  <c r="D2487" i="11"/>
  <c r="B2487" i="11"/>
  <c r="C2499" i="11"/>
  <c r="C2513" i="11"/>
  <c r="D2610" i="11"/>
  <c r="B2610" i="11"/>
  <c r="C2652" i="11"/>
  <c r="D2861" i="11"/>
  <c r="C2861" i="11"/>
  <c r="B2861" i="11"/>
  <c r="D3015" i="11"/>
  <c r="C3015" i="11"/>
  <c r="B3015" i="11"/>
  <c r="D2750" i="11"/>
  <c r="D2808" i="11"/>
  <c r="J2908" i="11"/>
  <c r="I3151" i="11" s="1"/>
  <c r="J3151" i="11" s="1"/>
  <c r="J3149" i="11" s="1"/>
  <c r="J3052" i="11"/>
  <c r="J3050" i="11" s="1"/>
  <c r="H3056" i="11"/>
  <c r="F3060" i="11" s="1"/>
  <c r="D3091" i="11"/>
  <c r="B3091" i="11"/>
  <c r="C3172" i="11"/>
  <c r="D3172" i="11"/>
  <c r="B3172" i="11"/>
  <c r="B2820" i="11"/>
  <c r="D2820" i="11"/>
  <c r="I2917" i="11"/>
  <c r="I3123" i="11"/>
  <c r="J3123" i="11" s="1"/>
  <c r="J3121" i="11" s="1"/>
  <c r="C3197" i="11"/>
  <c r="B3216" i="11"/>
  <c r="D3216" i="11"/>
  <c r="C2676" i="11"/>
  <c r="B2698" i="11"/>
  <c r="B2721" i="11"/>
  <c r="B2774" i="11"/>
  <c r="C2786" i="11"/>
  <c r="J2798" i="11"/>
  <c r="J2796" i="11" s="1"/>
  <c r="C2820" i="11"/>
  <c r="D2843" i="11"/>
  <c r="C2874" i="11"/>
  <c r="C2886" i="11"/>
  <c r="J2917" i="11"/>
  <c r="J2914" i="11" s="1"/>
  <c r="B2935" i="11"/>
  <c r="C2939" i="11"/>
  <c r="B3028" i="11"/>
  <c r="B3054" i="11"/>
  <c r="D3085" i="11"/>
  <c r="C3137" i="11"/>
  <c r="B3137" i="11"/>
  <c r="D3157" i="11"/>
  <c r="D3197" i="11"/>
  <c r="D3208" i="11"/>
  <c r="B3208" i="11"/>
  <c r="C3216" i="11"/>
  <c r="D3294" i="11"/>
  <c r="C3294" i="11"/>
  <c r="C2698" i="11"/>
  <c r="C2721" i="11"/>
  <c r="C2774" i="11"/>
  <c r="D2874" i="11"/>
  <c r="D2886" i="11"/>
  <c r="C2935" i="11"/>
  <c r="C3028" i="11"/>
  <c r="C3054" i="11"/>
  <c r="C3265" i="11"/>
  <c r="D3265" i="11"/>
  <c r="B2619" i="11"/>
  <c r="F2642" i="11"/>
  <c r="J2642" i="11" s="1"/>
  <c r="J2640" i="11" s="1"/>
  <c r="F2646" i="11"/>
  <c r="B2684" i="11"/>
  <c r="J2705" i="11"/>
  <c r="J2703" i="11" s="1"/>
  <c r="B2800" i="11"/>
  <c r="B2828" i="11"/>
  <c r="B2882" i="11"/>
  <c r="B2895" i="11"/>
  <c r="B2914" i="11"/>
  <c r="B2931" i="11"/>
  <c r="B2969" i="11"/>
  <c r="D3007" i="11"/>
  <c r="B3007" i="11"/>
  <c r="B3081" i="11"/>
  <c r="B3107" i="11"/>
  <c r="C3225" i="11"/>
  <c r="B3225" i="11"/>
  <c r="D3225" i="11"/>
  <c r="J3259" i="11"/>
  <c r="J3257" i="11" s="1"/>
  <c r="F3263" i="11"/>
  <c r="J3263" i="11" s="1"/>
  <c r="J3261" i="11" s="1"/>
  <c r="I3357" i="11" s="1"/>
  <c r="B3265" i="11"/>
  <c r="B2865" i="11"/>
  <c r="C2865" i="11"/>
  <c r="H3246" i="11"/>
  <c r="J3246" i="11" s="1"/>
  <c r="J3245" i="11"/>
  <c r="J3242" i="11" s="1"/>
  <c r="D2660" i="11"/>
  <c r="D2782" i="11"/>
  <c r="D2865" i="11"/>
  <c r="B2908" i="11"/>
  <c r="C2908" i="11"/>
  <c r="D3002" i="11"/>
  <c r="C3050" i="11"/>
  <c r="D3121" i="11"/>
  <c r="C3121" i="11"/>
  <c r="D3153" i="11"/>
  <c r="D3212" i="11"/>
  <c r="C3212" i="11"/>
  <c r="J3233" i="11"/>
  <c r="C3304" i="11"/>
  <c r="I3533" i="11"/>
  <c r="J3533" i="11" s="1"/>
  <c r="J3531" i="11" s="1"/>
  <c r="I3537" i="11" s="1"/>
  <c r="J3537" i="11" s="1"/>
  <c r="J3535" i="11" s="1"/>
  <c r="H3554" i="11"/>
  <c r="J3550" i="11"/>
  <c r="J3548" i="11" s="1"/>
  <c r="B3363" i="11"/>
  <c r="D3363" i="11"/>
  <c r="C3363" i="11"/>
  <c r="I3454" i="11"/>
  <c r="J3454" i="11" s="1"/>
  <c r="J3452" i="11" s="1"/>
  <c r="I3458" i="11" s="1"/>
  <c r="J3458" i="11" s="1"/>
  <c r="J3456" i="11" s="1"/>
  <c r="I3624" i="11"/>
  <c r="J3624" i="11" s="1"/>
  <c r="J3622" i="11" s="1"/>
  <c r="J3292" i="11"/>
  <c r="J3290" i="11" s="1"/>
  <c r="F3301" i="11" s="1"/>
  <c r="J3301" i="11" s="1"/>
  <c r="J3299" i="11" s="1"/>
  <c r="D3193" i="11"/>
  <c r="B3193" i="11"/>
  <c r="D3334" i="11"/>
  <c r="B3334" i="11"/>
  <c r="B3351" i="11"/>
  <c r="D3351" i="11"/>
  <c r="C3351" i="11"/>
  <c r="B3167" i="11"/>
  <c r="J3180" i="11"/>
  <c r="J3178" i="11" s="1"/>
  <c r="C3193" i="11"/>
  <c r="B3277" i="11"/>
  <c r="I3283" i="11"/>
  <c r="J3283" i="11" s="1"/>
  <c r="J3281" i="11" s="1"/>
  <c r="I3369" i="11" s="1"/>
  <c r="J3369" i="11" s="1"/>
  <c r="J3367" i="11" s="1"/>
  <c r="C3334" i="11"/>
  <c r="J3341" i="11"/>
  <c r="J3339" i="11" s="1"/>
  <c r="D3373" i="11"/>
  <c r="C3373" i="11"/>
  <c r="B3373" i="11"/>
  <c r="J3637" i="11"/>
  <c r="J3635" i="11" s="1"/>
  <c r="I3641" i="11"/>
  <c r="J3641" i="11" s="1"/>
  <c r="J3639" i="11" s="1"/>
  <c r="J3384" i="11"/>
  <c r="J3382" i="11" s="1"/>
  <c r="D3428" i="11"/>
  <c r="C3428" i="11"/>
  <c r="B3428" i="11"/>
  <c r="C3504" i="11"/>
  <c r="B3504" i="11"/>
  <c r="D3504" i="11"/>
  <c r="D3581" i="11"/>
  <c r="C3581" i="11"/>
  <c r="B3581" i="11"/>
  <c r="D3592" i="11"/>
  <c r="C3592" i="11"/>
  <c r="B3592" i="11"/>
  <c r="B3407" i="11"/>
  <c r="D3460" i="11"/>
  <c r="C3460" i="11"/>
  <c r="B3476" i="11"/>
  <c r="D3531" i="11"/>
  <c r="C3531" i="11"/>
  <c r="B3531" i="11"/>
  <c r="D3317" i="11"/>
  <c r="B3317" i="11"/>
  <c r="D3343" i="11"/>
  <c r="C3343" i="11"/>
  <c r="D3424" i="11"/>
  <c r="C3424" i="11"/>
  <c r="B3424" i="11"/>
  <c r="I3632" i="11"/>
  <c r="J3632" i="11" s="1"/>
  <c r="J3630" i="11" s="1"/>
  <c r="I3434" i="11"/>
  <c r="J3434" i="11" s="1"/>
  <c r="J3432" i="11" s="1"/>
  <c r="I3438" i="11" s="1"/>
  <c r="J3438" i="11" s="1"/>
  <c r="J3436" i="11" s="1"/>
  <c r="C3556" i="11"/>
  <c r="B3556" i="11"/>
  <c r="D3596" i="11"/>
  <c r="B3596" i="11"/>
  <c r="D3290" i="11"/>
  <c r="C3290" i="11"/>
  <c r="F3483" i="11"/>
  <c r="J3483" i="11" s="1"/>
  <c r="J3480" i="11" s="1"/>
  <c r="J3487" i="11"/>
  <c r="J3485" i="11" s="1"/>
  <c r="C3509" i="11"/>
  <c r="B3509" i="11"/>
  <c r="B3367" i="11"/>
  <c r="C3403" i="11"/>
  <c r="D3403" i="11"/>
  <c r="B3432" i="11"/>
  <c r="C3471" i="11"/>
  <c r="D3509" i="11"/>
  <c r="C3568" i="11"/>
  <c r="J3586" i="11"/>
  <c r="C3614" i="11"/>
  <c r="B3614" i="11"/>
  <c r="D3614" i="11"/>
  <c r="D3609" i="11"/>
  <c r="C3609" i="11"/>
  <c r="D3651" i="11"/>
  <c r="C3651" i="11"/>
  <c r="B3635" i="11"/>
  <c r="B3651" i="11"/>
  <c r="B3673" i="11"/>
  <c r="D3519" i="11"/>
  <c r="C3519" i="11"/>
  <c r="C3552" i="11"/>
  <c r="B3552" i="11"/>
  <c r="C3586" i="11"/>
  <c r="D3604" i="11"/>
  <c r="C3604" i="11"/>
  <c r="B3622" i="11"/>
  <c r="C3635" i="11"/>
  <c r="C3673" i="11"/>
  <c r="B3339" i="11"/>
  <c r="B3355" i="11"/>
  <c r="B3420" i="11"/>
  <c r="B3446" i="11"/>
  <c r="B3456" i="11"/>
  <c r="C3499" i="11"/>
  <c r="B3499" i="11"/>
  <c r="B3519" i="11"/>
  <c r="J3541" i="11"/>
  <c r="J3539" i="11" s="1"/>
  <c r="D3552" i="11"/>
  <c r="B3564" i="11"/>
  <c r="B3604" i="11"/>
  <c r="C3622" i="11"/>
  <c r="C3647" i="11"/>
  <c r="B3647" i="11"/>
  <c r="B3658" i="11"/>
  <c r="D3702" i="11"/>
  <c r="C3702" i="11"/>
  <c r="B3702" i="11"/>
  <c r="C3420" i="11"/>
  <c r="C3446" i="11"/>
  <c r="C3456" i="11"/>
  <c r="C3564" i="11"/>
  <c r="D3618" i="11"/>
  <c r="C3618" i="11"/>
  <c r="B3630" i="11"/>
  <c r="D3647" i="11"/>
  <c r="C3658" i="11"/>
  <c r="J3692" i="11"/>
  <c r="C3382" i="11"/>
  <c r="B3416" i="11"/>
  <c r="C3515" i="11"/>
  <c r="B3515" i="11"/>
  <c r="D3560" i="11"/>
  <c r="C3560" i="11"/>
  <c r="B3618" i="11"/>
  <c r="J3579" i="11"/>
  <c r="J3577" i="11" s="1"/>
  <c r="B3692" i="11"/>
  <c r="B3698" i="11"/>
  <c r="J10" i="9"/>
  <c r="I3127" i="11" l="1"/>
  <c r="J3127" i="11" s="1"/>
  <c r="J3125" i="11" s="1"/>
  <c r="I2924" i="11"/>
  <c r="J2924" i="11" s="1"/>
  <c r="J2922" i="11" s="1"/>
  <c r="I2928" i="11" s="1"/>
  <c r="J2928" i="11" s="1"/>
  <c r="J2926" i="11" s="1"/>
  <c r="I3349" i="11"/>
  <c r="J3349" i="11" s="1"/>
  <c r="J3347" i="11" s="1"/>
  <c r="I3250" i="11"/>
  <c r="J3250" i="11" s="1"/>
  <c r="J3248" i="11" s="1"/>
  <c r="I3254" i="11" s="1"/>
  <c r="J3254" i="11" s="1"/>
  <c r="J3252" i="11" s="1"/>
  <c r="I747" i="11"/>
  <c r="J747" i="11" s="1"/>
  <c r="J745" i="11" s="1"/>
  <c r="I602" i="11"/>
  <c r="J602" i="11" s="1"/>
  <c r="J600" i="11" s="1"/>
  <c r="I607" i="11" s="1"/>
  <c r="J607" i="11" s="1"/>
  <c r="J604" i="11" s="1"/>
  <c r="J2646" i="11"/>
  <c r="J2644" i="11" s="1"/>
  <c r="I2814" i="11" s="1"/>
  <c r="F2650" i="11"/>
  <c r="J2650" i="11" s="1"/>
  <c r="J2648" i="11" s="1"/>
  <c r="I759" i="11"/>
  <c r="J759" i="11" s="1"/>
  <c r="J757" i="11" s="1"/>
  <c r="I585" i="11"/>
  <c r="J585" i="11" s="1"/>
  <c r="J583" i="11" s="1"/>
  <c r="I589" i="11" s="1"/>
  <c r="J589" i="11" s="1"/>
  <c r="J587" i="11" s="1"/>
  <c r="I446" i="11"/>
  <c r="J446" i="11" s="1"/>
  <c r="J444" i="11" s="1"/>
  <c r="I450" i="11" s="1"/>
  <c r="J450" i="11" s="1"/>
  <c r="J448" i="11" s="1"/>
  <c r="H455" i="11"/>
  <c r="J455" i="11" s="1"/>
  <c r="J452" i="11" s="1"/>
  <c r="I459" i="11" s="1"/>
  <c r="J459" i="11" s="1"/>
  <c r="J457" i="11" s="1"/>
  <c r="I1797" i="11"/>
  <c r="J1797" i="11" s="1"/>
  <c r="J1795" i="11" s="1"/>
  <c r="I1695" i="11"/>
  <c r="J1695" i="11" s="1"/>
  <c r="J1693" i="11" s="1"/>
  <c r="I1699" i="11" s="1"/>
  <c r="J1699" i="11" s="1"/>
  <c r="J1697" i="11" s="1"/>
  <c r="I1921" i="11"/>
  <c r="J1921" i="11" s="1"/>
  <c r="J1919" i="11" s="1"/>
  <c r="I1925" i="11" s="1"/>
  <c r="J1925" i="11" s="1"/>
  <c r="J1923" i="11" s="1"/>
  <c r="I2068" i="11"/>
  <c r="J2068" i="11" s="1"/>
  <c r="J2066" i="11" s="1"/>
  <c r="F3558" i="11"/>
  <c r="J3558" i="11" s="1"/>
  <c r="J3556" i="11" s="1"/>
  <c r="J3554" i="11"/>
  <c r="J3552" i="11" s="1"/>
  <c r="I3653" i="11" s="1"/>
  <c r="J3653" i="11" s="1"/>
  <c r="J3651" i="11" s="1"/>
  <c r="J3056" i="11"/>
  <c r="J3054" i="11" s="1"/>
  <c r="I3159" i="11" s="1"/>
  <c r="J3159" i="11" s="1"/>
  <c r="J3157" i="11" s="1"/>
  <c r="I3271" i="11"/>
  <c r="J3271" i="11" s="1"/>
  <c r="J3269" i="11" s="1"/>
  <c r="I3275" i="11" s="1"/>
  <c r="J3275" i="11" s="1"/>
  <c r="J3273" i="11" s="1"/>
  <c r="F2242" i="11"/>
  <c r="J2242" i="11" s="1"/>
  <c r="J2240" i="11" s="1"/>
  <c r="J2238" i="11"/>
  <c r="J2236" i="11" s="1"/>
  <c r="I2324" i="11" s="1"/>
  <c r="J2324" i="11" s="1"/>
  <c r="J2322" i="11" s="1"/>
  <c r="J1322" i="11"/>
  <c r="I1364" i="11" s="1"/>
  <c r="J1364" i="11" s="1"/>
  <c r="J1362" i="11" s="1"/>
  <c r="J1585" i="11"/>
  <c r="J1583" i="11" s="1"/>
  <c r="I1589" i="11"/>
  <c r="J1589" i="11" s="1"/>
  <c r="J1587" i="11" s="1"/>
  <c r="J1309" i="11"/>
  <c r="I1316" i="11" s="1"/>
  <c r="J1316" i="11" s="1"/>
  <c r="J1314" i="11" s="1"/>
  <c r="I1320" i="11" s="1"/>
  <c r="J1320" i="11" s="1"/>
  <c r="J1318" i="11" s="1"/>
  <c r="J763" i="11"/>
  <c r="J761" i="11" s="1"/>
  <c r="I767" i="11"/>
  <c r="J767" i="11" s="1"/>
  <c r="J765" i="11" s="1"/>
  <c r="H213" i="11"/>
  <c r="J213" i="11" s="1"/>
  <c r="J210" i="11" s="1"/>
  <c r="I217" i="11" s="1"/>
  <c r="J217" i="11" s="1"/>
  <c r="J215" i="11" s="1"/>
  <c r="I204" i="11"/>
  <c r="J204" i="11" s="1"/>
  <c r="J202" i="11" s="1"/>
  <c r="I208" i="11" s="1"/>
  <c r="J208" i="11" s="1"/>
  <c r="J206" i="11" s="1"/>
  <c r="J196" i="11"/>
  <c r="J194" i="11" s="1"/>
  <c r="I283" i="11" s="1"/>
  <c r="J283" i="11" s="1"/>
  <c r="J281" i="11" s="1"/>
  <c r="J1805" i="11"/>
  <c r="J1803" i="11" s="1"/>
  <c r="I1809" i="11"/>
  <c r="J1809" i="11" s="1"/>
  <c r="J1807" i="11" s="1"/>
  <c r="J3060" i="11"/>
  <c r="J3058" i="11" s="1"/>
  <c r="F3072" i="11"/>
  <c r="I2212" i="11"/>
  <c r="J2212" i="11" s="1"/>
  <c r="J2209" i="11" s="1"/>
  <c r="I2217" i="11" s="1"/>
  <c r="J2217" i="11" s="1"/>
  <c r="J2215" i="11" s="1"/>
  <c r="I2221" i="11" s="1"/>
  <c r="J2221" i="11" s="1"/>
  <c r="J2219" i="11" s="1"/>
  <c r="I2150" i="11"/>
  <c r="J2150" i="11" s="1"/>
  <c r="J2148" i="11" s="1"/>
  <c r="I2154" i="11" s="1"/>
  <c r="J2154" i="11" s="1"/>
  <c r="J2152" i="11" s="1"/>
  <c r="H921" i="11"/>
  <c r="J917" i="11"/>
  <c r="J915" i="11" s="1"/>
  <c r="I88" i="11"/>
  <c r="J88" i="11" s="1"/>
  <c r="J86" i="11" s="1"/>
  <c r="I92" i="11" s="1"/>
  <c r="J92" i="11" s="1"/>
  <c r="J90" i="11" s="1"/>
  <c r="I263" i="11"/>
  <c r="J263" i="11" s="1"/>
  <c r="J261" i="11" s="1"/>
  <c r="J409" i="11"/>
  <c r="I416" i="11" s="1"/>
  <c r="J416" i="11" s="1"/>
  <c r="J414" i="11" s="1"/>
  <c r="I420" i="11" s="1"/>
  <c r="J420" i="11" s="1"/>
  <c r="J418" i="11" s="1"/>
  <c r="J2308" i="11"/>
  <c r="J2306" i="11" s="1"/>
  <c r="I2312" i="11"/>
  <c r="J2312" i="11" s="1"/>
  <c r="J2310" i="11" s="1"/>
  <c r="I2300" i="11"/>
  <c r="J2300" i="11" s="1"/>
  <c r="J2298" i="11" s="1"/>
  <c r="I2170" i="11"/>
  <c r="J2170" i="11" s="1"/>
  <c r="J2168" i="11" s="1"/>
  <c r="I2174" i="11" s="1"/>
  <c r="J2174" i="11" s="1"/>
  <c r="J2172" i="11" s="1"/>
  <c r="H2506" i="11"/>
  <c r="J2506" i="11" s="1"/>
  <c r="J2503" i="11" s="1"/>
  <c r="I2510" i="11" s="1"/>
  <c r="J2510" i="11" s="1"/>
  <c r="J2508" i="11" s="1"/>
  <c r="I2497" i="11"/>
  <c r="J2497" i="11" s="1"/>
  <c r="J2495" i="11" s="1"/>
  <c r="I2501" i="11" s="1"/>
  <c r="J2501" i="11" s="1"/>
  <c r="J2499" i="11" s="1"/>
  <c r="I1502" i="11"/>
  <c r="J1502" i="11" s="1"/>
  <c r="J1500" i="11" s="1"/>
  <c r="I1506" i="11" s="1"/>
  <c r="J1506" i="11" s="1"/>
  <c r="J1504" i="11" s="1"/>
  <c r="I1577" i="11"/>
  <c r="J1577" i="11" s="1"/>
  <c r="J1575" i="11" s="1"/>
  <c r="I1486" i="11"/>
  <c r="J1486" i="11" s="1"/>
  <c r="J1484" i="11" s="1"/>
  <c r="I1490" i="11" s="1"/>
  <c r="J1490" i="11" s="1"/>
  <c r="J1488" i="11" s="1"/>
  <c r="I1581" i="11"/>
  <c r="J1581" i="11" s="1"/>
  <c r="J1579" i="11" s="1"/>
  <c r="F856" i="11"/>
  <c r="J856" i="11" s="1"/>
  <c r="J853" i="11" s="1"/>
  <c r="J851" i="11"/>
  <c r="J848" i="11" s="1"/>
  <c r="I992" i="11" s="1"/>
  <c r="I1975" i="11"/>
  <c r="J1975" i="11" s="1"/>
  <c r="J1972" i="11" s="1"/>
  <c r="I1980" i="11"/>
  <c r="J1980" i="11" s="1"/>
  <c r="J1978" i="11" s="1"/>
  <c r="I1984" i="11" s="1"/>
  <c r="J1984" i="11" s="1"/>
  <c r="J1982" i="11" s="1"/>
  <c r="I2551" i="11"/>
  <c r="J2551" i="11" s="1"/>
  <c r="J2549" i="11" s="1"/>
  <c r="I2432" i="11"/>
  <c r="J2432" i="11" s="1"/>
  <c r="J2430" i="11" s="1"/>
  <c r="I2436" i="11" s="1"/>
  <c r="J2436" i="11" s="1"/>
  <c r="J2434" i="11" s="1"/>
  <c r="I1188" i="11"/>
  <c r="J1188" i="11" s="1"/>
  <c r="J1186" i="11" s="1"/>
  <c r="I1113" i="11"/>
  <c r="J1113" i="11" s="1"/>
  <c r="J1111" i="11" s="1"/>
  <c r="I1117" i="11" s="1"/>
  <c r="J1117" i="11" s="1"/>
  <c r="J1115" i="11" s="1"/>
  <c r="I271" i="11"/>
  <c r="J271" i="11" s="1"/>
  <c r="J269" i="11" s="1"/>
  <c r="J267" i="11"/>
  <c r="J265" i="11" s="1"/>
  <c r="J3357" i="11"/>
  <c r="J3355" i="11" s="1"/>
  <c r="I3361" i="11"/>
  <c r="J3361" i="11" s="1"/>
  <c r="J3359" i="11" s="1"/>
  <c r="I1801" i="11"/>
  <c r="J1801" i="11" s="1"/>
  <c r="J1799" i="11" s="1"/>
  <c r="I1675" i="11"/>
  <c r="J1675" i="11" s="1"/>
  <c r="J1673" i="11" s="1"/>
  <c r="I1679" i="11" s="1"/>
  <c r="J1679" i="11" s="1"/>
  <c r="J1677" i="11" s="1"/>
  <c r="I1192" i="11"/>
  <c r="J1192" i="11" s="1"/>
  <c r="J1190" i="11" s="1"/>
  <c r="I1096" i="11"/>
  <c r="J1096" i="11" s="1"/>
  <c r="J1094" i="11" s="1"/>
  <c r="I1100" i="11" s="1"/>
  <c r="J1100" i="11" s="1"/>
  <c r="J1098" i="11" s="1"/>
  <c r="I1200" i="11"/>
  <c r="J1200" i="11" s="1"/>
  <c r="J1198" i="11" s="1"/>
  <c r="J1196" i="11"/>
  <c r="J1194" i="11" s="1"/>
  <c r="F1897" i="11"/>
  <c r="J1897" i="11" s="1"/>
  <c r="J1895" i="11" s="1"/>
  <c r="J1893" i="11"/>
  <c r="J1891" i="11" s="1"/>
  <c r="I2076" i="11" s="1"/>
  <c r="I996" i="11" l="1"/>
  <c r="J996" i="11" s="1"/>
  <c r="J994" i="11" s="1"/>
  <c r="J992" i="11"/>
  <c r="J990" i="11" s="1"/>
  <c r="I860" i="11"/>
  <c r="J860" i="11" s="1"/>
  <c r="J858" i="11" s="1"/>
  <c r="I864" i="11" s="1"/>
  <c r="J864" i="11" s="1"/>
  <c r="J862" i="11" s="1"/>
  <c r="I988" i="11"/>
  <c r="J988" i="11" s="1"/>
  <c r="J986" i="11" s="1"/>
  <c r="I2246" i="11"/>
  <c r="J2246" i="11" s="1"/>
  <c r="J2244" i="11" s="1"/>
  <c r="I2250" i="11" s="1"/>
  <c r="J2250" i="11" s="1"/>
  <c r="J2248" i="11" s="1"/>
  <c r="H2255" i="11"/>
  <c r="J2255" i="11" s="1"/>
  <c r="J2252" i="11" s="1"/>
  <c r="I2259" i="11" s="1"/>
  <c r="J2259" i="11" s="1"/>
  <c r="J2257" i="11" s="1"/>
  <c r="J921" i="11"/>
  <c r="J919" i="11" s="1"/>
  <c r="I1008" i="11" s="1"/>
  <c r="J1008" i="11" s="1"/>
  <c r="J1006" i="11" s="1"/>
  <c r="F925" i="11"/>
  <c r="J925" i="11" s="1"/>
  <c r="J923" i="11" s="1"/>
  <c r="G3073" i="11"/>
  <c r="J3073" i="11" s="1"/>
  <c r="J3072" i="11"/>
  <c r="H3078" i="11"/>
  <c r="J3078" i="11" s="1"/>
  <c r="J3075" i="11" s="1"/>
  <c r="I3040" i="11" s="1"/>
  <c r="J3040" i="11" s="1"/>
  <c r="J3037" i="11" s="1"/>
  <c r="I3064" i="11"/>
  <c r="J3064" i="11" s="1"/>
  <c r="J3062" i="11" s="1"/>
  <c r="I3068" i="11" s="1"/>
  <c r="J3068" i="11" s="1"/>
  <c r="J3066" i="11" s="1"/>
  <c r="J2814" i="11"/>
  <c r="J2812" i="11" s="1"/>
  <c r="I2818" i="11"/>
  <c r="J2818" i="11" s="1"/>
  <c r="J2816" i="11" s="1"/>
  <c r="J2076" i="11"/>
  <c r="J2074" i="11" s="1"/>
  <c r="I2080" i="11"/>
  <c r="J2080" i="11" s="1"/>
  <c r="J2078" i="11" s="1"/>
  <c r="H3571" i="11"/>
  <c r="J3571" i="11" s="1"/>
  <c r="J3568" i="11" s="1"/>
  <c r="I3575" i="11" s="1"/>
  <c r="J3575" i="11" s="1"/>
  <c r="J3573" i="11" s="1"/>
  <c r="I3562" i="11"/>
  <c r="J3562" i="11" s="1"/>
  <c r="J3560" i="11" s="1"/>
  <c r="I3566" i="11" s="1"/>
  <c r="J3566" i="11" s="1"/>
  <c r="J3564" i="11" s="1"/>
  <c r="I2072" i="11"/>
  <c r="J2072" i="11" s="1"/>
  <c r="J2070" i="11" s="1"/>
  <c r="I1901" i="11"/>
  <c r="J1901" i="11" s="1"/>
  <c r="J1899" i="11" s="1"/>
  <c r="I1905" i="11" s="1"/>
  <c r="J1905" i="11" s="1"/>
  <c r="J1903" i="11" s="1"/>
  <c r="I2654" i="11"/>
  <c r="J2654" i="11" s="1"/>
  <c r="J2652" i="11" s="1"/>
  <c r="I2658" i="11" s="1"/>
  <c r="J2658" i="11" s="1"/>
  <c r="J2656" i="11" s="1"/>
  <c r="I2810" i="11"/>
  <c r="J2810" i="11" s="1"/>
  <c r="J2808" i="11" s="1"/>
  <c r="H938" i="11" l="1"/>
  <c r="J938" i="11" s="1"/>
  <c r="J935" i="11" s="1"/>
  <c r="I942" i="11" s="1"/>
  <c r="J942" i="11" s="1"/>
  <c r="J940" i="11" s="1"/>
  <c r="I929" i="11"/>
  <c r="J929" i="11" s="1"/>
  <c r="J927" i="11" s="1"/>
  <c r="I933" i="11" s="1"/>
  <c r="J933" i="11" s="1"/>
  <c r="J931" i="11" s="1"/>
  <c r="J3070" i="1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<sst xmlns="http://schemas.openxmlformats.org/spreadsheetml/2006/main" count="10756" uniqueCount="2502">
  <si>
    <t>ITEM</t>
  </si>
  <si>
    <t>CÓDIGO</t>
  </si>
  <si>
    <t>REF.</t>
  </si>
  <si>
    <t>DESCRIÇÃO</t>
  </si>
  <si>
    <t>UNID.</t>
  </si>
  <si>
    <t>QUANT.</t>
  </si>
  <si>
    <t>CUSTO UNITÁRIO</t>
  </si>
  <si>
    <t>BDI (%)</t>
  </si>
  <si>
    <t>PREÇO UNITÁRIO</t>
  </si>
  <si>
    <t>PREÇO DO SERVIÇO</t>
  </si>
  <si>
    <t>1</t>
  </si>
  <si>
    <t>PAVIMENTAÇÃO</t>
  </si>
  <si>
    <t>1.1</t>
  </si>
  <si>
    <t>RUA EQUADOR - CAJUEIRO SECO</t>
  </si>
  <si>
    <t>1.1.1</t>
  </si>
  <si>
    <t>INSTALAÇÕES PROVISÓRIAS</t>
  </si>
  <si>
    <t>1.1.1.1</t>
  </si>
  <si>
    <t>CP-74209/001-15055090</t>
  </si>
  <si>
    <t>Composições Próprias</t>
  </si>
  <si>
    <t>PLACA DE OBRA EM CHAPA DE ACO GALVANIZADO</t>
  </si>
  <si>
    <t>M2</t>
  </si>
  <si>
    <t>1.1.1.2</t>
  </si>
  <si>
    <t>COMP-07440249</t>
  </si>
  <si>
    <t>BANHEIRO QUÍMICO, COM LOCAÇÃO, TRANSPORTE E LIMPEZA</t>
  </si>
  <si>
    <t>MÊS</t>
  </si>
  <si>
    <t>1.1.2</t>
  </si>
  <si>
    <t>ADMINISTRAÇÃO LOCAL</t>
  </si>
  <si>
    <t>1.1.2.1</t>
  </si>
  <si>
    <t>93565</t>
  </si>
  <si>
    <t>SINAPI</t>
  </si>
  <si>
    <t>ENGENHEIRO CIVIL DE OBRA JUNIOR COM ENCARGOS COMPLEMENTARES</t>
  </si>
  <si>
    <t>MES</t>
  </si>
  <si>
    <t>1.1.2.2</t>
  </si>
  <si>
    <t>93572</t>
  </si>
  <si>
    <t>ENCARREGADO GERAL DE OBRAS COM ENCARGOS COMPLEMENTARES</t>
  </si>
  <si>
    <t>1.1.3</t>
  </si>
  <si>
    <t>SERVIÇOS PRELIMINARES</t>
  </si>
  <si>
    <t>1.1.3.1</t>
  </si>
  <si>
    <t>99064</t>
  </si>
  <si>
    <t>LOCAÇÃO DE PAVIMENTAÇÃO. AF_10/2018</t>
  </si>
  <si>
    <t>M</t>
  </si>
  <si>
    <t>1.1.3.2</t>
  </si>
  <si>
    <t>COMP-17562084</t>
  </si>
  <si>
    <t>DEMOLIÇÃO MANUAL DE CONCRETO SIMPLES</t>
  </si>
  <si>
    <t>M³</t>
  </si>
  <si>
    <t>1.1.3.3</t>
  </si>
  <si>
    <t>COMP-01471766</t>
  </si>
  <si>
    <t>DEMOLIÇÃO DE MEIO-FIO</t>
  </si>
  <si>
    <t>1.1.3.4</t>
  </si>
  <si>
    <t>COMP-35145154</t>
  </si>
  <si>
    <t>CARGA E DESCARGA MECANICA DE SOLO UTILIZANDO CAMINHAO BASCULANTE 14,0M3/36T E PA CARREGADEIRA SOBRE PNEUS 128 HP, CAPACIDADE DA CAÇAMBA 1,7 A 2,8 M3, PESO OPERACIONAL 11632 KH</t>
  </si>
  <si>
    <t>1.1.3.5</t>
  </si>
  <si>
    <t>95876</t>
  </si>
  <si>
    <t>TRANSPORTE COM CAMINHÃO BASCULANTE DE 14 M³, EM VIA URBANA PAVIMENTADA, DMT ATÉ 30 KM (UNIDADE: M3XKM). AF_07/2020</t>
  </si>
  <si>
    <t>M3XKM</t>
  </si>
  <si>
    <t>1.1.4</t>
  </si>
  <si>
    <t>TERRAPLANAGEM</t>
  </si>
  <si>
    <t>1.1.4.1</t>
  </si>
  <si>
    <t>CP-74205/001-17324935</t>
  </si>
  <si>
    <t>ESCAVAÇÃO MECÂNICA DE MATERIAL 1A. CATEGORIA, PROVENIENTE DE CORTE DE SUBLEITO (C/TRATOR ESTEIRAS 160HP)</t>
  </si>
  <si>
    <t>M3</t>
  </si>
  <si>
    <t>1.1.4.2</t>
  </si>
  <si>
    <t>1.1.4.3</t>
  </si>
  <si>
    <t>1.1.5</t>
  </si>
  <si>
    <t>1.1.5.1</t>
  </si>
  <si>
    <t>100576</t>
  </si>
  <si>
    <t>REGULARIZAÇÃO E COMPACTAÇÃO DE SUBLEITO DE SOLO PREDOMINANTEMENTE ARGILOSO. AF_11/2019</t>
  </si>
  <si>
    <t>1.1.5.2</t>
  </si>
  <si>
    <t>COMP-28881239</t>
  </si>
  <si>
    <t>Base ou sub-base de macadame hidráulico com brita comercial - EXCLUSIVE MATERIAL, CARGA E TRANSPORTE - NÃO DESONERADO</t>
  </si>
  <si>
    <t>m³</t>
  </si>
  <si>
    <t>1.1.5.3</t>
  </si>
  <si>
    <t>CP-96396-26507981</t>
  </si>
  <si>
    <t>EXECUÇÃO E COMPACTAÇÃO DE BASE E OU SUB BASE PARA PAVIMENTAÇÃO DE BRITA GRADUADA SIMPLES - EXCLUSIVE MATERIAL, CARGA E TRANSPORTE</t>
  </si>
  <si>
    <t>1.1.5.4</t>
  </si>
  <si>
    <t>1.1.5.5</t>
  </si>
  <si>
    <t>COMP-83526730</t>
  </si>
  <si>
    <t>TRANSPORTE COMERCIAL DE BRITA</t>
  </si>
  <si>
    <t>M³XKM</t>
  </si>
  <si>
    <t>1.1.5.6</t>
  </si>
  <si>
    <t>CP-96401-52745838</t>
  </si>
  <si>
    <t>EXECUÇÃO DE IMPRIMAÇÃO COM ASFALTO DILUÍDO CM-30, EXCLUSIVE MATERIAL.</t>
  </si>
  <si>
    <t>1.1.5.7</t>
  </si>
  <si>
    <t>CP-95995-51339760</t>
  </si>
  <si>
    <t>EXECUÇÃO DE PAVIMENTO COM APLICAÇÃO DE CONCRETO ASFÁLTICO, CAMADA DE ROLAMENTO - EXCLUSIVE CARGA E TRANSPORTE E CONCRETO BETUMINOSO</t>
  </si>
  <si>
    <t>1.1.5.8</t>
  </si>
  <si>
    <t>COMP-10034101</t>
  </si>
  <si>
    <t>CARGA, MANOBRAS E DESCARGA DE MISTURA BETUMINOSA A QUENTE, COM CAMINHAO BASCULANTE 6 M3, DESCARGA EM VIBRO-ACABADORA</t>
  </si>
  <si>
    <t>1.1.5.9</t>
  </si>
  <si>
    <t>CP-95303-56931542</t>
  </si>
  <si>
    <t>TRANSPORTE COM CAMINHÃO BASCULANTE 10 M3 DE MASSA ASFALTICA PARA PAVIMENTAÇÃO URBANA</t>
  </si>
  <si>
    <t>1.1.5.10</t>
  </si>
  <si>
    <t>CP-97084-89637704</t>
  </si>
  <si>
    <t>REGULARIZACAO E COMPACTAÇÃO MANUAL DE TERRENO COM PLACA VIBRATÓRIA</t>
  </si>
  <si>
    <t>1.1.5.11</t>
  </si>
  <si>
    <t>CP-94991-12549457</t>
  </si>
  <si>
    <t>EXECUÇÃO DE PASSEIO (CALÇADA) OU PISO DE CONCRETO COM CONCRETO MOLDADO IN LOCO, USINADO, ACABAMENTO CONVENCIONAL, NÃO ARMADO - EXCLUINDO O CONCRETO USINADO 20MPA</t>
  </si>
  <si>
    <t>1.1.5.12</t>
  </si>
  <si>
    <t>94273</t>
  </si>
  <si>
    <t>ASSENTAMENTO DE GUIA (MEIO-FIO) EM TRECHO RETO, CONFECCIONADA EM CONCRETO PRÉ-FABRICADO, DIMENSÕES 100X15X13X30 CM (COMPRIMENTO X BASE INFERIOR X BASE SUPERIOR X ALTURA), PARA VIAS URBANAS (USO VIÁRIO). AF_06/2016</t>
  </si>
  <si>
    <t>1.1.5.13</t>
  </si>
  <si>
    <t>94274</t>
  </si>
  <si>
    <t>ASSENTAMENTO DE GUIA (MEIO-FIO) EM TRECHO CURVO, CONFECCIONADA EM CONCRETO PRÉ-FABRICADO, DIMENSÕES 100X15X13X30 CM (COMPRIMENTO X BASE INFERIOR X BASE SUPERIOR X ALTURA), PARA VIAS URBANAS (USO VIÁRIO). AF_06/2016</t>
  </si>
  <si>
    <t>1.1.5.14</t>
  </si>
  <si>
    <t>94275</t>
  </si>
  <si>
    <t>ASSENTAMENTO DE GUIA (MEIO-FIO) EM TRECHO RETO, CONFECCIONADA EM CONCRETO PRÉ-FABRICADO, DIMENSÕES 100X15X13X20 CM (COMPRIMENTO X BASE INFERIOR X BASE SUPERIOR X ALTURA), PARA URBANIZAÇÃO INTERNA DE EMPREENDIMENTOS. AF_06/2016_P</t>
  </si>
  <si>
    <t>1.1.5.15</t>
  </si>
  <si>
    <t>94287</t>
  </si>
  <si>
    <t>EXECUÇÃO DE SARJETA DE CONCRETO USINADO, MOLDADA IN LOCO EM TRECHO RETO, 30 CM BASE X 10 CM ALTURA. AF_06/2016</t>
  </si>
  <si>
    <t>1.1.5.16</t>
  </si>
  <si>
    <t>94288</t>
  </si>
  <si>
    <t>EXECUÇÃO DE SARJETA DE CONCRETO USINADO, MOLDADA IN LOCO EM TRECHO CURVO, 30 CM BASE X 10 CM ALTURA. AF_06/2016</t>
  </si>
  <si>
    <t>1.1.5.17</t>
  </si>
  <si>
    <t>98511</t>
  </si>
  <si>
    <t>PLANTIO DE ÁRVORE ORNAMENTAL COM ALTURA DE MUDA MAIOR QUE 2,00 M E MENOR OU IGUAL A 4,00 M. AF_05/2018</t>
  </si>
  <si>
    <t>UN</t>
  </si>
  <si>
    <t>1.1.5.18</t>
  </si>
  <si>
    <t>98504</t>
  </si>
  <si>
    <t>PLANTIO DE GRAMA BATATAIS EM PLACAS. AF_05/2018</t>
  </si>
  <si>
    <t>1.1.6</t>
  </si>
  <si>
    <t>DRENAGEM</t>
  </si>
  <si>
    <t>1.1.6.1</t>
  </si>
  <si>
    <t>90091</t>
  </si>
  <si>
    <t>ESCAVAÇÃO MECANIZADA DE VALA COM PROF. ATÉ 1,5 M (MÉDIA MONTANTE E JUSANTE/UMA COMPOSIÇÃO POR TRECHO), ESCAVADEIRA (0,8 M3), LARG. DE 1,5 M A 2,5 M, EM SOLO DE 1A CATEGORIA, LOCAIS COM BAIXO NÍVEL DE INTERFERÊNCIA. AF_02/2021</t>
  </si>
  <si>
    <t>1.1.6.2</t>
  </si>
  <si>
    <t>93367</t>
  </si>
  <si>
    <t>REATERRO MECANIZADO DE VALA COM ESCAVADEIRA HIDRÁULICA (CAPACIDADE DA CAÇAMBA: 0,8 M³ / POTÊNCIA: 111 HP), LARGURA DE 1,5 A 2,5 M, PROFUNDIDADE ATÉ 1,5 M, COM SOLO DE 1ª CATEGORIA EM LOCAIS COM BAIXO NÍVEL DE INTERFERÊNCIA. AF_04/2016</t>
  </si>
  <si>
    <t>1.1.6.3</t>
  </si>
  <si>
    <t>1.1.6.4</t>
  </si>
  <si>
    <t>1.1.6.5</t>
  </si>
  <si>
    <t>94971</t>
  </si>
  <si>
    <t>CONCRETO FCK = 25MPA, TRAÇO 1:2,3:2,7 (EM MASSA SECA DE CIMENTO/ AREIA MÉDIA/ BRITA 1) - PREPARO MECÂNICO COM BETONEIRA 600 L. AF_05/2021</t>
  </si>
  <si>
    <t>1.1.6.6</t>
  </si>
  <si>
    <t>94974</t>
  </si>
  <si>
    <t>CONCRETO MAGRO PARA LASTRO, TRAÇO 1:4,5:4,5 (EM MASSA SECA DE CIMENTO/ AREIA MÉDIA/ BRITA 1) - PREPARO MANUAL. AF_05/2021</t>
  </si>
  <si>
    <t>1.1.6.7</t>
  </si>
  <si>
    <t>92771</t>
  </si>
  <si>
    <t>ARMAÇÃO DE LAJE DE ESTRUTURA CONVENCIONAL DE CONCRETO ARMADO UTILIZANDO AÇO CA-50 DE 10,0 MM - MONTAGEM. AF_06/2022</t>
  </si>
  <si>
    <t>KG</t>
  </si>
  <si>
    <t>1.1.6.8</t>
  </si>
  <si>
    <t>CP-92268-29291149</t>
  </si>
  <si>
    <t>FABRICAÇÃO DE FÔRMA PARA LAJES, EM CHAPA DE MADEIRA COMPENSADA PLASTIFICADA, E = 18 MM - EXCLUINDO O PAINEL DE MADEIRA COMPENSADA PLASTIFICADA DE 2200 x 1100 MM, E = *17* MM</t>
  </si>
  <si>
    <t>1.1.6.9</t>
  </si>
  <si>
    <t>103320</t>
  </si>
  <si>
    <t>ALVENARIA DE VEDAÇÃO DE BLOCOS VAZADOS DE CONCRETO DE 19X19X39 CM (ESPESSURA 19 CM) E ARGAMASSA DE ASSENTAMENTO COM PREPARO EM BETONEIRA. AF_12/2021</t>
  </si>
  <si>
    <t>1.1.6.10</t>
  </si>
  <si>
    <t>87879</t>
  </si>
  <si>
    <t>CHAPISCO APLICADO EM ALVENARIAS E ESTRUTURAS DE CONCRETO INTERNAS, COM COLHER DE PEDREIRO. ARGAMASSA TRAÇO 1:3 COM PREPARO EM BETONEIRA 400L. AF_06/2014</t>
  </si>
  <si>
    <t>1.1.6.11</t>
  </si>
  <si>
    <t>87547</t>
  </si>
  <si>
    <t>MASSA ÚNICA, PARA RECEBIMENTO DE PINTURA, EM ARGAMASSA TRAÇO 1:2:8, PREPARO MECÂNICO COM BETONEIRA 400L, APLICADA MANUALMENTE EM FACES INTERNAS DE PAREDES, ESPESSURA DE 10MM, COM EXECUÇÃO DE TALISCAS. AF_06/2014</t>
  </si>
  <si>
    <t>1.1.6.12</t>
  </si>
  <si>
    <t>94975</t>
  </si>
  <si>
    <t>CONCRETO FCK = 15MPA, TRAÇO 1:3,4:3,5 (EM MASSA SECA DE CIMENTO/ AREIA MÉDIA/ BRITA 1) - PREPARO MANUAL. AF_05/2021</t>
  </si>
  <si>
    <t>1.1.6.13</t>
  </si>
  <si>
    <t>CP-74157/004-48264518</t>
  </si>
  <si>
    <t>LANCAMENTO/APLICACAO MANUAL DE CONCRETO EM FUNDACOES (concreto magro)</t>
  </si>
  <si>
    <t>1.1.7</t>
  </si>
  <si>
    <t>SINALIZAÇÃO</t>
  </si>
  <si>
    <t>1.1.7.1</t>
  </si>
  <si>
    <t>5213421</t>
  </si>
  <si>
    <t>SICRO NOVO</t>
  </si>
  <si>
    <t>Confecção de placa em aço nº 16 galvanizado, com película tipo I + IV</t>
  </si>
  <si>
    <t>m²</t>
  </si>
  <si>
    <t>1.1.7.2</t>
  </si>
  <si>
    <t>5216111</t>
  </si>
  <si>
    <t>FORNECIMENTO E IMPLANTAÇÃO DE SUPORTE E TRAVESSA PARA PLACA DE SINALIZAÇÃO EM MADEIRA DE LEI TRATADA 8 X 8 CM</t>
  </si>
  <si>
    <t>un</t>
  </si>
  <si>
    <t>1.1.7.3</t>
  </si>
  <si>
    <t>COMP-58084869</t>
  </si>
  <si>
    <t>PLACA ESMALTADA PARA IDENTIFICAÇÃO NR DE RUA, DIMENSÕES 45X25CM</t>
  </si>
  <si>
    <t>UND</t>
  </si>
  <si>
    <t>1.1.7.4</t>
  </si>
  <si>
    <t>102512</t>
  </si>
  <si>
    <t>PINTURA DE EIXO VIÁRIO SOBRE ASFALTO COM TINTA RETRORREFLETIVA A BASE DE RESINA ACRÍLICA COM MICROESFERAS DE VIDRO, APLICAÇÃO MECÂNICA COM DEMARCADORA AUTOPROPELIDA. AF_05/2021</t>
  </si>
  <si>
    <t>1.1.7.5</t>
  </si>
  <si>
    <t>102509</t>
  </si>
  <si>
    <t>PINTURA DE FAIXA DE PEDESTRE OU ZEBRADA TINTA RETRORREFLETIVA A BASE DE RESINA ACRÍLICA COM MICROESFERAS DE VIDRO, E = 30 CM, APLICAÇÃO MANUAL. AF_05/2021</t>
  </si>
  <si>
    <t>1.1.8</t>
  </si>
  <si>
    <t>ACESSIBILIDADE</t>
  </si>
  <si>
    <t>1.1.8.1</t>
  </si>
  <si>
    <t>CP-S12039-81921471</t>
  </si>
  <si>
    <t>Piso tátil direcional e/ou alerta, de concreto, na cor natural, p/deficientes visuais, dimensões 40x40cm, aplicado com argamassa industrializada ac-ii, rejuntado, exclusive regularização de base</t>
  </si>
  <si>
    <t>m2</t>
  </si>
  <si>
    <t>1.1.9</t>
  </si>
  <si>
    <t>MATERIAIS</t>
  </si>
  <si>
    <t>1.1.9.1</t>
  </si>
  <si>
    <t>00010775</t>
  </si>
  <si>
    <t>LOCACAO DE CONTAINER 2,30 X 6,00 M, ALT. 2,50 M, COM 1 SANITARIO, PARA ESCRITORIO, COMPLETO, SEM DIVISORIAS INTERNAS (NAO INCLUI MOBILIZACAO/DESMOBILIZACAO) - BDI = 10,07</t>
  </si>
  <si>
    <t>1.1.9.2</t>
  </si>
  <si>
    <t>00010776</t>
  </si>
  <si>
    <t>LOCACAO DE CONTAINER 2,30 X 6,00 M, ALT. 2,50 M, PARA ESCRITORIO, SEM DIVISORIAS INTERNAS E SEM SANITARIO (NAO INCLUI MOBILIZACAO/DESMOBILIZACAO) - BDI = 10,07</t>
  </si>
  <si>
    <t>1.1.9.3</t>
  </si>
  <si>
    <t>00001518</t>
  </si>
  <si>
    <t>CONCRETO BETUMINOSO USINADO A QUENTE (CBUQ) PARA PAVIMENTACAO ASFALTICA, PADRAO DNIT, FAIXA C, COM CAP 50/70 - AQUISICAO POSTO USINA - BDI = 10,07</t>
  </si>
  <si>
    <t>T</t>
  </si>
  <si>
    <t>1.1.9.4</t>
  </si>
  <si>
    <t>INS-185032</t>
  </si>
  <si>
    <t>BRITA GRADUADA SIMPLES (BGS) - BDI = 10,07</t>
  </si>
  <si>
    <t>1.1.9.5</t>
  </si>
  <si>
    <t>M0808</t>
  </si>
  <si>
    <t>Brita 4 - BDI = 10,07</t>
  </si>
  <si>
    <t>1.1.9.6</t>
  </si>
  <si>
    <t>M1135</t>
  </si>
  <si>
    <t>Pó de pedra - BDI = 10,07</t>
  </si>
  <si>
    <t>1.1.9.7</t>
  </si>
  <si>
    <t>INS-54745269</t>
  </si>
  <si>
    <t>ASFALTO DILUÍDO CM - 30 - JUNHO/22 - BDI = 10,07</t>
  </si>
  <si>
    <t>1.1.9.8</t>
  </si>
  <si>
    <t>00034492</t>
  </si>
  <si>
    <t>CONCRETO USINADO BOMBEAVEL, CLASSE DE RESISTENCIA C20, COM BRITA 0 E 1, SLUMP = 100 +/- 20 MM, EXCLUI SERVICO DE BOMBEAMENTO (NBR 8953) - BDI = 10,07</t>
  </si>
  <si>
    <t>1.1.9.9</t>
  </si>
  <si>
    <t>00001345</t>
  </si>
  <si>
    <t>CHAPA/PAINEL DE MADEIRA COMPENSADA PLASTIFICADA (MADEIRITE PLASTIFICADO) PARA FORMA DE CONCRETO, DE 2200 x 1100 MM, E = *17* MM - BDI = 10,07</t>
  </si>
  <si>
    <t>1.2</t>
  </si>
  <si>
    <t>RUA PASTOS BONS - CAJUEIRO SECO</t>
  </si>
  <si>
    <t>1.2.1</t>
  </si>
  <si>
    <t>1.2.1.1</t>
  </si>
  <si>
    <t>1.2.1.2</t>
  </si>
  <si>
    <t>1.2.2</t>
  </si>
  <si>
    <t>1.2.2.1</t>
  </si>
  <si>
    <t>1.2.2.2</t>
  </si>
  <si>
    <t>1.2.3</t>
  </si>
  <si>
    <t>1.2.3.1</t>
  </si>
  <si>
    <t>1.2.3.2</t>
  </si>
  <si>
    <t>1.2.3.3</t>
  </si>
  <si>
    <t>1.2.3.4</t>
  </si>
  <si>
    <t>1.2.3.5</t>
  </si>
  <si>
    <t>1.2.4</t>
  </si>
  <si>
    <t>1.2.4.1</t>
  </si>
  <si>
    <t>1.2.4.2</t>
  </si>
  <si>
    <t>1.2.4.3</t>
  </si>
  <si>
    <t>1.2.5</t>
  </si>
  <si>
    <t>1.2.5.1</t>
  </si>
  <si>
    <t>1.2.5.2</t>
  </si>
  <si>
    <t>1.2.5.3</t>
  </si>
  <si>
    <t>1.2.5.4</t>
  </si>
  <si>
    <t>1.2.5.5</t>
  </si>
  <si>
    <t>1.2.5.6</t>
  </si>
  <si>
    <t>1.2.5.7</t>
  </si>
  <si>
    <t>1.2.5.8</t>
  </si>
  <si>
    <t>1.2.5.9</t>
  </si>
  <si>
    <t>1.2.5.10</t>
  </si>
  <si>
    <t>1.2.5.11</t>
  </si>
  <si>
    <t>1.2.5.12</t>
  </si>
  <si>
    <t>1.2.6</t>
  </si>
  <si>
    <t>1.2.6.1</t>
  </si>
  <si>
    <t>1.2.6.2</t>
  </si>
  <si>
    <t>1.2.6.3</t>
  </si>
  <si>
    <t>1.2.6.4</t>
  </si>
  <si>
    <t>1.2.6.5</t>
  </si>
  <si>
    <t>1.2.6.6</t>
  </si>
  <si>
    <t>1.2.6.7</t>
  </si>
  <si>
    <t>1.2.6.8</t>
  </si>
  <si>
    <t>1.2.6.9</t>
  </si>
  <si>
    <t>1.2.6.10</t>
  </si>
  <si>
    <t>1.2.6.11</t>
  </si>
  <si>
    <t>1.2.6.12</t>
  </si>
  <si>
    <t>1.2.6.13</t>
  </si>
  <si>
    <t>1.2.7</t>
  </si>
  <si>
    <t>1.2.7.1</t>
  </si>
  <si>
    <t>1.2.7.2</t>
  </si>
  <si>
    <t>1.2.7.3</t>
  </si>
  <si>
    <t>1.2.7.4</t>
  </si>
  <si>
    <t>1.2.8</t>
  </si>
  <si>
    <t>1.2.8.1</t>
  </si>
  <si>
    <t>1.2.9</t>
  </si>
  <si>
    <t>1.2.9.1</t>
  </si>
  <si>
    <t>1.2.9.2</t>
  </si>
  <si>
    <t>1.2.9.3</t>
  </si>
  <si>
    <t>1.2.9.4</t>
  </si>
  <si>
    <t>1.2.9.5</t>
  </si>
  <si>
    <t>1.2.9.6</t>
  </si>
  <si>
    <t>1.2.9.7</t>
  </si>
  <si>
    <t>1.3</t>
  </si>
  <si>
    <t>RUA VICÊNCIA - CAJUEIRO SECO</t>
  </si>
  <si>
    <t>1.3.1</t>
  </si>
  <si>
    <t>1.3.1.1</t>
  </si>
  <si>
    <t>1.3.1.2</t>
  </si>
  <si>
    <t>1.3.2</t>
  </si>
  <si>
    <t>1.3.2.1</t>
  </si>
  <si>
    <t>1.3.2.2</t>
  </si>
  <si>
    <t>1.3.3</t>
  </si>
  <si>
    <t>1.3.3.1</t>
  </si>
  <si>
    <t>1.3.3.2</t>
  </si>
  <si>
    <t>1.3.3.3</t>
  </si>
  <si>
    <t>1.3.3.4</t>
  </si>
  <si>
    <t>1.3.4</t>
  </si>
  <si>
    <t>1.3.4.1</t>
  </si>
  <si>
    <t>1.3.4.2</t>
  </si>
  <si>
    <t>1.3.4.3</t>
  </si>
  <si>
    <t>1.3.5</t>
  </si>
  <si>
    <t>1.3.5.1</t>
  </si>
  <si>
    <t>1.3.5.2</t>
  </si>
  <si>
    <t>1.3.5.3</t>
  </si>
  <si>
    <t>1.3.5.4</t>
  </si>
  <si>
    <t>1.3.5.5</t>
  </si>
  <si>
    <t>1.3.5.6</t>
  </si>
  <si>
    <t>1.3.5.7</t>
  </si>
  <si>
    <t>1.3.5.8</t>
  </si>
  <si>
    <t>1.3.5.9</t>
  </si>
  <si>
    <t>1.3.5.10</t>
  </si>
  <si>
    <t>1.3.5.11</t>
  </si>
  <si>
    <t>1.3.5.12</t>
  </si>
  <si>
    <t>1.3.5.13</t>
  </si>
  <si>
    <t>1.3.5.14</t>
  </si>
  <si>
    <t>1.3.5.15</t>
  </si>
  <si>
    <t>1.3.5.16</t>
  </si>
  <si>
    <t>1.3.6</t>
  </si>
  <si>
    <t>1.3.6.1</t>
  </si>
  <si>
    <t>90106</t>
  </si>
  <si>
    <t>ESCAVAÇÃO MECANIZADA DE VALA COM PROFUNDIDADE ATÉ 1,5 M (MÉDIA MONTANTE E JUSANTE/UMA COMPOSIÇÃO POR TRECHO), RETROESCAV. (0,26 M3), LARGURA DE 0,8 M A 1,5 M, EM SOLO DE 1A CATEGORIA, LOCAIS COM BAIXO NÍVEL DE INTERFERÊNCIA. AF_02/2021</t>
  </si>
  <si>
    <t>1.3.6.2</t>
  </si>
  <si>
    <t>90105</t>
  </si>
  <si>
    <t>ESCAVAÇÃO MECANIZADA DE VALA COM PROFUNDIDADE ATÉ 1,5 M (MÉDIA MONTANTE E JUSANTE/UMA COMPOSIÇÃO POR TRECHO), RETROESCAV. (0,26 M3), LARGURA MENOR QUE 0,8 M, EM SOLO DE 1A CATEGORIA, LOCAIS COM BAIXO NÍVEL DE INTERFERÊNCIA. AF_02/2021</t>
  </si>
  <si>
    <t>1.3.6.3</t>
  </si>
  <si>
    <t>93378</t>
  </si>
  <si>
    <t>REATERRO MECANIZADO DE VALA COM RETROESCAVADEIRA (CAPACIDADE DA CAÇAMBA DA RETRO: 0,26 M³ / POTÊNCIA: 88 HP), LARGURA ATÉ 0,8 M, PROFUNDIDADE ATÉ 1,5 M, COM SOLO DE 1ª CATEGORIA EM LOCAIS COM BAIXO NÍVEL DE INTERFERÊNCIA. AF_04/2016</t>
  </si>
  <si>
    <t>1.3.6.4</t>
  </si>
  <si>
    <t>93379</t>
  </si>
  <si>
    <t>REATERRO MECANIZADO DE VALA COM RETROESCAVADEIRA (CAPACIDADE DA CAÇAMBA DA RETRO: 0,26 M³ / POTÊNCIA: 88 HP), LARGURA DE 0,8 A 1,5 M, PROFUNDIDADE ATÉ 1,5 M, COM SOLO DE 1ª CATEGORIA EM LOCAIS COM BAIXO NÍVEL DE INTERFERÊNCIA. AF_04/2016</t>
  </si>
  <si>
    <t>1.3.6.5</t>
  </si>
  <si>
    <t>1.3.6.6</t>
  </si>
  <si>
    <t>1.3.6.7</t>
  </si>
  <si>
    <t>1.3.6.8</t>
  </si>
  <si>
    <t>COMP-47781585</t>
  </si>
  <si>
    <t>BOCA DE LOBO SIMPLES COM CHAPÉU E TAMPA DE CONCRETO - BLS 01 (H=1,00m)</t>
  </si>
  <si>
    <t>1.3.6.9</t>
  </si>
  <si>
    <t>97994</t>
  </si>
  <si>
    <t>BASE PARA POÇO DE VISITA RETANGULAR PARA ESGOTO, EM ALVENARIA COM BLOCOS DE CONCRETO, DIMENSÕES INTERNAS = 1X1 M, PROFUNDIDADE = 1,40 M, EXCLUINDO TAMPÃO. AF_12/2020</t>
  </si>
  <si>
    <t>1.3.6.10</t>
  </si>
  <si>
    <t>98115</t>
  </si>
  <si>
    <t>TAMPA CIRCULAR PARA ESGOTO E DRENAGEM, EM CONCRETO PRÉ-MOLDADO, DIÂMETRO INTERNO = 0,60 M E ALTURA = 0,10 M. AF_12/2020</t>
  </si>
  <si>
    <t>1.3.6.11</t>
  </si>
  <si>
    <t>1.3.6.12</t>
  </si>
  <si>
    <t>90746</t>
  </si>
  <si>
    <t>ASSENTAMENTO DE TUBO DE PEAD CORRUGADO DE DUPLA PAREDE PARA REDE COLETORA DE ESGOTO, DN 450 MM, JUNTA ELÁSTICA INTEGRADA (NÃO INCLUI FORNECIMENTO). AF_01/2021</t>
  </si>
  <si>
    <t>1.3.6.13</t>
  </si>
  <si>
    <t>90747</t>
  </si>
  <si>
    <t>ASSENTAMENTO DE TUBO DE PEAD CORRUGADO DE DUPLA PAREDE PARA REDE COLETORA DE ESGOTO, DN 600 MM, JUNTA ELÁSTICA INTEGRADA (NÃO INCLUI FORNECIMENTO). AF_01/2021</t>
  </si>
  <si>
    <t>1.3.7</t>
  </si>
  <si>
    <t>1.3.7.1</t>
  </si>
  <si>
    <t>1.3.7.2</t>
  </si>
  <si>
    <t>1.3.7.3</t>
  </si>
  <si>
    <t>1.3.7.4</t>
  </si>
  <si>
    <t>1.3.7.5</t>
  </si>
  <si>
    <t>1.3.8</t>
  </si>
  <si>
    <t>1.3.8.1</t>
  </si>
  <si>
    <t>1.3.9</t>
  </si>
  <si>
    <t>1.3.9.1</t>
  </si>
  <si>
    <t>1.3.9.2</t>
  </si>
  <si>
    <t>1.3.9.3</t>
  </si>
  <si>
    <t>1.3.9.4</t>
  </si>
  <si>
    <t>M0132</t>
  </si>
  <si>
    <t>Tubo PEAD corrugado com paredes estruturadas para drenagem - D = 450 mm - BDI = 10,07</t>
  </si>
  <si>
    <t>m</t>
  </si>
  <si>
    <t>1.3.9.5</t>
  </si>
  <si>
    <t>M0134</t>
  </si>
  <si>
    <t>Tubo PEAD corrugado com paredes estruturadas para drenagem - D = 600 mm - BDI = 10,07</t>
  </si>
  <si>
    <t>1.3.9.6</t>
  </si>
  <si>
    <t>1.3.9.7</t>
  </si>
  <si>
    <t>1.3.9.8</t>
  </si>
  <si>
    <t>1.3.9.9</t>
  </si>
  <si>
    <t>1.3.9.10</t>
  </si>
  <si>
    <t>1.4</t>
  </si>
  <si>
    <t>RUA LUÍS GONZAGA - BARRA DE JANGADA</t>
  </si>
  <si>
    <t>1.4.1</t>
  </si>
  <si>
    <t>1.4.1.1</t>
  </si>
  <si>
    <t>1.4.1.2</t>
  </si>
  <si>
    <t>1.4.2</t>
  </si>
  <si>
    <t>1.4.2.1</t>
  </si>
  <si>
    <t>1.4.2.2</t>
  </si>
  <si>
    <t>1.4.3</t>
  </si>
  <si>
    <t>1.4.3.1</t>
  </si>
  <si>
    <t>1.4.3.2</t>
  </si>
  <si>
    <t>1.4.3.3</t>
  </si>
  <si>
    <t>1.4.3.4</t>
  </si>
  <si>
    <t>1.4.3.5</t>
  </si>
  <si>
    <t>1.4.4</t>
  </si>
  <si>
    <t>1.4.4.1</t>
  </si>
  <si>
    <t>1.4.4.2</t>
  </si>
  <si>
    <t>1.4.4.3</t>
  </si>
  <si>
    <t>1.4.5</t>
  </si>
  <si>
    <t>1.4.5.1</t>
  </si>
  <si>
    <t>1.4.5.2</t>
  </si>
  <si>
    <t>COMP-47176600</t>
  </si>
  <si>
    <t>EXEC. DE ATERRO COM AREIA COM ADENSAMENTO HIDRAULICO</t>
  </si>
  <si>
    <t>1.4.5.3</t>
  </si>
  <si>
    <t>1.4.5.4</t>
  </si>
  <si>
    <t>1.4.5.5</t>
  </si>
  <si>
    <t>1.4.5.6</t>
  </si>
  <si>
    <t>1.4.5.7</t>
  </si>
  <si>
    <t>1.4.5.8</t>
  </si>
  <si>
    <t>1.4.5.9</t>
  </si>
  <si>
    <t>1.4.5.10</t>
  </si>
  <si>
    <t>1.4.5.11</t>
  </si>
  <si>
    <t>1.4.5.12</t>
  </si>
  <si>
    <t>1.4.5.13</t>
  </si>
  <si>
    <t>1.4.5.14</t>
  </si>
  <si>
    <t>1.4.6</t>
  </si>
  <si>
    <t>1.4.6.1</t>
  </si>
  <si>
    <t>1.4.6.2</t>
  </si>
  <si>
    <t>1.4.6.3</t>
  </si>
  <si>
    <t>1.4.6.4</t>
  </si>
  <si>
    <t>92268</t>
  </si>
  <si>
    <t>FABRICAÇÃO DE FÔRMA PARA LAJES, EM CHAPA DE MADEIRA COMPENSADA PLASTIFICADA, E = 18 MM. AF_09/2020</t>
  </si>
  <si>
    <t>1.4.6.5</t>
  </si>
  <si>
    <t>1.4.6.6</t>
  </si>
  <si>
    <t>1.4.6.7</t>
  </si>
  <si>
    <t>1.4.6.8</t>
  </si>
  <si>
    <t>1.4.6.9</t>
  </si>
  <si>
    <t>1.4.7</t>
  </si>
  <si>
    <t>1.4.7.1</t>
  </si>
  <si>
    <t>1.4.7.2</t>
  </si>
  <si>
    <t>1.4.7.3</t>
  </si>
  <si>
    <t>1.4.7.4</t>
  </si>
  <si>
    <t>1.4.7.5</t>
  </si>
  <si>
    <t>1.4.8</t>
  </si>
  <si>
    <t>1.4.8.1</t>
  </si>
  <si>
    <t>1.4.9</t>
  </si>
  <si>
    <t>1.4.9.1</t>
  </si>
  <si>
    <t>1.4.9.2</t>
  </si>
  <si>
    <t>1.4.9.3</t>
  </si>
  <si>
    <t>1.4.9.4</t>
  </si>
  <si>
    <t>1.4.9.5</t>
  </si>
  <si>
    <t>1.4.9.6</t>
  </si>
  <si>
    <t>1.4.9.7</t>
  </si>
  <si>
    <t>1.4.9.8</t>
  </si>
  <si>
    <t>1.4.9.9</t>
  </si>
  <si>
    <t>1.5</t>
  </si>
  <si>
    <t>RUA PLANALTINA - PIEDADE</t>
  </si>
  <si>
    <t>1.5.1</t>
  </si>
  <si>
    <t>1.5.1.1</t>
  </si>
  <si>
    <t>1.5.1.2</t>
  </si>
  <si>
    <t>1.5.2</t>
  </si>
  <si>
    <t>1.5.2.1</t>
  </si>
  <si>
    <t>1.5.2.2</t>
  </si>
  <si>
    <t>1.5.3</t>
  </si>
  <si>
    <t>1.5.3.1</t>
  </si>
  <si>
    <t>1.5.3.2</t>
  </si>
  <si>
    <t>1.5.3.3</t>
  </si>
  <si>
    <t>1.5.3.4</t>
  </si>
  <si>
    <t>1.5.3.5</t>
  </si>
  <si>
    <t>1.5.4</t>
  </si>
  <si>
    <t>TERRAPLENAGEM</t>
  </si>
  <si>
    <t>1.5.4.1</t>
  </si>
  <si>
    <t>1.5.4.2</t>
  </si>
  <si>
    <t>1.5.4.3</t>
  </si>
  <si>
    <t>1.5.5</t>
  </si>
  <si>
    <t>1.5.5.1</t>
  </si>
  <si>
    <t>1.5.5.2</t>
  </si>
  <si>
    <t>1.5.5.3</t>
  </si>
  <si>
    <t>1.5.5.4</t>
  </si>
  <si>
    <t>1.5.5.5</t>
  </si>
  <si>
    <t>1.5.5.6</t>
  </si>
  <si>
    <t>1.5.5.7</t>
  </si>
  <si>
    <t>1.5.5.8</t>
  </si>
  <si>
    <t>1.5.5.9</t>
  </si>
  <si>
    <t>1.5.5.10</t>
  </si>
  <si>
    <t>1.5.5.11</t>
  </si>
  <si>
    <t>1.5.5.12</t>
  </si>
  <si>
    <t>1.5.5.13</t>
  </si>
  <si>
    <t>1.5.5.14</t>
  </si>
  <si>
    <t>1.5.5.15</t>
  </si>
  <si>
    <t>1.5.5.16</t>
  </si>
  <si>
    <t>1.5.5.17</t>
  </si>
  <si>
    <t>1.5.6</t>
  </si>
  <si>
    <t>1.5.6.1</t>
  </si>
  <si>
    <t>1.5.6.2</t>
  </si>
  <si>
    <t>1.5.6.3</t>
  </si>
  <si>
    <t>1.5.6.4</t>
  </si>
  <si>
    <t>1.5.6.5</t>
  </si>
  <si>
    <t>1.5.7</t>
  </si>
  <si>
    <t>1.5.7.1</t>
  </si>
  <si>
    <t>1.5.8</t>
  </si>
  <si>
    <t>1.5.8.1</t>
  </si>
  <si>
    <t>1.5.8.2</t>
  </si>
  <si>
    <t>1.5.8.3</t>
  </si>
  <si>
    <t>1.5.8.4</t>
  </si>
  <si>
    <t>1.5.8.5</t>
  </si>
  <si>
    <t>1.5.8.6</t>
  </si>
  <si>
    <t>1.5.8.7</t>
  </si>
  <si>
    <t>1.5.8.8</t>
  </si>
  <si>
    <t>1.6</t>
  </si>
  <si>
    <t>RUA JESUS DE NAZARÉ - CURADO IV</t>
  </si>
  <si>
    <t>1.6.1</t>
  </si>
  <si>
    <t>1.6.1.1</t>
  </si>
  <si>
    <t>1.6.1.2</t>
  </si>
  <si>
    <t>1.6.2</t>
  </si>
  <si>
    <t>1.6.2.1</t>
  </si>
  <si>
    <t>1.6.2.2</t>
  </si>
  <si>
    <t>1.6.3</t>
  </si>
  <si>
    <t>1.6.3.1</t>
  </si>
  <si>
    <t>1.6.3.2</t>
  </si>
  <si>
    <t>1.6.3.3</t>
  </si>
  <si>
    <t>1.6.3.4</t>
  </si>
  <si>
    <t>1.6.4</t>
  </si>
  <si>
    <t>1.6.4.1</t>
  </si>
  <si>
    <t>1.6.4.2</t>
  </si>
  <si>
    <t>1.6.4.3</t>
  </si>
  <si>
    <t>1.6.4.4</t>
  </si>
  <si>
    <t>96385</t>
  </si>
  <si>
    <t>EXECUÇÃO E COMPACTAÇÃO DE ATERRO COM SOLO PREDOMINANTEMENTE ARGILOSO - EXCLUSIVE SOLO, ESCAVAÇÃO, CARGA E TRANSPORTE. AF_11/2019</t>
  </si>
  <si>
    <t>1.6.5</t>
  </si>
  <si>
    <t>1.6.5.1</t>
  </si>
  <si>
    <t>1.6.5.2</t>
  </si>
  <si>
    <t>1.6.5.3</t>
  </si>
  <si>
    <t>1.6.5.4</t>
  </si>
  <si>
    <t>1.6.5.5</t>
  </si>
  <si>
    <t>CP-92399-27762594</t>
  </si>
  <si>
    <t>EXECUÇÃO DE VIA EM PISO INTERTRAVADO, COM BLOCO RETANGULAR COR NATURAL/COLORIDO DE 20 X 10 CM, ESPESSURA 8 CM - (SEM O MATERIAL BLOQUETE/PISO INTERTRAVADO)</t>
  </si>
  <si>
    <t>1.6.5.6</t>
  </si>
  <si>
    <t>1.6.6</t>
  </si>
  <si>
    <t>1.6.6.1</t>
  </si>
  <si>
    <t>93358</t>
  </si>
  <si>
    <t>ESCAVAÇÃO MANUAL DE VALA COM PROFUNDIDADE MENOR OU IGUAL A 1,30 M. AF_02/2021</t>
  </si>
  <si>
    <t>1.6.6.2</t>
  </si>
  <si>
    <t>1.6.6.3</t>
  </si>
  <si>
    <t>1.6.6.4</t>
  </si>
  <si>
    <t>1.6.6.5</t>
  </si>
  <si>
    <t>1.6.6.6</t>
  </si>
  <si>
    <t>1.6.6.7</t>
  </si>
  <si>
    <t>CP-S03639-45770834</t>
  </si>
  <si>
    <t>Fornecimento e instalação de tela aço soldada nervurada CA-60, Q-283, malha 10x10cm, ferro 6.02mm (4,48 kg/m2), painel 2,45x6,0m, Telcon ou similar</t>
  </si>
  <si>
    <t>1.6.6.8</t>
  </si>
  <si>
    <t>1.6.6.9</t>
  </si>
  <si>
    <t>1.6.6.10</t>
  </si>
  <si>
    <t>1.6.6.11</t>
  </si>
  <si>
    <t>1.6.6.12</t>
  </si>
  <si>
    <t>1.6.6.13</t>
  </si>
  <si>
    <t>1.6.6.14</t>
  </si>
  <si>
    <t>1.6.6.15</t>
  </si>
  <si>
    <t>1.6.7</t>
  </si>
  <si>
    <t>1.6.7.1</t>
  </si>
  <si>
    <t>5213416</t>
  </si>
  <si>
    <t>Confecção de placa em aço nº 16 galvanizado, com película tipo I + I</t>
  </si>
  <si>
    <t>1.6.7.2</t>
  </si>
  <si>
    <t>1.6.7.3</t>
  </si>
  <si>
    <t>1.6.7.4</t>
  </si>
  <si>
    <t>1.6.7.5</t>
  </si>
  <si>
    <t>CP-72947-21572945</t>
  </si>
  <si>
    <t>SINALIZACAO HORIZONTAL COM TINTA RETRORREFLETIVA A BASE DE RESINA ACRILICA COM MICROESFERAS DE VIDRO</t>
  </si>
  <si>
    <t>1.6.8</t>
  </si>
  <si>
    <t>1.6.8.1</t>
  </si>
  <si>
    <t>1.6.8.2</t>
  </si>
  <si>
    <t>1.6.8.3</t>
  </si>
  <si>
    <t>00036170</t>
  </si>
  <si>
    <t>BLOQUETE/PISO INTERTRAVADO DE CONCRETO - MODELO ONDA/16 FACES/RETANGULAR/TIJOLINHO/PAVER/HOLANDES/PARALELEPIPEDO, *22 CM X 11* CM, E = 8 CM, RESISTENCIA DE 35 MPA (NBR 9781), COR NATURAL - BDI = 10,07</t>
  </si>
  <si>
    <t>1.6.8.4</t>
  </si>
  <si>
    <t>00036154</t>
  </si>
  <si>
    <t>BLOQUETE/PISO INTERTRAVADO DE CONCRETO - MODELO ONDA/16 FACES/RETANGULAR/TIJOLINHO/PAVER/HOLANDES/PARALELEPIPEDO, 20 CM X 10 CM, E = 8 CM, RESISTENCIA DE 35 MPA (NBR 9781), COLORIDO - BDI = 10,07</t>
  </si>
  <si>
    <t>1.6.8.5</t>
  </si>
  <si>
    <t>1.6.8.6</t>
  </si>
  <si>
    <t>1.7</t>
  </si>
  <si>
    <t>RUA TALCI - DOIS CARNEIROS</t>
  </si>
  <si>
    <t>1.7.1</t>
  </si>
  <si>
    <t>1.7.1.1</t>
  </si>
  <si>
    <t>1.7.1.2</t>
  </si>
  <si>
    <t>1.7.2</t>
  </si>
  <si>
    <t>1.7.2.1</t>
  </si>
  <si>
    <t>1.7.2.2</t>
  </si>
  <si>
    <t>1.7.3</t>
  </si>
  <si>
    <t>1.7.3.1</t>
  </si>
  <si>
    <t>1.7.3.2</t>
  </si>
  <si>
    <t>1.7.3.3</t>
  </si>
  <si>
    <t>1.7.3.4</t>
  </si>
  <si>
    <t>1.7.4</t>
  </si>
  <si>
    <t>1.7.4.1</t>
  </si>
  <si>
    <t>1.7.4.2</t>
  </si>
  <si>
    <t>1.7.4.3</t>
  </si>
  <si>
    <t>1.7.5</t>
  </si>
  <si>
    <t>1.7.5.1</t>
  </si>
  <si>
    <t>1.7.5.2</t>
  </si>
  <si>
    <t>1.7.5.3</t>
  </si>
  <si>
    <t>1.7.5.4</t>
  </si>
  <si>
    <t>1.7.5.5</t>
  </si>
  <si>
    <t>1.7.5.6</t>
  </si>
  <si>
    <t>1.7.5.7</t>
  </si>
  <si>
    <t>1.7.5.8</t>
  </si>
  <si>
    <t>1.7.5.9</t>
  </si>
  <si>
    <t>1.7.5.10</t>
  </si>
  <si>
    <t>1.7.5.11</t>
  </si>
  <si>
    <t>1.7.5.12</t>
  </si>
  <si>
    <t>1.7.5.13</t>
  </si>
  <si>
    <t>1.7.5.14</t>
  </si>
  <si>
    <t>1.7.5.15</t>
  </si>
  <si>
    <t>1.7.5.16</t>
  </si>
  <si>
    <t>1.7.6</t>
  </si>
  <si>
    <t>1.7.6.1</t>
  </si>
  <si>
    <t>1.7.6.2</t>
  </si>
  <si>
    <t>1.7.6.3</t>
  </si>
  <si>
    <t>1.7.6.4</t>
  </si>
  <si>
    <t>1.7.6.5</t>
  </si>
  <si>
    <t>1.7.6.6</t>
  </si>
  <si>
    <t>1.7.7</t>
  </si>
  <si>
    <t>1.7.7.1</t>
  </si>
  <si>
    <t>1.7.8</t>
  </si>
  <si>
    <t>1.7.8.1</t>
  </si>
  <si>
    <t>1.7.8.2</t>
  </si>
  <si>
    <t>1.7.8.3</t>
  </si>
  <si>
    <t>1.7.8.4</t>
  </si>
  <si>
    <t>1.7.8.5</t>
  </si>
  <si>
    <t>1.7.8.6</t>
  </si>
  <si>
    <t>1.7.8.7</t>
  </si>
  <si>
    <t>1.7.8.8</t>
  </si>
  <si>
    <t>1.8</t>
  </si>
  <si>
    <t>RUA LEÃO MARINHO - DOIS CARNEIROS</t>
  </si>
  <si>
    <t>1.8.1</t>
  </si>
  <si>
    <t>1.8.1.1</t>
  </si>
  <si>
    <t>1.8.1.2</t>
  </si>
  <si>
    <t>1.8.2</t>
  </si>
  <si>
    <t>1.8.2.1</t>
  </si>
  <si>
    <t>1.8.2.2</t>
  </si>
  <si>
    <t>1.8.3</t>
  </si>
  <si>
    <t>1.8.3.1</t>
  </si>
  <si>
    <t>1.8.3.2</t>
  </si>
  <si>
    <t>1.8.3.3</t>
  </si>
  <si>
    <t>1.8.3.4</t>
  </si>
  <si>
    <t>1.8.4</t>
  </si>
  <si>
    <t>1.8.4.1</t>
  </si>
  <si>
    <t>1.8.4.2</t>
  </si>
  <si>
    <t>1.8.4.3</t>
  </si>
  <si>
    <t>1.8.4.4</t>
  </si>
  <si>
    <t>1.8.5</t>
  </si>
  <si>
    <t>1.8.5.1</t>
  </si>
  <si>
    <t>1.8.5.2</t>
  </si>
  <si>
    <t>1.8.5.3</t>
  </si>
  <si>
    <t>1.8.5.4</t>
  </si>
  <si>
    <t>1.8.5.5</t>
  </si>
  <si>
    <t>1.8.5.6</t>
  </si>
  <si>
    <t>1.8.5.7</t>
  </si>
  <si>
    <t>1.8.5.8</t>
  </si>
  <si>
    <t>1.8.5.9</t>
  </si>
  <si>
    <t>1.8.5.10</t>
  </si>
  <si>
    <t>1.8.5.11</t>
  </si>
  <si>
    <t>1.8.5.12</t>
  </si>
  <si>
    <t>1.8.5.13</t>
  </si>
  <si>
    <t>1.8.6</t>
  </si>
  <si>
    <t>1.8.6.1</t>
  </si>
  <si>
    <t>1.8.6.2</t>
  </si>
  <si>
    <t>1.8.6.3</t>
  </si>
  <si>
    <t>1.8.6.4</t>
  </si>
  <si>
    <t>1.8.6.5</t>
  </si>
  <si>
    <t>1.8.6.6</t>
  </si>
  <si>
    <t>1.8.6.7</t>
  </si>
  <si>
    <t>1.8.6.8</t>
  </si>
  <si>
    <t>1.8.6.9</t>
  </si>
  <si>
    <t>1.8.7</t>
  </si>
  <si>
    <t>1.8.7.1</t>
  </si>
  <si>
    <t>1.8.7.2</t>
  </si>
  <si>
    <t>1.8.7.3</t>
  </si>
  <si>
    <t>1.8.7.4</t>
  </si>
  <si>
    <t>1.8.7.5</t>
  </si>
  <si>
    <t>1.8.7.6</t>
  </si>
  <si>
    <t>1.8.8</t>
  </si>
  <si>
    <t>1.8.8.1</t>
  </si>
  <si>
    <t>1.8.9</t>
  </si>
  <si>
    <t>1.8.9.1</t>
  </si>
  <si>
    <t>1.8.9.2</t>
  </si>
  <si>
    <t>1.8.9.3</t>
  </si>
  <si>
    <t>1.8.9.4</t>
  </si>
  <si>
    <t>1.8.9.5</t>
  </si>
  <si>
    <t>1.8.9.6</t>
  </si>
  <si>
    <t>1.8.9.7</t>
  </si>
  <si>
    <t>1.8.9.8</t>
  </si>
  <si>
    <t>1.8.9.9</t>
  </si>
  <si>
    <t>1.9</t>
  </si>
  <si>
    <t>RUA DO FOGO - CURCURANA</t>
  </si>
  <si>
    <t>1.9.1</t>
  </si>
  <si>
    <t>1.9.1.1</t>
  </si>
  <si>
    <t>1.9.1.2</t>
  </si>
  <si>
    <t>1.9.2</t>
  </si>
  <si>
    <t>1.9.2.1</t>
  </si>
  <si>
    <t>1.9.2.2</t>
  </si>
  <si>
    <t>1.9.3</t>
  </si>
  <si>
    <t>1.9.3.1</t>
  </si>
  <si>
    <t>1.9.3.2</t>
  </si>
  <si>
    <t>1.9.3.3</t>
  </si>
  <si>
    <t>1.9.3.4</t>
  </si>
  <si>
    <t>1.9.3.5</t>
  </si>
  <si>
    <t>1.9.4</t>
  </si>
  <si>
    <t>1.9.4.1</t>
  </si>
  <si>
    <t>1.9.4.2</t>
  </si>
  <si>
    <t>1.9.4.3</t>
  </si>
  <si>
    <t>1.9.5</t>
  </si>
  <si>
    <t>1.9.5.1</t>
  </si>
  <si>
    <t>1.9.5.2</t>
  </si>
  <si>
    <t>1.9.5.3</t>
  </si>
  <si>
    <t>1.9.5.4</t>
  </si>
  <si>
    <t>1.9.5.5</t>
  </si>
  <si>
    <t>1.9.5.6</t>
  </si>
  <si>
    <t>1.9.5.7</t>
  </si>
  <si>
    <t>1.9.5.8</t>
  </si>
  <si>
    <t>1.9.5.9</t>
  </si>
  <si>
    <t>1.9.5.10</t>
  </si>
  <si>
    <t>1.9.5.11</t>
  </si>
  <si>
    <t>1.9.5.12</t>
  </si>
  <si>
    <t>1.9.5.13</t>
  </si>
  <si>
    <t>1.9.5.14</t>
  </si>
  <si>
    <t>1.9.5.15</t>
  </si>
  <si>
    <t>1.9.5.16</t>
  </si>
  <si>
    <t>1.9.5.17</t>
  </si>
  <si>
    <t>1.9.5.18</t>
  </si>
  <si>
    <t>1.9.5.19</t>
  </si>
  <si>
    <t>1.9.6</t>
  </si>
  <si>
    <t>1.9.6.1</t>
  </si>
  <si>
    <t>1.9.6.2</t>
  </si>
  <si>
    <t>1.9.6.3</t>
  </si>
  <si>
    <t>1.9.6.4</t>
  </si>
  <si>
    <t>1.9.6.5</t>
  </si>
  <si>
    <t>1.9.6.6</t>
  </si>
  <si>
    <t>1.9.6.7</t>
  </si>
  <si>
    <t>1.9.6.8</t>
  </si>
  <si>
    <t>1.9.6.9</t>
  </si>
  <si>
    <t>1.9.6.10</t>
  </si>
  <si>
    <t>1.9.6.11</t>
  </si>
  <si>
    <t>1.9.6.12</t>
  </si>
  <si>
    <t>1.9.6.13</t>
  </si>
  <si>
    <t>1.9.6.14</t>
  </si>
  <si>
    <t>2003450</t>
  </si>
  <si>
    <t>Dissipador de energia - DEB 02 - areia extraída e brita e pedra de mão produzidas</t>
  </si>
  <si>
    <t>1.9.7</t>
  </si>
  <si>
    <t>1.9.7.1</t>
  </si>
  <si>
    <t>1.9.7.2</t>
  </si>
  <si>
    <t>1.9.7.3</t>
  </si>
  <si>
    <t>1.9.7.4</t>
  </si>
  <si>
    <t>1.9.7.5</t>
  </si>
  <si>
    <t>1.9.8</t>
  </si>
  <si>
    <t>1.9.8.1</t>
  </si>
  <si>
    <t>1.9.9</t>
  </si>
  <si>
    <t>1.9.9.1</t>
  </si>
  <si>
    <t>1.9.9.2</t>
  </si>
  <si>
    <t>1.9.9.3</t>
  </si>
  <si>
    <t>1.9.9.4</t>
  </si>
  <si>
    <t>1.9.9.5</t>
  </si>
  <si>
    <t>1.9.9.6</t>
  </si>
  <si>
    <t>1.9.9.7</t>
  </si>
  <si>
    <t>1.9.9.8</t>
  </si>
  <si>
    <t>1.9.9.9</t>
  </si>
  <si>
    <t>1.10</t>
  </si>
  <si>
    <t>RUA 11 - CURCURANA</t>
  </si>
  <si>
    <t>1.10.1</t>
  </si>
  <si>
    <t>1.10.1.1</t>
  </si>
  <si>
    <t>1.10.1.2</t>
  </si>
  <si>
    <t>1.10.2</t>
  </si>
  <si>
    <t>1.10.2.1</t>
  </si>
  <si>
    <t>1.10.2.2</t>
  </si>
  <si>
    <t>1.10.3</t>
  </si>
  <si>
    <t>1.10.3.1</t>
  </si>
  <si>
    <t>1.10.4</t>
  </si>
  <si>
    <t>1.10.4.1</t>
  </si>
  <si>
    <t>1.10.4.2</t>
  </si>
  <si>
    <t>1.10.4.3</t>
  </si>
  <si>
    <t>1.10.5</t>
  </si>
  <si>
    <t>1.10.5.1</t>
  </si>
  <si>
    <t>1.10.5.2</t>
  </si>
  <si>
    <t>1.10.5.3</t>
  </si>
  <si>
    <t>1.10.5.4</t>
  </si>
  <si>
    <t>1.10.5.5</t>
  </si>
  <si>
    <t>1.10.5.6</t>
  </si>
  <si>
    <t>1.10.5.7</t>
  </si>
  <si>
    <t>1.10.5.8</t>
  </si>
  <si>
    <t>1.10.5.9</t>
  </si>
  <si>
    <t>1.10.5.10</t>
  </si>
  <si>
    <t>1.10.5.11</t>
  </si>
  <si>
    <t>1.10.5.12</t>
  </si>
  <si>
    <t>1.10.5.13</t>
  </si>
  <si>
    <t>1.10.5.14</t>
  </si>
  <si>
    <t>1.10.5.15</t>
  </si>
  <si>
    <t>1.10.6</t>
  </si>
  <si>
    <t>1.10.6.1</t>
  </si>
  <si>
    <t>1.10.6.2</t>
  </si>
  <si>
    <t>1.10.6.3</t>
  </si>
  <si>
    <t>1.10.6.4</t>
  </si>
  <si>
    <t>1.10.6.5</t>
  </si>
  <si>
    <t>1.10.6.6</t>
  </si>
  <si>
    <t>1.10.6.7</t>
  </si>
  <si>
    <t>1.10.6.8</t>
  </si>
  <si>
    <t>1.10.6.9</t>
  </si>
  <si>
    <t>1.10.6.10</t>
  </si>
  <si>
    <t>1.10.6.11</t>
  </si>
  <si>
    <t>1.10.6.12</t>
  </si>
  <si>
    <t>1.10.6.13</t>
  </si>
  <si>
    <t>1.10.7</t>
  </si>
  <si>
    <t>1.10.7.1</t>
  </si>
  <si>
    <t>1.10.7.2</t>
  </si>
  <si>
    <t>1.10.7.3</t>
  </si>
  <si>
    <t>1.10.7.4</t>
  </si>
  <si>
    <t>1.10.7.5</t>
  </si>
  <si>
    <t>1.10.8</t>
  </si>
  <si>
    <t>1.10.8.1</t>
  </si>
  <si>
    <t>1.10.9</t>
  </si>
  <si>
    <t>1.10.9.1</t>
  </si>
  <si>
    <t>1.10.9.2</t>
  </si>
  <si>
    <t>1.10.9.3</t>
  </si>
  <si>
    <t>1.10.9.4</t>
  </si>
  <si>
    <t>1.10.9.5</t>
  </si>
  <si>
    <t>1.10.9.6</t>
  </si>
  <si>
    <t>1.10.9.7</t>
  </si>
  <si>
    <t>1.10.9.8</t>
  </si>
  <si>
    <t>1.10.9.9</t>
  </si>
  <si>
    <t>1.11</t>
  </si>
  <si>
    <t>RUA PETROLÂNDIA - PIEDADE</t>
  </si>
  <si>
    <t>1.11.1</t>
  </si>
  <si>
    <t>1.11.1.1</t>
  </si>
  <si>
    <t>1.11.1.2</t>
  </si>
  <si>
    <t>1.11.2</t>
  </si>
  <si>
    <t>1.11.2.1</t>
  </si>
  <si>
    <t>1.11.2.2</t>
  </si>
  <si>
    <t>1.11.3</t>
  </si>
  <si>
    <t>1.11.3.1</t>
  </si>
  <si>
    <t>1.11.3.2</t>
  </si>
  <si>
    <t>1.11.3.3</t>
  </si>
  <si>
    <t>1.11.3.4</t>
  </si>
  <si>
    <t>98529</t>
  </si>
  <si>
    <t>CORTE RASO E RECORTE DE ÁRVORE COM DIÂMETRO DE TRONCO MAIOR OU IGUAL A 0,20 M E MENOR QUE 0,40 M.AF_05/2018</t>
  </si>
  <si>
    <t>1.11.3.5</t>
  </si>
  <si>
    <t>1.11.3.6</t>
  </si>
  <si>
    <t>1.11.4</t>
  </si>
  <si>
    <t>1.11.4.1</t>
  </si>
  <si>
    <t>1.11.4.2</t>
  </si>
  <si>
    <t>1.11.4.3</t>
  </si>
  <si>
    <t>1.11.4.4</t>
  </si>
  <si>
    <t>1.11.5</t>
  </si>
  <si>
    <t>1.11.5.1</t>
  </si>
  <si>
    <t>1.11.5.2</t>
  </si>
  <si>
    <t>1.11.5.3</t>
  </si>
  <si>
    <t>1.11.5.4</t>
  </si>
  <si>
    <t>1.11.5.5</t>
  </si>
  <si>
    <t>1.11.5.6</t>
  </si>
  <si>
    <t>1.11.5.7</t>
  </si>
  <si>
    <t>1.11.5.8</t>
  </si>
  <si>
    <t>1.11.5.9</t>
  </si>
  <si>
    <t>1.11.5.10</t>
  </si>
  <si>
    <t>1.11.5.11</t>
  </si>
  <si>
    <t>1.11.5.12</t>
  </si>
  <si>
    <t>1.11.5.13</t>
  </si>
  <si>
    <t>1.11.5.14</t>
  </si>
  <si>
    <t>1.11.5.15</t>
  </si>
  <si>
    <t>1.11.5.16</t>
  </si>
  <si>
    <t>1.11.5.17</t>
  </si>
  <si>
    <t>1.11.6</t>
  </si>
  <si>
    <t>1.11.6.1</t>
  </si>
  <si>
    <t>1.11.6.2</t>
  </si>
  <si>
    <t>1.11.6.3</t>
  </si>
  <si>
    <t>1.11.6.4</t>
  </si>
  <si>
    <t>1.11.6.5</t>
  </si>
  <si>
    <t>1.11.6.6</t>
  </si>
  <si>
    <t>1.11.6.7</t>
  </si>
  <si>
    <t>1.11.6.8</t>
  </si>
  <si>
    <t>1.11.6.9</t>
  </si>
  <si>
    <t>1.11.7</t>
  </si>
  <si>
    <t>1.11.7.1</t>
  </si>
  <si>
    <t>1.11.7.2</t>
  </si>
  <si>
    <t>1.11.7.3</t>
  </si>
  <si>
    <t>1.11.7.4</t>
  </si>
  <si>
    <t>1.11.7.5</t>
  </si>
  <si>
    <t>1.11.8</t>
  </si>
  <si>
    <t>1.11.8.1</t>
  </si>
  <si>
    <t>1.11.9</t>
  </si>
  <si>
    <t>1.11.9.1</t>
  </si>
  <si>
    <t>1.11.9.2</t>
  </si>
  <si>
    <t>1.11.9.3</t>
  </si>
  <si>
    <t>1.11.9.4</t>
  </si>
  <si>
    <t>1.11.9.5</t>
  </si>
  <si>
    <t>1.11.9.6</t>
  </si>
  <si>
    <t>1.11.9.7</t>
  </si>
  <si>
    <t>1.11.9.8</t>
  </si>
  <si>
    <t>1.11.9.9</t>
  </si>
  <si>
    <t>1.12</t>
  </si>
  <si>
    <t>RUA CATANDUVA - CURCURANA</t>
  </si>
  <si>
    <t>1.12.1</t>
  </si>
  <si>
    <t>1.12.1.1</t>
  </si>
  <si>
    <t>1.12.1.2</t>
  </si>
  <si>
    <t>1.12.2</t>
  </si>
  <si>
    <t>1.12.2.1</t>
  </si>
  <si>
    <t>1.12.2.2</t>
  </si>
  <si>
    <t>1.12.3</t>
  </si>
  <si>
    <t>1.12.3.1</t>
  </si>
  <si>
    <t>1.12.3.2</t>
  </si>
  <si>
    <t>1.12.3.3</t>
  </si>
  <si>
    <t>1.12.3.4</t>
  </si>
  <si>
    <t>1.12.4</t>
  </si>
  <si>
    <t>1.12.4.1</t>
  </si>
  <si>
    <t>1.12.4.2</t>
  </si>
  <si>
    <t>1.12.4.3</t>
  </si>
  <si>
    <t>1.12.4.4</t>
  </si>
  <si>
    <t>1.12.5</t>
  </si>
  <si>
    <t>1.12.5.1</t>
  </si>
  <si>
    <t>1.12.5.2</t>
  </si>
  <si>
    <t>1.12.5.3</t>
  </si>
  <si>
    <t>1.12.5.4</t>
  </si>
  <si>
    <t>1.12.5.5</t>
  </si>
  <si>
    <t>1.12.5.6</t>
  </si>
  <si>
    <t>1.12.5.7</t>
  </si>
  <si>
    <t>1.12.5.8</t>
  </si>
  <si>
    <t>1.12.5.9</t>
  </si>
  <si>
    <t>1.12.5.10</t>
  </si>
  <si>
    <t>1.12.5.11</t>
  </si>
  <si>
    <t>1.12.5.12</t>
  </si>
  <si>
    <t>1.12.5.13</t>
  </si>
  <si>
    <t>1.12.5.14</t>
  </si>
  <si>
    <t>1.12.5.15</t>
  </si>
  <si>
    <t>1.12.5.16</t>
  </si>
  <si>
    <t>1.12.6</t>
  </si>
  <si>
    <t>1.12.6.1</t>
  </si>
  <si>
    <t>1.12.6.2</t>
  </si>
  <si>
    <t>1.12.6.3</t>
  </si>
  <si>
    <t>1.12.6.4</t>
  </si>
  <si>
    <t>1.12.6.5</t>
  </si>
  <si>
    <t>1.12.6.6</t>
  </si>
  <si>
    <t>1.12.6.7</t>
  </si>
  <si>
    <t>1.12.6.8</t>
  </si>
  <si>
    <t>1.12.6.9</t>
  </si>
  <si>
    <t>1.12.6.10</t>
  </si>
  <si>
    <t>1.12.6.11</t>
  </si>
  <si>
    <t>1.12.6.12</t>
  </si>
  <si>
    <t>1.12.6.13</t>
  </si>
  <si>
    <t>1.12.7</t>
  </si>
  <si>
    <t>1.12.7.1</t>
  </si>
  <si>
    <t>1.12.7.2</t>
  </si>
  <si>
    <t>1.12.7.3</t>
  </si>
  <si>
    <t>1.12.7.4</t>
  </si>
  <si>
    <t>1.12.7.5</t>
  </si>
  <si>
    <t>1.12.8</t>
  </si>
  <si>
    <t>1.12.8.1</t>
  </si>
  <si>
    <t>1.12.9</t>
  </si>
  <si>
    <t>1.12.9.1</t>
  </si>
  <si>
    <t>1.12.9.2</t>
  </si>
  <si>
    <t>1.12.9.3</t>
  </si>
  <si>
    <t>1.12.9.4</t>
  </si>
  <si>
    <t>1.12.9.5</t>
  </si>
  <si>
    <t>1.12.9.6</t>
  </si>
  <si>
    <t>1.12.9.7</t>
  </si>
  <si>
    <t>1.12.9.8</t>
  </si>
  <si>
    <t>1.12.9.9</t>
  </si>
  <si>
    <t>1.13</t>
  </si>
  <si>
    <t>RUA JORNALISTA HERCÍLIO CELSO - CANDEIAS</t>
  </si>
  <si>
    <t>1.13.1</t>
  </si>
  <si>
    <t>1.13.1.1</t>
  </si>
  <si>
    <t>1.13.1.2</t>
  </si>
  <si>
    <t>1.13.2</t>
  </si>
  <si>
    <t>1.13.2.1</t>
  </si>
  <si>
    <t>1.13.2.2</t>
  </si>
  <si>
    <t>1.13.3</t>
  </si>
  <si>
    <t>1.13.3.1</t>
  </si>
  <si>
    <t>1.13.3.2</t>
  </si>
  <si>
    <t>1.13.3.3</t>
  </si>
  <si>
    <t>1.13.3.4</t>
  </si>
  <si>
    <t>1.13.4</t>
  </si>
  <si>
    <t>1.13.4.1</t>
  </si>
  <si>
    <t>1.13.4.2</t>
  </si>
  <si>
    <t>1.13.4.3</t>
  </si>
  <si>
    <t>1.13.4.4</t>
  </si>
  <si>
    <t>1.13.5</t>
  </si>
  <si>
    <t>1.13.5.1</t>
  </si>
  <si>
    <t>96001</t>
  </si>
  <si>
    <t>FRESAGEM DE PAVIMENTO ASFÁLTICO (PROFUNDIDADE ATÉ 5,0 CM) - EXCLUSIVE TRANSPORTE. AF_11/2019</t>
  </si>
  <si>
    <t>1.13.5.2</t>
  </si>
  <si>
    <t>100983</t>
  </si>
  <si>
    <t>CARGA, MANOBRA E DESCARGA DE ENTULHO EM CAMINHÃO BASCULANTE 14 M³ - CARGA COM ESCAVADEIRA HIDRÁULICA (CAÇAMBA DE 0,80 M³ / 111 HP) E DESCARGA LIVRE (UNIDADE: M3). AF_07/2020</t>
  </si>
  <si>
    <t>1.13.5.3</t>
  </si>
  <si>
    <t>1.13.5.4</t>
  </si>
  <si>
    <t>96402</t>
  </si>
  <si>
    <t>EXECUÇÃO DE PINTURA DE LIGAÇÃO COM EMULSÃO ASFÁLTICA RR-2C. AF_11/2019</t>
  </si>
  <si>
    <t>1.13.5.5</t>
  </si>
  <si>
    <t>1.13.5.6</t>
  </si>
  <si>
    <t>1.13.5.7</t>
  </si>
  <si>
    <t>1.13.5.8</t>
  </si>
  <si>
    <t>1.13.5.9</t>
  </si>
  <si>
    <t>1.13.5.10</t>
  </si>
  <si>
    <t>1.13.5.11</t>
  </si>
  <si>
    <t>1.13.5.12</t>
  </si>
  <si>
    <t>1.13.5.13</t>
  </si>
  <si>
    <t>1.13.5.14</t>
  </si>
  <si>
    <t>1.13.5.15</t>
  </si>
  <si>
    <t>1.13.5.16</t>
  </si>
  <si>
    <t>1.13.5.17</t>
  </si>
  <si>
    <t>1.13.5.18</t>
  </si>
  <si>
    <t>1.13.5.19</t>
  </si>
  <si>
    <t>1.13.6</t>
  </si>
  <si>
    <t>1.13.6.1</t>
  </si>
  <si>
    <t>1.13.6.2</t>
  </si>
  <si>
    <t>1.13.6.3</t>
  </si>
  <si>
    <t>1.13.6.4</t>
  </si>
  <si>
    <t>1.13.6.5</t>
  </si>
  <si>
    <t>1.13.6.6</t>
  </si>
  <si>
    <t>1.13.6.7</t>
  </si>
  <si>
    <t>1.13.6.8</t>
  </si>
  <si>
    <t>1.13.6.9</t>
  </si>
  <si>
    <t>1.13.6.10</t>
  </si>
  <si>
    <t>1.13.6.11</t>
  </si>
  <si>
    <t>1.13.6.12</t>
  </si>
  <si>
    <t>1.13.6.13</t>
  </si>
  <si>
    <t>1.13.6.14</t>
  </si>
  <si>
    <t>1.13.6.15</t>
  </si>
  <si>
    <t>1.13.6.16</t>
  </si>
  <si>
    <t>1.13.6.17</t>
  </si>
  <si>
    <t>1.13.6.18</t>
  </si>
  <si>
    <t>1.13.6.19</t>
  </si>
  <si>
    <t>1.13.6.20</t>
  </si>
  <si>
    <t>1.13.7</t>
  </si>
  <si>
    <t>1.13.7.1</t>
  </si>
  <si>
    <t>1.13.7.2</t>
  </si>
  <si>
    <t>1.13.7.3</t>
  </si>
  <si>
    <t>1.13.7.4</t>
  </si>
  <si>
    <t>1.13.7.5</t>
  </si>
  <si>
    <t>1.13.7.6</t>
  </si>
  <si>
    <t>1.13.7.7</t>
  </si>
  <si>
    <t>1.13.8</t>
  </si>
  <si>
    <t>1.13.8.1</t>
  </si>
  <si>
    <t>1.13.9</t>
  </si>
  <si>
    <t>1.13.9.1</t>
  </si>
  <si>
    <t>1.13.9.2</t>
  </si>
  <si>
    <t>1.13.9.3</t>
  </si>
  <si>
    <t>1.13.9.4</t>
  </si>
  <si>
    <t>1.13.9.5</t>
  </si>
  <si>
    <t>1.13.9.6</t>
  </si>
  <si>
    <t>1.13.9.7</t>
  </si>
  <si>
    <t>1.13.9.8</t>
  </si>
  <si>
    <t>1.13.9.9</t>
  </si>
  <si>
    <t>1.13.9.10</t>
  </si>
  <si>
    <t>1.13.9.11</t>
  </si>
  <si>
    <t>1.14</t>
  </si>
  <si>
    <t>RUA JOSÉ NUNES DA CUNHA - CANDEIAS</t>
  </si>
  <si>
    <t>1.14.1</t>
  </si>
  <si>
    <t>1.14.1.1</t>
  </si>
  <si>
    <t>1.14.1.2</t>
  </si>
  <si>
    <t>1.14.2</t>
  </si>
  <si>
    <t>1.14.2.1</t>
  </si>
  <si>
    <t>1.14.2.2</t>
  </si>
  <si>
    <t>1.14.3</t>
  </si>
  <si>
    <t>1.14.3.1</t>
  </si>
  <si>
    <t>1.14.3.2</t>
  </si>
  <si>
    <t>1.14.3.3</t>
  </si>
  <si>
    <t>1.14.3.4</t>
  </si>
  <si>
    <t>1.14.3.5</t>
  </si>
  <si>
    <t>1.14.4</t>
  </si>
  <si>
    <t>1.14.4.1</t>
  </si>
  <si>
    <t>1.14.4.2</t>
  </si>
  <si>
    <t>1.14.4.3</t>
  </si>
  <si>
    <t>1.14.5</t>
  </si>
  <si>
    <t>1.14.5.1</t>
  </si>
  <si>
    <t>1.14.5.2</t>
  </si>
  <si>
    <t>1.14.5.3</t>
  </si>
  <si>
    <t>1.14.5.4</t>
  </si>
  <si>
    <t>1.14.5.5</t>
  </si>
  <si>
    <t>1.14.5.6</t>
  </si>
  <si>
    <t>1.14.5.7</t>
  </si>
  <si>
    <t>1.14.5.8</t>
  </si>
  <si>
    <t>1.14.5.9</t>
  </si>
  <si>
    <t>1.14.5.10</t>
  </si>
  <si>
    <t>1.14.5.11</t>
  </si>
  <si>
    <t>1.14.5.12</t>
  </si>
  <si>
    <t>1.14.5.13</t>
  </si>
  <si>
    <t>1.14.5.14</t>
  </si>
  <si>
    <t>1.14.5.15</t>
  </si>
  <si>
    <t>1.14.5.16</t>
  </si>
  <si>
    <t>1.14.5.17</t>
  </si>
  <si>
    <t>1.14.5.18</t>
  </si>
  <si>
    <t>1.14.5.19</t>
  </si>
  <si>
    <t>1.14.6</t>
  </si>
  <si>
    <t>1.14.6.1</t>
  </si>
  <si>
    <t>1.14.6.2</t>
  </si>
  <si>
    <t>1.14.6.3</t>
  </si>
  <si>
    <t>1.14.6.4</t>
  </si>
  <si>
    <t>1.14.6.5</t>
  </si>
  <si>
    <t>1.14.6.6</t>
  </si>
  <si>
    <t>1.14.7</t>
  </si>
  <si>
    <t>1.14.7.1</t>
  </si>
  <si>
    <t>1.14.8</t>
  </si>
  <si>
    <t>1.14.8.1</t>
  </si>
  <si>
    <t>1.14.8.2</t>
  </si>
  <si>
    <t>1.14.8.3</t>
  </si>
  <si>
    <t>1.14.8.4</t>
  </si>
  <si>
    <t>1.14.8.5</t>
  </si>
  <si>
    <t>1.14.8.6</t>
  </si>
  <si>
    <t>1.14.8.7</t>
  </si>
  <si>
    <t>1.14.8.8</t>
  </si>
  <si>
    <t>1.15</t>
  </si>
  <si>
    <t>RUA PARAGOMINAS - PRAZERES</t>
  </si>
  <si>
    <t>1.15.1</t>
  </si>
  <si>
    <t>1.15.1.1</t>
  </si>
  <si>
    <t>1.15.1.2</t>
  </si>
  <si>
    <t>1.15.2</t>
  </si>
  <si>
    <t>1.15.2.1</t>
  </si>
  <si>
    <t>1.15.2.2</t>
  </si>
  <si>
    <t>1.15.3</t>
  </si>
  <si>
    <t>1.15.3.1</t>
  </si>
  <si>
    <t>1.15.4</t>
  </si>
  <si>
    <t>1.15.4.1</t>
  </si>
  <si>
    <t>1.15.4.2</t>
  </si>
  <si>
    <t>1.15.4.3</t>
  </si>
  <si>
    <t>1.15.5</t>
  </si>
  <si>
    <t>1.15.5.1</t>
  </si>
  <si>
    <t>1.15.5.2</t>
  </si>
  <si>
    <t>ATERRO COM AREIA COM ADENSAMENTO HIDRAULICO (com caminhão pipa)</t>
  </si>
  <si>
    <t>1.15.5.3</t>
  </si>
  <si>
    <t>1.15.5.4</t>
  </si>
  <si>
    <t>1.15.5.5</t>
  </si>
  <si>
    <t>1.15.5.6</t>
  </si>
  <si>
    <t>1.15.5.7</t>
  </si>
  <si>
    <t>1.15.5.8</t>
  </si>
  <si>
    <t>1.15.5.9</t>
  </si>
  <si>
    <t>1.15.5.10</t>
  </si>
  <si>
    <t>1.15.5.11</t>
  </si>
  <si>
    <t>1.15.5.12</t>
  </si>
  <si>
    <t>1.15.5.13</t>
  </si>
  <si>
    <t>1.15.5.14</t>
  </si>
  <si>
    <t>1.15.5.15</t>
  </si>
  <si>
    <t>1.15.5.16</t>
  </si>
  <si>
    <t>1.15.6</t>
  </si>
  <si>
    <t>CONTENÇÃO</t>
  </si>
  <si>
    <t>1.15.6.1</t>
  </si>
  <si>
    <t>100206</t>
  </si>
  <si>
    <t>TRANSPORTE HORIZONTAL COM JERICA DE 90 L, DE MASSA/ GRANEL (UNIDADE: M3XKM). AF_07/2019</t>
  </si>
  <si>
    <t>1.15.6.2</t>
  </si>
  <si>
    <t>CP-95467-90315369</t>
  </si>
  <si>
    <t>EMBASAMENTO C/PEDRA ARGAMASSADA UTILIZANDO ARG.CIM/AREIA 1:6</t>
  </si>
  <si>
    <t>1.15.6.3</t>
  </si>
  <si>
    <t>96620</t>
  </si>
  <si>
    <t>LASTRO DE CONCRETO MAGRO, APLICADO EM PISOS, LAJES SOBRE SOLO OU RADIERS. AF_08/2017</t>
  </si>
  <si>
    <t>1.15.6.4</t>
  </si>
  <si>
    <t>99839</t>
  </si>
  <si>
    <t>GUARDA-CORPO DE AÇO GALVANIZADO DE 1,10M DE ALTURA, MONTANTES TUBULARES DE 1.1/2? ESPAÇADOS DE 1,20M, TRAVESSA SUPERIOR DE 2?, GRADIL FORMADO POR BARRAS CHATAS EM FERRO DE 32X4,8MM, FIXADO COM CHUMBADOR MECÂNICO. AF_04/2019_P</t>
  </si>
  <si>
    <t>1.15.7</t>
  </si>
  <si>
    <t>1.15.7.1</t>
  </si>
  <si>
    <t>1.15.7.2</t>
  </si>
  <si>
    <t>1.15.7.3</t>
  </si>
  <si>
    <t>1.15.7.4</t>
  </si>
  <si>
    <t>1.15.7.5</t>
  </si>
  <si>
    <t>1.15.7.6</t>
  </si>
  <si>
    <t>1.15.7.7</t>
  </si>
  <si>
    <t>1.15.7.8</t>
  </si>
  <si>
    <t>1.15.7.9</t>
  </si>
  <si>
    <t>1.15.7.10</t>
  </si>
  <si>
    <t>1.15.7.11</t>
  </si>
  <si>
    <t>1.15.7.12</t>
  </si>
  <si>
    <t>1.15.7.13</t>
  </si>
  <si>
    <t>1.15.7.14</t>
  </si>
  <si>
    <t>1.15.7.15</t>
  </si>
  <si>
    <t>1.15.7.16</t>
  </si>
  <si>
    <t>1.15.7.17</t>
  </si>
  <si>
    <t>COM-66148211</t>
  </si>
  <si>
    <t>SAÍDA D'ÁGUA</t>
  </si>
  <si>
    <t>1.15.8</t>
  </si>
  <si>
    <t>1.15.8.1</t>
  </si>
  <si>
    <t>1.15.8.2</t>
  </si>
  <si>
    <t>1.15.8.3</t>
  </si>
  <si>
    <t>1.15.8.4</t>
  </si>
  <si>
    <t>1.15.8.5</t>
  </si>
  <si>
    <t>1.15.9</t>
  </si>
  <si>
    <t>1.15.9.1</t>
  </si>
  <si>
    <t>1.15.10</t>
  </si>
  <si>
    <t>1.15.10.1</t>
  </si>
  <si>
    <t>1.15.10.2</t>
  </si>
  <si>
    <t>1.15.10.3</t>
  </si>
  <si>
    <t>1.15.10.4</t>
  </si>
  <si>
    <t>1.15.10.5</t>
  </si>
  <si>
    <t>1.15.10.6</t>
  </si>
  <si>
    <t>1.15.10.7</t>
  </si>
  <si>
    <t>1.15.10.8</t>
  </si>
  <si>
    <t>1.15.10.9</t>
  </si>
  <si>
    <t>1.15.10.10</t>
  </si>
  <si>
    <t>2</t>
  </si>
  <si>
    <t>IMPLANTAÇÃO DE CICLOFAIXA</t>
  </si>
  <si>
    <t>2.1</t>
  </si>
  <si>
    <t>CICLOFAIXA - AVENIDA BARRETO DE MENEZES</t>
  </si>
  <si>
    <t>2.1.1</t>
  </si>
  <si>
    <t>2.1.1.1</t>
  </si>
  <si>
    <t>2.1.1.2</t>
  </si>
  <si>
    <t>2.1.2</t>
  </si>
  <si>
    <t>2.1.2.1</t>
  </si>
  <si>
    <t>2.1.3</t>
  </si>
  <si>
    <t>SINALIZAÇÃO VERTICAL E HORIZONTAL</t>
  </si>
  <si>
    <t>2.1.3.1</t>
  </si>
  <si>
    <t>2.1.3.2</t>
  </si>
  <si>
    <t>2.1.3.3</t>
  </si>
  <si>
    <t>2.1.3.4</t>
  </si>
  <si>
    <t>2.1.3.5</t>
  </si>
  <si>
    <t>102513</t>
  </si>
  <si>
    <t>PINTURA DE SÍMBOLOS E TEXTOS COM TINTA ACRÍLICA, DEMARCAÇÃO COM FITA ADESIVA E APLICAÇÃO COM ROLO. AF_05/2021</t>
  </si>
  <si>
    <t>2.1.3.6</t>
  </si>
  <si>
    <t>5213395</t>
  </si>
  <si>
    <t>Tacha refletiva metálica - bidirecional tipo II - com dois pinos - fornecimento e colocação</t>
  </si>
  <si>
    <t>2.1.3.7</t>
  </si>
  <si>
    <t>VALOR BDI TOTAL:</t>
  </si>
  <si>
    <t>VALOR ORÇAMENTO:</t>
  </si>
  <si>
    <t>VALOR TOTAL:</t>
  </si>
  <si>
    <t>CP-74209/001-15055090 - PLACA DE OBRA EM CHAPA DE ACO GALVANIZADO (M2)</t>
  </si>
  <si>
    <t>Material</t>
  </si>
  <si>
    <t>FONTE</t>
  </si>
  <si>
    <t>UNID</t>
  </si>
  <si>
    <t>COEFICIENTE</t>
  </si>
  <si>
    <t>TOTAL</t>
  </si>
  <si>
    <t>00004813</t>
  </si>
  <si>
    <t>PLACA DE OBRA (PARA CONSTRUCAO CIVIL) EM CHAPA GALVANIZADA *N. 22*, ADESIVADA, DE *2,4 X 1,2* M (SEM POSTES PARA FIXACAO)</t>
  </si>
  <si>
    <t>00004491</t>
  </si>
  <si>
    <t>PONTALETE *7,5 X 7,5* CM EM PINUS, MISTA OU EQUIVALENTE DA REGIAO - BRUTA</t>
  </si>
  <si>
    <t>00005075</t>
  </si>
  <si>
    <t>PREGO DE ACO POLIDO COM CABECA 18 X 30 (2 3/4 X 10)</t>
  </si>
  <si>
    <t>00004417</t>
  </si>
  <si>
    <t>SARRAFO NAO APARELHADO *2,5 X 7* CM, EM MACARANDUBA, ANGELIM OU EQUIVALENTE DA REGIAO -  BRUTA</t>
  </si>
  <si>
    <t>TOTAL Material:</t>
  </si>
  <si>
    <t>Mão de Obra com Encargos Complementares</t>
  </si>
  <si>
    <t>88262</t>
  </si>
  <si>
    <t>CARPINTEIRO DE FORMAS COM ENCARGOS COMPLEMENTARES</t>
  </si>
  <si>
    <t>H</t>
  </si>
  <si>
    <t>88316</t>
  </si>
  <si>
    <t>SERVENTE COM ENCARGOS COMPLEMENTARES</t>
  </si>
  <si>
    <t>TOTAL Mão de Obra com Encargos Complementares:</t>
  </si>
  <si>
    <t>Serviço</t>
  </si>
  <si>
    <t>94962</t>
  </si>
  <si>
    <t>CONCRETO MAGRO PARA LASTRO, TRAÇO 1:4,5:4,5 (EM MASSA SECA DE CIMENTO/ AREIA MÉDIA/ BRITA 1) - PREPARO MECÂNICO COM BETONEIRA 400 L. AF_05/2021</t>
  </si>
  <si>
    <t>TOTAL Serviço:</t>
  </si>
  <si>
    <t xml:space="preserve">Observações: BASEADA NO SINAPI 74209/001 </t>
  </si>
  <si>
    <t>VALOR:</t>
  </si>
  <si>
    <t>COMP-07440249 - BANHEIRO QUÍMICO, COM LOCAÇÃO, TRANSPORTE E LIMPEZA (MÊS)</t>
  </si>
  <si>
    <t>Equipamento</t>
  </si>
  <si>
    <t>INS-256943</t>
  </si>
  <si>
    <t xml:space="preserve">Composições </t>
  </si>
  <si>
    <t>TOTAL Equipamento:</t>
  </si>
  <si>
    <t>Observações: COTAÇÃO OBTIDA PARA LOCAÇÃO DO SERVIÇO DE BANHEIRO QUÍMICO PARA OBRA</t>
  </si>
  <si>
    <t>COMP-17562084 - DEMOLIÇÃO MANUAL DE CONCRETO SIMPLES (M³)</t>
  </si>
  <si>
    <t>88309</t>
  </si>
  <si>
    <t>PEDREIRO COM ENCARGOS COMPLEMENTARES</t>
  </si>
  <si>
    <t xml:space="preserve">Observações: BASEADO 73616 Sinapi Novembro/2017 </t>
  </si>
  <si>
    <t>COMP-01471766 - DEMOLIÇÃO DE MEIO-FIO (M)</t>
  </si>
  <si>
    <t>Observações: Baseado na composição 00021/ORSE Ago/2021</t>
  </si>
  <si>
    <t>COMP-35145154 - CARGA E DESCARGA MECANICA DE SOLO UTILIZANDO CAMINHAO BASCULANTE 14,0M3 E PA CARREGADEIRA SOBRE PNEUS 128 HP, CAPACIDADE DA CAÇAMBA 1,7 A 2,8 M3, PESO OPERACIONAL 11632 KG (M³)</t>
  </si>
  <si>
    <t>Equipamento Custo Horário</t>
  </si>
  <si>
    <t>89876</t>
  </si>
  <si>
    <t>CAMINHÃO BASCULANTE 14 M3, COM CAVALO MECÂNICO DE CAPACIDADE MÁXIMA DE TRAÇÃO COMBINADO DE 36000 KG, POTÊNCIA 286 CV, INCLUSIVE SEMIREBOQUE COM CAÇAMBA METÁLICA - CHP DIURNO. AF_12/2014</t>
  </si>
  <si>
    <t>CHP</t>
  </si>
  <si>
    <t>5940</t>
  </si>
  <si>
    <t>PÁ CARREGADEIRA SOBRE RODAS, POTÊNCIA LÍQUIDA 128 HP, CAPACIDADE DA CAÇAMBA 1,7 A 2,8 M3, PESO OPERACIONAL 11632 KG - CHP DIURNO. AF_06/2014</t>
  </si>
  <si>
    <t>TOTAL Equipamento Custo Horário:</t>
  </si>
  <si>
    <t xml:space="preserve">Observações: Os consumos foram baseados no item 74010/1 </t>
  </si>
  <si>
    <t>CP-74205/001-17324935 - ESCAVAÇÃO MECÂNICA DE MATERIAL 1A. CATEGORIA, PROVENIENTE DE CORTE DE SUBLEITO (C/TRATOR ESTEIRAS 160HP) (M3)</t>
  </si>
  <si>
    <t>5847</t>
  </si>
  <si>
    <t>TRATOR DE ESTEIRAS, POTÊNCIA 170 HP, PESO OPERACIONAL 19 T, CAÇAMBA 5,2 M3 - CHP DIURNO. AF_06/2014</t>
  </si>
  <si>
    <t>Observações: BASEADO NO SINAPI 74205/001</t>
  </si>
  <si>
    <t>COMP-28881239 - Base ou sub-base de macadame hidráulico com brita comercial - EXCLUSIVE MATERIAL, CARGA E TRANSPORTE - NÃO DESONERADO (m³)</t>
  </si>
  <si>
    <t>EQUIPAMENTOS</t>
  </si>
  <si>
    <t>QUANT</t>
  </si>
  <si>
    <t>UTILIZAÇÃO</t>
  </si>
  <si>
    <t>CUSTO OPERACIONAL</t>
  </si>
  <si>
    <t>CUSTO HORÁRIO</t>
  </si>
  <si>
    <t>PROD</t>
  </si>
  <si>
    <t>IMPR</t>
  </si>
  <si>
    <t>E9571</t>
  </si>
  <si>
    <t>Caminhão tanque com capacidade de 10.000 l - 188 kW</t>
  </si>
  <si>
    <t>E9514</t>
  </si>
  <si>
    <t>Distribuidor de agregados sobre pneus autopropelido - 130 kW</t>
  </si>
  <si>
    <t>E9762</t>
  </si>
  <si>
    <t>Rolo compactador de pneus autopropelido de 27 t - 85 kW</t>
  </si>
  <si>
    <t>E9530</t>
  </si>
  <si>
    <t>Rolo compactador liso vibratório autopropelido por pneus de 11 t - 97 kW</t>
  </si>
  <si>
    <t>TOTAL EQUIPAMENTOS:</t>
  </si>
  <si>
    <t>MÃO DE OBRA</t>
  </si>
  <si>
    <t>CONSUMO</t>
  </si>
  <si>
    <t>SALÁRIO HORA</t>
  </si>
  <si>
    <t>P9824</t>
  </si>
  <si>
    <t>Servente</t>
  </si>
  <si>
    <t>h</t>
  </si>
  <si>
    <t>TOTAL MÃO DE OBRA:</t>
  </si>
  <si>
    <t>Custo Horário da Execução:</t>
  </si>
  <si>
    <t>Produção da Equipe:</t>
  </si>
  <si>
    <t>Custo Unitário da Execução:</t>
  </si>
  <si>
    <t>Custo do FIC (0,00544):</t>
  </si>
  <si>
    <t>Custo Direto Total:</t>
  </si>
  <si>
    <t>Observações: BASEADO NO SICRO NOVO 4011282 - RETIRANDO INSUMOS, CARGA E TRANSPORTE</t>
  </si>
  <si>
    <t>CP-96396-26507981 - EXECUÇÃO E COMPACTAÇÃO DE BASE E OU SUB BASE PARA PAVIMENTAÇÃO DE BRITA GRADUADA SIMPLES - EXCLUSIVE MATERIAL, CARGA E TRANSPORTE (M3)</t>
  </si>
  <si>
    <t>5903</t>
  </si>
  <si>
    <t>CAMINHÃO PIPA 10.000 L TRUCADO, PESO BRUTO TOTAL 23.000 KG, CARGA ÚTIL MÁXIMA 15.935 KG, DISTÂNCIA ENTRE EIXOS 4,8 M, POTÊNCIA 230 CV, INCLUSIVE TANQUE DE AÇO PARA TRANSPORTE DE ÁGUA - CHI DIURNO. AF_06/2014</t>
  </si>
  <si>
    <t>CHI</t>
  </si>
  <si>
    <t>5901</t>
  </si>
  <si>
    <t>CAMINHÃO PIPA 10.000 L TRUCADO, PESO BRUTO TOTAL 23.000 KG, CARGA ÚTIL MÁXIMA 15.935 KG, DISTÂNCIA ENTRE EIXOS 4,8 M, POTÊNCIA 230 CV, INCLUSIVE TANQUE DE AÇO PARA TRANSPORTE DE ÁGUA - CHP DIURNO. AF_06/2014</t>
  </si>
  <si>
    <t>5934</t>
  </si>
  <si>
    <t>MOTONIVELADORA POTÊNCIA BÁSICA LÍQUIDA (PRIMEIRA MARCHA) 125 HP, PESO BRUTO 13032 KG, LARGURA DA LÂMINA DE 3,7 M - CHI DIURNO. AF_06/2014</t>
  </si>
  <si>
    <t>5932</t>
  </si>
  <si>
    <t>MOTONIVELADORA POTÊNCIA BÁSICA LÍQUIDA (PRIMEIRA MARCHA) 125 HP, PESO BRUTO 13032 KG, LARGURA DA LÂMINA DE 3,7 M - CHP DIURNO. AF_06/2014</t>
  </si>
  <si>
    <t>96464</t>
  </si>
  <si>
    <t>ROLO COMPACTADOR DE PNEUS, ESTATICO, PRESSAO VARIAVEL, POTENCIA 110 HP, PESO SEM/COM LASTRO 10,8/27 T, LARGURA DE ROLAGEM 2,30 M - CHI DIURNO. AF_06/2017</t>
  </si>
  <si>
    <t>96463</t>
  </si>
  <si>
    <t>ROLO COMPACTADOR DE PNEUS, ESTATICO, PRESSAO VARIAVEL, POTENCIA 110 HP, PESO SEM/COM LASTRO 10,8/27 T, LARGURA DE ROLAGEM 2,30 M - CHP DIURNO. AF_06/2017</t>
  </si>
  <si>
    <t>5685</t>
  </si>
  <si>
    <t>ROLO COMPACTADOR VIBRATÓRIO DE UM CILINDRO AÇO LISO, POTÊNCIA 80 HP, PESO OPERACIONAL MÁXIMO 8,1 T, IMPACTO DINÂMICO 16,15 / 9,5 T, LARGURA DE TRABALHO 1,68 M - CHI DIURNO. AF_06/2014</t>
  </si>
  <si>
    <t>5684</t>
  </si>
  <si>
    <t>ROLO COMPACTADOR VIBRATÓRIO DE UM CILINDRO AÇO LISO, POTÊNCIA 80 HP, PESO OPERACIONAL MÁXIMO 8,1 T, IMPACTO DINÂMICO 16,15 / 9,5 T, LARGURA DE TRABALHO 1,68 M - CHP DIURNO. AF_06/2014</t>
  </si>
  <si>
    <t>Observações: BASEADA NO SINAPI 96396 - JULHO 2022</t>
  </si>
  <si>
    <t>COMP-83526730 - TRANSPORTE COMERCIAL DE BRITA (M³XKM)</t>
  </si>
  <si>
    <t>91386</t>
  </si>
  <si>
    <t>CAMINHÃO BASCULANTE 10 M3, TRUCADO CABINE SIMPLES, PESO BRUTO TOTAL 23.000 KG, CARGA ÚTIL MÁXIMA 15.935 KG, DISTÂNCIA ENTRE EIXOS 4,80 M, POTÊNCIA 230 CV INCLUSIVE CAÇAMBA METÁLICA - CHP DIURNO. AF_06/2014</t>
  </si>
  <si>
    <t>Observações: Baseado no 83356/SINAPI - AGO/20</t>
  </si>
  <si>
    <t>CP-96401-52745838 - EXECUÇÃO DE IMPRIMAÇÃO COM ASFALTO DILUÍDO CM-30, EXCLUSIVE MATERIAL. (M2)</t>
  </si>
  <si>
    <t>91486</t>
  </si>
  <si>
    <t>ESPARGIDOR DE ASFALTO PRESSURIZADO, TANQUE 6 M3 COM ISOLAÇÃO TÉRMICA, AQUECIDO COM 2 MAÇARICOS, COM BARRA ESPARGIDORA 3,60 M, MONTADO SOBRE CAMINHÃO  TOCO, PBT 14.300 KG, POTÊNCIA 185 CV - CHI DIURNO. AF_08/2015</t>
  </si>
  <si>
    <t>83362</t>
  </si>
  <si>
    <t>ESPARGIDOR DE ASFALTO PRESSURIZADO, TANQUE 6 M3 COM ISOLAÇÃO TÉRMICA, AQUECIDO COM 2 MAÇARICOS, COM BARRA ESPARGIDORA 3,60 M, MONTADO SOBRE CAMINHÃO  TOCO, PBT 14.300 KG, POTÊNCIA 185 CV - CHP DIURNO. AF_08/2015</t>
  </si>
  <si>
    <t>89036</t>
  </si>
  <si>
    <t>TRATOR DE PNEUS, POTÊNCIA 85 CV, TRAÇÃO 4X4, PESO COM LASTRO DE 4.675 KG - CHI DIURNO. AF_06/2014</t>
  </si>
  <si>
    <t>89035</t>
  </si>
  <si>
    <t>TRATOR DE PNEUS, POTÊNCIA 85 CV, TRAÇÃO 4X4, PESO COM LASTRO DE 4.675 KG - CHP DIURNO. AF_06/2014</t>
  </si>
  <si>
    <t>5841</t>
  </si>
  <si>
    <t>VASSOURA MECÂNICA REBOCÁVEL COM ESCOVA CILÍNDRICA, LARGURA ÚTIL DE VARRIMENTO DE 2,44 M - CHI DIURNO. AF_06/2014</t>
  </si>
  <si>
    <t>5839</t>
  </si>
  <si>
    <t>VASSOURA MECÂNICA REBOCÁVEL COM ESCOVA CILÍNDRICA, LARGURA ÚTIL DE VARRIMENTO DE 2,44 M - CHP DIURNO. AF_06/2014</t>
  </si>
  <si>
    <t>Observações: COMPOSIÇÃO BASEADA NO SINAPI 96401 - EXCLUINDO O MATERIAL ASFALTO DILUIDO</t>
  </si>
  <si>
    <t>CP-95995-51339760 - EXECUÇÃO DE PAVIMENTO COM APLICAÇÃO DE CONCRETO ASFÁLTICO, CAMADA DE ROLAMENTO - EXCLUSIVE CARGA E TRANSPORTE E CONCRETO BETUMINOSO (M3)</t>
  </si>
  <si>
    <t>95632</t>
  </si>
  <si>
    <t>ROLO COMPACTADOR VIBRATORIO TANDEM, ACO LISO, POTENCIA 125 HP, PESO SEM/COM LASTRO 10,20/11,65 T, LARGURA DE TRABALHO 1,73 M - CHI DIURNO. AF_11/2016</t>
  </si>
  <si>
    <t>95631</t>
  </si>
  <si>
    <t>ROLO COMPACTADOR VIBRATORIO TANDEM, ACO LISO, POTENCIA 125 HP, PESO SEM/COM LASTRO 10,20/11,65 T, LARGURA DE TRABALHO 1,73 M - CHP DIURNO. AF_11/2016</t>
  </si>
  <si>
    <t>96155</t>
  </si>
  <si>
    <t>TRATOR DE PNEUS COM POTÊNCIA DE 85 CV, TRAÇÃO 4X4, COM VASSOURA MECÂNICA ACOPLADA - CHI DIURNO. AF_02/2017</t>
  </si>
  <si>
    <t>96157</t>
  </si>
  <si>
    <t>TRATOR DE PNEUS COM POTÊNCIA DE 85 CV, TRAÇÃO 4X4, COM VASSOURA MECÂNICA ACOPLADA - CHP DIURNO. AF_03/2017</t>
  </si>
  <si>
    <t>5837</t>
  </si>
  <si>
    <t>VIBROACABADORA DE ASFALTO SOBRE ESTEIRAS, LARGURA DE PAVIMENTAÇÃO 1,90 M A 5,30 M, POTÊNCIA 105 HP CAPACIDADE 450 T/H - CHI DIURNO. AF_11/2014</t>
  </si>
  <si>
    <t>5835</t>
  </si>
  <si>
    <t>VIBROACABADORA DE ASFALTO SOBRE ESTEIRAS, LARGURA DE PAVIMENTAÇÃO 1,90 M A 5,30 M, POTÊNCIA 105 HP CAPACIDADE 450 T/H - CHP DIURNO. AF_11/2014</t>
  </si>
  <si>
    <t>88314</t>
  </si>
  <si>
    <t>RASTELEIRO COM ENCARGOS COMPLEMENTARES</t>
  </si>
  <si>
    <t>Observações:  BASEADA NO SINAPI 95995 - EXCLUINDO O INSUMO CONCRETO BETUMINOSO (1518)</t>
  </si>
  <si>
    <t>COMP-10034101 - CARGA, MANOBRAS E DESCARGA DE MISTURA BETUMINOSA A QUENTE, COM CAMINHAO BASCULANTE 6 M3, DESCARGA EM VIBRO-ACABADORA (M³)</t>
  </si>
  <si>
    <t>5811</t>
  </si>
  <si>
    <t>CAMINHÃO BASCULANTE 6 M3, PESO BRUTO TOTAL 16.000 KG, CARGA ÚTIL MÁXIMA 13.071 KG, DISTÂNCIA ENTRE EIXOS 4,80 M, POTÊNCIA 230 CV INCLUSIVE CAÇAMBA METÁLICA - CHP DIURNO. AF_06/2014</t>
  </si>
  <si>
    <t>Observações: Baseado no 72891/SINAPI - AGO/20</t>
  </si>
  <si>
    <t>CP-95303-56931542 - TRANSPORTE COM CAMINHÃO BASCULANTE 10 M3 DE MASSA ASFALTICA PARA PAVIMENTAÇÃO URBANA (M3XKM)</t>
  </si>
  <si>
    <t>Observações: BASEADA NO SINAPI 95303</t>
  </si>
  <si>
    <t>CP-97084-89637704 - REGULARIZAÇÃO E COMPACTAÇÃO MANUAL DE TERRENO COM PLACA VIBRATÓRIA (M2)</t>
  </si>
  <si>
    <t>91277</t>
  </si>
  <si>
    <t>PLACA VIBRATÓRIA REVERSÍVEL COM MOTOR 4 TEMPOS A GASOLINA, FORÇA CENTRÍFUGA DE 25 KN (2500 KGF), POTÊNCIA 5,5 CV - CHP DIURNO. AF_08/2015</t>
  </si>
  <si>
    <t xml:space="preserve">Observações: BASEADA NO SINAPI 97084 </t>
  </si>
  <si>
    <t>CP-94991-12549457 - EXECUÇÃO DE PASSEIO (CALÇADA) OU PISO DE CONCRETO COM CONCRETO MOLDADO IN LOCO, USINADO, ACABAMENTO CONVENCIONAL, NÃO ARMADO - EXCLUINDO O CONCRETO USINADO 20MPA (M3)</t>
  </si>
  <si>
    <t>00002692</t>
  </si>
  <si>
    <t>DESMOLDANTE PROTETOR PARA FORMAS DE MADEIRA, DE BASE OLEOSA EMULSIONADA EM AGUA</t>
  </si>
  <si>
    <t>L</t>
  </si>
  <si>
    <t>00005068</t>
  </si>
  <si>
    <t>PREGO DE ACO POLIDO COM CABECA 17 X 21 (2 X 11)</t>
  </si>
  <si>
    <t>00004509</t>
  </si>
  <si>
    <t>SARRAFO *2,5 X 10* CM EM PINUS, MISTA OU EQUIVALENTE DA REGIAO - BRUTA</t>
  </si>
  <si>
    <t>00004517</t>
  </si>
  <si>
    <t>SARRAFO *2,5 X 7,5* CM EM PINUS, MISTA OU EQUIVALENTE DA REGIAO - BRUTA</t>
  </si>
  <si>
    <t>Observações: BASEADA NO SERVIÇO 94991 DO SINAPI, EXCLUINDO O CONCRETO 20MPA</t>
  </si>
  <si>
    <t>CP-92268-29291149 - FABRICAÇÃO DE FÔRMA PARA LAJES, EM CHAPA DE MADEIRA COMPENSADA PLASTIFICADA, E = 18 MM - EXCLUINDO O PAINEL DE MADEIRA COMPENSADA PLASTIFICADA DE 2200 x 1100 MM, E = *17* MM (M2)</t>
  </si>
  <si>
    <t>91693</t>
  </si>
  <si>
    <t>SERRA CIRCULAR DE BANCADA COM MOTOR ELÉTRICO POTÊNCIA DE 5HP, COM COIFA PARA DISCO 10" - CHI DIURNO. AF_08/2015</t>
  </si>
  <si>
    <t>91692</t>
  </si>
  <si>
    <t>SERRA CIRCULAR DE BANCADA COM MOTOR ELÉTRICO POTÊNCIA DE 5HP, COM COIFA PARA DISCO 10" - CHP DIURNO. AF_08/2015</t>
  </si>
  <si>
    <t>88239</t>
  </si>
  <si>
    <t>AJUDANTE DE CARPINTEIRO COM ENCARGOS COMPLEMENTARES</t>
  </si>
  <si>
    <t>Observações: BASEADA NO SINPI 92268, EXCLUINDO O PAINEL DE MADEIRA COMPENSADA PLASTIFICADA DE 2200 x 1100 MM, E = *17* MM</t>
  </si>
  <si>
    <t>CP-74157/004-48264518 - LANÇAMENTO/APLICACAO MANUAL DE CONCRETO EM FUNDACOES (CONCRETO MAGRO) (M3)</t>
  </si>
  <si>
    <t>Observações: BASEADO NO SINAPI 74157/004</t>
  </si>
  <si>
    <t>COMP-58084869 - PLACA ESMALTADA PARA IDENTIFICAÇÃO NR DE RUA, DIMENSÕES 45X25CM (UND)</t>
  </si>
  <si>
    <t>00011950</t>
  </si>
  <si>
    <t>BUCHA DE NYLON SEM ABA S6, COM PARAFUSO DE 4,20 X 40 MM EM ACO ZINCADO COM ROSCA SOBERBA, CABECA CHATA E FENDA PHILLIPS</t>
  </si>
  <si>
    <t>00013521</t>
  </si>
  <si>
    <t>PLACA DE ACO ESMALTADA PARA  IDENTIFICACAO DE RUA, *45 CM X 20* CM</t>
  </si>
  <si>
    <t>Observações: Baseada na Composição 73916/2 SINAPI - JAN/20</t>
  </si>
  <si>
    <t>CP-S12039-81921471 - Piso tátil direcional e/ou alerta, de concreto, na cor natural, p/deficientes visuais, dimensões 40x40cm, aplicado com argamassa industrializada ac-ii, rejuntado, exclusive regularização de base (m2)</t>
  </si>
  <si>
    <t>00034353</t>
  </si>
  <si>
    <t>ARGAMASSA COLANTE AC II</t>
  </si>
  <si>
    <t>00036178</t>
  </si>
  <si>
    <t>PISO PODOTATIL DE CONCRETO - DIRECIONAL E ALERTA, *40 X 40 X 2,5* CM</t>
  </si>
  <si>
    <t>00034357</t>
  </si>
  <si>
    <t>REJUNTE CIMENTICIO, QUALQUER COR</t>
  </si>
  <si>
    <t>Observações: BASEADO NO ORSE S12039</t>
  </si>
  <si>
    <t>INS-185032 - BRITA GRADUADA SIMPLES (BGS) (M³)</t>
  </si>
  <si>
    <t>BRITA GRADUADA SIMPLES (BGS)</t>
  </si>
  <si>
    <t>INS-54745269 - ASFALTO DILUÍDO CM - 30 - JUNHO/22 (KG)</t>
  </si>
  <si>
    <t>ASFALTO DILUÍDO CM - 30 - JUNHO/22</t>
  </si>
  <si>
    <t>COMP-47781585 - BOCA DE LOBO SIMPLES COM CHAPÉU E TAMPA DE CONCRETO - BLS 01 (H=1,00M) (UND)</t>
  </si>
  <si>
    <t>M0224</t>
  </si>
  <si>
    <t>Guia-chapéu pré-moldada - C = 120 cm</t>
  </si>
  <si>
    <t>92916</t>
  </si>
  <si>
    <t>ARMAÇÃO DE ESTRUTURAS DIVERSAS DE CONCRETO ARMADO, EXCETO VIGAS, PILARES, LAJES E FUNDAÇÕES, UTILIZANDO AÇO CA-50 DE 6,3 MM - MONTAGEM. AF_06/2022</t>
  </si>
  <si>
    <t>CHAPISCO APLICADO EM ALVENARIAS E ESTRUTURAS DE CONCRETO INTERNAS, COM COLHER DE PEDREIRO.  ARGAMASSA TRAÇO 1:3 COM PREPARO EM BETONEIRA 400L. AF_06/2014</t>
  </si>
  <si>
    <t>94963</t>
  </si>
  <si>
    <t>CONCRETO FCK = 15MPA, TRAÇO 1:3,4:3,5 (EM MASSA SECA DE CIMENTO/ AREIA MÉDIA/ BRITA 1) - PREPARO MECÂNICO COM BETONEIRA 400 L. AF_05/2021</t>
  </si>
  <si>
    <t>94965</t>
  </si>
  <si>
    <t>CONCRETO FCK = 25MPA, TRAÇO 1:2,3:2,7 (EM MASSA SECA DE CIMENTO/ AREIA MÉDIA/ BRITA 1) - PREPARO MECÂNICO COM BETONEIRA 400 L. AF_05/2021</t>
  </si>
  <si>
    <t>96541</t>
  </si>
  <si>
    <t>FABRICAÇÃO, MONTAGEM E DESMONTAGEM DE FÔRMA PARA SAPATA, EM CHAPA DE MADEIRA COMPENSADA RESINADA, E=17 MM, 4 UTILIZAÇÕES. AF_06/2017</t>
  </si>
  <si>
    <t>LANÇAMENTO/APLICACAO MANUAL DE CONCRETO EM FUNDACOES (CONCRETO MAGRO)</t>
  </si>
  <si>
    <t>87548</t>
  </si>
  <si>
    <t>MASSA ÚNICA, PARA RECEBIMENTO DE PINTURA, EM ARGAMASSA TRAÇO 1:2:8, PREPARO MANUAL, APLICADA MANUALMENTE EM FACES INTERNAS DE PAREDES, ESPESSURA DE 10MM, COM EXECUÇÃO DE TALISCAS. AF_06/2014</t>
  </si>
  <si>
    <t>100948</t>
  </si>
  <si>
    <t>TRANSPORTE COM CAMINHÃO CARROCERIA 9T, EM VIA URBANA PAVIMENTADA, ADICIONAL PARA DMT EXCEDENTE A 30 KM (UNIDADE: TXKM). AF_07/2020</t>
  </si>
  <si>
    <t>TXKM</t>
  </si>
  <si>
    <t xml:space="preserve">Observações: Baseada na Composição 2003618 DNIT/PE julho/2019, Projeto tipo e Tabela Sinapi </t>
  </si>
  <si>
    <t>COMP-47176600 - ATERRO COM AREIA COM ADENSAMENTO HIDRAULICO (com caminhão pipa) (M³)</t>
  </si>
  <si>
    <t>6259</t>
  </si>
  <si>
    <t>CAMINHÃO PIPA 6.000 L, PESO BRUTO TOTAL 13.000 KG, DISTÂNCIA ENTRE EIXOS 4,80 M, POTÊNCIA 189 CV INCLUSIVE TANQUE DE AÇO PARA TRANSPORTE DE ÁGUA, CAPACIDADE 6 M3 - CHP DIURNO. AF_06/2014</t>
  </si>
  <si>
    <t>5875</t>
  </si>
  <si>
    <t>RETROESCAVADEIRA SOBRE RODAS COM CARREGADEIRA, TRAÇÃO 4X4, POTÊNCIA LÍQ. 72 HP, CAÇAMBA CARREG. CAP. MÍN. 0,79 M3, CAÇAMBA RETRO CAP. 0,18 M3, PESO OPERACIONAL MÍN. 7.140 KG, PROFUNDIDADE ESCAVAÇÃO MÁX. 4,50 M - CHP DIURNO. AF_06/2014</t>
  </si>
  <si>
    <t>00000368</t>
  </si>
  <si>
    <t>AREIA PARA ATERRO - POSTO JAZIDA/FORNECEDOR (RETIRADO NA JAZIDA, SEM TRANSPORTE)</t>
  </si>
  <si>
    <t>Observações: Baseado na composição 79482  Sinapi Novembro/2018 e preços Tabela Sinapi Novembro/2019</t>
  </si>
  <si>
    <t>CP-92399-27762594 - EXECUÇÃO DE VIA EM PISO INTERTRAVADO, COM BLOCO RETANGULAR COR NATURAL/COLORIDO DE 20 X 10 CM, ESPESSURA 8 CM - (SEM O MATERIAL BLOQUETE/PISO INTERTRAVADO) (M2)</t>
  </si>
  <si>
    <t>91285</t>
  </si>
  <si>
    <t>CORTADORA DE PISO COM MOTOR 4 TEMPOS A GASOLINA, POTÊNCIA DE 13 HP, COM DISCO DE CORTE DIAMANTADO SEGMENTADO PARA CONCRETO, DIÂMETRO DE 350 MM, FURO DE 1" (14 X 1") - CHI DIURNO. AF_08/2015</t>
  </si>
  <si>
    <t>91283</t>
  </si>
  <si>
    <t>CORTADORA DE PISO COM MOTOR 4 TEMPOS A GASOLINA, POTÊNCIA DE 13 HP, COM DISCO DE CORTE DIAMANTADO SEGMENTADO PARA CONCRETO, DIÂMETRO DE 350 MM, FURO DE 1" (14 X 1") - CHP DIURNO. AF_08/2015</t>
  </si>
  <si>
    <t>91278</t>
  </si>
  <si>
    <t>PLACA VIBRATÓRIA REVERSÍVEL COM MOTOR 4 TEMPOS A GASOLINA, FORÇA CENTRÍFUGA DE 25 KN (2500 KGF), POTÊNCIA 5,5 CV - CHI DIURNO. AF_08/2015</t>
  </si>
  <si>
    <t>00000370</t>
  </si>
  <si>
    <t>AREIA MEDIA - POSTO JAZIDA/FORNECEDOR (RETIRADO NA JAZIDA, SEM TRANSPORTE)</t>
  </si>
  <si>
    <t>00004741</t>
  </si>
  <si>
    <t>PO DE PEDRA (POSTO PEDREIRA/FORNECEDOR, SEM FRETE)</t>
  </si>
  <si>
    <t>88260</t>
  </si>
  <si>
    <t>CALCETEIRO COM ENCARGOS COMPLEMENTARES</t>
  </si>
  <si>
    <t>Observações: BASEADA NO SINAPI 92399 - RETIRANDO O INSUMO PISO INTERTRAVADO</t>
  </si>
  <si>
    <t>CP-S03639-45770834 - Fornecimento e instalação de tela aço soldada nervurada CA-60, Q-283, malha 10x10cm, ferro 6.02mm (4,48 kg/m2), painel 2,45x6,0m, Telcon ou similar (m2)</t>
  </si>
  <si>
    <t>00043127</t>
  </si>
  <si>
    <t>TELA DE ACO SOLDADA NERVURADA, CA-60, Q-283 (4,48 KG/M2), DIAMETRO DO FIO = 6,0 MM, LARGURA = 2,45 X 6,00 M DE COMPRIMENTO, ESPACAMENTO DA MALHA = 10 X 10 CM</t>
  </si>
  <si>
    <t>88245</t>
  </si>
  <si>
    <t>ARMADOR COM ENCARGOS COMPLEMENTARES</t>
  </si>
  <si>
    <t>Observações: BASEADA NO ORSE S03639</t>
  </si>
  <si>
    <t>CP-72947-21572945 - SINALIZACAO HORIZONTAL COM TINTA RETRORREFLETIVA A BASE DE RESINA ACRILICA COM MICROESFERAS DE VIDRO (M2)</t>
  </si>
  <si>
    <t>5824</t>
  </si>
  <si>
    <t>CAMINHÃO TOCO, PBT 16.000 KG, CARGA ÚTIL MÁX. 10.685 KG, DIST. ENTRE EIXOS 4,8 M, POTÊNCIA 189 CV, INCLUSIVE CARROCERIA FIXA ABERTA DE MADEIRA P/ TRANSPORTE GERAL DE CARGA SECA, DIMEN. APROX. 2,5 X 7,00 X 0,50 M - CHP DIURNO. AF_06/2014</t>
  </si>
  <si>
    <t>95133</t>
  </si>
  <si>
    <t>MÁQUINA DEMARCADORA DE FAIXA DE TRÁFEGO À FRIO, AUTOPROPELIDA, POTÊNCIA 38 HP - CHP DIURNO. AF_07/2016</t>
  </si>
  <si>
    <t>00005318</t>
  </si>
  <si>
    <t>DILUENTE AGUARRAS</t>
  </si>
  <si>
    <t>00044478</t>
  </si>
  <si>
    <t>MICROESFERAS DE VIDRO PARA SINALIZACAO HORIZONTAL VIARIA, TIPO I-B (PREMIX) - NBR  16184</t>
  </si>
  <si>
    <t>00007343</t>
  </si>
  <si>
    <t>TINTA ACRILICA A BASE DE SOLVENTE, PARA SINALIZACAO HORIZONTAL VIARIA (NBR 11862)</t>
  </si>
  <si>
    <t>00007348</t>
  </si>
  <si>
    <t>TINTA ACRILICA PREMIUM PARA PISO</t>
  </si>
  <si>
    <t>Observações: BASEADA NO SINAPI 72947</t>
  </si>
  <si>
    <t>CP-95467-90315369 - EMBASAMENTO C/PEDRA ARGAMASSADA UTILIZANDO ARG.CIM/AREIA 1:6 (M3)</t>
  </si>
  <si>
    <t>00004730</t>
  </si>
  <si>
    <t>PEDRA DE MAO OU PEDRA RACHAO PARA ARRIMO/FUNDACAO (POSTO PEDREIRA/FORNECEDOR, SEM FRETE)</t>
  </si>
  <si>
    <t>87316</t>
  </si>
  <si>
    <t>ARGAMASSA TRAÇO 1:4 (EM VOLUME DE CIMENTO E AREIA GROSSA ÚMIDA) PARA CHAPISCO CONVENCIONAL, PREPARO MECÂNICO COM BETONEIRA 400 L. AF_08/2019</t>
  </si>
  <si>
    <t>Observações: BASEADA NO SINAPI 95467 - JANEIRO 2020</t>
  </si>
  <si>
    <t>COM-66148211 - SAÍDA D'ÁGUA (UND)</t>
  </si>
  <si>
    <t>Observações: BASEADA NO PROJETO DE DRENAGEM DA PARAGOMINAS - SAÍDA D'ÁGUA</t>
  </si>
  <si>
    <t xml:space="preserve">
</t>
  </si>
  <si>
    <t>TIPO</t>
  </si>
  <si>
    <t>UNIDADE</t>
  </si>
  <si>
    <t>QUANTIDADE</t>
  </si>
  <si>
    <t>PREÇO TOTAL</t>
  </si>
  <si>
    <t>%</t>
  </si>
  <si>
    <t>ACUMUL. %</t>
  </si>
  <si>
    <t>CL</t>
  </si>
  <si>
    <t>CONCRETO BETUMINOSO USINADO A QUENTE (CBUQ) PARA PAVIMENTACAO ASFALTICA, PADRAO DNIT, FAIXA C, COM CAP 50/70 - AQUISICAO POSTO USINA</t>
  </si>
  <si>
    <t>A</t>
  </si>
  <si>
    <t>CONCRETO USINADO BOMBEAVEL, CLASSE DE RESISTENCIA C20, COM BRITA 0 E 1, SLUMP = 100 +/- 20 MM, EXCLUI SERVICO DE BOMBEAMENTO (NBR 8953)</t>
  </si>
  <si>
    <t>Brita 4</t>
  </si>
  <si>
    <t>SICRO</t>
  </si>
  <si>
    <t>B</t>
  </si>
  <si>
    <t>Composições</t>
  </si>
  <si>
    <t>CHAPA/PAINEL DE MADEIRA COMPENSADA PLASTIFICADA (MADEIRITE PLASTIFICADO) PARA FORMA DE CONCRETO, DE 2200 x 1100 MM, E = *17* MM</t>
  </si>
  <si>
    <t>C</t>
  </si>
  <si>
    <t>Tubo PEAD corrugado com paredes estruturadas para drenagem - D = 600 mm</t>
  </si>
  <si>
    <t>BLOQUETE/PISO INTERTRAVADO DE CONCRETO - MODELO ONDA/16 FACES/RETANGULAR/TIJOLINHO/PAVER/HOLANDES/PARALELEPIPEDO, *22 CM X 11* CM, E = 8 CM, RESISTENCIA DE 35 MPA (NBR 9781), COR NATURAL</t>
  </si>
  <si>
    <t>Pó de pedra</t>
  </si>
  <si>
    <t>Geral</t>
  </si>
  <si>
    <t>LOCACAO DE CONTAINER 2,30 X 6,00 M, ALT. 2,50 M, COM 1 SANITARIO, PARA ESCRITORIO, COMPLETO, SEM DIVISORIAS INTERNAS (NAO INCLUI MOBILIZACAO/DESMOBILIZACAO)</t>
  </si>
  <si>
    <t>BLOQUETE/PISO INTERTRAVADO DE CONCRETO - MODELO ONDA/16 FACES/RETANGULAR/TIJOLINHO/PAVER/HOLANDES/PARALELEPIPEDO, 20 CM X 10 CM, E = 8 CM, RESISTENCIA DE 35 MPA (NBR 9781), COLORIDO</t>
  </si>
  <si>
    <t>LOCACAO DE CONTAINER 2,30 X 6,00 M, ALT. 2,50 M, PARA ESCRITORIO, SEM DIVISORIAS INTERNAS E SEM SANITARIO (NAO INCLUI MOBILIZACAO/DESMOBILIZACAO)</t>
  </si>
  <si>
    <t>Tubo PEAD corrugado com paredes estruturadas para drenagem - D = 450 mm</t>
  </si>
  <si>
    <t xml:space="preserve">
                </t>
  </si>
  <si>
    <t>Outros:</t>
  </si>
  <si>
    <t>Valor total do Orçamento:</t>
  </si>
  <si>
    <t>00004221</t>
  </si>
  <si>
    <t>OLEO DIESEL COMBUSTIVEL COMUM</t>
  </si>
  <si>
    <t>00006111</t>
  </si>
  <si>
    <t>SERVENTE DE OBRAS</t>
  </si>
  <si>
    <t>Mão de Obra</t>
  </si>
  <si>
    <t>00004059</t>
  </si>
  <si>
    <t>MEIO-FIO OU GUIA DE CONCRETO, PRE-MOLDADO, COMP 1 M, *30 X 12/15* CM (H X L1/L2)</t>
  </si>
  <si>
    <t>00000034</t>
  </si>
  <si>
    <t>ACO CA-50, 10,0 MM, VERGALHAO</t>
  </si>
  <si>
    <t>00004750</t>
  </si>
  <si>
    <t>PEDREIRO (HORISTA)</t>
  </si>
  <si>
    <t>00001379</t>
  </si>
  <si>
    <t>CIMENTO PORTLAND COMPOSTO CP II-32</t>
  </si>
  <si>
    <t>00000654</t>
  </si>
  <si>
    <t>BLOCO DE VEDACAO DE CONCRETO 19 X 19 X 39 CM (CLASSE C - NBR 6136)</t>
  </si>
  <si>
    <t>00040818</t>
  </si>
  <si>
    <t>ENCARREGADO GERAL DE OBRAS (MENSALISTA)</t>
  </si>
  <si>
    <t>00040811</t>
  </si>
  <si>
    <t>ENGENHEIRO CIVIL DE OBRA JUNIOR (MENSALISTA)</t>
  </si>
  <si>
    <t>00037370</t>
  </si>
  <si>
    <t>ALIMENTACAO - HORISTA (COLETADO CAIXA)</t>
  </si>
  <si>
    <t>Encargos Complementares</t>
  </si>
  <si>
    <t>00037762</t>
  </si>
  <si>
    <t>CAVALO MECANICO TRACAO 4X2, PESO BRUTO TOTAL 16000 KG, CAPACIDADE MAXIMA DE TRACAO *36000* KG, DISTANCIA ENTRE EIXOS *3,56* M, POTENCIA *286* CV (INCLUI CABINE E CHASSI, NAO INCLUI SEMIRREBOQUE)</t>
  </si>
  <si>
    <t>00037758</t>
  </si>
  <si>
    <t>CAMINHAO TRUCADO, PESO BRUTO TOTAL 23000 KG, CARGA UTIL MAXIMA 15285 KG, DISTANCIA ENTRE EIXOS 4,80 M, POTENCIA 326 CV (INCLUI CABINE E CHASSI, NAO INCLUI CARROCERIA)</t>
  </si>
  <si>
    <t>00020020</t>
  </si>
  <si>
    <t>MOTORISTA DE CAMINHAO-BASCULANTE</t>
  </si>
  <si>
    <t>00004721</t>
  </si>
  <si>
    <t>PEDRA BRITADA N. 1 (9,5 a 19 MM) POSTO PEDREIRA/FORNECEDOR, SEM FRETE</t>
  </si>
  <si>
    <t>00037743</t>
  </si>
  <si>
    <t>SEMIRREBOQUE COM DOIS EIXOS EM TANDEM TIPO BASCULANTE COM CACAMBA METALICA 14 M3 (INCLUI MONTAGEM, NAO INCLUI CAVALO MECANICO)</t>
  </si>
  <si>
    <t>00037372</t>
  </si>
  <si>
    <t>EXAMES - HORISTA (COLETADO CAIXA)</t>
  </si>
  <si>
    <t>00001213</t>
  </si>
  <si>
    <t>CARPINTEIRO DE FORMAS (HORISTA)</t>
  </si>
  <si>
    <t>00043491</t>
  </si>
  <si>
    <t>EPI - FAMILIA SERVENTE - HORISTA (ENCARGOS COMPLEMENTARES - COLETADO CAIXA)</t>
  </si>
  <si>
    <t>00004262</t>
  </si>
  <si>
    <t>PA CARREGADEIRA SOBRE RODAS, POTENCIA LIQUIDA 128 HP, CAPACIDADE DA CACAMBA DE 1,7 A 2,8 M3, PESO OPERACIONAL MAXIMO DE 11632 KG</t>
  </si>
  <si>
    <t>00004238</t>
  </si>
  <si>
    <t>OPERADOR DE ROLO COMPACTADOR</t>
  </si>
  <si>
    <t>00037371</t>
  </si>
  <si>
    <t>TRANSPORTE - HORISTA (COLETADO CAIXA)</t>
  </si>
  <si>
    <t>00010488</t>
  </si>
  <si>
    <t>VIBROACABADORA DE ASFALTO SOBRE ESTEIRAS, LARG. PAVIMENT. 1,90 A 5,3 M, POT. 78 KW/105 HP, CAP. 450 T/H</t>
  </si>
  <si>
    <t>00044502</t>
  </si>
  <si>
    <t>RASTELEIRO HORISTA</t>
  </si>
  <si>
    <t>00004090</t>
  </si>
  <si>
    <t>MOTONIVELADORA POTENCIA BASICA LIQUIDA (PRIMEIRA MARCHA) 125 HP , PESO BRUTO 13843 KG, LARGURA DA LAMINA DE 3,7 M</t>
  </si>
  <si>
    <t>00037666</t>
  </si>
  <si>
    <t>OPERADOR DE BETONEIRA ESTACIONARIA / MISTURADOR</t>
  </si>
  <si>
    <t>00001106</t>
  </si>
  <si>
    <t>CAL HIDRATADA CH-I PARA ARGAMASSAS</t>
  </si>
  <si>
    <t>00040637</t>
  </si>
  <si>
    <t>MAQUINA DEMARCADORA DE FAIXA DE TRAFEGO A FRIO, AUTOPROPELIDA, MOTOR DIESEL 38 HP</t>
  </si>
  <si>
    <t>00004093</t>
  </si>
  <si>
    <t>MOTORISTA DE CAMINHAO</t>
  </si>
  <si>
    <t>00014511</t>
  </si>
  <si>
    <t>ROLO COMPACTADOR DE PNEUS, ESTATICO, PRESSAO VARIAVEL, POTENCIA 110 HP, PESO SEM/COM LASTRO 10,8/27 T, LARGURA DE ROLAGEM 2,30 M</t>
  </si>
  <si>
    <t>00007625</t>
  </si>
  <si>
    <t>TRATOR DE ESTEIRAS, POTENCIA DE 170 HP, PESO OPERACIONAL DE 19 T, COM LAMINA COM CAPACIDADE DE 5,2 M3</t>
  </si>
  <si>
    <t>00006110</t>
  </si>
  <si>
    <t>SERRALHEIRO (HORISTA)</t>
  </si>
  <si>
    <t>00043489</t>
  </si>
  <si>
    <t>EPI - FAMILIA PEDREIRO - HORISTA (ENCARGOS COMPLEMENTARES - COLETADO CAIXA)</t>
  </si>
  <si>
    <t>00000546</t>
  </si>
  <si>
    <t>BARRA DE FERRO CHATA, RETANGULAR (QUALQUER BITOLA)</t>
  </si>
  <si>
    <t>00000378</t>
  </si>
  <si>
    <t>ARMADOR (HORISTA)</t>
  </si>
  <si>
    <t>Caminhão tanque com capacidade de 10.000 l - 188 kW (PRODUTIVO)</t>
  </si>
  <si>
    <t>00043132</t>
  </si>
  <si>
    <t>ARAME RECOZIDO 16 BWG, D = 1,65 MM (0,016 KG/M) OU 18 BWG, D = 1,25 MM (0,01 KG/M)</t>
  </si>
  <si>
    <t>00044057</t>
  </si>
  <si>
    <t>CAMINHAO TOCO, PESO BRUTO TOTAL 13200 KG, CARGA UTIL MAXIMA 9200 KG, DISTANCIA ENTRE EIXOS 3,31 M, POTENCIA 175 CV (INCLUI CABINE E CHASSI, NAO INCLUI CARROCERIA)</t>
  </si>
  <si>
    <t>00043467</t>
  </si>
  <si>
    <t>FERRAMENTAS - FAMILIA SERVENTE - HORISTA (ENCARGOS COMPLEMENTARES - COLETADO CAIXA)</t>
  </si>
  <si>
    <t>00004239</t>
  </si>
  <si>
    <t>OPERADOR DE MOTONIVELADORA</t>
  </si>
  <si>
    <t>00014626</t>
  </si>
  <si>
    <t>ROLO COMPACTADOR VIBRATORIO TANDEM, ACO LISO, POTENCIA 125 HP, PESO SEM/COM LASTRO 10,20/11,65 T, LARGURA DE TRABALHO 1,73 M</t>
  </si>
  <si>
    <t>00021013</t>
  </si>
  <si>
    <t>TUBO ACO GALVANIZADO COM COSTURA, CLASSE LEVE, DN 50 MM ( 2"), E = 3,00 MM, *4,40* KG/M (NBR 5580)</t>
  </si>
  <si>
    <t>00000252</t>
  </si>
  <si>
    <t>AJUDANTE DE SERRALHEIRO (HORISTA)</t>
  </si>
  <si>
    <t>Distribuidor de agregados sobre pneus autopropelido - 130 kW (PRODUTIVO)</t>
  </si>
  <si>
    <t>00004237</t>
  </si>
  <si>
    <t>OPERADOR DE TRATOR - EXCLUSIVE AGROPECUARIA</t>
  </si>
  <si>
    <t>00043465</t>
  </si>
  <si>
    <t>FERRAMENTAS - FAMILIA PEDREIRO - HORISTA (ENCARGOS COMPLEMENTARES - COLETADO CAIXA)</t>
  </si>
  <si>
    <t>00004783</t>
  </si>
  <si>
    <t>PINTOR (HORISTA)</t>
  </si>
  <si>
    <t>00034548</t>
  </si>
  <si>
    <t>TELA DE ACO SOLDADA GALVANIZADA/ZINCADA PARA ALVENARIA, FIO D = *1,20 A 1,70* MM, MALHA 15 X 15 MM, (C X L) *50 X 17,5* CM</t>
  </si>
  <si>
    <t>00006046</t>
  </si>
  <si>
    <t>RETROESCAVADEIRA SOBRE RODAS COM CARREGADEIRA, TRACAO 4 X 4, POTENCIA LIQUIDA 72 HP, PESO OPERACIONAL MINIMO DE 7140 KG, CAPACIDADE MINIMA DA CARREGADEIRA DE 0,79 M3 E DA RETROESCAVADEIRA MINIMA DE 0,18 M3, PROFUNDIDADE DE ESCAVACAO MAXIMA DE 4,50 M</t>
  </si>
  <si>
    <t>Rolo compactador de pneus autopropelido de 27 t - 85 kW (PRODUTIVO)</t>
  </si>
  <si>
    <t>00014513</t>
  </si>
  <si>
    <t>ROLO COMPACTADOR PE DE CARNEIRO VIBRATORIO, POTENCIA 80 HP, PESO OPERACIONAL SEM/COM LASTRO 7,4/8,8 T, LARGURA DE TRABALHO 1,68 M</t>
  </si>
  <si>
    <t>00044501</t>
  </si>
  <si>
    <t>OPERADOR DE DEMARCADORA DE FAIXAS DE TRAFEGO HORISTA</t>
  </si>
  <si>
    <t>00004759</t>
  </si>
  <si>
    <t>CALCETEIRO (HORISTA)</t>
  </si>
  <si>
    <t>M1662</t>
  </si>
  <si>
    <t>Suporte em madeira de eucalipto tratado - seção de 8 x 8 cm</t>
  </si>
  <si>
    <t>M3235</t>
  </si>
  <si>
    <t>Película retrorrefletiva tipo I</t>
  </si>
  <si>
    <t>Rolo compactador liso vibratório autopropelido por pneus de 11 t - 97 kW (PRODUTIVO)</t>
  </si>
  <si>
    <t>00021012</t>
  </si>
  <si>
    <t>TUBO ACO GALVANIZADO COM COSTURA, CLASSE LEVE, DN 40 MM ( 1 1/2"), E = 3,00 MM, *3,48* KG/M (NBR 5580)</t>
  </si>
  <si>
    <t>00037734</t>
  </si>
  <si>
    <t>CACAMBA METALICA BASCULANTE COM CAPACIDADE DE 10 M3 (INCLUI MONTAGEM, NAO INCLUI CAMINHAO)</t>
  </si>
  <si>
    <t>00004234</t>
  </si>
  <si>
    <t>OPERADOR DE ESCAVADEIRA</t>
  </si>
  <si>
    <t>E9687</t>
  </si>
  <si>
    <t>Caminhão carroceria com capacidade de 5 t - 115 kW (PRODUTIVO)</t>
  </si>
  <si>
    <t>PLACA DE ACO ESMALTADA PARA IDENTIFICACAO DE RUA, *45 CM X 20* CM</t>
  </si>
  <si>
    <t>M1367</t>
  </si>
  <si>
    <t>Chapa fina em aço galvanizado</t>
  </si>
  <si>
    <t>kg</t>
  </si>
  <si>
    <t>00004248</t>
  </si>
  <si>
    <t>OPERADOR DE PA CARREGADEIRA</t>
  </si>
  <si>
    <t>00041903</t>
  </si>
  <si>
    <t>EMULSAO ASFALTICA CATIONICA RR-2C PARA USO EM PAVIMENTACAO ASFALTICA (COLETADO CAIXA NA ANP ACRESCIDO DE ICMS)</t>
  </si>
  <si>
    <t>M3855</t>
  </si>
  <si>
    <t>Tacha refletiva metálica bidirecional com dois pinos - tipo II</t>
  </si>
  <si>
    <t>00010685</t>
  </si>
  <si>
    <t>ESCAVADEIRA HIDRAULICA SOBRE ESTEIRAS, CACAMBA 0,80M3, PESO OPERACIONAL 17T, POTENCIA BRUTA 111HP</t>
  </si>
  <si>
    <t>00043488</t>
  </si>
  <si>
    <t>EPI - FAMILIA OPERADOR ESCAVADEIRA - HORISTA (ENCARGOS COMPLEMENTARES - COLETADO CAIXA)</t>
  </si>
  <si>
    <t>00010646</t>
  </si>
  <si>
    <t>ROLO COMPACTADOR VIBRATORIO DE UM CILINDRO, ACO LISO, POTENCIA 80 HP, PESO OPERACIONAL MAXIMO 8,1 T, IMPACTO DINAMICO 16,15/9,5 T, LARGURA TRABALHO 1,68 M</t>
  </si>
  <si>
    <t>00007640</t>
  </si>
  <si>
    <t>TRATOR DE PNEUS COM POTENCIA DE 85 CV, TRACAO 4 X 4, PESO COM LASTRO DE 4675 KG</t>
  </si>
  <si>
    <t>00006189</t>
  </si>
  <si>
    <t>TABUA NAO APARELHADA *2,5 X 30* CM, EM MACARANDUBA, ANGELIM OU EQUIVALENTE DA REGIAO - BRUTA</t>
  </si>
  <si>
    <t>00044500</t>
  </si>
  <si>
    <t>OPERADOR DE PAVIMENTADORA / MESA VIBROACABADORA HORISTA</t>
  </si>
  <si>
    <t>00044477</t>
  </si>
  <si>
    <t>MICROESFERAS DE VIDRO PARA SINALIZACAO HORIZONTAL VIARIA, TIPO II-A (DROP-ON) - NBR 16184</t>
  </si>
  <si>
    <t>00004230</t>
  </si>
  <si>
    <t>OPERADOR DE MAQUINAS E TRATORES DIVERSOS (TERRAPLANAGEM)</t>
  </si>
  <si>
    <t>00040863</t>
  </si>
  <si>
    <t>EXAMES - MENSALISTA (COLETADO CAIXA)</t>
  </si>
  <si>
    <t>00043499</t>
  </si>
  <si>
    <t>EPI - FAMILIA ENCARREGADO GERAL - MENSALISTA (ENCARGOS COMPLEMENTARES - COLETADO CAIXA)</t>
  </si>
  <si>
    <t>00000367</t>
  </si>
  <si>
    <t>AREIA GROSSA - POSTO JAZIDA/FORNECEDOR (RETIRADO NA JAZIDA, SEM TRANSPORTE)</t>
  </si>
  <si>
    <t>00037754</t>
  </si>
  <si>
    <t>CAMINHAO TOCO, PESO BRUTO TOTAL 14300 KG, CARGA UTIL MAXIMA 9480 KG, DISTANCIA ENTRE EIXOS 4,80 M, POTENCIA 185 CV (INCLUI CABINE E CHASSI, NAO INCLUI CARROCERIA)</t>
  </si>
  <si>
    <t>00013877</t>
  </si>
  <si>
    <t>FRESADORA DE ASFALTO A FRIO SOBRE RODAS, LARG. FRESAGEM 1,00 M, POT. 155 KW/208 HP</t>
  </si>
  <si>
    <t>00000359</t>
  </si>
  <si>
    <t>MUDA DE ARVORE ORNAMENTAL, OITI/AROEIRA SALSA/ANGICO/IPE/JACARANDA OU EQUIVALENTE DA REGIAO, H= *2* M</t>
  </si>
  <si>
    <t>MICROESFERAS DE VIDRO PARA SINALIZACAO HORIZONTAL VIARIA, TIPO I-B (PREMIX) - NBR 16184</t>
  </si>
  <si>
    <t>00037738</t>
  </si>
  <si>
    <t>TANQUE DE ACO PARA TRANSPORTE DE AGUA COM CAPACIDADE DE 6 M3 (INCLUI MONTAGEM, NAO INCLUI CAMINHAO)</t>
  </si>
  <si>
    <t>00043483</t>
  </si>
  <si>
    <t>EPI - FAMILIA CARPINTEIRO DE FORMAS - HORISTA (ENCARGOS COMPLEMENTARES - COLETADO CAIXA)</t>
  </si>
  <si>
    <t>M0789</t>
  </si>
  <si>
    <t>Conjunto para fixação de placas em aço galvanizado composto por barra chata, abraçadeira, parafusos, porcas e arruelas</t>
  </si>
  <si>
    <t>00044058</t>
  </si>
  <si>
    <t>CAMINHAO TOCO, PESO BRUTO TOTAL 16000 KG, CARGA UTIL MAXIMA 10830 KG, DISTANCIA ENTRE EIXOS 3,56 M, POTENCIA 226 CV (INCLUI CABINE E CHASSI, NAO INCLUI CARROCERIA)</t>
  </si>
  <si>
    <t>00037736</t>
  </si>
  <si>
    <t>TANQUE DE ACO CARBONO NAO REVESTIDO, PARA TRANSPORTE DE AGUA COM CAPACIDADE DE 10 M3, COM BOMBA CENTRIFUGA POR TOMADA DE FORCA, VAZAO MAXIMA *75* M3/H (INCLUI MONTAGEM, NAO INCLUI CAMINHAO)</t>
  </si>
  <si>
    <t>M3238</t>
  </si>
  <si>
    <t>Película não retrorrefletiva tipo IV</t>
  </si>
  <si>
    <t>00013726</t>
  </si>
  <si>
    <t>VASSOURA MECANICA REBOCAVEL COM ESCOVA CILINDRICA LARGURA UTIL DE VARRIMENTO = 2,44M</t>
  </si>
  <si>
    <t>00006114</t>
  </si>
  <si>
    <t>AJUDANTE DE ARMADOR (HORISTA)</t>
  </si>
  <si>
    <t>00001358</t>
  </si>
  <si>
    <t>CHAPA/PAINEL DE MADEIRA COMPENSADA RESINADA (MADEIRITE RESINADO ROSA) PARA FORMA DE CONCRETO, DE 2200 x 1100 MM, E = 17 MM</t>
  </si>
  <si>
    <t>00001332</t>
  </si>
  <si>
    <t>CHAPA DE ACO GROSSA, ASTM A36, E = 3/8 " (9,53 MM) 74,69 KG/M2</t>
  </si>
  <si>
    <t>00036484</t>
  </si>
  <si>
    <t>ESPARGIDOR DE ASFALTO PRESSURIZADO, TANQUE 6 M3 COM ISOLACAO TERMICA, AQUECIDO COM 2 MACARICOS, COM BARRA ESPARGIDORA 3,60 M, A SER MONTADO SOBRE CAMINHAO</t>
  </si>
  <si>
    <t>00011964</t>
  </si>
  <si>
    <t>PARAFUSO DE ACO TIPO CHUMBADOR PARABOLT, DIAMETRO 3/8", COMPRIMENTO 75 MM</t>
  </si>
  <si>
    <t>00006117</t>
  </si>
  <si>
    <t>CARPINTEIRO AUXILIAR (HORISTA)</t>
  </si>
  <si>
    <t>00044472</t>
  </si>
  <si>
    <t>DENTE PARA FRESADORA</t>
  </si>
  <si>
    <t>00036531</t>
  </si>
  <si>
    <t>RETROESCAVADEIRA SOBRE RODAS COM CARREGADEIRA, TRACAO 4 X 4, POTENCIA LIQUIDA 88 HP, PESO OPERACIONAL MINIMO DE 6674 KG, CAPACIDADE DA CARREGADEIRA DE 1,00 M3 E DA RETROESCAVADEIRA MINIMA DE 0,26 M3, PROFUNDIDADE DE ESCAVACAO MAXIMA DE 4,37 M</t>
  </si>
  <si>
    <t>00000032</t>
  </si>
  <si>
    <t>ACO CA-50, 6,3 MM, VERGALHAO</t>
  </si>
  <si>
    <t>00039017</t>
  </si>
  <si>
    <t>ESPACADOR / DISTANCIADOR CIRCULAR COM ENTRADA LATERAL, EM PLASTICO, PARA VERGALHAO *4,2 A 12,5* MM, COBRIMENTO 20 MM</t>
  </si>
  <si>
    <t>00004222</t>
  </si>
  <si>
    <t>GASOLINA COMUM</t>
  </si>
  <si>
    <t>00007592</t>
  </si>
  <si>
    <t>TOPOGRAFO (HORISTA)</t>
  </si>
  <si>
    <t>M2128</t>
  </si>
  <si>
    <t>Tinta esmalte sintético acetinado</t>
  </si>
  <si>
    <t>l</t>
  </si>
  <si>
    <t>00037395</t>
  </si>
  <si>
    <t>PINO DE ACO COM FURO, HASTE = 27 MM (ACAO DIRETA)</t>
  </si>
  <si>
    <t>CENTO</t>
  </si>
  <si>
    <t>00036397</t>
  </si>
  <si>
    <t>BETONEIRA, CAPACIDADE NOMINAL 600 L, CAPACIDADE DE MISTURA 360L, MOTOR ELETRICO TRIFASICO 220/380V, POTENCIA 4CV, EXCLUSO CARREGADOR</t>
  </si>
  <si>
    <t>P9808</t>
  </si>
  <si>
    <t>Carpinteiro</t>
  </si>
  <si>
    <t>M2041</t>
  </si>
  <si>
    <t>Adesivo à base de resina poliéster</t>
  </si>
  <si>
    <t>00043459</t>
  </si>
  <si>
    <t>FERRAMENTAS - FAMILIA CARPINTEIRO DE FORMAS - HORISTA (ENCARGOS COMPLEMENTARES - COLETADO CAIXA)</t>
  </si>
  <si>
    <t>00043498</t>
  </si>
  <si>
    <t>EPI - FAMILIA ENGENHEIRO CIVIL - MENSALISTA (ENCARGOS COMPLEMENTARES - COLETADO CAIXA)</t>
  </si>
  <si>
    <t>00003324</t>
  </si>
  <si>
    <t>GRAMA BATATAIS EM PLACAS, SEM PLANTIO</t>
  </si>
  <si>
    <t>00043490</t>
  </si>
  <si>
    <t>EPI - FAMILIA PINTOR - HORISTA (ENCARGOS COMPLEMENTARES - COLETADO CAIXA)</t>
  </si>
  <si>
    <t>00043466</t>
  </si>
  <si>
    <t>FERRAMENTAS - FAMILIA PINTOR - HORISTA (ENCARGOS COMPLEMENTARES - COLETADO CAIXA)</t>
  </si>
  <si>
    <t>00044471</t>
  </si>
  <si>
    <t>PORTA DENTE PARA FRESADORA</t>
  </si>
  <si>
    <t>P9801</t>
  </si>
  <si>
    <t>Ajudante</t>
  </si>
  <si>
    <t>P9822</t>
  </si>
  <si>
    <t>Pintor</t>
  </si>
  <si>
    <t>00044473</t>
  </si>
  <si>
    <t>APOIO DO PORTA DENTE PARA FRESADORA DE ASFALTO</t>
  </si>
  <si>
    <t>P9830</t>
  </si>
  <si>
    <t>Montador</t>
  </si>
  <si>
    <t>00043059</t>
  </si>
  <si>
    <t>ACO CA-60, 4,2 MM, OU 5,0 MM, OU 6,0 MM, OU 7,0 MM, VERGALHAO</t>
  </si>
  <si>
    <t>00002705</t>
  </si>
  <si>
    <t>ENERGIA ELETRICA ATE 2000 KWH INDUSTRIAL, SEM DEMANDA</t>
  </si>
  <si>
    <t>Especiais</t>
  </si>
  <si>
    <t>KWH</t>
  </si>
  <si>
    <t>00040331</t>
  </si>
  <si>
    <t>ASSENTADOR DE MANILHAS</t>
  </si>
  <si>
    <t>00025067</t>
  </si>
  <si>
    <t>BLOCO DE CONCRETO ESTRUTURAL 19 X 19 X 39 CM, FBK 4,5 MPA (NBR 6136)</t>
  </si>
  <si>
    <t>M3153</t>
  </si>
  <si>
    <t>Tinta em pó à base de resina poliéster</t>
  </si>
  <si>
    <t>00037373</t>
  </si>
  <si>
    <t>SEGURO - HORISTA (COLETADO CAIXA)</t>
  </si>
  <si>
    <t>00037514</t>
  </si>
  <si>
    <t>MINICARREGADEIRA SOBRE RODAS, POTENCIA LIQUIDA DE *47* HP, CAPACIDADE NOMINAL DE OPERACAO DE *646* KG</t>
  </si>
  <si>
    <t>SARRAFO NAO APARELHADO *2,5 X 7* CM, EM MACARANDUBA, ANGELIM OU EQUIVALENTE DA REGIAO - BRUTA</t>
  </si>
  <si>
    <t>P9823</t>
  </si>
  <si>
    <t>Serralheiro</t>
  </si>
  <si>
    <t>00043475</t>
  </si>
  <si>
    <t>FERRAMENTAS - FAMILIA ENCARREGADO GERAL - MENSALISTA (ENCARGOS COMPLEMENTARES - COLETADO CAIXA)</t>
  </si>
  <si>
    <t>00037733</t>
  </si>
  <si>
    <t>CACAMBA METALICA BASCULANTE COM CAPACIDADE DE 6 M3 (INCLUI MONTAGEM, NAO INCLUI CAMINHAO)</t>
  </si>
  <si>
    <t>00011002</t>
  </si>
  <si>
    <t>ELETRODO REVESTIDO AWS - E6013, DIAMETRO IGUAL A 2,50 MM</t>
  </si>
  <si>
    <t>00000244</t>
  </si>
  <si>
    <t>AUXILIAR DE TOPOGRAFO (HORISTA)</t>
  </si>
  <si>
    <t>00010535</t>
  </si>
  <si>
    <t>BETONEIRA CAPACIDADE NOMINAL 400 L, CAPACIDADE DE MISTURA 280 L, MOTOR ELETRICO TRIFASICO 220/380 V POTENCIA 2 CV, SEM CARREGADOR</t>
  </si>
  <si>
    <t>00001442</t>
  </si>
  <si>
    <t>COMPACTADOR DE SOLO TIPO PLACA VIBRATORIA REVERSIVEL, A GASOLINA, 4 TEMPOS, PESO DE 125 A 150 KG, FORCA CENTRIFUGA DE 2500 A 2800 KGF, LARG. TRABALHO DE 400 A 450 MM, FREQ VIBRACAO DE 4300 A 4500 RPM, VELOC. TRABALHO DE 15 A 20 M/MIN, POT. DE 5,5 A 6,0 HP</t>
  </si>
  <si>
    <t>00044503</t>
  </si>
  <si>
    <t>JARDINEIRO (HORISTA)</t>
  </si>
  <si>
    <t>00011280</t>
  </si>
  <si>
    <t>CORTADEIRA DE PISO DE CONCRETO E ASFALTO, PARA DISCO PADRAO DE DIAMETRO 350 MM (14") OU 450 MM (18") , MOTOR A GASOLINA, POTENCIA 13 HP, SEM DISCO</t>
  </si>
  <si>
    <t>E9066</t>
  </si>
  <si>
    <t>Grupo gerador - 13/14 kVA (PRODUTIVO)</t>
  </si>
  <si>
    <t>00004720</t>
  </si>
  <si>
    <t>PEDRA BRITADA N. 0, OU PEDRISCO (4,8 A 9,5 MM) POSTO PEDREIRA/FORNECEDOR, SEM FRETE</t>
  </si>
  <si>
    <t>00000123</t>
  </si>
  <si>
    <t>ADITIVO IMPERMEABILIZANTE DE PEGA NORMAL PARA ARGAMASSAS E CONCRETOS SEM ARMACAO, LIQUIDO E ISENTO DE CLORETOS</t>
  </si>
  <si>
    <t>00000660</t>
  </si>
  <si>
    <t>CANALETA DE CONCRETO 19 X 19 X 19 CM (CLASSE C - NBR 6136)</t>
  </si>
  <si>
    <t>00013458</t>
  </si>
  <si>
    <t>COMPACTADOR DE SOLOS DE PERCURSAO (SOQUETE) COM MOTOR A GASOLINA 4 TEMPOS DE 4 HP (4 CV)</t>
  </si>
  <si>
    <t>E9076</t>
  </si>
  <si>
    <t>Equipamento para pintura eletrostática com cabine dupla de 7,00 kW e estufa de 80.000 kCal (PRODUTIVO)</t>
  </si>
  <si>
    <t>E9507</t>
  </si>
  <si>
    <t>Plotadora de recorte com computador e programa computacional (PRODUTIVO)</t>
  </si>
  <si>
    <t>00043677</t>
  </si>
  <si>
    <t>CHAPA/PAINEL DE MADEIRA COMPENSADA RESINADA (MADEIRITE RESINADO ROSA) PARA FORMA DE CONCRETO, DE 2200 X 1100 MM, E = 20 MM</t>
  </si>
  <si>
    <t>00005073</t>
  </si>
  <si>
    <t>PREGO DE ACO POLIDO COM CABECA 17 X 24 (2 1/4 X 11)</t>
  </si>
  <si>
    <t>E9592</t>
  </si>
  <si>
    <t>Caminhão carroceria com capacidade de 15 t - 188 kW (PRODUTIVO)</t>
  </si>
  <si>
    <t>M0424</t>
  </si>
  <si>
    <t>Cimento Portland CP II - 32 - saco</t>
  </si>
  <si>
    <t>00012815</t>
  </si>
  <si>
    <t>FITA CREPE ROLO DE 25 MM X 50 M</t>
  </si>
  <si>
    <t>00007247</t>
  </si>
  <si>
    <t>LOCACAO DE TEODOLITO ELETRONICO, PRECISAO ANGULAR DE 5 A 7 SEGUNDOS, INCLUINDO TRIPE</t>
  </si>
  <si>
    <t>00043464</t>
  </si>
  <si>
    <t>FERRAMENTAS - FAMILIA OPERADOR ESCAVADEIRA - HORISTA (ENCARGOS COMPLEMENTARES - COLETADO CAIXA)</t>
  </si>
  <si>
    <t>00044480</t>
  </si>
  <si>
    <t>TARIFA "A" ENTRE 0 E 20M3 FORNECIMENTO D'AGUA</t>
  </si>
  <si>
    <t>00040304</t>
  </si>
  <si>
    <t>PREGO DE ACO POLIDO COM CABECA DUPLA 17 X 27 (2 1/2 X 11)</t>
  </si>
  <si>
    <t>E9623</t>
  </si>
  <si>
    <t>Máquina de bancada guilhotina - 4,00 kW (PRODUTIVO)</t>
  </si>
  <si>
    <t>E9622</t>
  </si>
  <si>
    <t>Máquina de bancada universal para corte de chapa - 1,50 kW (PRODUTIVO)</t>
  </si>
  <si>
    <t>00006193</t>
  </si>
  <si>
    <t>TABUA NAO APARELHADA *2,5 X 20* CM, EM MACARANDUBA, ANGELIM OU EQUIVALENTE DA REGIAO - BRUTA</t>
  </si>
  <si>
    <t>00043493</t>
  </si>
  <si>
    <t>EPI - FAMILIA TOPOGRAFO - HORISTA (ENCARGOS COMPLEMENTARES - COLETADO CAIXA)</t>
  </si>
  <si>
    <t>M1528</t>
  </si>
  <si>
    <t>Broca de widia - D = 13 mm e C = 150 mm</t>
  </si>
  <si>
    <t>E9521</t>
  </si>
  <si>
    <t>Grupo gerador - 2,5/3 kVA (PRODUTIVO)</t>
  </si>
  <si>
    <t>M0082</t>
  </si>
  <si>
    <t>Areia média lavada</t>
  </si>
  <si>
    <t>00039995</t>
  </si>
  <si>
    <t>POLIESTIRENO EXPANDIDO/EPS (ISOPOR), TIPO 2F, BLOCO</t>
  </si>
  <si>
    <t>00001214</t>
  </si>
  <si>
    <t>CARPINTEIRO DE ESQUADRIAS (HORISTA)</t>
  </si>
  <si>
    <t>00037752</t>
  </si>
  <si>
    <t>CAMINHAO TOCO, PESO BRUTO TOTAL 16000 KG, CARGA UTIL MAXIMA 11030 KG, DISTANCIA ENTRE EIXOS 5,41 M, POTENCIA 185 CV (INCLUI CABINE E CHASSI, NAO INCLUI CARROCERIA)</t>
  </si>
  <si>
    <t>00020247</t>
  </si>
  <si>
    <t>PREGO DE ACO POLIDO COM CABECA 15 X 15 (1 1/4 X 13)</t>
  </si>
  <si>
    <t>M1429</t>
  </si>
  <si>
    <t>Tábua de pinho de terceira - E = 2,5 cm</t>
  </si>
  <si>
    <t>E9647</t>
  </si>
  <si>
    <t>Compactador manual com soquete vibratório - 4,10 kW Valor de Oportunidade Seguros e Mão de Obra Custo Custo (PRODUTIVO)</t>
  </si>
  <si>
    <t>M1097</t>
  </si>
  <si>
    <t>Pedra de mão ou rachão</t>
  </si>
  <si>
    <t>00005074</t>
  </si>
  <si>
    <t>PREGO DE ACO POLIDO COM CABECA 15 X 18 (1 1/2 X 13)</t>
  </si>
  <si>
    <t>M0191</t>
  </si>
  <si>
    <t>Brita 1</t>
  </si>
  <si>
    <t>M0192</t>
  </si>
  <si>
    <t>Brita 2</t>
  </si>
  <si>
    <t>00043474</t>
  </si>
  <si>
    <t>FERRAMENTAS - FAMILIA ENGENHEIRO CIVIL - MENSALISTA (ENCARGOS COMPLEMENTARES - COLETADO CAIXA)</t>
  </si>
  <si>
    <t>00013887</t>
  </si>
  <si>
    <t>DISCO DE CORTE DIAMANTADO SEGMENTADO PARA CONCRETO, DIAMETRO DE 350 MM, FURO DE 1 " (14 X 1 ")</t>
  </si>
  <si>
    <t>E9686</t>
  </si>
  <si>
    <t>Caminhão carroceria com guindauto com capacidade de 20 t.m - 136 kW (PRODUTIVO)</t>
  </si>
  <si>
    <t>M0290</t>
  </si>
  <si>
    <t>Tábua - E = 2,5 cm e L = 10 cm</t>
  </si>
  <si>
    <t>E9519</t>
  </si>
  <si>
    <t>Betoneira com motor a gasolina com capacidade de 600 l - 10 kW (PRODUTIVO)</t>
  </si>
  <si>
    <t>E9675</t>
  </si>
  <si>
    <t>Martelete perfurador/rompedor elétrico - 1,50 kW (PRODUTIVO)</t>
  </si>
  <si>
    <t>00014618</t>
  </si>
  <si>
    <t>SERRA CIRCULAR DE BANCADA COM MOTOR ELETRICO, POTENCIA DE *1600* W, PARA DISCO DE DIAMETRO DE 10" (250 MM)</t>
  </si>
  <si>
    <t>00043469</t>
  </si>
  <si>
    <t>FERRAMENTAS - FAMILIA TOPOGRAFO - HORISTA (ENCARGOS COMPLEMENTARES - COLETADO CAIXA)</t>
  </si>
  <si>
    <t>00039014</t>
  </si>
  <si>
    <t>FIBRA DE ACO PARA REFORCO DO CONCRETO, SOLTA, TIPO A-I, FATOR DE FORMA *50* L / D, COMPRIMENTO DE *30* MM E RESISTENCIA A TRACAO DO ACO MAIOR 1000 MPA</t>
  </si>
  <si>
    <t>P9821</t>
  </si>
  <si>
    <t>Pedreiro</t>
  </si>
  <si>
    <t>E9579</t>
  </si>
  <si>
    <t>Caminhão basculante com capacidade de 10 m³ - 188 kW (PRODUTIVO)</t>
  </si>
  <si>
    <t>E9535</t>
  </si>
  <si>
    <t>Serra circular com bancada - D = 30 cm - 4 kW Valor de Oportunidade Seguros e Mão de Obra Custo Custo (PRODUTIVO)</t>
  </si>
  <si>
    <t>M0030</t>
  </si>
  <si>
    <t>Aditivo plastificante e retardador de pega para concreto e argamassa</t>
  </si>
  <si>
    <t>00013896</t>
  </si>
  <si>
    <t>VIBRADOR DE IMERSAO, DIAMETRO DA PONTEIRA DE *45* MM, COM MOTOR ELETRICO TRIFASICO DE 2 HP (2 CV)</t>
  </si>
  <si>
    <t>E9611</t>
  </si>
  <si>
    <t>Conjunto de britagem com capacidade de 80 m³/h - 313 kW (PRODUTIVO)</t>
  </si>
  <si>
    <t>00037731</t>
  </si>
  <si>
    <t>CARROCERIA FIXA ABERTA DE MADEIRA PARA TRANSPORTE GERAL DE CARGA SECA DIMENSOES APROXIMADAS 2,5 X 7,00 X 0,50 M (INCLUI MONTAGEM, NAO INCLUI CAMINHAO)</t>
  </si>
  <si>
    <t>E9117</t>
  </si>
  <si>
    <t>Carregadeira de pneus para rocha com capacidade de 2,50 m³ - 105 kW (PRODUTIVO)</t>
  </si>
  <si>
    <t>E9672</t>
  </si>
  <si>
    <t>Caminhão basculante para rocha com capacidade de 12 m³ - 188 kW Valor de Oportunidade Seguros e Mão de Obra Custo Custo (PRODUTIVO)</t>
  </si>
  <si>
    <t>00005069</t>
  </si>
  <si>
    <t>PREGO DE ACO POLIDO COM CABECA 17 X 27 (2 1/2 X 11)</t>
  </si>
  <si>
    <t>00043682</t>
  </si>
  <si>
    <t>CHAPA/PAINEL DE MADEIRA COMPENSADA RESINADA (MADEIRITE RESINADO ROSA) PARA FORMA DE CONCRETO, DE 2200 X 1100 MM, E = 6 MM</t>
  </si>
  <si>
    <t>E9021</t>
  </si>
  <si>
    <t>Grupo gerador - 456 kVA (PRODUTIVO)</t>
  </si>
  <si>
    <t>E9574</t>
  </si>
  <si>
    <t>Perfuratriz sobre esteiras - 145 kW (PRODUTIVO)</t>
  </si>
  <si>
    <t>E9584</t>
  </si>
  <si>
    <t>Carregadeira de pneus com capacidade de 1,72 m³ - 113 kW (PRODUTIVO)</t>
  </si>
  <si>
    <t>M2042</t>
  </si>
  <si>
    <t>Emulsão explosiva encartuchada</t>
  </si>
  <si>
    <t>E9609</t>
  </si>
  <si>
    <t>Draga de sucção para extração de areia com tubo de descarga de 150 mm - 100 kW (PRODUTIVO)</t>
  </si>
  <si>
    <t>E9064</t>
  </si>
  <si>
    <t>Transportador manual gerica com capacidade de 180 l (PRODUTIVO)</t>
  </si>
  <si>
    <t>E9778</t>
  </si>
  <si>
    <t>Grupo gerador - 310/340 kVA (PRODUTIVO)</t>
  </si>
  <si>
    <t>E9607</t>
  </si>
  <si>
    <t>Conjunto de britagem para rachão com capacidade de 80 m³/h - 224 kW (PRODUTIVO)</t>
  </si>
  <si>
    <t>E9511</t>
  </si>
  <si>
    <t>Carregadeira de pneus com capacidade de 3,40 m³ - 195 kW (PRODUTIVO)</t>
  </si>
  <si>
    <t>M1205</t>
  </si>
  <si>
    <t>Prego de ferro</t>
  </si>
  <si>
    <t>E9540</t>
  </si>
  <si>
    <t>Trator sobre esteiras com lâmina - 127 kW (PRODUTIVO)</t>
  </si>
  <si>
    <t>M2145</t>
  </si>
  <si>
    <t>Série de brocas integrais S12</t>
  </si>
  <si>
    <t>E9071</t>
  </si>
  <si>
    <t>Transportador manual carrinho de mão com capacidade de 80 l (PRODUTIVO)</t>
  </si>
  <si>
    <t>M2111</t>
  </si>
  <si>
    <t>Mandíbula fixa para britador - abertura de alimentação com L = 930 mm</t>
  </si>
  <si>
    <t>M0560</t>
  </si>
  <si>
    <t>Desmoldante para fôrmas de madeira</t>
  </si>
  <si>
    <t>E9568</t>
  </si>
  <si>
    <t>Furadeira de impacto de 12,5 mm - 0,80 kW (PRODUTIVO)</t>
  </si>
  <si>
    <t>M2110</t>
  </si>
  <si>
    <t>Mandíbula móvel para britador - abertura de alimentação com L = 930 mm</t>
  </si>
  <si>
    <t>00040864</t>
  </si>
  <si>
    <t>SEGURO - MENSALISTA (COLETADO CAIXA)</t>
  </si>
  <si>
    <t>E9010</t>
  </si>
  <si>
    <t>Balança plataforma digital com mesa de 75 x 75 cm com capacidade de 500 kg (PRODUTIVO)</t>
  </si>
  <si>
    <t>M2113</t>
  </si>
  <si>
    <t>Revestimento do bojo interno do britador cônico HP200 ou similar</t>
  </si>
  <si>
    <t>P9892</t>
  </si>
  <si>
    <t>Auxiliar de blaster</t>
  </si>
  <si>
    <t>M2112</t>
  </si>
  <si>
    <t>Manta do britador cônico HP200 ou similar</t>
  </si>
  <si>
    <t>E9646</t>
  </si>
  <si>
    <t>Compressor de ar portátil de 58,52 l/s (124 PCM) - 27 kW (PRODUTIVO)</t>
  </si>
  <si>
    <t>M2138</t>
  </si>
  <si>
    <t>Nonel de coluna - C = 12,0 m</t>
  </si>
  <si>
    <t>P9852</t>
  </si>
  <si>
    <t>Blaster</t>
  </si>
  <si>
    <t>E9527</t>
  </si>
  <si>
    <t>Martelete perfurador/rompedor a ar comprimido de 25 kg para rocha com capacidade de 2.040 gpm (PRODUTIVO)</t>
  </si>
  <si>
    <t>M2065</t>
  </si>
  <si>
    <t>Haste linha T38 para perfuratriz sobre esteiras - D = 38,0 mm (1 1/2”) e C = 3,05 m</t>
  </si>
  <si>
    <t>M2062</t>
  </si>
  <si>
    <t>Coroa de botões esféricos linha T38 - D = 64 mm (2 1/2”)</t>
  </si>
  <si>
    <t>M2141</t>
  </si>
  <si>
    <t>Nonel de iniciação para fogacho - C = 6,0 m</t>
  </si>
  <si>
    <t>M2146</t>
  </si>
  <si>
    <t>Nonel iniciador - C = 150,0 m</t>
  </si>
  <si>
    <t>M2067</t>
  </si>
  <si>
    <t>Punho linha T38 para perfuratriz sobre esteiras - D = 38 mm (1 1/2”)</t>
  </si>
  <si>
    <t>M2143</t>
  </si>
  <si>
    <t>Nonel de ligação - C = 6,0 m</t>
  </si>
  <si>
    <t>M2066</t>
  </si>
  <si>
    <t>Luva em aço linha T38 para perfuratriz sobre esteiras - D = 38,0 mm (1 1/2”)</t>
  </si>
  <si>
    <t>M2115</t>
  </si>
  <si>
    <t>Cunha lateral inferior para britador</t>
  </si>
  <si>
    <t>M2114</t>
  </si>
  <si>
    <t>Cunha lateral superior para britador</t>
  </si>
  <si>
    <t>M0067</t>
  </si>
  <si>
    <t>Tubo PEAD PE 100 PN 10 com flanges - D = 160 mm</t>
  </si>
  <si>
    <t>VALOR (R$)</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</si>
  <si>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</si>
  <si>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</si>
  <si>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</si>
  <si>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</si>
  <si>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</si>
  <si>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</si>
  <si>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</si>
  <si>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</si>
  <si>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</si>
  <si>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</si>
  <si>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</si>
  <si>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</si>
  <si>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</si>
  <si>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</si>
  <si>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</si>
  <si>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</si>
  <si>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</si>
  <si>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</si>
  <si>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MÊS 19</t>
  </si>
  <si>
    <t>MÊS 20</t>
  </si>
  <si>
    <t>MÊS 21</t>
  </si>
  <si>
    <t>MÊS 22</t>
  </si>
  <si>
    <t>MÊS 23</t>
  </si>
  <si>
    <t>MÊS 24</t>
  </si>
  <si>
    <t>Total parcela</t>
  </si>
  <si>
    <t>COD</t>
  </si>
  <si>
    <t>Benefício</t>
  </si>
  <si>
    <t>S + G</t>
  </si>
  <si>
    <t>Garantia/seguros</t>
  </si>
  <si>
    <t>Lucro</t>
  </si>
  <si>
    <t>Despesas Indiretas</t>
  </si>
  <si>
    <t>AC</t>
  </si>
  <si>
    <t>Administração central</t>
  </si>
  <si>
    <t>DF</t>
  </si>
  <si>
    <t>Despesas financeiras</t>
  </si>
  <si>
    <t>R</t>
  </si>
  <si>
    <t>Riscos</t>
  </si>
  <si>
    <t>I</t>
  </si>
  <si>
    <t>Impostos</t>
  </si>
  <si>
    <t>COFINS</t>
  </si>
  <si>
    <t>ISS</t>
  </si>
  <si>
    <t>PIS</t>
  </si>
  <si>
    <t>BDI = 17,57%</t>
  </si>
  <si>
    <t>(1+AC+S+R+G)*(1+DF)*(1+L)/(1-I)-1</t>
  </si>
  <si>
    <t>BDI = 10,07%</t>
  </si>
  <si>
    <t>PREFEITURA MUNICIPAL DO JABOATÃO DOS GUARARAPES</t>
  </si>
  <si>
    <t>SECRETARIA DE INFRAESTRUTURA - SEINFRA.</t>
  </si>
  <si>
    <t>SECRETARIA EXECUTIVA DE SERVIÇOS URBANOS E MANUTENÇÃO - SEMAN</t>
  </si>
  <si>
    <t>GERÊNCIA DE MANUTENÇÃO - GEMAN</t>
  </si>
  <si>
    <r>
      <t xml:space="preserve">MUNICÍPIO:  </t>
    </r>
    <r>
      <rPr>
        <sz val="11"/>
        <rFont val="Arial"/>
        <family val="2"/>
      </rPr>
      <t>Jaboatão dos Guararapes</t>
    </r>
  </si>
  <si>
    <t>CURVA ABC - NÃO DESONERADA - ADM</t>
  </si>
  <si>
    <r>
      <rPr>
        <b/>
        <sz val="11"/>
        <rFont val="Arial"/>
        <family val="2"/>
      </rPr>
      <t>CÓDIGO</t>
    </r>
  </si>
  <si>
    <r>
      <rPr>
        <b/>
        <sz val="11"/>
        <rFont val="Arial"/>
        <family val="2"/>
      </rPr>
      <t>DESCRIÇÃO</t>
    </r>
  </si>
  <si>
    <r>
      <rPr>
        <b/>
        <sz val="11"/>
        <rFont val="Arial"/>
        <family val="2"/>
      </rPr>
      <t>FONTE</t>
    </r>
  </si>
  <si>
    <r>
      <rPr>
        <b/>
        <sz val="11"/>
        <rFont val="Arial"/>
        <family val="2"/>
      </rPr>
      <t>TIPO</t>
    </r>
  </si>
  <si>
    <r>
      <rPr>
        <b/>
        <sz val="11"/>
        <rFont val="Arial"/>
        <family val="2"/>
      </rPr>
      <t>UNIDADE</t>
    </r>
  </si>
  <si>
    <r>
      <rPr>
        <b/>
        <sz val="11"/>
        <rFont val="Arial"/>
        <family val="2"/>
      </rPr>
      <t>QUANTIDADE</t>
    </r>
  </si>
  <si>
    <r>
      <rPr>
        <b/>
        <sz val="11"/>
        <rFont val="Arial"/>
        <family val="2"/>
      </rPr>
      <t>PREÇO UNITÁRIO</t>
    </r>
  </si>
  <si>
    <r>
      <rPr>
        <b/>
        <sz val="11"/>
        <rFont val="Arial"/>
        <family val="2"/>
      </rPr>
      <t>PREÇO TOTAL</t>
    </r>
  </si>
  <si>
    <r>
      <rPr>
        <b/>
        <sz val="11"/>
        <rFont val="Arial"/>
        <family val="2"/>
      </rPr>
      <t>%</t>
    </r>
  </si>
  <si>
    <r>
      <rPr>
        <b/>
        <sz val="11"/>
        <rFont val="Arial"/>
        <family val="2"/>
      </rPr>
      <t>ACUMUL. %</t>
    </r>
  </si>
  <si>
    <r>
      <rPr>
        <b/>
        <sz val="11"/>
        <rFont val="Arial"/>
        <family val="2"/>
      </rPr>
      <t>CL</t>
    </r>
  </si>
  <si>
    <t>Total até 100,00%</t>
  </si>
  <si>
    <t>OBJETO: Pavimentação e Drenagem, Recapeamento, Contenção de Encostas, Adequação de vias, Ciclofaixa, Pontes e Travessias em desnivel, Demolição E Remoção de Pavimentos em diversos bairros - LOTE 2 - NÃO DESONERADO_R05</t>
  </si>
  <si>
    <t>Subtotal até 87,55%</t>
  </si>
  <si>
    <t>SECRETARIA EXECUTIVA DE OBRAS</t>
  </si>
  <si>
    <t>MEMÓRIA DE CÁLCULO</t>
  </si>
  <si>
    <t>Local: Jaboatão dos Guararapes</t>
  </si>
  <si>
    <t>Município: Jaboatão dos Guararapes/PE</t>
  </si>
  <si>
    <t>Item</t>
  </si>
  <si>
    <t>Código</t>
  </si>
  <si>
    <t>Descrição</t>
  </si>
  <si>
    <t>Und</t>
  </si>
  <si>
    <t>Taxa</t>
  </si>
  <si>
    <t>Comp.</t>
  </si>
  <si>
    <t>Larg.</t>
  </si>
  <si>
    <t>Alt.</t>
  </si>
  <si>
    <t>QTDE</t>
  </si>
  <si>
    <t>Total</t>
  </si>
  <si>
    <t>COMPRIMENTO</t>
  </si>
  <si>
    <t>LARGURA</t>
  </si>
  <si>
    <t>QUANTIDADE DE PLACAS</t>
  </si>
  <si>
    <t>QUANTIDADE DE MESES</t>
  </si>
  <si>
    <t>6 meses de obra com 22 dias trabalhados e 1h por dia</t>
  </si>
  <si>
    <t xml:space="preserve">1 horas x 22 dias = 22 horas no mês </t>
  </si>
  <si>
    <t xml:space="preserve">1 mês tem 22 dias x 8 horas = 176 horas </t>
  </si>
  <si>
    <t>6 meses de obra com 22 dias trabalhados e 4h por dia</t>
  </si>
  <si>
    <t xml:space="preserve">4 horas x 22 dias = 88 horas no mês </t>
  </si>
  <si>
    <t>E0+ 0,00 A E15 + 17,47</t>
  </si>
  <si>
    <t>E16 + 10,08 A E23 + 17,24</t>
  </si>
  <si>
    <t>E24 + 4,28 A E31 + 14,32</t>
  </si>
  <si>
    <t>PROJETO: DEM_PLA_RUA EQUADOR_R00</t>
  </si>
  <si>
    <t>ESPESSURA</t>
  </si>
  <si>
    <t>ÁREA</t>
  </si>
  <si>
    <t>Passeio à demolir (quantidade de acordo com o quadro de especificações)</t>
  </si>
  <si>
    <t>Meio-fio à demolir (quantidade de acordo com o quadro de especificações)</t>
  </si>
  <si>
    <t>EMPOLAMENTO</t>
  </si>
  <si>
    <t>VOLUME</t>
  </si>
  <si>
    <t>Passeio - Volume a ser demolido x empolamento</t>
  </si>
  <si>
    <t>Meio-fio - Volume a ser demolido x empolamento</t>
  </si>
  <si>
    <t>dmt - rua equador - prefeitura sede</t>
  </si>
  <si>
    <t>DMT</t>
  </si>
  <si>
    <t>V = Volume de carga  x DMT (2,10Km)</t>
  </si>
  <si>
    <t>Projeto: TER_ST_MC_NS_R_EQUADOR_R00</t>
  </si>
  <si>
    <t>Mapa de Cubagem</t>
  </si>
  <si>
    <t xml:space="preserve">Volume de carga e descarga = Volume escavado </t>
  </si>
  <si>
    <t>V = Volume de carga e descarga x 1,25 (empolamento)</t>
  </si>
  <si>
    <t>V = Volume de carga  x DMT (2,100Km)</t>
  </si>
  <si>
    <t>Projeto: GEO_PLA_DET_RUA EQUADOR_R00</t>
  </si>
  <si>
    <t>Área Regularizada = Extensão da via x (Largura média da via + 1,00m)</t>
  </si>
  <si>
    <t>Volume = Área Regularizada comprimento x largura  x Espessura (0,15 m)</t>
  </si>
  <si>
    <t>Volume = Área Regularizada comprimento x largura  x Espessura (0,20 m)</t>
  </si>
  <si>
    <t>VOLUME DE BGS + MACADAME</t>
  </si>
  <si>
    <t>Base em Brita Graduada  X Empolamento (1,25)</t>
  </si>
  <si>
    <t>DMT - pedreira guarany - rua equador</t>
  </si>
  <si>
    <t>VOLUME DE CARGA</t>
  </si>
  <si>
    <t>Carga  X DMT (7 Km)</t>
  </si>
  <si>
    <t>Área do Pavimento (De acordo com o quadro de quantitativo)</t>
  </si>
  <si>
    <t>desconto canaleta</t>
  </si>
  <si>
    <t>Área da Imprimação  X Espessura (0,05m)</t>
  </si>
  <si>
    <t xml:space="preserve">Volume de CBUQ </t>
  </si>
  <si>
    <t>DMT - mf engenharia - rua equador</t>
  </si>
  <si>
    <t>Carga  X DMT (15,10Km)</t>
  </si>
  <si>
    <t>Passeios em Concreto (retirado do quadro de especificações)</t>
  </si>
  <si>
    <t>desconto piso tátil</t>
  </si>
  <si>
    <t>Meio-Fio (Comprimento retirado do quadro de especificações) - trecho curvo</t>
  </si>
  <si>
    <t xml:space="preserve">Recrava (Comprimento retirado do quadro de especificações) </t>
  </si>
  <si>
    <t>Meio-Fio trecho curvo (Comprimento medido em planta)</t>
  </si>
  <si>
    <t>Alegrete de jardim (Comprimento retirado do quadro de especificações)</t>
  </si>
  <si>
    <t>trecho sem canaleta</t>
  </si>
  <si>
    <t>Trecho reto - um lado da via (medido em projeto)</t>
  </si>
  <si>
    <t>desconto trecho curvo</t>
  </si>
  <si>
    <t>trecho com canaleta</t>
  </si>
  <si>
    <t>trecho reto (prox aos trechos curvos com canaleta)</t>
  </si>
  <si>
    <t xml:space="preserve">Trecho curvo (Comprimento medido em planta) </t>
  </si>
  <si>
    <t>QTD</t>
  </si>
  <si>
    <t>De acordo com o quadro de especificações</t>
  </si>
  <si>
    <t>Projeto: DRE_PLA_DET_RUA EQUADOR_R00</t>
  </si>
  <si>
    <t>Canaleta</t>
  </si>
  <si>
    <t>PROFUNDIDADE</t>
  </si>
  <si>
    <t>Canaleta 0,60 x 0,40 m: Comprimento da Canaleta X (Largura da Canaleta (1,00m) + 0,60m) X Profundidade da Canaleta</t>
  </si>
  <si>
    <t>prof medida em projeto = 0,55</t>
  </si>
  <si>
    <t>calculado a partir do greide (verde)</t>
  </si>
  <si>
    <t>Volume de Reaterro = Volume Escavado - Volume da Canaletam</t>
  </si>
  <si>
    <t>Volume escavado</t>
  </si>
  <si>
    <t xml:space="preserve">Desconto - Comprimento da Canaleta X (Largura da Canaleta (1,00m)) X Profundidade </t>
  </si>
  <si>
    <t>VOL ESCAVADO - VOL REATERRO</t>
  </si>
  <si>
    <t>Volume Escavado - Reaterro X Empolamento (1,25)</t>
  </si>
  <si>
    <t>DMT - rua equador - pref sede</t>
  </si>
  <si>
    <t>Carga da Escavação X DMT (2,1Km)</t>
  </si>
  <si>
    <t>Canaleta - tampa : Comprimento X Largura X Espessura (0,15m)</t>
  </si>
  <si>
    <t>Canaleta 0,60m X 0,40m</t>
  </si>
  <si>
    <t>Desconto dos rasgos: Área dos rasgos x Espessura (0,15m) x (extensão da canaleta x qtd de rasgos/metro)</t>
  </si>
  <si>
    <t>Canaleta: Comprimento X Largura X Espessura (0,10m)</t>
  </si>
  <si>
    <t>EXTENSÃO</t>
  </si>
  <si>
    <t>KG/TAMPA</t>
  </si>
  <si>
    <t>Tampa da Canaleta: Taxa de aço por metro (retirado da prancha de detalhes) x Comprimento da canaleta</t>
  </si>
  <si>
    <t>PERIMETRO</t>
  </si>
  <si>
    <t>Perímetro da Tampa (4,00m) X Espessura (0,15m) X Comprimento da canaleta</t>
  </si>
  <si>
    <t>ALTURA</t>
  </si>
  <si>
    <t>LADOS</t>
  </si>
  <si>
    <t>Extensão canaleta x Altura da Alvenaria (0,40m) x 2 lados</t>
  </si>
  <si>
    <t>Igual ao item anterior</t>
  </si>
  <si>
    <t>Vol. dos furos do bloco.</t>
  </si>
  <si>
    <t>N° de blocos / m² de alvena.</t>
  </si>
  <si>
    <t>Área da alvenaria</t>
  </si>
  <si>
    <t xml:space="preserve">Volume = Volume dos furos dos Blocos X Número de Blocos por m² de alvenaria X Área da Alvenaria da Canaleta </t>
  </si>
  <si>
    <t>1.3.6.5 + 1.3.6.6 + 1.3.6.12</t>
  </si>
  <si>
    <t>Projeto: ACS_PLA_DET_RUA EQUADOR_R00</t>
  </si>
  <si>
    <t xml:space="preserve">R-19.3: (velocidade) Ø=0,50m </t>
  </si>
  <si>
    <t xml:space="preserve">A-32a: (faixa de pedestre) L=0,50m </t>
  </si>
  <si>
    <t xml:space="preserve">A-32b: L=0,50m </t>
  </si>
  <si>
    <t xml:space="preserve">R-6a : (proibido Estacionar) Ø=0,50m </t>
  </si>
  <si>
    <t>coeficiente do item sinapi (95995) x volume (m³)</t>
  </si>
  <si>
    <t>coeficiente do item sinapi 96396</t>
  </si>
  <si>
    <t>coeficiente</t>
  </si>
  <si>
    <t>coeficiente do item sicro 4011282</t>
  </si>
  <si>
    <t>coeficiente do item CP-96401-52745838</t>
  </si>
  <si>
    <t>coeficiente do item sinapi 94991</t>
  </si>
  <si>
    <t>coeficiente do item sinapi 92268</t>
  </si>
  <si>
    <t xml:space="preserve">1 mes de obra </t>
  </si>
  <si>
    <t>1 mes de obra com 22 dias trabalhados e 1h por dia</t>
  </si>
  <si>
    <t>E0 + 0,00 A E2 + 6,54</t>
  </si>
  <si>
    <t>PROJETO: DEM_PLA_R PASTOS BONS_R00</t>
  </si>
  <si>
    <t>dmt - rua pastos bons - prefeitura sede</t>
  </si>
  <si>
    <t>V = Volume de carga  x DMT (1,90Km)</t>
  </si>
  <si>
    <t>Projeto: TER_ST_MC_NS_R_PASTOS BONS</t>
  </si>
  <si>
    <t>Mapa de Cubação</t>
  </si>
  <si>
    <t>dmt - rua pastos bons - pref sede</t>
  </si>
  <si>
    <t>V = Volume de carga  x DMT (1,9Km)</t>
  </si>
  <si>
    <t>Projeto: GEO_PLA_R PASTOS BONS_R00</t>
  </si>
  <si>
    <t>Volume = Área Regularizada comprimento x largura  x Espessura (0,25 m)</t>
  </si>
  <si>
    <t>DMT - pedreira guarany  - rua pastos bons</t>
  </si>
  <si>
    <t>Volume de Carga X DMT (5,2 Km)</t>
  </si>
  <si>
    <t>Área do Pavimento de CBUQ</t>
  </si>
  <si>
    <t>DMT - Mf engenharia - rua pastos bons</t>
  </si>
  <si>
    <t>Volume de Carga X DMT (16,1 Km)</t>
  </si>
  <si>
    <t>Área dos Passeios em concreto (retirado do quadro de especificações)</t>
  </si>
  <si>
    <t>Recrava (Comprimento retirado do quadro de especificações) - trecho curvo</t>
  </si>
  <si>
    <t>Meio-Fio (Comprimento medido em Planta)</t>
  </si>
  <si>
    <t>Projeto: DRE_PLA_R PASTOS BONS_R00</t>
  </si>
  <si>
    <t>PROF</t>
  </si>
  <si>
    <t>DMT - rua pastos bons - pref sede</t>
  </si>
  <si>
    <t>Carga da Escavação X DMT (1,9Km)</t>
  </si>
  <si>
    <t>1.5.6.12+1.5.6.6+1.5.6.5</t>
  </si>
  <si>
    <t>Projeto: ACS_PLA_R PASTOS BONS_R00</t>
  </si>
  <si>
    <t xml:space="preserve">R-6a : (prdoibido Estacionar) Ø=0,50m </t>
  </si>
  <si>
    <t>1 mes de obra com 22 dias trabalhados e 4h por dia</t>
  </si>
  <si>
    <t>E0 + 4,60 A E2 + 15,04</t>
  </si>
  <si>
    <t>PROJETO: DEM_PLA_R VICÊNCIA</t>
  </si>
  <si>
    <t>dmt - rua vivencia - prefeitura sede</t>
  </si>
  <si>
    <t>V = Volume de carga  x DMT (2,30Km)</t>
  </si>
  <si>
    <t>Projeto: TER_ST_MC_NS_R VICÊNCIA</t>
  </si>
  <si>
    <t>Projeto: GEO_PLA_R VICÊNCIA</t>
  </si>
  <si>
    <t>DMT - pedreira guarny - rua vicencia</t>
  </si>
  <si>
    <t>Volume de Carga X DMT (7,2 Km)</t>
  </si>
  <si>
    <t>DMT - Mf engenharia - rua pastos vicencia</t>
  </si>
  <si>
    <t>Volume de Carga X DMT (16,3 Km)</t>
  </si>
  <si>
    <t xml:space="preserve">Meio-Fio trecho curvo (Comprimento medido em projeto) </t>
  </si>
  <si>
    <t>igual ao meio fio trecho reto</t>
  </si>
  <si>
    <t>igual ao meio fio trecho curvo</t>
  </si>
  <si>
    <t>Projeto: DRE_PLA_DET_R VICÊNCIA</t>
  </si>
  <si>
    <t>BOCA DE LOBO SIMPLES - BLS 1</t>
  </si>
  <si>
    <t>QTD DE BLS 1</t>
  </si>
  <si>
    <t>(Comprimento da BLS (1,40m) + 0,60 m) X (Largura da BLS (1,40 m)) X (Profundidade da BLS (1,4m) X Quantidade de BLS</t>
  </si>
  <si>
    <t>Tubo 600mm</t>
  </si>
  <si>
    <t>DIAMETRO DO TUBO</t>
  </si>
  <si>
    <r>
      <t xml:space="preserve">Tubo de </t>
    </r>
    <r>
      <rPr>
        <sz val="11"/>
        <rFont val="Arial"/>
        <family val="2"/>
      </rPr>
      <t xml:space="preserve">Ø = 600mm = </t>
    </r>
    <r>
      <rPr>
        <i/>
        <sz val="11"/>
        <rFont val="Arial"/>
        <family val="2"/>
      </rPr>
      <t xml:space="preserve">(Diâmetro do tubo (0,60m) + 0,30 m) X (Extensão do tubo no projeto) X Profundidade </t>
    </r>
  </si>
  <si>
    <t>Poço de visita tampão</t>
  </si>
  <si>
    <t>QTD DE PV TAMPÃO</t>
  </si>
  <si>
    <t>(Comprimento do PV (1,50m) + 0,60 m) X (Largura do PV (1,50m)) X Profundidade do PV X Quantidade de PV's</t>
  </si>
  <si>
    <t>Tubo 450mm</t>
  </si>
  <si>
    <r>
      <t xml:space="preserve">Tubo de </t>
    </r>
    <r>
      <rPr>
        <sz val="11"/>
        <rFont val="Arial"/>
        <family val="2"/>
      </rPr>
      <t xml:space="preserve">Ø = 450mm = </t>
    </r>
    <r>
      <rPr>
        <i/>
        <sz val="11"/>
        <rFont val="Arial"/>
        <family val="2"/>
      </rPr>
      <t xml:space="preserve">(Diâmetro do tubo (0,45m) + 0,30 m) X (Extensão do tubo no projeto) X Profundidade </t>
    </r>
  </si>
  <si>
    <t>Volume de Reaterro (Tubo Ø = 450mm) = Volume Escavado - Volume da Tubulação</t>
  </si>
  <si>
    <t>Volume Escavado</t>
  </si>
  <si>
    <t>Desconto do  Volume da Tubulação de Ø = 450mm = Comprimento da Tubulação X Área da Seção do Tubo</t>
  </si>
  <si>
    <t xml:space="preserve">Volume de Reaterro = Volume Escavado - Volume BLS </t>
  </si>
  <si>
    <t>Desconto do  BLS  1 - (Comprimento da BLS (1,40m) m) X (Largura da BLS (1,40m)) X Profundidade da BLS  X Quantidade de BLS</t>
  </si>
  <si>
    <t>Volume de Reaterro (Tubo Ø = 600mm) = Volume Escavado - Volume da Tubulação</t>
  </si>
  <si>
    <t>Desconto do  Volume da Tubulação de Ø = 600mm = Comprimento da Tubulação X Área da Seção do Tubo</t>
  </si>
  <si>
    <t>Volume do PV  - (Comprimento do PV (1,50m)) X (Largura do PV (1,50m)) X Profundidade do PV (1,45m) X Quantidade de PV's</t>
  </si>
  <si>
    <t>VOL DE CARGA</t>
  </si>
  <si>
    <t>V = Volume de carga x DMT (2,30Km)</t>
  </si>
  <si>
    <t>BOCA DE LOBO - BLS 01</t>
  </si>
  <si>
    <t>POÇO DE VISITA</t>
  </si>
  <si>
    <t>QTD DE BLS</t>
  </si>
  <si>
    <t>BLS 1</t>
  </si>
  <si>
    <t>QTD DE PV</t>
  </si>
  <si>
    <t>igual ao item concreto magro</t>
  </si>
  <si>
    <t>De acordo com o quandro de especificações</t>
  </si>
  <si>
    <t>Projeto: ACS_PLA_DET_R VICENCIA</t>
  </si>
  <si>
    <t>Pintura dos triângulos - De acordo com o quadro de especificações</t>
  </si>
  <si>
    <t xml:space="preserve">1 meses de obra </t>
  </si>
  <si>
    <t>1 mes de obra com 22 dias trabalhados e 2h por dia</t>
  </si>
  <si>
    <t xml:space="preserve">2 horas x 22 dias = 44 horas no mês </t>
  </si>
  <si>
    <t>E0 + 3,53 A E2 + 17,41</t>
  </si>
  <si>
    <t>PROJETO:DEM_PLA_R LUIZ GONZAGA</t>
  </si>
  <si>
    <t>Meio fio à demolir (quantidade de acordo com o quadro de especificações)</t>
  </si>
  <si>
    <t>Meio fio - Volume a ser demolido x empolamento</t>
  </si>
  <si>
    <t>dmt - rua luiz gonzaga - prefeitura sede</t>
  </si>
  <si>
    <t>V = Volume de carga  x DMT (9,10Km)</t>
  </si>
  <si>
    <t>Projeto: TER_ST_MC_NS_R LUIZ GONZAGA_R00</t>
  </si>
  <si>
    <t>dmt - rua luiz - prefeitura sede</t>
  </si>
  <si>
    <t>Projeto: GEO_PLA_DET_R LUIZ GONZAGA</t>
  </si>
  <si>
    <t>DMT - pedreira guarany - rua luiz gonzaga</t>
  </si>
  <si>
    <t>Volume de Carga X DMT (14,4 Km)</t>
  </si>
  <si>
    <t>DMT - Mf engenharia - rua luiz gonzaga</t>
  </si>
  <si>
    <t>Volume de Carga X DMT (22,1 Km)</t>
  </si>
  <si>
    <t>Meio-Fio trecho reto (Comprimento retirado do quadro de especificações) - trecho curvo</t>
  </si>
  <si>
    <t>Recrava (Comprimento retirado do quadro de especificações)</t>
  </si>
  <si>
    <t>não teve escavação pq a prof da canaleta é 0,55 e as camadas da base tem 0.55</t>
  </si>
  <si>
    <t>Projeto: DREN_RUA LUIZ GONZAGA</t>
  </si>
  <si>
    <t>7.6.5 + 7.6.6 + 7.6.12</t>
  </si>
  <si>
    <t>Projeto: ACS_PLA_DET_R LUIZ GONZAGA</t>
  </si>
  <si>
    <t xml:space="preserve">3 meses de obra </t>
  </si>
  <si>
    <t>3 meses de obra com 22 dias trabalhados e 1h por dia</t>
  </si>
  <si>
    <t>3 meses de obra com 22 dias trabalhados e 4h por dia</t>
  </si>
  <si>
    <t>E0 + 0,00 A E3 + 2,33</t>
  </si>
  <si>
    <t>E3 +11,83 A E6 + 18,02</t>
  </si>
  <si>
    <t>E7 + 6,22 A E11 + 7,44</t>
  </si>
  <si>
    <t>E11 + 15,48 A E14 + 15,48</t>
  </si>
  <si>
    <t>PROJETO:DEM_PLA_R PLANALTINA</t>
  </si>
  <si>
    <t>dmt - rua planaltina - prefeitura sede</t>
  </si>
  <si>
    <t>V = Volume de carga  x DMT (4,40Km)</t>
  </si>
  <si>
    <t>Projeto: TER_ST_MC_NS_ RUA PLANALTINA</t>
  </si>
  <si>
    <t>V = Volume de carga  x DMT (4,0Km)</t>
  </si>
  <si>
    <t>Projeto: GEO_PLA_DET_R PLANALTINA</t>
  </si>
  <si>
    <t>DMT - pedreira guarany - rua planaltina</t>
  </si>
  <si>
    <t>Volume de Carga X DMT (10 Km)</t>
  </si>
  <si>
    <t>DMT - Mf engenharia - rua planaltina</t>
  </si>
  <si>
    <t xml:space="preserve">Alegrete de jardim (Comprimento medido em projeto) </t>
  </si>
  <si>
    <t>Igual ao meio fio trecho reto (1 lado da via) - trecho curvo</t>
  </si>
  <si>
    <t>Igual ao meio fio trecho curvo (medido em projeto)</t>
  </si>
  <si>
    <t>Projeto: RUA PLANALTINA</t>
  </si>
  <si>
    <t xml:space="preserve">6 meses de obra </t>
  </si>
  <si>
    <t>6 meses de obra com 22 dias trabalhados e 3h por dia</t>
  </si>
  <si>
    <t xml:space="preserve">3 horas x 22 dias = 66 horas no mês </t>
  </si>
  <si>
    <t>E0 + 0,00 A E30 + 14,01</t>
  </si>
  <si>
    <t>PROJETO: DEM_PLA_R_JESUS_DE_NAZARÉ</t>
  </si>
  <si>
    <t>dmt - rua jesus de nazare - prefeitura sede</t>
  </si>
  <si>
    <t>V = Volume de carga  x DMT (20,9Km)</t>
  </si>
  <si>
    <t>Projeto: TER_ST_MC_NS_RUA JESUS DE NAZARÉ_R00</t>
  </si>
  <si>
    <t>Projeto: GEO_PLA_DET_R_JESUS_DE_NAZARÉ</t>
  </si>
  <si>
    <t>ÁREA DE INTERTRAVADO NA COR NATURAL</t>
  </si>
  <si>
    <t>ÁREA DE INTERTRAVADO NA COR VERMELHA</t>
  </si>
  <si>
    <t>Área da Via em Bloco Intertravado na cor natural (De acordo com o quadro de especificações)</t>
  </si>
  <si>
    <t>Área da Via em Bloco Intertravado na cor vermelho (De acordo com o quadro de especificações)</t>
  </si>
  <si>
    <t xml:space="preserve">Meio-Fio trecho reto (Comprimento retirado do quadro de especificações) </t>
  </si>
  <si>
    <t>Projeto: DRE_PLA_DET_R_JESUS_DE_NAZARÉ</t>
  </si>
  <si>
    <t xml:space="preserve">COMPRIMENTO </t>
  </si>
  <si>
    <t>Sarjetão: Comprimento X Largura (0,40m) X Profundidade (0,16-0,08m)</t>
  </si>
  <si>
    <t>profundidade medida em projeto a partir do greide (verde)</t>
  </si>
  <si>
    <t>Sarjetão: Comprimento X Largura (0,40m) X Espessura (0,16-0,08m)</t>
  </si>
  <si>
    <t>Sarjetão - comprimento x largura</t>
  </si>
  <si>
    <t>Sarjetão: Comprimento X Largura X Espessura (0,05m)</t>
  </si>
  <si>
    <t>PERÍMETRO</t>
  </si>
  <si>
    <t>COMP</t>
  </si>
  <si>
    <t>1.9.6.6 + 1.9.6.8 + 1.9.6.14</t>
  </si>
  <si>
    <t>Projeto: ACS_PLA_R_JESUS_DE_NAZARÉ</t>
  </si>
  <si>
    <t>R-1: PARE (L = 0,35 m)</t>
  </si>
  <si>
    <t xml:space="preserve">A-32a: L=0,50m </t>
  </si>
  <si>
    <t>coeficiente do item sinapi 92399</t>
  </si>
  <si>
    <t>2 meses de obra com 22 dias trabalhados e 1h por dia</t>
  </si>
  <si>
    <t>2 meses de obra com 22 dias trabalhados e 4h por dia</t>
  </si>
  <si>
    <t>E0 + 2,19 A E9 +1,56</t>
  </si>
  <si>
    <t>PROJETO: DEM_PLA_DET_RUA TALCI_R00</t>
  </si>
  <si>
    <t>dmt - rua talci - prefeitura sede</t>
  </si>
  <si>
    <t>V = Volume de carga  x DMT (10,90Km)</t>
  </si>
  <si>
    <t>Projeto: TER_ST_MC_NS_R_TALCI_R00</t>
  </si>
  <si>
    <t>V = Volume de carga  x DMT (10,9Km)</t>
  </si>
  <si>
    <t>Projeto: GEO_PLA_DET_RUA TALCI_R00</t>
  </si>
  <si>
    <t>DMT - pedreira guarany - rua talci</t>
  </si>
  <si>
    <t>Volume de Carga X DMT (15,2 Km)</t>
  </si>
  <si>
    <t>DMT - mf engenharia - rua talci</t>
  </si>
  <si>
    <t>Carga  X DMT (6,5Km)</t>
  </si>
  <si>
    <t>Trecho reto - um lado da via (- trecho curvo)</t>
  </si>
  <si>
    <t>Projeto: ACS_PLA_DET_RUA TALCI_R00</t>
  </si>
  <si>
    <t>2 meses de obra com 22 dias trabalhados e 3h por dia</t>
  </si>
  <si>
    <t>E0 + 5,88 A E6 + 2,85</t>
  </si>
  <si>
    <t>PROJETO: DEM_PLA_DET_RUA LEÃO MARINHO_R00</t>
  </si>
  <si>
    <t>dmt - rua leao marinho- prefeitura sede</t>
  </si>
  <si>
    <t>V = Volume de carga  x DMT (5,90Km)</t>
  </si>
  <si>
    <t>Projeto: TER_ST_MC_NS_R_LEÃO MARINHO_R00</t>
  </si>
  <si>
    <t>dmt - rua leao marinho - prefeitura sede</t>
  </si>
  <si>
    <t>V = Volume de carga  x DMT (5,9Km)</t>
  </si>
  <si>
    <t>Projeto: GEO_PLA_DET_RUA LEÃO MARINHO_R00</t>
  </si>
  <si>
    <t>DMT - pedreira guarany - rua leao marinho</t>
  </si>
  <si>
    <t>DMT - mf engenharia - rua leao marinho</t>
  </si>
  <si>
    <t>Carga  X DMT (6,4Km)</t>
  </si>
  <si>
    <t xml:space="preserve">Meio-Fio (Comprimento retirado do quadro de especificações) </t>
  </si>
  <si>
    <t>Projeto: DRE_PLA_DET_RUA LEÃO MARINHO_R00</t>
  </si>
  <si>
    <t>1.11.6.1 + 1.11.6.2 + 1.11.6.8</t>
  </si>
  <si>
    <t>Projeto: ACS_PLA_DET_RUA LEÃO MARINHOI_R00</t>
  </si>
  <si>
    <t>A-45 (rua sem saída) L=0,5</t>
  </si>
  <si>
    <t>E0 + 0,00 A E5 +18,58</t>
  </si>
  <si>
    <t>Projeto: DEM_PLA_DET_RUA DO FOGO_R00</t>
  </si>
  <si>
    <t>dmt - rua do fogo - prefeitura sede</t>
  </si>
  <si>
    <t>V = Volume de carga  x DMT (10,7Km)</t>
  </si>
  <si>
    <t>Projeto: TER_ST_MC_NS_RUA  DO FOGO_R00</t>
  </si>
  <si>
    <t>Projeto: GEO_PLA_DET_RUA DO FOGO_R00</t>
  </si>
  <si>
    <t>DMT - pedreira guarany - rua do fogo</t>
  </si>
  <si>
    <t>Volume de Carga X DMT (12,7 Km)</t>
  </si>
  <si>
    <t>DMT - mf engenharia - rua do fogo</t>
  </si>
  <si>
    <t>Carga  X DMT (22,70Km)</t>
  </si>
  <si>
    <t>Trecho reto - um lado da via (area do quadro / 0,3) - trecho curvo</t>
  </si>
  <si>
    <t>Projeto: DRE_PLA_DET_RUA DO FOGO</t>
  </si>
  <si>
    <t>Canaleta 0,60 x 0,50 m: Comprimento da Canaleta X (Largura da Canaleta (1,00m) + 0,60m) X Profundidade da Canaleta</t>
  </si>
  <si>
    <t>profundidade medida a partir do greide (verde)</t>
  </si>
  <si>
    <t>Canaleta 0,60m X 0,50m</t>
  </si>
  <si>
    <t>1.14.6.5 + 1.14.6.6 + 1.14.6.12</t>
  </si>
  <si>
    <t>Projeto: ACES_RUA DO FOGO</t>
  </si>
  <si>
    <t xml:space="preserve">R-6b: Ø=0,50m </t>
  </si>
  <si>
    <t>E0 + 0,00 A E15 + 12,86</t>
  </si>
  <si>
    <t>Projeto: TER_ST_MC_NS_R ONZE</t>
  </si>
  <si>
    <t>dmt - rua 11 - prefeitura sede</t>
  </si>
  <si>
    <t>V = Volume de carga  x DMT (9,9Km)</t>
  </si>
  <si>
    <t>Projeto: GEO_PLA_DET_RUA 11_R00</t>
  </si>
  <si>
    <t>Área Regularizada = Extensão da via x (Largura média da via + 0,5m)</t>
  </si>
  <si>
    <t>DMT - pedreira guarany - rua 11</t>
  </si>
  <si>
    <t>Volume de Carga X DMT (12,3 Km)</t>
  </si>
  <si>
    <t>DESCONTO CANALETA</t>
  </si>
  <si>
    <t>DMT - mf engenharia - rua 11</t>
  </si>
  <si>
    <t>Trecho reto (área retirada do quadro / 0,3) - trecho curvo</t>
  </si>
  <si>
    <t>Projeto: DRE_PLA_DET_RUA 11_R00</t>
  </si>
  <si>
    <t>1,15.6.5 + 1.15.6.6 + 1.15.6.12</t>
  </si>
  <si>
    <t>Projeto: ACS_PLA_DET_RUA 11_R00</t>
  </si>
  <si>
    <t>E0 +2,53 A E4 + 1,01</t>
  </si>
  <si>
    <t>E4 + 9,18 A E7 + 18,23</t>
  </si>
  <si>
    <t>E8 + 5,01 A E11 + 9,96</t>
  </si>
  <si>
    <t>Projeto: DEM_PLA_R PETROLÂNDIA_R00</t>
  </si>
  <si>
    <t>Arvore a ser retirada (quantidade de acordo com o quadro de especificações)</t>
  </si>
  <si>
    <t>ÁREA DO CIRCULO</t>
  </si>
  <si>
    <t>dmt - rua PETROLANDIA - prefeitura sede</t>
  </si>
  <si>
    <t>V = Volume de carga  x DMT (4,00Km)</t>
  </si>
  <si>
    <t>Projeto: TER_ST_MC_NS_RUA PETROLÂNDIA_R00</t>
  </si>
  <si>
    <t>dmt - rua petrolandia - prefeitura sede</t>
  </si>
  <si>
    <t>V = Volume de carga  x DMT (4 Km)</t>
  </si>
  <si>
    <t>Projeto: GEO_PLA_DET_R PETROLÂNDIA_R00.</t>
  </si>
  <si>
    <t>DMT - pedreira guarany - rua petrolandia</t>
  </si>
  <si>
    <t>Volume de Carga X DMT (10,7 Km)</t>
  </si>
  <si>
    <t>DMT - mf engenharia - rua petrolandia</t>
  </si>
  <si>
    <t>Carga  X DMT (17,10Km)</t>
  </si>
  <si>
    <t>Trecho reto - comprimento retirado do quadro / 0,3 retirando o trecho curvo</t>
  </si>
  <si>
    <t>não coloquei escavação. Pq a altura pra escavar seria 0,4 e as camadas do pavimento tem 0,4</t>
  </si>
  <si>
    <t>Projeto: DRE_PLA_R_PETROLANDIA_REV01</t>
  </si>
  <si>
    <t>1.17.6.1 + 1.17.6.2 + 1.17.6.8</t>
  </si>
  <si>
    <t>Projeto: ACS_PLA_DET_R PETROLÂNDIA_R00</t>
  </si>
  <si>
    <t>12 meses de obra com 22 dias trabalhados e 2h por dia</t>
  </si>
  <si>
    <t>12 meses de obra com 22 dias trabalhados e 4h por dia</t>
  </si>
  <si>
    <t>E0 + 3,57 A E59 + 8,35</t>
  </si>
  <si>
    <t>Projeto: DEM_PLA_R CATANDUVA_R00</t>
  </si>
  <si>
    <t>dmt - rua catanduva - prefeitura sede</t>
  </si>
  <si>
    <t>V = Volume de carga  x DMT (11,80Km)</t>
  </si>
  <si>
    <t>Projeto: TER_ST_MC_NS_RUA CATANDUVA_R00</t>
  </si>
  <si>
    <t>V = Volume de carga  x DMT (11,80 Km)</t>
  </si>
  <si>
    <t>Projeto: GEO_PLA_DET_RUA CATANDUVA</t>
  </si>
  <si>
    <t>Volume = Área Regularizada comprimento x largura  x Espessura (0,50 m)</t>
  </si>
  <si>
    <t>DMT - pedreira guarany - rua catanduva</t>
  </si>
  <si>
    <t>Volume de Carga X DMT (12 Km)</t>
  </si>
  <si>
    <t>DMT - mf engenharia - rua catanduva</t>
  </si>
  <si>
    <t>Carga  X DMT (22,50Km)</t>
  </si>
  <si>
    <t>Trecho reto (área levantada em projeto / 0,3) retirando o curvo</t>
  </si>
  <si>
    <t xml:space="preserve">Trecho curvo - 1 lado da vida(Comprimento medido em projeto) </t>
  </si>
  <si>
    <t>Projeto: DRE_PLA_DET_RUA CATANDUVA</t>
  </si>
  <si>
    <t>Canaleta 0,8 m: Comprimento da Canaleta X (Largura da Canaleta (1,00m) + 0,60m) X Profundidade da Canaleta</t>
  </si>
  <si>
    <t>prof medida em projeto = (1,55+0,55+1,3)/3</t>
  </si>
  <si>
    <t>DMT - rua catanduva - pref sede</t>
  </si>
  <si>
    <t>Carga da Escavação X DMT (11,8Km)</t>
  </si>
  <si>
    <t>Canaleta 0,8 m</t>
  </si>
  <si>
    <t>Perímetro da Tampa (1,20m) X Espessura (0,15m) X Comprimento da canaleta</t>
  </si>
  <si>
    <t>Extensão canaleta x Altura da Alvenaria (media das alturas) x 2 lados</t>
  </si>
  <si>
    <t>1.22.6.5 + 1.22.6.6 + 1.22.6.12</t>
  </si>
  <si>
    <t>Projeto: ACS_PLA_DET_R CATANDUVA_R00</t>
  </si>
  <si>
    <t>E22 + 7,05 A E26 + 2,35</t>
  </si>
  <si>
    <t>E26 + 19,08 A E73 + 8,39</t>
  </si>
  <si>
    <t>Projeto: DEM_PLA_R_JORN.HERCILIO CELSO</t>
  </si>
  <si>
    <t>dmt - rua jornalista hercilio celso - prefeitura sede</t>
  </si>
  <si>
    <t>V = Volume de carga  x DMT (6,70Km)</t>
  </si>
  <si>
    <t>Projeto: TER_ST_MC_NS_R JORN. HERCILIO CELSO_R00</t>
  </si>
  <si>
    <t>Projeto: GEO_PLA_DET_RUA JORN. HERCILIO CELSO_R00</t>
  </si>
  <si>
    <t>Área de fresagem (De acordo com o quadro de especificações)</t>
  </si>
  <si>
    <t>Volume de fresagem (área x espessura)</t>
  </si>
  <si>
    <t>Paralelo a ser recapeado (De acordo com o quadro de especificações)</t>
  </si>
  <si>
    <t>área de fresagem (De acordo com o quadro de especificações)</t>
  </si>
  <si>
    <t>pavimento em cbuq (De acordo com o quadro de especificações)</t>
  </si>
  <si>
    <t>desconto da canaleta</t>
  </si>
  <si>
    <t>Paralelo a ser recapeado X Espessura (0,05m)</t>
  </si>
  <si>
    <t>área de fresagem X Espessura (0,05m)</t>
  </si>
  <si>
    <t>pavimento em cbuq x espessura  (0,05m)</t>
  </si>
  <si>
    <t>Igual ao volume do CBUQ</t>
  </si>
  <si>
    <t>TRANSPORTE DO CBUQ</t>
  </si>
  <si>
    <t>V = Volume de carga  x DMT (19,60Km)</t>
  </si>
  <si>
    <t>DMT - pedreira guarany - rua jornalista hercilio celso</t>
  </si>
  <si>
    <t>Volume de Carga X DMT (13,3 Km)</t>
  </si>
  <si>
    <t xml:space="preserve">Trecho reto (Comprimento medido em projeto)  </t>
  </si>
  <si>
    <t xml:space="preserve">Trecho reto no final do trecho curvo (Comprimento medido em projeto)  </t>
  </si>
  <si>
    <t xml:space="preserve">Trecho curvo  (Comprimento medido em projeto)  </t>
  </si>
  <si>
    <t>Projeto: DRE_PLA_DET_RUA JORN. HERCILIO CELSO_R00</t>
  </si>
  <si>
    <t>profundidade medida pelo greide (verde)</t>
  </si>
  <si>
    <t>Canaleta 1,00 x 0,80 m: Comprimento da Canaleta X (Largura da Canaleta (1,00m) + 0,60m) X Profundidade da Canaleta</t>
  </si>
  <si>
    <t>considerei a altura da boca de lobo</t>
  </si>
  <si>
    <t>descontei 0,45 do pavimento pq passa no cbuq</t>
  </si>
  <si>
    <t>igual ao item 1.13.6.9</t>
  </si>
  <si>
    <t>igual ao item 1.13.6.20</t>
  </si>
  <si>
    <t>Perímetro da Tampa (4,8m) X Espessura (0,15m) X Comprimento da canaleta</t>
  </si>
  <si>
    <t>Extensão canaleta x Altura da Alvenaria (0,80m) x 2 lados</t>
  </si>
  <si>
    <t>Projeto: ACS_PLA_R J ORNALISTA_R00</t>
  </si>
  <si>
    <t>A-18 -  L=0,50m :Lombada</t>
  </si>
  <si>
    <t>3 meses de obra com 22 dias trabalhados e 2h por dia</t>
  </si>
  <si>
    <t>E10 + 6,79 A E15 + 4,47</t>
  </si>
  <si>
    <t>Projeto: DEM_PLA_R J N DA CUNHA</t>
  </si>
  <si>
    <t>Meio-fio(quantidade de acordo com o quadro de especificações)</t>
  </si>
  <si>
    <t>LAGURA</t>
  </si>
  <si>
    <t>dmt - rua jose nunes da cunha - prefeitura sede</t>
  </si>
  <si>
    <t>V = Volume de carga  x DMT (4,80Km)</t>
  </si>
  <si>
    <t>Projeto: GEO_PLA_DET_R J N DA CUNHA</t>
  </si>
  <si>
    <t>TRANSPORTE DO CBUQ - mf engenharia - rua jose nunes da cunha</t>
  </si>
  <si>
    <t>V = Volume de carga  x DMT (17,80Km)</t>
  </si>
  <si>
    <t>DMT - pedreira guarany - rua jose nunes da cunha</t>
  </si>
  <si>
    <t>Volume de Carga X DMT (11,4 Km)</t>
  </si>
  <si>
    <t xml:space="preserve">Trecho reto (Comprimento medido em projeto) - igual ao meio feio </t>
  </si>
  <si>
    <t xml:space="preserve">Trecho curvo (Comprimento medido em projeto) - igual ao meio feio </t>
  </si>
  <si>
    <t xml:space="preserve">A-32b: Passagem de pedestre faixa elevada L=0,50m </t>
  </si>
  <si>
    <t xml:space="preserve">R-6a: (proibido estacionar) Ø=0,50m </t>
  </si>
  <si>
    <t>A18 - L = 0,50m</t>
  </si>
  <si>
    <t>Complementar - 0,65 x 0,25</t>
  </si>
  <si>
    <t>10 meses de obra com 22 dias trabalhados e 1h por dia</t>
  </si>
  <si>
    <t>10 meses de obra com 22 dias trabalhados e 4h por dia</t>
  </si>
  <si>
    <t>E0 + 0,00 A E12 + 14,31</t>
  </si>
  <si>
    <t>E13 + 0,44 A E23 + 6,91</t>
  </si>
  <si>
    <t>E23 + 6,93 + E49 + 4,46</t>
  </si>
  <si>
    <t>Projeto: TER_ST_MC_NS_R PARAGOMINAS</t>
  </si>
  <si>
    <t>dmt - rua paragominas - prefeitura sede</t>
  </si>
  <si>
    <t>V = Volume de carga  x DMT (8,3Km)</t>
  </si>
  <si>
    <t>Projeto: GEO_PLA_R PARAGOMINAS_R00</t>
  </si>
  <si>
    <t>Projeto: GEO_PLA_R PARAGOMINAS_R01</t>
  </si>
  <si>
    <t>DMT - pedreira guarany - rua paragominas</t>
  </si>
  <si>
    <t>Volume de Carga X DMT (8,4 Km)</t>
  </si>
  <si>
    <t>dmt - mf engenharia - rua paragominas</t>
  </si>
  <si>
    <t>V = Volume de carga  x DMT (18,9Km)</t>
  </si>
  <si>
    <t>desconto saída dágua</t>
  </si>
  <si>
    <t>empolamento</t>
  </si>
  <si>
    <t>DMT obra</t>
  </si>
  <si>
    <t>Lastro de concreto magro x DMT obra</t>
  </si>
  <si>
    <t>V = Comprimento do muro x área da seção</t>
  </si>
  <si>
    <t>MURO (h = 1,1 m)</t>
  </si>
  <si>
    <t>V = Comprimento do muro x largura x espessura do lastro</t>
  </si>
  <si>
    <t>De acordo com a quantidade em projeto</t>
  </si>
  <si>
    <t>Projeto: DRE_PLA_R PARAGOMINAS_R00</t>
  </si>
  <si>
    <t>profundidade igual a da canaleta</t>
  </si>
  <si>
    <t>1.27.7.5 + 1.27.7.6 + 1.3.6.12</t>
  </si>
  <si>
    <t>De acordo com o quadro de quantidade</t>
  </si>
  <si>
    <t>Projeto: ACS_PLA_R PARAGOMINAS_R00</t>
  </si>
  <si>
    <t>4 meses de obra com 22 dias trabalhados e 1h por dia</t>
  </si>
  <si>
    <t>Projeto: CICLOVIA_Flat</t>
  </si>
  <si>
    <t>R-1:PARE</t>
  </si>
  <si>
    <t xml:space="preserve">R-34: (bicicleta) Ø=0,50m </t>
  </si>
  <si>
    <t xml:space="preserve">A-30b - L=0,50m </t>
  </si>
  <si>
    <t xml:space="preserve">R-19: (velocidade) Ø=0,50m </t>
  </si>
  <si>
    <t>De acordo com o quadro de quantidade (DIVIDIDO POR 2,5)</t>
  </si>
  <si>
    <t>MAPA DE COTAÇÕES - CADASTRO DE FORNECEDORES</t>
  </si>
  <si>
    <t>Fornecedor</t>
  </si>
  <si>
    <t>Razão Social</t>
  </si>
  <si>
    <t>CNPJ</t>
  </si>
  <si>
    <t>Nome do Contato:</t>
  </si>
  <si>
    <t>Telefone 1</t>
  </si>
  <si>
    <t>Telefone 2</t>
  </si>
  <si>
    <t>Email/Website</t>
  </si>
  <si>
    <t>F.01</t>
  </si>
  <si>
    <t>TERPAV ENGENHARIA LTDA</t>
  </si>
  <si>
    <t>19.993.011/0001-48</t>
  </si>
  <si>
    <t>Fernando Odilon</t>
  </si>
  <si>
    <t>(81) 9.8501-4732</t>
  </si>
  <si>
    <t>F.02</t>
  </si>
  <si>
    <t>BRASILAR COMÉRCIO, INDÚSTRIA E SERVIÇOS DE CONSTRUÇÃO LTDA</t>
  </si>
  <si>
    <t>02.173.244/0001-00</t>
  </si>
  <si>
    <t>(81) 3429-2902</t>
  </si>
  <si>
    <t>F.03</t>
  </si>
  <si>
    <t>SÓPEDRA TRANSPORTE COMÉRCIO E CONSTRUÇÃO LTDA</t>
  </si>
  <si>
    <t>07.305.450/0001-31</t>
  </si>
  <si>
    <t>(81) 9.9961-1833</t>
  </si>
  <si>
    <t>sopedralima@hotmail.com</t>
  </si>
  <si>
    <t>MAPA DE COTAÇÕES - PREÇOS</t>
  </si>
  <si>
    <t>MENOR</t>
  </si>
  <si>
    <t>Fornecedores</t>
  </si>
  <si>
    <t>Fornecedor A</t>
  </si>
  <si>
    <t>Fornecedor B</t>
  </si>
  <si>
    <t>Fornecedor C</t>
  </si>
  <si>
    <t>COTAÇÃO 01</t>
  </si>
  <si>
    <t>PARALELEPÍPEDO GRANÍTICO OU BASÁLTICO, PARA PAVIMENTAÇÃO</t>
  </si>
  <si>
    <t>MIL</t>
  </si>
  <si>
    <t>Razão Social:</t>
  </si>
  <si>
    <t>CNPJ:</t>
  </si>
  <si>
    <t>Data do Contato:</t>
  </si>
  <si>
    <t>30/02/2019</t>
  </si>
  <si>
    <t>29/02/2019</t>
  </si>
  <si>
    <t>Telefone:</t>
  </si>
  <si>
    <t>Preço Produto:</t>
  </si>
  <si>
    <t xml:space="preserve">Frete </t>
  </si>
  <si>
    <t>Preço total:</t>
  </si>
  <si>
    <t>Litoral banheiros quimicos</t>
  </si>
  <si>
    <t>11.761.604/0001-77</t>
  </si>
  <si>
    <t xml:space="preserve">(81) 99812-5679 </t>
  </si>
  <si>
    <t xml:space="preserve"> (81) 3083-1372    </t>
  </si>
  <si>
    <t xml:space="preserve">litoralbanheirosquimicos@gmail.com </t>
  </si>
  <si>
    <t>LIMPEX</t>
  </si>
  <si>
    <t xml:space="preserve">Brisa Luanna </t>
  </si>
  <si>
    <t>(81) 3251-0850</t>
  </si>
  <si>
    <t>contato@limpexsolucoesambientais.com.br</t>
  </si>
  <si>
    <t>BW LOCAÇÕES</t>
  </si>
  <si>
    <t>03.609.5070001-35</t>
  </si>
  <si>
    <t>Luiz Bezerra</t>
  </si>
  <si>
    <t>(81) 3339-1469</t>
  </si>
  <si>
    <t>(81) 3339-0354</t>
  </si>
  <si>
    <t>bwlocacoes@gmail.com</t>
  </si>
  <si>
    <t>COTAÇÃO 1</t>
  </si>
  <si>
    <t>Limpex</t>
  </si>
  <si>
    <t>11.356.463/0001-07</t>
  </si>
  <si>
    <t>IANA</t>
  </si>
  <si>
    <t>81 - 3251-0850</t>
  </si>
  <si>
    <t>Frete e limpeza incluso</t>
  </si>
  <si>
    <t>SBC - RECIFE - JULHO/22</t>
  </si>
  <si>
    <t>EMOPE - JUNHO/22</t>
  </si>
  <si>
    <t>ANP -JUNHO/22</t>
  </si>
  <si>
    <t>CODIGO - I000089</t>
  </si>
  <si>
    <t>CODIGO - 14603</t>
  </si>
  <si>
    <t>Contato:</t>
  </si>
  <si>
    <t>Frete:</t>
  </si>
  <si>
    <t>Preço Total:</t>
  </si>
  <si>
    <t>MEGA MINERAÇÃO</t>
  </si>
  <si>
    <t>PEDREIRA GUARANY</t>
  </si>
  <si>
    <t>POLIMIX AGREGADOS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</si>
</sst>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0000000"/>
    <numFmt numFmtId="165" formatCode="#,##0.0000"/>
    <numFmt numFmtId="166" formatCode="#,##0.00%"/>
    <numFmt numFmtId="167" formatCode="#,##0.00\'\ %\'"/>
    <numFmt numFmtId="168" formatCode="_(* #,##0.00_);_(* \(#,##0.00\);_(* &quot;-&quot;??_);_(@_)"/>
    <numFmt numFmtId="169" formatCode="_(* #,##0.000_);_(* \(#,##0.000\);_(* &quot;-&quot;??_);_(@_)"/>
    <numFmt numFmtId="170" formatCode="[$R$-416]&quot; &quot;#,##0.00;[Red]&quot;-&quot;[$R$-416]&quot; &quot;#,##0.00"/>
  </numFmts>
  <fonts count="51">
    <font>
      <sz val="11"/>
      <color theme="1"/>
      <name val="Calibri"/>
      <family val="2"/>
      <scheme val="minor"/>
    </font>
    <font>
      <b/>
      <sz val="6"/>
      <color rgb="FF000000"/>
      <name val="Arial"/>
      <family val="2"/>
    </font>
    <font>
      <sz val="6"/>
      <color rgb="FF000000"/>
      <name val="Arial"/>
      <family val="2"/>
    </font>
    <font>
      <b/>
      <sz val="5"/>
      <color rgb="FF000000"/>
      <name val="Arial"/>
      <family val="2"/>
    </font>
    <font>
      <sz val="9"/>
      <color rgb="FF000000"/>
      <name val="SansSerif"/>
      <family val="2"/>
    </font>
    <font>
      <b/>
      <sz val="7"/>
      <color rgb="FF000000"/>
      <name val="Arial"/>
      <family val="2"/>
    </font>
    <font>
      <sz val="6"/>
      <color rgb="FF000000"/>
      <name val="SansSerif"/>
      <family val="2"/>
    </font>
    <font>
      <sz val="5"/>
      <color rgb="FF000000"/>
      <name val="Arial"/>
      <family val="2"/>
    </font>
    <font>
      <sz val="7"/>
      <color rgb="FF000000"/>
      <name val="Arial"/>
      <family val="2"/>
    </font>
    <font>
      <sz val="7"/>
      <color rgb="FF000000"/>
      <name val="SansSerif"/>
      <family val="2"/>
    </font>
    <font>
      <b/>
      <sz val="9"/>
      <color rgb="FF000000"/>
      <name val="Arial"/>
      <family val="2"/>
    </font>
    <font>
      <sz val="11"/>
      <color theme="1"/>
      <name val="Calibri"/>
      <family val="2"/>
      <scheme val="minor"/>
    </font>
    <font>
      <sz val="10"/>
      <name val="Arial"/>
      <family val="2"/>
    </font>
    <font>
      <b/>
      <sz val="11"/>
      <name val="Arial"/>
      <family val="2"/>
    </font>
    <font>
      <sz val="11"/>
      <name val="Arial"/>
      <family val="2"/>
    </font>
    <font>
      <b/>
      <sz val="11"/>
      <color rgb="FF000000"/>
      <name val="Arial"/>
      <family val="2"/>
    </font>
    <font>
      <sz val="9"/>
      <color rgb="FF000000"/>
      <name val="Arial"/>
      <family val="2"/>
    </font>
    <font>
      <sz val="11"/>
      <color rgb="FF000000"/>
      <name val="Arial"/>
      <family val="2"/>
    </font>
    <font>
      <b/>
      <sz val="10"/>
      <color rgb="FF000000"/>
      <name val="Arial"/>
      <family val="2"/>
    </font>
    <font>
      <sz val="10"/>
      <color rgb="FF000000"/>
      <name val="Arial"/>
      <family val="2"/>
    </font>
    <font>
      <sz val="10"/>
      <color theme="1"/>
      <name val="Calibri"/>
      <family val="2"/>
      <scheme val="minor"/>
    </font>
    <font>
      <sz val="9"/>
      <color theme="1"/>
      <name val="Calibri"/>
      <family val="2"/>
      <scheme val="minor"/>
    </font>
    <font>
      <b/>
      <sz val="9"/>
      <color rgb="FF000000"/>
      <name val="SansSerif"/>
      <family val="2"/>
    </font>
    <font>
      <sz val="8"/>
      <color theme="1"/>
      <name val="Calibri"/>
      <family val="2"/>
      <scheme val="minor"/>
    </font>
    <font>
      <b/>
      <sz val="8"/>
      <color rgb="FF000000"/>
      <name val="Arial"/>
      <family val="2"/>
    </font>
    <font>
      <sz val="8"/>
      <color rgb="FF000000"/>
      <name val="Arial"/>
      <family val="2"/>
    </font>
    <font>
      <b/>
      <sz val="10"/>
      <name val="Arial"/>
      <family val="2"/>
    </font>
    <font>
      <sz val="10"/>
      <color theme="0" tint="-0.249977111117893"/>
      <name val="Calibri"/>
      <family val="2"/>
      <scheme val="minor"/>
    </font>
    <font>
      <b/>
      <sz val="10"/>
      <color theme="0" tint="-0.249977111117893"/>
      <name val="Arial"/>
      <family val="2"/>
    </font>
    <font>
      <b/>
      <sz val="10"/>
      <color theme="1"/>
      <name val="Arial"/>
      <family val="2"/>
    </font>
    <font>
      <sz val="10"/>
      <color theme="1"/>
      <name val="Arial"/>
      <family val="2"/>
    </font>
    <font>
      <i/>
      <sz val="10"/>
      <color rgb="FF000000"/>
      <name val="Arial"/>
      <family val="2"/>
    </font>
    <font>
      <i/>
      <sz val="11"/>
      <name val="Arial"/>
      <family val="2"/>
    </font>
    <font>
      <b/>
      <i/>
      <sz val="10"/>
      <name val="Arial"/>
      <family val="2"/>
    </font>
    <font>
      <i/>
      <sz val="10"/>
      <name val="Arial"/>
      <family val="2"/>
    </font>
    <font>
      <sz val="11"/>
      <name val="Times New Roman"/>
      <family val="1"/>
    </font>
    <font>
      <sz val="11"/>
      <color theme="1"/>
      <name val="Arial"/>
      <family val="2"/>
    </font>
    <font>
      <sz val="11"/>
      <color rgb="FF212529"/>
      <name val="Source Sans Pro"/>
      <family val="2"/>
    </font>
    <font>
      <sz val="10"/>
      <color rgb="FFFF0000"/>
      <name val="Calibri"/>
      <family val="2"/>
      <scheme val="minor"/>
    </font>
    <font>
      <sz val="9"/>
      <name val="Arial"/>
      <family val="2"/>
    </font>
    <font>
      <b/>
      <sz val="9"/>
      <name val="Arial"/>
      <family val="2"/>
    </font>
    <font>
      <u/>
      <sz val="11"/>
      <color theme="10"/>
      <name val="Calibri"/>
      <family val="2"/>
      <scheme val="minor"/>
    </font>
    <font>
      <sz val="12"/>
      <name val="Times New Roman"/>
      <family val="1"/>
    </font>
    <font>
      <b/>
      <sz val="12"/>
      <name val="Times New Roman"/>
      <family val="1"/>
    </font>
    <font>
      <sz val="11"/>
      <color rgb="FF000000"/>
      <name val="Calibri"/>
      <family val="2"/>
      <scheme val="minor"/>
    </font>
    <font>
      <sz val="12"/>
      <color theme="1"/>
      <name val="Arial"/>
      <family val="2"/>
    </font>
    <font>
      <sz val="12"/>
      <name val="Arial"/>
      <family val="2"/>
    </font>
    <font>
      <sz val="11"/>
      <color rgb="FF000000"/>
      <name val="Calibri"/>
      <family val="2"/>
    </font>
    <font>
      <sz val="12"/>
      <color theme="1"/>
      <name val="Times New Roman"/>
      <family val="1"/>
    </font>
    <font>
      <u/>
      <sz val="10"/>
      <color theme="10"/>
      <name val="Arial"/>
      <family val="2"/>
    </font>
    <font>
      <sz val="11"/>
      <color rgb="FF555555"/>
      <name val="Helvetica"/>
      <family val="2"/>
    </font>
  </fonts>
  <fills count="61">
    <fill>
      <patternFill patternType="none"/>
    </fill>
    <fill>
      <patternFill patternType="gray125"/>
    </fill>
    <fill>
      <patternFill patternType="none"/>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FFFFF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solid">
        <fgColor rgb="FFCCCCCC"/>
      </patternFill>
    </fill>
    <fill>
      <patternFill patternType="none"/>
    </fill>
    <fill>
      <patternFill patternType="none"/>
    </fill>
    <fill>
      <patternFill patternType="solid">
        <fgColor rgb="FFC0C0C0"/>
      </patternFill>
    </fill>
    <fill>
      <patternFill patternType="solid">
        <fgColor rgb="FFC0C0C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solid">
        <fgColor rgb="FFDFDFDF"/>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34998626667073579"/>
        <bgColor indexed="8"/>
      </patternFill>
    </fill>
  </fills>
  <borders count="3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rgb="FF000000"/>
      </left>
      <right style="thin">
        <color rgb="FF000000"/>
      </right>
      <top/>
      <bottom/>
      <diagonal/>
    </border>
    <border>
      <left/>
      <right style="thin">
        <color indexed="64"/>
      </right>
      <top/>
      <bottom style="thin">
        <color indexed="64"/>
      </bottom>
      <diagonal/>
    </border>
    <border>
      <left/>
      <right style="thin">
        <color auto="1"/>
      </right>
      <top style="thin">
        <color auto="1"/>
      </top>
      <bottom/>
      <diagonal/>
    </border>
    <border>
      <left/>
      <right style="thin">
        <color rgb="FF000000"/>
      </right>
      <top/>
      <bottom/>
      <diagonal/>
    </border>
  </borders>
  <cellStyleXfs count="28">
    <xf numFmtId="0" fontId="0" fillId="0" borderId="0"/>
    <xf numFmtId="9" fontId="11" fillId="0" borderId="0" applyFont="0" applyFill="0" applyBorder="0" applyAlignment="0" applyProtection="0"/>
    <xf numFmtId="0" fontId="11" fillId="54" borderId="1"/>
    <xf numFmtId="0" fontId="12" fillId="54" borderId="1"/>
    <xf numFmtId="0" fontId="12" fillId="54" borderId="1"/>
    <xf numFmtId="0" fontId="11" fillId="54" borderId="1"/>
    <xf numFmtId="9" fontId="11" fillId="54" borderId="1" applyFont="0" applyFill="0" applyBorder="0" applyAlignment="0" applyProtection="0"/>
    <xf numFmtId="0" fontId="11" fillId="54" borderId="1"/>
    <xf numFmtId="0" fontId="11" fillId="54" borderId="1"/>
    <xf numFmtId="0" fontId="11" fillId="54" borderId="1"/>
    <xf numFmtId="168" fontId="12" fillId="54" borderId="1" applyFont="0" applyFill="0" applyBorder="0" applyAlignment="0" applyProtection="0"/>
    <xf numFmtId="0" fontId="11" fillId="54" borderId="1"/>
    <xf numFmtId="0" fontId="12" fillId="54" borderId="1"/>
    <xf numFmtId="168" fontId="12" fillId="54" borderId="1" applyFont="0" applyFill="0" applyBorder="0" applyAlignment="0" applyProtection="0"/>
    <xf numFmtId="0" fontId="11" fillId="54" borderId="1"/>
    <xf numFmtId="43" fontId="11" fillId="54" borderId="1" applyFont="0" applyFill="0" applyBorder="0" applyAlignment="0" applyProtection="0"/>
    <xf numFmtId="9" fontId="12" fillId="54" borderId="1" applyFont="0" applyFill="0" applyBorder="0" applyAlignment="0" applyProtection="0"/>
    <xf numFmtId="9" fontId="12" fillId="54" borderId="1" applyFont="0" applyFill="0" applyBorder="0" applyAlignment="0" applyProtection="0"/>
    <xf numFmtId="0" fontId="12" fillId="54" borderId="1"/>
    <xf numFmtId="0" fontId="12" fillId="54" borderId="1"/>
    <xf numFmtId="0" fontId="11" fillId="54" borderId="1"/>
    <xf numFmtId="0" fontId="44" fillId="54" borderId="1"/>
    <xf numFmtId="0" fontId="49" fillId="54" borderId="1" applyNumberFormat="0" applyFill="0" applyBorder="0" applyAlignment="0" applyProtection="0"/>
    <xf numFmtId="170" fontId="17" fillId="54" borderId="1"/>
    <xf numFmtId="0" fontId="12" fillId="54" borderId="1"/>
    <xf numFmtId="0" fontId="12" fillId="54" borderId="1"/>
    <xf numFmtId="0" fontId="41" fillId="54" borderId="1" applyNumberFormat="0" applyFill="0" applyBorder="0" applyAlignment="0" applyProtection="0"/>
    <xf numFmtId="0" fontId="44" fillId="54" borderId="1"/>
  </cellStyleXfs>
  <cellXfs count="650">
    <xf numFmtId="0" fontId="0" fillId="0" borderId="0" xfId="0"/>
    <xf numFmtId="0" fontId="0" fillId="9" borderId="0" xfId="0" applyFill="1" applyAlignment="1" applyProtection="1">
      <alignment wrapText="1"/>
      <protection locked="0"/>
    </xf>
    <xf numFmtId="0" fontId="5" fillId="46" borderId="2" xfId="0" applyFont="1" applyFill="1" applyBorder="1" applyAlignment="1">
      <alignment horizontal="center" vertical="center" wrapText="1"/>
    </xf>
    <xf numFmtId="0" fontId="5" fillId="47" borderId="2" xfId="0" applyFont="1" applyFill="1" applyBorder="1" applyAlignment="1">
      <alignment horizontal="left" vertical="top" wrapText="1"/>
    </xf>
    <xf numFmtId="0" fontId="8" fillId="48" borderId="2" xfId="0" applyFont="1" applyFill="1" applyBorder="1" applyAlignment="1">
      <alignment horizontal="center" vertical="top" wrapText="1"/>
    </xf>
    <xf numFmtId="0" fontId="8" fillId="49" borderId="2" xfId="0" applyFont="1" applyFill="1" applyBorder="1" applyAlignment="1">
      <alignment horizontal="left" vertical="top" wrapText="1"/>
    </xf>
    <xf numFmtId="4" fontId="8" fillId="50" borderId="2" xfId="0" applyNumberFormat="1" applyFont="1" applyFill="1" applyBorder="1" applyAlignment="1">
      <alignment horizontal="right" vertical="top" wrapText="1"/>
    </xf>
    <xf numFmtId="0" fontId="5" fillId="51" borderId="2" xfId="0" applyFont="1" applyFill="1" applyBorder="1" applyAlignment="1">
      <alignment horizontal="right" vertical="center" wrapText="1"/>
    </xf>
    <xf numFmtId="4" fontId="5" fillId="52" borderId="2" xfId="0" applyNumberFormat="1" applyFont="1" applyFill="1" applyBorder="1" applyAlignment="1">
      <alignment horizontal="right" vertical="top" wrapText="1"/>
    </xf>
    <xf numFmtId="0" fontId="5" fillId="53" borderId="2" xfId="0" applyFont="1" applyFill="1" applyBorder="1" applyAlignment="1">
      <alignment horizontal="center" vertical="top" wrapText="1"/>
    </xf>
    <xf numFmtId="0" fontId="11" fillId="54" borderId="1" xfId="2" applyAlignment="1" applyProtection="1">
      <alignment wrapText="1"/>
      <protection locked="0"/>
    </xf>
    <xf numFmtId="0" fontId="11" fillId="54" borderId="1" xfId="2"/>
    <xf numFmtId="0" fontId="13" fillId="54" borderId="16" xfId="4" applyFont="1" applyBorder="1" applyAlignment="1">
      <alignment horizontal="left" vertical="top"/>
    </xf>
    <xf numFmtId="0" fontId="13" fillId="54" borderId="16" xfId="4" applyFont="1" applyBorder="1" applyAlignment="1">
      <alignment horizontal="left" vertical="center"/>
    </xf>
    <xf numFmtId="0" fontId="15" fillId="39" borderId="4" xfId="5" applyFont="1" applyFill="1" applyBorder="1" applyAlignment="1">
      <alignment horizontal="center" vertical="center" wrapText="1"/>
    </xf>
    <xf numFmtId="0" fontId="15" fillId="39" borderId="4" xfId="5" applyFont="1" applyFill="1" applyBorder="1" applyAlignment="1">
      <alignment horizontal="left" vertical="center" wrapText="1"/>
    </xf>
    <xf numFmtId="0" fontId="16" fillId="43" borderId="16" xfId="2" applyFont="1" applyFill="1" applyBorder="1" applyAlignment="1">
      <alignment horizontal="center" vertical="top" wrapText="1"/>
    </xf>
    <xf numFmtId="0" fontId="16" fillId="43" borderId="16" xfId="2" applyFont="1" applyFill="1" applyBorder="1" applyAlignment="1">
      <alignment horizontal="left" vertical="top" wrapText="1"/>
    </xf>
    <xf numFmtId="4" fontId="16" fillId="43" borderId="16" xfId="2" applyNumberFormat="1" applyFont="1" applyFill="1" applyBorder="1" applyAlignment="1">
      <alignment horizontal="right" vertical="top" wrapText="1"/>
    </xf>
    <xf numFmtId="10" fontId="17" fillId="43" borderId="16" xfId="6" applyNumberFormat="1" applyFont="1" applyFill="1" applyBorder="1" applyAlignment="1" applyProtection="1">
      <alignment horizontal="center" vertical="top" wrapText="1"/>
    </xf>
    <xf numFmtId="0" fontId="14" fillId="43" borderId="16" xfId="5" applyFont="1" applyFill="1" applyBorder="1" applyAlignment="1">
      <alignment horizontal="center" vertical="top" wrapText="1"/>
    </xf>
    <xf numFmtId="0" fontId="11" fillId="54" borderId="1" xfId="7"/>
    <xf numFmtId="0" fontId="1" fillId="39" borderId="4" xfId="2" applyFont="1" applyFill="1" applyBorder="1" applyAlignment="1">
      <alignment horizontal="center" vertical="center" wrapText="1"/>
    </xf>
    <xf numFmtId="0" fontId="1" fillId="39" borderId="4" xfId="2" applyFont="1" applyFill="1" applyBorder="1" applyAlignment="1">
      <alignment horizontal="left" vertical="center" wrapText="1"/>
    </xf>
    <xf numFmtId="0" fontId="2" fillId="43" borderId="16" xfId="2" applyFont="1" applyFill="1" applyBorder="1" applyAlignment="1">
      <alignment horizontal="center" vertical="top" wrapText="1"/>
    </xf>
    <xf numFmtId="0" fontId="2" fillId="43" borderId="16" xfId="2" applyFont="1" applyFill="1" applyBorder="1" applyAlignment="1">
      <alignment horizontal="left" vertical="top" wrapText="1"/>
    </xf>
    <xf numFmtId="4" fontId="2" fillId="43" borderId="16" xfId="2" applyNumberFormat="1" applyFont="1" applyFill="1" applyBorder="1" applyAlignment="1">
      <alignment horizontal="right" vertical="top" wrapText="1"/>
    </xf>
    <xf numFmtId="10" fontId="2" fillId="43" borderId="16" xfId="1" applyNumberFormat="1" applyFont="1" applyFill="1" applyBorder="1" applyAlignment="1">
      <alignment horizontal="center" vertical="top" wrapText="1"/>
    </xf>
    <xf numFmtId="0" fontId="18" fillId="12" borderId="1" xfId="0" applyFont="1" applyFill="1" applyBorder="1" applyAlignment="1">
      <alignment horizontal="left" vertical="center" wrapText="1"/>
    </xf>
    <xf numFmtId="4" fontId="18" fillId="13" borderId="1" xfId="0" applyNumberFormat="1" applyFont="1" applyFill="1" applyBorder="1" applyAlignment="1">
      <alignment horizontal="right" vertical="center" wrapText="1"/>
    </xf>
    <xf numFmtId="0" fontId="19" fillId="14" borderId="1" xfId="0" applyFont="1" applyFill="1" applyBorder="1" applyAlignment="1">
      <alignment horizontal="left" vertical="center" wrapText="1"/>
    </xf>
    <xf numFmtId="4" fontId="19" fillId="15" borderId="1" xfId="0" applyNumberFormat="1" applyFont="1" applyFill="1" applyBorder="1" applyAlignment="1">
      <alignment horizontal="right" vertical="center" wrapText="1"/>
    </xf>
    <xf numFmtId="0" fontId="20" fillId="9" borderId="0" xfId="0" applyFont="1" applyFill="1" applyAlignment="1" applyProtection="1">
      <alignment wrapText="1"/>
      <protection locked="0"/>
    </xf>
    <xf numFmtId="0" fontId="18" fillId="16" borderId="1" xfId="0" applyFont="1" applyFill="1" applyBorder="1" applyAlignment="1">
      <alignment horizontal="right" vertical="center" wrapText="1"/>
    </xf>
    <xf numFmtId="0" fontId="21" fillId="2" borderId="1" xfId="0" applyFont="1" applyFill="1" applyBorder="1" applyAlignment="1" applyProtection="1">
      <alignment wrapText="1"/>
      <protection locked="0"/>
    </xf>
    <xf numFmtId="0" fontId="21" fillId="0" borderId="0" xfId="0" applyFont="1"/>
    <xf numFmtId="0" fontId="10" fillId="3" borderId="2" xfId="0" applyFont="1" applyFill="1" applyBorder="1" applyAlignment="1">
      <alignment horizontal="center" vertical="center" wrapText="1"/>
    </xf>
    <xf numFmtId="0" fontId="10" fillId="4" borderId="2" xfId="0" applyFont="1" applyFill="1" applyBorder="1" applyAlignment="1">
      <alignment horizontal="left" vertical="center" wrapText="1"/>
    </xf>
    <xf numFmtId="4" fontId="10" fillId="5" borderId="2" xfId="0" applyNumberFormat="1" applyFont="1" applyFill="1" applyBorder="1" applyAlignment="1">
      <alignment horizontal="right" vertical="center" wrapText="1"/>
    </xf>
    <xf numFmtId="0" fontId="16" fillId="6" borderId="2" xfId="0" applyFont="1" applyFill="1" applyBorder="1" applyAlignment="1">
      <alignment horizontal="left" vertical="center" wrapText="1"/>
    </xf>
    <xf numFmtId="0" fontId="16" fillId="7" borderId="2" xfId="0" applyFont="1" applyFill="1" applyBorder="1" applyAlignment="1">
      <alignment horizontal="center" vertical="center" wrapText="1"/>
    </xf>
    <xf numFmtId="4" fontId="16" fillId="8" borderId="2" xfId="0" applyNumberFormat="1" applyFont="1" applyFill="1" applyBorder="1" applyAlignment="1">
      <alignment horizontal="right" vertical="center" wrapText="1"/>
    </xf>
    <xf numFmtId="0" fontId="21" fillId="9" borderId="0" xfId="0" applyFont="1" applyFill="1" applyAlignment="1" applyProtection="1">
      <alignment wrapText="1"/>
      <protection locked="0"/>
    </xf>
    <xf numFmtId="0" fontId="10" fillId="20" borderId="2" xfId="0" applyFont="1" applyFill="1" applyBorder="1" applyAlignment="1">
      <alignment horizontal="center" vertical="center" wrapText="1"/>
    </xf>
    <xf numFmtId="0" fontId="4" fillId="21" borderId="2" xfId="0" applyFont="1" applyFill="1" applyBorder="1" applyAlignment="1">
      <alignment horizontal="center" vertical="top" wrapText="1"/>
    </xf>
    <xf numFmtId="164" fontId="4" fillId="23" borderId="2" xfId="0" applyNumberFormat="1" applyFont="1" applyFill="1" applyBorder="1" applyAlignment="1">
      <alignment horizontal="right" vertical="top" wrapText="1"/>
    </xf>
    <xf numFmtId="4" fontId="4" fillId="24" borderId="2" xfId="0" applyNumberFormat="1" applyFont="1" applyFill="1" applyBorder="1" applyAlignment="1">
      <alignment horizontal="right" vertical="top" wrapText="1"/>
    </xf>
    <xf numFmtId="4" fontId="22" fillId="26" borderId="2" xfId="0" applyNumberFormat="1" applyFont="1" applyFill="1" applyBorder="1" applyAlignment="1">
      <alignment horizontal="right" vertical="top" wrapText="1"/>
    </xf>
    <xf numFmtId="164" fontId="16" fillId="31" borderId="2" xfId="0" applyNumberFormat="1" applyFont="1" applyFill="1" applyBorder="1" applyAlignment="1">
      <alignment horizontal="center" vertical="center" wrapText="1"/>
    </xf>
    <xf numFmtId="165" fontId="16" fillId="32" borderId="2" xfId="0" applyNumberFormat="1" applyFont="1" applyFill="1" applyBorder="1" applyAlignment="1">
      <alignment horizontal="center" vertical="center" wrapText="1"/>
    </xf>
    <xf numFmtId="165" fontId="16" fillId="33" borderId="2" xfId="0" applyNumberFormat="1" applyFont="1" applyFill="1" applyBorder="1" applyAlignment="1">
      <alignment horizontal="right" vertical="center" wrapText="1"/>
    </xf>
    <xf numFmtId="165" fontId="10" fillId="34" borderId="2" xfId="0" applyNumberFormat="1" applyFont="1" applyFill="1" applyBorder="1" applyAlignment="1">
      <alignment horizontal="right" vertical="center" wrapText="1"/>
    </xf>
    <xf numFmtId="0" fontId="23" fillId="0" borderId="0" xfId="0" applyFont="1"/>
    <xf numFmtId="0" fontId="23" fillId="9" borderId="0" xfId="0" applyFont="1" applyFill="1" applyAlignment="1" applyProtection="1">
      <alignment wrapText="1"/>
      <protection locked="0"/>
    </xf>
    <xf numFmtId="0" fontId="24" fillId="38" borderId="2" xfId="0" applyFont="1" applyFill="1" applyBorder="1" applyAlignment="1">
      <alignment horizontal="center" vertical="center" wrapText="1"/>
    </xf>
    <xf numFmtId="0" fontId="24" fillId="39" borderId="2" xfId="0" applyFont="1" applyFill="1" applyBorder="1" applyAlignment="1">
      <alignment horizontal="left" vertical="center" wrapText="1"/>
    </xf>
    <xf numFmtId="0" fontId="25" fillId="40" borderId="1" xfId="0" applyFont="1" applyFill="1" applyBorder="1" applyAlignment="1">
      <alignment horizontal="center" vertical="top" wrapText="1"/>
    </xf>
    <xf numFmtId="0" fontId="25" fillId="41" borderId="1" xfId="0" applyFont="1" applyFill="1" applyBorder="1" applyAlignment="1">
      <alignment horizontal="left" vertical="top" wrapText="1"/>
    </xf>
    <xf numFmtId="4" fontId="25" fillId="42" borderId="1" xfId="0" applyNumberFormat="1" applyFont="1" applyFill="1" applyBorder="1" applyAlignment="1">
      <alignment horizontal="right" vertical="top" wrapText="1"/>
    </xf>
    <xf numFmtId="4" fontId="25" fillId="43" borderId="1" xfId="0" applyNumberFormat="1" applyFont="1" applyFill="1" applyBorder="1" applyAlignment="1">
      <alignment horizontal="center" vertical="top" wrapText="1"/>
    </xf>
    <xf numFmtId="0" fontId="11" fillId="54" borderId="1" xfId="8" applyAlignment="1" applyProtection="1">
      <alignment wrapText="1"/>
      <protection locked="0"/>
    </xf>
    <xf numFmtId="0" fontId="11" fillId="54" borderId="1" xfId="8"/>
    <xf numFmtId="0" fontId="4" fillId="45" borderId="2" xfId="8" applyFont="1" applyFill="1" applyBorder="1" applyAlignment="1">
      <alignment horizontal="center" vertical="center" wrapText="1"/>
    </xf>
    <xf numFmtId="0" fontId="9" fillId="45" borderId="2" xfId="8" applyFont="1" applyFill="1" applyBorder="1" applyAlignment="1">
      <alignment horizontal="center" vertical="center" wrapText="1"/>
    </xf>
    <xf numFmtId="166" fontId="7" fillId="54" borderId="4" xfId="8" applyNumberFormat="1" applyFont="1" applyBorder="1" applyAlignment="1">
      <alignment horizontal="right" vertical="center" wrapText="1"/>
    </xf>
    <xf numFmtId="167" fontId="3" fillId="54" borderId="4" xfId="8" applyNumberFormat="1" applyFont="1" applyBorder="1" applyAlignment="1">
      <alignment horizontal="right" vertical="center" wrapText="1"/>
    </xf>
    <xf numFmtId="4" fontId="8" fillId="45" borderId="2" xfId="8" applyNumberFormat="1" applyFont="1" applyFill="1" applyBorder="1" applyAlignment="1">
      <alignment horizontal="right" vertical="center" wrapText="1"/>
    </xf>
    <xf numFmtId="4" fontId="5" fillId="54" borderId="2" xfId="8" applyNumberFormat="1" applyFont="1" applyBorder="1" applyAlignment="1">
      <alignment horizontal="right" vertical="center" wrapText="1"/>
    </xf>
    <xf numFmtId="0" fontId="11" fillId="54" borderId="4" xfId="8" applyBorder="1" applyAlignment="1" applyProtection="1">
      <alignment wrapText="1"/>
      <protection locked="0"/>
    </xf>
    <xf numFmtId="0" fontId="11" fillId="54" borderId="7" xfId="8" applyBorder="1" applyAlignment="1" applyProtection="1">
      <alignment wrapText="1"/>
      <protection locked="0"/>
    </xf>
    <xf numFmtId="0" fontId="11" fillId="54" borderId="3" xfId="8" applyBorder="1" applyAlignment="1" applyProtection="1">
      <alignment wrapText="1"/>
      <protection locked="0"/>
    </xf>
    <xf numFmtId="0" fontId="11" fillId="54" borderId="6" xfId="8" applyBorder="1" applyAlignment="1" applyProtection="1">
      <alignment wrapText="1"/>
      <protection locked="0"/>
    </xf>
    <xf numFmtId="0" fontId="11" fillId="54" borderId="8" xfId="8" applyBorder="1" applyAlignment="1" applyProtection="1">
      <alignment wrapText="1"/>
      <protection locked="0"/>
    </xf>
    <xf numFmtId="0" fontId="11" fillId="54" borderId="9" xfId="8" applyBorder="1" applyAlignment="1" applyProtection="1">
      <alignment wrapText="1"/>
      <protection locked="0"/>
    </xf>
    <xf numFmtId="0" fontId="11" fillId="45" borderId="3" xfId="8" applyFill="1" applyBorder="1" applyAlignment="1" applyProtection="1">
      <alignment wrapText="1"/>
      <protection locked="0"/>
    </xf>
    <xf numFmtId="0" fontId="11" fillId="45" borderId="10" xfId="8" applyFill="1" applyBorder="1" applyAlignment="1" applyProtection="1">
      <alignment wrapText="1"/>
      <protection locked="0"/>
    </xf>
    <xf numFmtId="4" fontId="8" fillId="45" borderId="4" xfId="8" applyNumberFormat="1" applyFont="1" applyFill="1" applyBorder="1" applyAlignment="1">
      <alignment horizontal="right" vertical="center" wrapText="1"/>
    </xf>
    <xf numFmtId="0" fontId="11" fillId="45" borderId="8" xfId="8" applyFill="1" applyBorder="1" applyAlignment="1" applyProtection="1">
      <alignment wrapText="1"/>
      <protection locked="0"/>
    </xf>
    <xf numFmtId="0" fontId="11" fillId="45" borderId="12" xfId="8" applyFill="1" applyBorder="1" applyAlignment="1" applyProtection="1">
      <alignment wrapText="1"/>
      <protection locked="0"/>
    </xf>
    <xf numFmtId="0" fontId="26" fillId="54" borderId="1" xfId="3" applyFont="1" applyAlignment="1">
      <alignment vertical="center" wrapText="1"/>
    </xf>
    <xf numFmtId="0" fontId="26" fillId="54" borderId="1" xfId="3" applyFont="1" applyAlignment="1">
      <alignment horizontal="center" vertical="center" wrapText="1"/>
    </xf>
    <xf numFmtId="0" fontId="27" fillId="54" borderId="1" xfId="9" applyFont="1"/>
    <xf numFmtId="0" fontId="20" fillId="54" borderId="1" xfId="9" applyFont="1"/>
    <xf numFmtId="0" fontId="28" fillId="54" borderId="1" xfId="3" applyFont="1" applyAlignment="1">
      <alignment vertical="center" wrapText="1"/>
    </xf>
    <xf numFmtId="0" fontId="28" fillId="54" borderId="1" xfId="3" applyFont="1" applyAlignment="1">
      <alignment horizontal="center" vertical="center" wrapText="1"/>
    </xf>
    <xf numFmtId="0" fontId="28" fillId="57" borderId="1" xfId="3" applyFont="1" applyFill="1" applyAlignment="1">
      <alignment vertical="center" wrapText="1"/>
    </xf>
    <xf numFmtId="0" fontId="28" fillId="57" borderId="1" xfId="3" applyFont="1" applyFill="1" applyAlignment="1">
      <alignment horizontal="center" vertical="center" wrapText="1"/>
    </xf>
    <xf numFmtId="0" fontId="29" fillId="55" borderId="16" xfId="3" applyFont="1" applyFill="1" applyBorder="1" applyAlignment="1">
      <alignment horizontal="right" vertical="top" wrapText="1"/>
    </xf>
    <xf numFmtId="0" fontId="18" fillId="54" borderId="4" xfId="9" applyFont="1" applyBorder="1" applyAlignment="1">
      <alignment horizontal="center" vertical="top" wrapText="1"/>
    </xf>
    <xf numFmtId="0" fontId="18" fillId="54" borderId="4" xfId="9" applyFont="1" applyBorder="1" applyAlignment="1">
      <alignment horizontal="center" vertical="center" wrapText="1"/>
    </xf>
    <xf numFmtId="0" fontId="29" fillId="54" borderId="4" xfId="9" applyFont="1" applyBorder="1" applyAlignment="1">
      <alignment horizontal="right" vertical="top" wrapText="1"/>
    </xf>
    <xf numFmtId="0" fontId="27" fillId="54" borderId="1" xfId="9" applyFont="1" applyAlignment="1">
      <alignment horizontal="center"/>
    </xf>
    <xf numFmtId="0" fontId="20" fillId="54" borderId="1" xfId="9" applyFont="1" applyAlignment="1">
      <alignment horizontal="center"/>
    </xf>
    <xf numFmtId="0" fontId="26" fillId="58" borderId="16" xfId="3" applyFont="1" applyFill="1" applyBorder="1" applyAlignment="1">
      <alignment horizontal="center" vertical="center"/>
    </xf>
    <xf numFmtId="0" fontId="26" fillId="59" borderId="16" xfId="9" applyFont="1" applyFill="1" applyBorder="1" applyAlignment="1">
      <alignment horizontal="center"/>
    </xf>
    <xf numFmtId="0" fontId="26" fillId="59" borderId="17" xfId="9" applyFont="1" applyFill="1" applyBorder="1" applyAlignment="1">
      <alignment horizontal="left"/>
    </xf>
    <xf numFmtId="0" fontId="26" fillId="59" borderId="16" xfId="9" applyFont="1" applyFill="1" applyBorder="1" applyAlignment="1">
      <alignment horizontal="center" wrapText="1"/>
    </xf>
    <xf numFmtId="0" fontId="26" fillId="59" borderId="18" xfId="9" applyFont="1" applyFill="1" applyBorder="1" applyAlignment="1">
      <alignment horizontal="center" wrapText="1"/>
    </xf>
    <xf numFmtId="0" fontId="26" fillId="59" borderId="18" xfId="9" applyFont="1" applyFill="1" applyBorder="1" applyAlignment="1">
      <alignment wrapText="1"/>
    </xf>
    <xf numFmtId="0" fontId="26" fillId="59" borderId="18" xfId="9" applyFont="1" applyFill="1" applyBorder="1" applyAlignment="1">
      <alignment horizontal="right" wrapText="1"/>
    </xf>
    <xf numFmtId="0" fontId="26" fillId="59" borderId="19" xfId="9" applyFont="1" applyFill="1" applyBorder="1" applyAlignment="1">
      <alignment horizontal="right" wrapText="1"/>
    </xf>
    <xf numFmtId="0" fontId="30" fillId="59" borderId="16" xfId="3" applyFont="1" applyFill="1" applyBorder="1" applyAlignment="1">
      <alignment horizontal="right" vertical="center"/>
    </xf>
    <xf numFmtId="0" fontId="26" fillId="54" borderId="16" xfId="3" applyFont="1" applyBorder="1" applyAlignment="1">
      <alignment horizontal="center" vertical="center"/>
    </xf>
    <xf numFmtId="0" fontId="29" fillId="54" borderId="17" xfId="9" applyFont="1" applyBorder="1" applyAlignment="1">
      <alignment horizontal="center" vertical="center" wrapText="1"/>
    </xf>
    <xf numFmtId="0" fontId="26" fillId="54" borderId="16" xfId="9" applyFont="1" applyBorder="1" applyAlignment="1">
      <alignment vertical="center" wrapText="1"/>
    </xf>
    <xf numFmtId="0" fontId="26" fillId="54" borderId="16" xfId="9" applyFont="1" applyBorder="1" applyAlignment="1">
      <alignment horizontal="center" vertical="center" wrapText="1"/>
    </xf>
    <xf numFmtId="0" fontId="12" fillId="54" borderId="16" xfId="9" applyFont="1" applyBorder="1" applyAlignment="1">
      <alignment horizontal="right" vertical="center" wrapText="1"/>
    </xf>
    <xf numFmtId="4" fontId="29" fillId="54" borderId="2" xfId="9" applyNumberFormat="1" applyFont="1" applyBorder="1" applyAlignment="1">
      <alignment horizontal="right" wrapText="1"/>
    </xf>
    <xf numFmtId="0" fontId="29" fillId="54" borderId="16" xfId="9" applyFont="1" applyBorder="1" applyAlignment="1">
      <alignment horizontal="center" vertical="center" wrapText="1"/>
    </xf>
    <xf numFmtId="0" fontId="26" fillId="54" borderId="1" xfId="9" applyFont="1" applyAlignment="1">
      <alignment horizontal="center" vertical="center" wrapText="1"/>
    </xf>
    <xf numFmtId="0" fontId="26" fillId="54" borderId="1" xfId="9" applyFont="1" applyAlignment="1">
      <alignment vertical="center" wrapText="1"/>
    </xf>
    <xf numFmtId="0" fontId="26" fillId="54" borderId="16" xfId="9" applyFont="1" applyBorder="1" applyAlignment="1">
      <alignment horizontal="right" vertical="center" wrapText="1"/>
    </xf>
    <xf numFmtId="0" fontId="30" fillId="54" borderId="25" xfId="9" applyFont="1" applyBorder="1" applyAlignment="1">
      <alignment horizontal="center" vertical="center"/>
    </xf>
    <xf numFmtId="0" fontId="31" fillId="54" borderId="7" xfId="9" applyFont="1" applyBorder="1" applyAlignment="1">
      <alignment horizontal="right" vertical="top" wrapText="1"/>
    </xf>
    <xf numFmtId="0" fontId="19" fillId="54" borderId="2" xfId="9" applyFont="1" applyBorder="1" applyAlignment="1">
      <alignment horizontal="center" vertical="top" wrapText="1"/>
    </xf>
    <xf numFmtId="4" fontId="19" fillId="54" borderId="2" xfId="9" applyNumberFormat="1" applyFont="1" applyBorder="1" applyAlignment="1">
      <alignment horizontal="right" wrapText="1"/>
    </xf>
    <xf numFmtId="4" fontId="12" fillId="54" borderId="16" xfId="10" applyNumberFormat="1" applyFont="1" applyFill="1" applyBorder="1" applyAlignment="1">
      <alignment horizontal="right"/>
    </xf>
    <xf numFmtId="0" fontId="26" fillId="54" borderId="16" xfId="11" applyFont="1" applyBorder="1" applyAlignment="1">
      <alignment horizontal="right" vertical="top" wrapText="1"/>
    </xf>
    <xf numFmtId="4" fontId="30" fillId="54" borderId="2" xfId="9" applyNumberFormat="1" applyFont="1" applyBorder="1" applyAlignment="1">
      <alignment horizontal="right" wrapText="1"/>
    </xf>
    <xf numFmtId="0" fontId="26" fillId="54" borderId="17" xfId="3" applyFont="1" applyBorder="1" applyAlignment="1">
      <alignment horizontal="center" vertical="center"/>
    </xf>
    <xf numFmtId="0" fontId="26" fillId="54" borderId="18" xfId="3" applyFont="1" applyBorder="1" applyAlignment="1">
      <alignment horizontal="center" vertical="center"/>
    </xf>
    <xf numFmtId="0" fontId="26" fillId="54" borderId="19" xfId="3" applyFont="1" applyBorder="1" applyAlignment="1">
      <alignment horizontal="center" vertical="center"/>
    </xf>
    <xf numFmtId="4" fontId="29" fillId="54" borderId="16" xfId="9" applyNumberFormat="1" applyFont="1" applyBorder="1" applyAlignment="1">
      <alignment horizontal="right" wrapText="1"/>
    </xf>
    <xf numFmtId="0" fontId="30" fillId="54" borderId="16" xfId="9" applyFont="1" applyBorder="1" applyAlignment="1">
      <alignment horizontal="center" vertical="center"/>
    </xf>
    <xf numFmtId="0" fontId="31" fillId="54" borderId="16" xfId="9" applyFont="1" applyBorder="1" applyAlignment="1">
      <alignment horizontal="right" vertical="top" wrapText="1"/>
    </xf>
    <xf numFmtId="0" fontId="19" fillId="54" borderId="16" xfId="9" applyFont="1" applyBorder="1" applyAlignment="1">
      <alignment horizontal="center" vertical="top" wrapText="1"/>
    </xf>
    <xf numFmtId="4" fontId="19" fillId="54" borderId="16" xfId="9" applyNumberFormat="1" applyFont="1" applyBorder="1" applyAlignment="1">
      <alignment horizontal="right" wrapText="1"/>
    </xf>
    <xf numFmtId="2" fontId="12" fillId="54" borderId="16" xfId="11" applyNumberFormat="1" applyFont="1" applyBorder="1" applyAlignment="1">
      <alignment horizontal="right" vertical="top" wrapText="1"/>
    </xf>
    <xf numFmtId="4" fontId="30" fillId="54" borderId="16" xfId="9" applyNumberFormat="1" applyFont="1" applyBorder="1" applyAlignment="1">
      <alignment horizontal="right" wrapText="1"/>
    </xf>
    <xf numFmtId="0" fontId="26" fillId="59" borderId="16" xfId="9" applyFont="1" applyFill="1" applyBorder="1" applyAlignment="1">
      <alignment wrapText="1"/>
    </xf>
    <xf numFmtId="0" fontId="26" fillId="59" borderId="16" xfId="9" applyFont="1" applyFill="1" applyBorder="1" applyAlignment="1">
      <alignment horizontal="right" wrapText="1"/>
    </xf>
    <xf numFmtId="0" fontId="30" fillId="59" borderId="16" xfId="3" applyFont="1" applyFill="1" applyBorder="1" applyAlignment="1">
      <alignment horizontal="right"/>
    </xf>
    <xf numFmtId="0" fontId="29" fillId="54" borderId="16" xfId="9" applyFont="1" applyBorder="1" applyAlignment="1">
      <alignment horizontal="center" vertical="center"/>
    </xf>
    <xf numFmtId="0" fontId="26" fillId="54" borderId="16" xfId="9" applyFont="1" applyBorder="1" applyAlignment="1">
      <alignment vertical="top" wrapText="1"/>
    </xf>
    <xf numFmtId="0" fontId="26" fillId="54" borderId="16" xfId="9" applyFont="1" applyBorder="1" applyAlignment="1">
      <alignment horizontal="right" vertical="top" wrapText="1"/>
    </xf>
    <xf numFmtId="0" fontId="32" fillId="54" borderId="16" xfId="12" applyFont="1" applyBorder="1" applyAlignment="1">
      <alignment horizontal="right" vertical="top" wrapText="1"/>
    </xf>
    <xf numFmtId="4" fontId="12" fillId="54" borderId="16" xfId="12" applyNumberFormat="1" applyBorder="1" applyAlignment="1">
      <alignment horizontal="right" wrapText="1"/>
    </xf>
    <xf numFmtId="0" fontId="30" fillId="54" borderId="16" xfId="9" applyFont="1" applyBorder="1" applyAlignment="1">
      <alignment horizontal="center"/>
    </xf>
    <xf numFmtId="0" fontId="30" fillId="54" borderId="16" xfId="9" applyFont="1" applyBorder="1"/>
    <xf numFmtId="39" fontId="12" fillId="54" borderId="16" xfId="3" applyNumberFormat="1" applyBorder="1" applyAlignment="1">
      <alignment horizontal="center" vertical="center"/>
    </xf>
    <xf numFmtId="4" fontId="30" fillId="54" borderId="1" xfId="9" applyNumberFormat="1" applyFont="1" applyAlignment="1">
      <alignment horizontal="right" wrapText="1"/>
    </xf>
    <xf numFmtId="0" fontId="12" fillId="54" borderId="16" xfId="11" applyFont="1" applyBorder="1" applyAlignment="1">
      <alignment horizontal="center" vertical="top" wrapText="1"/>
    </xf>
    <xf numFmtId="2" fontId="12" fillId="54" borderId="16" xfId="11" applyNumberFormat="1" applyFont="1" applyBorder="1" applyAlignment="1">
      <alignment horizontal="center" vertical="top" wrapText="1"/>
    </xf>
    <xf numFmtId="0" fontId="12" fillId="54" borderId="16" xfId="11" applyFont="1" applyBorder="1" applyAlignment="1">
      <alignment horizontal="right" vertical="top" wrapText="1"/>
    </xf>
    <xf numFmtId="169" fontId="30" fillId="55" borderId="16" xfId="13" applyNumberFormat="1" applyFont="1" applyFill="1" applyBorder="1" applyAlignment="1">
      <alignment horizontal="right" vertical="center"/>
    </xf>
    <xf numFmtId="0" fontId="29" fillId="57" borderId="16" xfId="9" applyFont="1" applyFill="1" applyBorder="1" applyAlignment="1">
      <alignment horizontal="center" vertical="center"/>
    </xf>
    <xf numFmtId="0" fontId="29" fillId="57" borderId="17" xfId="9" applyFont="1" applyFill="1" applyBorder="1" applyAlignment="1">
      <alignment horizontal="center" vertical="center" wrapText="1"/>
    </xf>
    <xf numFmtId="0" fontId="26" fillId="57" borderId="16" xfId="9" applyFont="1" applyFill="1" applyBorder="1" applyAlignment="1">
      <alignment vertical="center" wrapText="1"/>
    </xf>
    <xf numFmtId="0" fontId="26" fillId="57" borderId="16" xfId="9" applyFont="1" applyFill="1" applyBorder="1" applyAlignment="1">
      <alignment horizontal="center" vertical="center" wrapText="1"/>
    </xf>
    <xf numFmtId="0" fontId="26" fillId="57" borderId="26" xfId="9" applyFont="1" applyFill="1" applyBorder="1" applyAlignment="1">
      <alignment horizontal="right" vertical="center" wrapText="1"/>
    </xf>
    <xf numFmtId="4" fontId="29" fillId="57" borderId="16" xfId="9" applyNumberFormat="1" applyFont="1" applyFill="1" applyBorder="1" applyAlignment="1">
      <alignment horizontal="right" wrapText="1"/>
    </xf>
    <xf numFmtId="0" fontId="29" fillId="57" borderId="26" xfId="9" applyFont="1" applyFill="1" applyBorder="1" applyAlignment="1">
      <alignment horizontal="center" vertical="center"/>
    </xf>
    <xf numFmtId="0" fontId="29" fillId="57" borderId="20" xfId="9" applyFont="1" applyFill="1" applyBorder="1" applyAlignment="1">
      <alignment horizontal="center" vertical="center" wrapText="1"/>
    </xf>
    <xf numFmtId="0" fontId="30" fillId="57" borderId="26" xfId="9" applyFont="1" applyFill="1" applyBorder="1" applyAlignment="1">
      <alignment horizontal="center" vertical="center"/>
    </xf>
    <xf numFmtId="0" fontId="30" fillId="57" borderId="20" xfId="9" applyFont="1" applyFill="1" applyBorder="1" applyAlignment="1">
      <alignment horizontal="center" vertical="center"/>
    </xf>
    <xf numFmtId="0" fontId="12" fillId="57" borderId="16" xfId="12" applyFill="1" applyBorder="1" applyAlignment="1">
      <alignment horizontal="left" vertical="top" wrapText="1"/>
    </xf>
    <xf numFmtId="0" fontId="12" fillId="57" borderId="16" xfId="12" applyFill="1" applyBorder="1" applyAlignment="1">
      <alignment horizontal="center" vertical="top"/>
    </xf>
    <xf numFmtId="4" fontId="12" fillId="57" borderId="16" xfId="10" applyNumberFormat="1" applyFont="1" applyFill="1" applyBorder="1" applyAlignment="1">
      <alignment horizontal="right"/>
    </xf>
    <xf numFmtId="4" fontId="30" fillId="57" borderId="16" xfId="9" applyNumberFormat="1" applyFont="1" applyFill="1" applyBorder="1" applyAlignment="1">
      <alignment horizontal="right" wrapText="1"/>
    </xf>
    <xf numFmtId="0" fontId="12" fillId="57" borderId="16" xfId="9" applyFont="1" applyFill="1" applyBorder="1" applyAlignment="1">
      <alignment vertical="center" wrapText="1"/>
    </xf>
    <xf numFmtId="0" fontId="26" fillId="57" borderId="16" xfId="9" applyFont="1" applyFill="1" applyBorder="1" applyAlignment="1">
      <alignment horizontal="right" vertical="center" wrapText="1"/>
    </xf>
    <xf numFmtId="0" fontId="12" fillId="57" borderId="16" xfId="9" applyFont="1" applyFill="1" applyBorder="1" applyAlignment="1">
      <alignment horizontal="right" vertical="center" wrapText="1"/>
    </xf>
    <xf numFmtId="0" fontId="12" fillId="57" borderId="26" xfId="9" applyFont="1" applyFill="1" applyBorder="1" applyAlignment="1">
      <alignment vertical="center" wrapText="1"/>
    </xf>
    <xf numFmtId="0" fontId="12" fillId="54" borderId="16" xfId="3" applyBorder="1" applyAlignment="1">
      <alignment horizontal="center" vertical="center"/>
    </xf>
    <xf numFmtId="0" fontId="26" fillId="54" borderId="26" xfId="3" applyFont="1" applyBorder="1" applyAlignment="1">
      <alignment horizontal="center" vertical="center"/>
    </xf>
    <xf numFmtId="0" fontId="12" fillId="54" borderId="16" xfId="9" applyFont="1" applyBorder="1" applyAlignment="1">
      <alignment vertical="center" wrapText="1"/>
    </xf>
    <xf numFmtId="0" fontId="26" fillId="57" borderId="26" xfId="9" applyFont="1" applyFill="1" applyBorder="1" applyAlignment="1">
      <alignment horizontal="center" vertical="center" wrapText="1"/>
    </xf>
    <xf numFmtId="4" fontId="12" fillId="57" borderId="16" xfId="9" applyNumberFormat="1" applyFont="1" applyFill="1" applyBorder="1" applyAlignment="1">
      <alignment horizontal="right" vertical="center" wrapText="1"/>
    </xf>
    <xf numFmtId="0" fontId="26" fillId="57" borderId="26" xfId="9" applyFont="1" applyFill="1" applyBorder="1" applyAlignment="1">
      <alignment vertical="center" wrapText="1"/>
    </xf>
    <xf numFmtId="0" fontId="12" fillId="57" borderId="26" xfId="9" applyFont="1" applyFill="1" applyBorder="1" applyAlignment="1">
      <alignment horizontal="right" vertical="center" wrapText="1"/>
    </xf>
    <xf numFmtId="4" fontId="12" fillId="57" borderId="26" xfId="9" applyNumberFormat="1" applyFont="1" applyFill="1" applyBorder="1" applyAlignment="1">
      <alignment horizontal="right" vertical="center" wrapText="1"/>
    </xf>
    <xf numFmtId="0" fontId="12" fillId="57" borderId="25" xfId="9" applyFont="1" applyFill="1" applyBorder="1" applyAlignment="1">
      <alignment vertical="center" wrapText="1"/>
    </xf>
    <xf numFmtId="4" fontId="12" fillId="57" borderId="26" xfId="9" applyNumberFormat="1" applyFont="1" applyFill="1" applyBorder="1" applyAlignment="1">
      <alignment vertical="center" wrapText="1"/>
    </xf>
    <xf numFmtId="0" fontId="12" fillId="59" borderId="16" xfId="3" applyFill="1" applyBorder="1" applyAlignment="1">
      <alignment horizontal="right" vertical="center"/>
    </xf>
    <xf numFmtId="0" fontId="30" fillId="57" borderId="16" xfId="9" applyFont="1" applyFill="1" applyBorder="1" applyAlignment="1">
      <alignment horizontal="center" vertical="center"/>
    </xf>
    <xf numFmtId="0" fontId="30" fillId="57" borderId="17" xfId="9" applyFont="1" applyFill="1" applyBorder="1" applyAlignment="1">
      <alignment horizontal="center" vertical="center"/>
    </xf>
    <xf numFmtId="4" fontId="30" fillId="57" borderId="2" xfId="9" applyNumberFormat="1" applyFont="1" applyFill="1" applyBorder="1" applyAlignment="1">
      <alignment horizontal="right" wrapText="1"/>
    </xf>
    <xf numFmtId="0" fontId="29" fillId="54" borderId="25" xfId="9" applyFont="1" applyBorder="1" applyAlignment="1">
      <alignment horizontal="center" vertical="center"/>
    </xf>
    <xf numFmtId="0" fontId="29" fillId="54" borderId="14" xfId="9" applyFont="1" applyBorder="1" applyAlignment="1">
      <alignment horizontal="center" vertical="center" wrapText="1"/>
    </xf>
    <xf numFmtId="0" fontId="26" fillId="54" borderId="25" xfId="9" applyFont="1" applyBorder="1" applyAlignment="1">
      <alignment vertical="center" wrapText="1"/>
    </xf>
    <xf numFmtId="0" fontId="26" fillId="54" borderId="25" xfId="9" applyFont="1" applyBorder="1" applyAlignment="1">
      <alignment horizontal="center" vertical="center" wrapText="1"/>
    </xf>
    <xf numFmtId="0" fontId="26" fillId="54" borderId="25" xfId="9" applyFont="1" applyBorder="1" applyAlignment="1">
      <alignment horizontal="right" vertical="center" wrapText="1"/>
    </xf>
    <xf numFmtId="4" fontId="29" fillId="54" borderId="7" xfId="9" applyNumberFormat="1" applyFont="1" applyBorder="1" applyAlignment="1">
      <alignment horizontal="right" wrapText="1"/>
    </xf>
    <xf numFmtId="0" fontId="12" fillId="54" borderId="25" xfId="12" applyBorder="1" applyAlignment="1">
      <alignment horizontal="center" vertical="top" wrapText="1"/>
    </xf>
    <xf numFmtId="0" fontId="12" fillId="54" borderId="25" xfId="9" applyFont="1" applyBorder="1" applyAlignment="1">
      <alignment vertical="center" wrapText="1"/>
    </xf>
    <xf numFmtId="0" fontId="12" fillId="54" borderId="16" xfId="12" applyBorder="1" applyAlignment="1">
      <alignment horizontal="center" vertical="top"/>
    </xf>
    <xf numFmtId="0" fontId="29" fillId="57" borderId="25" xfId="9" applyFont="1" applyFill="1" applyBorder="1" applyAlignment="1">
      <alignment horizontal="center" vertical="center"/>
    </xf>
    <xf numFmtId="0" fontId="29" fillId="57" borderId="14" xfId="9" applyFont="1" applyFill="1" applyBorder="1" applyAlignment="1">
      <alignment horizontal="center" vertical="center" wrapText="1"/>
    </xf>
    <xf numFmtId="0" fontId="26" fillId="57" borderId="25" xfId="9" applyFont="1" applyFill="1" applyBorder="1" applyAlignment="1">
      <alignment vertical="center" wrapText="1"/>
    </xf>
    <xf numFmtId="0" fontId="26" fillId="57" borderId="25" xfId="9" applyFont="1" applyFill="1" applyBorder="1" applyAlignment="1">
      <alignment horizontal="center" vertical="center" wrapText="1"/>
    </xf>
    <xf numFmtId="0" fontId="26" fillId="57" borderId="25" xfId="9" applyFont="1" applyFill="1" applyBorder="1" applyAlignment="1">
      <alignment horizontal="right" vertical="center" wrapText="1"/>
    </xf>
    <xf numFmtId="0" fontId="26" fillId="57" borderId="27" xfId="9" applyFont="1" applyFill="1" applyBorder="1" applyAlignment="1">
      <alignment horizontal="right" vertical="center" wrapText="1"/>
    </xf>
    <xf numFmtId="4" fontId="29" fillId="57" borderId="28" xfId="9" applyNumberFormat="1" applyFont="1" applyFill="1" applyBorder="1" applyAlignment="1">
      <alignment horizontal="right" wrapText="1"/>
    </xf>
    <xf numFmtId="0" fontId="12" fillId="57" borderId="25" xfId="9" applyFont="1" applyFill="1" applyBorder="1" applyAlignment="1">
      <alignment horizontal="center" vertical="center" wrapText="1"/>
    </xf>
    <xf numFmtId="4" fontId="12" fillId="54" borderId="25" xfId="10" applyNumberFormat="1" applyFont="1" applyFill="1" applyBorder="1" applyAlignment="1">
      <alignment horizontal="right"/>
    </xf>
    <xf numFmtId="4" fontId="19" fillId="57" borderId="7" xfId="9" applyNumberFormat="1" applyFont="1" applyFill="1" applyBorder="1" applyAlignment="1">
      <alignment horizontal="right" wrapText="1"/>
    </xf>
    <xf numFmtId="4" fontId="30" fillId="57" borderId="7" xfId="9" applyNumberFormat="1" applyFont="1" applyFill="1" applyBorder="1" applyAlignment="1">
      <alignment horizontal="right" wrapText="1"/>
    </xf>
    <xf numFmtId="0" fontId="30" fillId="57" borderId="18" xfId="9" applyFont="1" applyFill="1" applyBorder="1" applyAlignment="1">
      <alignment horizontal="center" vertical="center"/>
    </xf>
    <xf numFmtId="0" fontId="30" fillId="57" borderId="19" xfId="9" applyFont="1" applyFill="1" applyBorder="1" applyAlignment="1">
      <alignment horizontal="center" vertical="center"/>
    </xf>
    <xf numFmtId="0" fontId="29" fillId="57" borderId="16" xfId="9" applyFont="1" applyFill="1" applyBorder="1" applyAlignment="1">
      <alignment horizontal="center" vertical="center" wrapText="1"/>
    </xf>
    <xf numFmtId="0" fontId="19" fillId="54" borderId="16" xfId="9" applyFont="1" applyBorder="1" applyAlignment="1">
      <alignment horizontal="left" vertical="top" wrapText="1"/>
    </xf>
    <xf numFmtId="4" fontId="11" fillId="57" borderId="1" xfId="14" applyNumberFormat="1" applyFill="1"/>
    <xf numFmtId="0" fontId="29" fillId="57" borderId="17" xfId="9" applyFont="1" applyFill="1" applyBorder="1" applyAlignment="1">
      <alignment horizontal="center" vertical="center"/>
    </xf>
    <xf numFmtId="4" fontId="29" fillId="57" borderId="7" xfId="9" applyNumberFormat="1" applyFont="1" applyFill="1" applyBorder="1" applyAlignment="1">
      <alignment horizontal="right" wrapText="1"/>
    </xf>
    <xf numFmtId="0" fontId="14" fillId="57" borderId="16" xfId="12" applyFont="1" applyFill="1" applyBorder="1" applyAlignment="1">
      <alignment horizontal="left" vertical="top" wrapText="1"/>
    </xf>
    <xf numFmtId="0" fontId="30" fillId="57" borderId="25" xfId="9" applyFont="1" applyFill="1" applyBorder="1" applyAlignment="1">
      <alignment horizontal="center" vertical="center"/>
    </xf>
    <xf numFmtId="0" fontId="30" fillId="57" borderId="14" xfId="9" applyFont="1" applyFill="1" applyBorder="1" applyAlignment="1">
      <alignment horizontal="right" vertical="center"/>
    </xf>
    <xf numFmtId="4" fontId="12" fillId="57" borderId="25" xfId="10" applyNumberFormat="1" applyFont="1" applyFill="1" applyBorder="1" applyAlignment="1">
      <alignment horizontal="right"/>
    </xf>
    <xf numFmtId="0" fontId="12" fillId="57" borderId="25" xfId="9" applyFont="1" applyFill="1" applyBorder="1" applyAlignment="1">
      <alignment horizontal="right" vertical="center" wrapText="1"/>
    </xf>
    <xf numFmtId="4" fontId="12" fillId="57" borderId="25" xfId="9" applyNumberFormat="1" applyFont="1" applyFill="1" applyBorder="1" applyAlignment="1">
      <alignment horizontal="right" wrapText="1"/>
    </xf>
    <xf numFmtId="0" fontId="12" fillId="54" borderId="29" xfId="9" applyFont="1" applyBorder="1" applyAlignment="1">
      <alignment horizontal="right" vertical="center" wrapText="1"/>
    </xf>
    <xf numFmtId="0" fontId="30" fillId="54" borderId="17" xfId="9" applyFont="1" applyBorder="1" applyAlignment="1">
      <alignment horizontal="right" vertical="center"/>
    </xf>
    <xf numFmtId="4" fontId="12" fillId="54" borderId="19" xfId="11" applyNumberFormat="1" applyFont="1" applyBorder="1" applyAlignment="1">
      <alignment horizontal="right" vertical="top" wrapText="1"/>
    </xf>
    <xf numFmtId="0" fontId="30" fillId="54" borderId="14" xfId="9" applyFont="1" applyBorder="1" applyAlignment="1">
      <alignment horizontal="center" vertical="center"/>
    </xf>
    <xf numFmtId="0" fontId="30" fillId="54" borderId="15" xfId="9" applyFont="1" applyBorder="1" applyAlignment="1">
      <alignment horizontal="center" vertical="center"/>
    </xf>
    <xf numFmtId="0" fontId="30" fillId="54" borderId="29" xfId="9" applyFont="1" applyBorder="1" applyAlignment="1">
      <alignment horizontal="center" vertical="center"/>
    </xf>
    <xf numFmtId="0" fontId="29" fillId="57" borderId="16" xfId="9" applyFont="1" applyFill="1" applyBorder="1" applyAlignment="1">
      <alignment vertical="center" wrapText="1"/>
    </xf>
    <xf numFmtId="0" fontId="29" fillId="57" borderId="16" xfId="9" applyFont="1" applyFill="1" applyBorder="1" applyAlignment="1">
      <alignment horizontal="right" vertical="center" wrapText="1"/>
    </xf>
    <xf numFmtId="4" fontId="29" fillId="57" borderId="2" xfId="9" applyNumberFormat="1" applyFont="1" applyFill="1" applyBorder="1" applyAlignment="1">
      <alignment horizontal="right" wrapText="1"/>
    </xf>
    <xf numFmtId="0" fontId="30" fillId="57" borderId="14" xfId="9" applyFont="1" applyFill="1" applyBorder="1" applyAlignment="1">
      <alignment horizontal="center" vertical="center"/>
    </xf>
    <xf numFmtId="0" fontId="30" fillId="57" borderId="16" xfId="9" applyFont="1" applyFill="1" applyBorder="1" applyAlignment="1">
      <alignment horizontal="right" vertical="center" wrapText="1"/>
    </xf>
    <xf numFmtId="0" fontId="14" fillId="54" borderId="16" xfId="12" applyFont="1" applyBorder="1" applyAlignment="1">
      <alignment horizontal="left" vertical="top" wrapText="1"/>
    </xf>
    <xf numFmtId="43" fontId="12" fillId="54" borderId="16" xfId="15" applyFont="1" applyBorder="1" applyAlignment="1">
      <alignment horizontal="right" vertical="center" wrapText="1"/>
    </xf>
    <xf numFmtId="2" fontId="12" fillId="57" borderId="16" xfId="9" applyNumberFormat="1" applyFont="1" applyFill="1" applyBorder="1" applyAlignment="1">
      <alignment horizontal="right" vertical="center" wrapText="1"/>
    </xf>
    <xf numFmtId="4" fontId="30" fillId="57" borderId="16" xfId="9" applyNumberFormat="1" applyFont="1" applyFill="1" applyBorder="1" applyAlignment="1">
      <alignment horizontal="right" vertical="center"/>
    </xf>
    <xf numFmtId="0" fontId="29" fillId="54" borderId="27" xfId="9" applyFont="1" applyBorder="1" applyAlignment="1">
      <alignment horizontal="center" vertical="center"/>
    </xf>
    <xf numFmtId="0" fontId="29" fillId="54" borderId="13" xfId="9" applyFont="1" applyBorder="1" applyAlignment="1">
      <alignment horizontal="center" vertical="center" wrapText="1"/>
    </xf>
    <xf numFmtId="0" fontId="26" fillId="54" borderId="27" xfId="9" applyFont="1" applyBorder="1" applyAlignment="1">
      <alignment vertical="center" wrapText="1"/>
    </xf>
    <xf numFmtId="0" fontId="26" fillId="54" borderId="27" xfId="9" applyFont="1" applyBorder="1" applyAlignment="1">
      <alignment horizontal="center" vertical="center" wrapText="1"/>
    </xf>
    <xf numFmtId="0" fontId="26" fillId="54" borderId="27" xfId="9" applyFont="1" applyBorder="1" applyAlignment="1">
      <alignment horizontal="right" vertical="center" wrapText="1"/>
    </xf>
    <xf numFmtId="0" fontId="30" fillId="54" borderId="17" xfId="9" applyFont="1" applyBorder="1" applyAlignment="1">
      <alignment horizontal="center" vertical="center"/>
    </xf>
    <xf numFmtId="0" fontId="30" fillId="54" borderId="18" xfId="9" applyFont="1" applyBorder="1" applyAlignment="1">
      <alignment horizontal="right" vertical="center"/>
    </xf>
    <xf numFmtId="0" fontId="14" fillId="54" borderId="26" xfId="12" applyFont="1" applyBorder="1" applyAlignment="1">
      <alignment horizontal="left" vertical="top" wrapText="1"/>
    </xf>
    <xf numFmtId="4" fontId="30" fillId="57" borderId="26" xfId="9" applyNumberFormat="1" applyFont="1" applyFill="1" applyBorder="1" applyAlignment="1">
      <alignment horizontal="right" vertical="center"/>
    </xf>
    <xf numFmtId="2" fontId="12" fillId="57" borderId="26" xfId="9" applyNumberFormat="1" applyFont="1" applyFill="1" applyBorder="1" applyAlignment="1">
      <alignment horizontal="right" vertical="center" wrapText="1"/>
    </xf>
    <xf numFmtId="4" fontId="30" fillId="57" borderId="28" xfId="9" applyNumberFormat="1" applyFont="1" applyFill="1" applyBorder="1" applyAlignment="1">
      <alignment horizontal="right" wrapText="1"/>
    </xf>
    <xf numFmtId="0" fontId="29" fillId="54" borderId="27" xfId="9" applyFont="1" applyBorder="1" applyAlignment="1">
      <alignment horizontal="center" vertical="center" wrapText="1"/>
    </xf>
    <xf numFmtId="0" fontId="14" fillId="54" borderId="27" xfId="12" applyFont="1" applyBorder="1" applyAlignment="1">
      <alignment horizontal="left" vertical="top" wrapText="1"/>
    </xf>
    <xf numFmtId="2" fontId="12" fillId="57" borderId="25" xfId="9" applyNumberFormat="1" applyFont="1" applyFill="1" applyBorder="1" applyAlignment="1">
      <alignment horizontal="right" vertical="center" wrapText="1"/>
    </xf>
    <xf numFmtId="4" fontId="30" fillId="57" borderId="25" xfId="9" applyNumberFormat="1" applyFont="1" applyFill="1" applyBorder="1" applyAlignment="1">
      <alignment horizontal="right" vertical="center"/>
    </xf>
    <xf numFmtId="0" fontId="30" fillId="54" borderId="18" xfId="9" applyFont="1" applyBorder="1" applyAlignment="1">
      <alignment horizontal="center" vertical="center"/>
    </xf>
    <xf numFmtId="0" fontId="12" fillId="54" borderId="16" xfId="9" applyFont="1" applyBorder="1" applyAlignment="1">
      <alignment horizontal="center" vertical="center" wrapText="1"/>
    </xf>
    <xf numFmtId="43" fontId="12" fillId="54" borderId="16" xfId="15" applyFont="1" applyFill="1" applyBorder="1" applyAlignment="1">
      <alignment horizontal="right" vertical="center" wrapText="1"/>
    </xf>
    <xf numFmtId="4" fontId="12" fillId="57" borderId="16" xfId="9" applyNumberFormat="1" applyFont="1" applyFill="1" applyBorder="1" applyAlignment="1">
      <alignment horizontal="right" wrapText="1"/>
    </xf>
    <xf numFmtId="0" fontId="12" fillId="54" borderId="16" xfId="12" applyBorder="1" applyAlignment="1">
      <alignment horizontal="left" vertical="top" wrapText="1"/>
    </xf>
    <xf numFmtId="0" fontId="12" fillId="57" borderId="27" xfId="12" applyFill="1" applyBorder="1" applyAlignment="1">
      <alignment horizontal="right" vertical="top" wrapText="1"/>
    </xf>
    <xf numFmtId="2" fontId="12" fillId="57" borderId="27" xfId="9" applyNumberFormat="1" applyFont="1" applyFill="1" applyBorder="1" applyAlignment="1">
      <alignment horizontal="right" vertical="center" wrapText="1"/>
    </xf>
    <xf numFmtId="0" fontId="12" fillId="57" borderId="16" xfId="12" applyFill="1" applyBorder="1" applyAlignment="1">
      <alignment horizontal="right" vertical="top" wrapText="1"/>
    </xf>
    <xf numFmtId="0" fontId="12" fillId="57" borderId="27" xfId="9" applyFont="1" applyFill="1" applyBorder="1" applyAlignment="1">
      <alignment vertical="center" wrapText="1"/>
    </xf>
    <xf numFmtId="0" fontId="12" fillId="54" borderId="27" xfId="9" applyFont="1" applyBorder="1" applyAlignment="1">
      <alignment horizontal="right" vertical="center" wrapText="1"/>
    </xf>
    <xf numFmtId="4" fontId="29" fillId="54" borderId="26" xfId="9" applyNumberFormat="1" applyFont="1" applyBorder="1" applyAlignment="1">
      <alignment horizontal="right" wrapText="1"/>
    </xf>
    <xf numFmtId="0" fontId="29" fillId="54" borderId="26" xfId="9" applyFont="1" applyBorder="1" applyAlignment="1">
      <alignment horizontal="center" vertical="center"/>
    </xf>
    <xf numFmtId="0" fontId="29" fillId="54" borderId="20" xfId="9" applyFont="1" applyBorder="1" applyAlignment="1">
      <alignment horizontal="center" vertical="center" wrapText="1"/>
    </xf>
    <xf numFmtId="0" fontId="26" fillId="54" borderId="26" xfId="9" applyFont="1" applyBorder="1" applyAlignment="1">
      <alignment horizontal="justify" vertical="center" wrapText="1"/>
    </xf>
    <xf numFmtId="0" fontId="26" fillId="54" borderId="26" xfId="9" applyFont="1" applyBorder="1" applyAlignment="1">
      <alignment horizontal="center" vertical="center" wrapText="1"/>
    </xf>
    <xf numFmtId="0" fontId="26" fillId="54" borderId="26" xfId="9" applyFont="1" applyBorder="1" applyAlignment="1">
      <alignment vertical="center" wrapText="1"/>
    </xf>
    <xf numFmtId="0" fontId="26" fillId="54" borderId="26" xfId="9" applyFont="1" applyBorder="1" applyAlignment="1">
      <alignment horizontal="right" vertical="center" wrapText="1"/>
    </xf>
    <xf numFmtId="4" fontId="29" fillId="54" borderId="4" xfId="9" applyNumberFormat="1" applyFont="1" applyBorder="1" applyAlignment="1">
      <alignment horizontal="right" wrapText="1"/>
    </xf>
    <xf numFmtId="0" fontId="30" fillId="57" borderId="16" xfId="9" applyFont="1" applyFill="1" applyBorder="1" applyAlignment="1">
      <alignment horizontal="center"/>
    </xf>
    <xf numFmtId="0" fontId="30" fillId="57" borderId="16" xfId="9" applyFont="1" applyFill="1" applyBorder="1" applyAlignment="1">
      <alignment horizontal="left"/>
    </xf>
    <xf numFmtId="0" fontId="32" fillId="57" borderId="16" xfId="12" applyFont="1" applyFill="1" applyBorder="1" applyAlignment="1">
      <alignment horizontal="right" vertical="top" wrapText="1"/>
    </xf>
    <xf numFmtId="0" fontId="26" fillId="57" borderId="16" xfId="12" applyFont="1" applyFill="1" applyBorder="1" applyAlignment="1">
      <alignment horizontal="right" vertical="top" wrapText="1"/>
    </xf>
    <xf numFmtId="0" fontId="12" fillId="57" borderId="16" xfId="12" applyFill="1" applyBorder="1" applyAlignment="1">
      <alignment horizontal="center" vertical="top" wrapText="1"/>
    </xf>
    <xf numFmtId="4" fontId="12" fillId="57" borderId="16" xfId="12" applyNumberFormat="1" applyFill="1" applyBorder="1" applyAlignment="1">
      <alignment horizontal="right" wrapText="1"/>
    </xf>
    <xf numFmtId="4" fontId="30" fillId="54" borderId="16" xfId="12" applyNumberFormat="1" applyFont="1" applyBorder="1" applyAlignment="1">
      <alignment horizontal="right" wrapText="1"/>
    </xf>
    <xf numFmtId="0" fontId="30" fillId="57" borderId="20" xfId="9" applyFont="1" applyFill="1" applyBorder="1" applyAlignment="1">
      <alignment horizontal="center"/>
    </xf>
    <xf numFmtId="0" fontId="30" fillId="57" borderId="21" xfId="9" applyFont="1" applyFill="1" applyBorder="1" applyAlignment="1">
      <alignment horizontal="center"/>
    </xf>
    <xf numFmtId="0" fontId="33" fillId="57" borderId="16" xfId="12" applyFont="1" applyFill="1" applyBorder="1" applyAlignment="1">
      <alignment horizontal="right" vertical="top" wrapText="1"/>
    </xf>
    <xf numFmtId="0" fontId="34" fillId="57" borderId="16" xfId="12" applyFont="1" applyFill="1" applyBorder="1" applyAlignment="1">
      <alignment horizontal="right" vertical="top" wrapText="1"/>
    </xf>
    <xf numFmtId="168" fontId="35" fillId="54" borderId="16" xfId="10" applyFont="1" applyFill="1" applyBorder="1" applyAlignment="1">
      <alignment horizontal="left" vertical="center"/>
    </xf>
    <xf numFmtId="0" fontId="30" fillId="54" borderId="26" xfId="9" applyFont="1" applyBorder="1" applyAlignment="1">
      <alignment horizontal="center" vertical="center"/>
    </xf>
    <xf numFmtId="2" fontId="30" fillId="54" borderId="16" xfId="9" applyNumberFormat="1" applyFont="1" applyBorder="1" applyAlignment="1">
      <alignment horizontal="center" vertical="center"/>
    </xf>
    <xf numFmtId="4" fontId="30" fillId="54" borderId="16" xfId="9" applyNumberFormat="1" applyFont="1" applyBorder="1" applyAlignment="1">
      <alignment horizontal="center" vertical="center"/>
    </xf>
    <xf numFmtId="0" fontId="14" fillId="57" borderId="25" xfId="12" applyFont="1" applyFill="1" applyBorder="1" applyAlignment="1">
      <alignment horizontal="justify" vertical="top" wrapText="1"/>
    </xf>
    <xf numFmtId="0" fontId="12" fillId="57" borderId="25" xfId="12" applyFill="1" applyBorder="1" applyAlignment="1">
      <alignment horizontal="center" vertical="top" wrapText="1"/>
    </xf>
    <xf numFmtId="4" fontId="19" fillId="57" borderId="16" xfId="9" applyNumberFormat="1" applyFont="1" applyFill="1" applyBorder="1" applyAlignment="1">
      <alignment horizontal="right" wrapText="1"/>
    </xf>
    <xf numFmtId="0" fontId="26" fillId="54" borderId="16" xfId="9" applyFont="1" applyBorder="1" applyAlignment="1">
      <alignment horizontal="justify" vertical="center" wrapText="1"/>
    </xf>
    <xf numFmtId="4" fontId="12" fillId="57" borderId="25" xfId="12" applyNumberFormat="1" applyFill="1" applyBorder="1" applyAlignment="1">
      <alignment horizontal="right" wrapText="1"/>
    </xf>
    <xf numFmtId="2" fontId="12" fillId="54" borderId="16" xfId="9" applyNumberFormat="1" applyFont="1" applyBorder="1" applyAlignment="1">
      <alignment horizontal="right" vertical="center" wrapText="1"/>
    </xf>
    <xf numFmtId="0" fontId="30" fillId="57" borderId="16" xfId="9" applyFont="1" applyFill="1" applyBorder="1" applyAlignment="1">
      <alignment horizontal="center" wrapText="1"/>
    </xf>
    <xf numFmtId="0" fontId="14" fillId="54" borderId="16" xfId="12" applyFont="1" applyBorder="1" applyAlignment="1">
      <alignment horizontal="right" vertical="top" wrapText="1"/>
    </xf>
    <xf numFmtId="4" fontId="19" fillId="57" borderId="26" xfId="9" applyNumberFormat="1" applyFont="1" applyFill="1" applyBorder="1" applyAlignment="1">
      <alignment horizontal="right" wrapText="1"/>
    </xf>
    <xf numFmtId="4" fontId="36" fillId="54" borderId="16" xfId="10" applyNumberFormat="1" applyFont="1" applyFill="1" applyBorder="1" applyAlignment="1">
      <alignment horizontal="right"/>
    </xf>
    <xf numFmtId="165" fontId="12" fillId="54" borderId="16" xfId="12" applyNumberFormat="1" applyBorder="1" applyAlignment="1">
      <alignment horizontal="right" wrapText="1"/>
    </xf>
    <xf numFmtId="0" fontId="14" fillId="57" borderId="16" xfId="12" applyFont="1" applyFill="1" applyBorder="1" applyAlignment="1">
      <alignment horizontal="right" vertical="top" wrapText="1"/>
    </xf>
    <xf numFmtId="168" fontId="30" fillId="57" borderId="16" xfId="9" applyNumberFormat="1" applyFont="1" applyFill="1" applyBorder="1" applyAlignment="1">
      <alignment horizontal="center"/>
    </xf>
    <xf numFmtId="4" fontId="30" fillId="57" borderId="16" xfId="9" applyNumberFormat="1" applyFont="1" applyFill="1" applyBorder="1" applyAlignment="1">
      <alignment horizontal="center" vertical="center"/>
    </xf>
    <xf numFmtId="0" fontId="12" fillId="57" borderId="16" xfId="11" applyFont="1" applyFill="1" applyBorder="1" applyAlignment="1">
      <alignment horizontal="right" vertical="top" wrapText="1"/>
    </xf>
    <xf numFmtId="4" fontId="12" fillId="57" borderId="16" xfId="11" applyNumberFormat="1" applyFont="1" applyFill="1" applyBorder="1" applyAlignment="1">
      <alignment horizontal="right" vertical="top" wrapText="1"/>
    </xf>
    <xf numFmtId="0" fontId="26" fillId="54" borderId="16" xfId="12" applyFont="1" applyBorder="1" applyAlignment="1">
      <alignment horizontal="center" vertical="top" wrapText="1"/>
    </xf>
    <xf numFmtId="4" fontId="36" fillId="54" borderId="16" xfId="10" applyNumberFormat="1" applyFont="1" applyFill="1" applyBorder="1" applyAlignment="1">
      <alignment horizontal="right" wrapText="1"/>
    </xf>
    <xf numFmtId="165" fontId="12" fillId="57" borderId="16" xfId="10" applyNumberFormat="1" applyFont="1" applyFill="1" applyBorder="1" applyAlignment="1">
      <alignment horizontal="right"/>
    </xf>
    <xf numFmtId="4" fontId="26" fillId="54" borderId="16" xfId="12" applyNumberFormat="1" applyFont="1" applyBorder="1" applyAlignment="1">
      <alignment horizontal="right" wrapText="1"/>
    </xf>
    <xf numFmtId="0" fontId="26" fillId="57" borderId="16" xfId="9" applyFont="1" applyFill="1" applyBorder="1" applyAlignment="1">
      <alignment horizontal="center"/>
    </xf>
    <xf numFmtId="0" fontId="26" fillId="57" borderId="16" xfId="9" applyFont="1" applyFill="1" applyBorder="1" applyAlignment="1">
      <alignment horizontal="left"/>
    </xf>
    <xf numFmtId="0" fontId="26" fillId="57" borderId="16" xfId="9" applyFont="1" applyFill="1" applyBorder="1" applyAlignment="1">
      <alignment horizontal="center" wrapText="1"/>
    </xf>
    <xf numFmtId="0" fontId="26" fillId="57" borderId="16" xfId="9" applyFont="1" applyFill="1" applyBorder="1" applyAlignment="1">
      <alignment wrapText="1"/>
    </xf>
    <xf numFmtId="0" fontId="26" fillId="57" borderId="16" xfId="9" applyFont="1" applyFill="1" applyBorder="1" applyAlignment="1">
      <alignment horizontal="right" wrapText="1"/>
    </xf>
    <xf numFmtId="4" fontId="12" fillId="57" borderId="16" xfId="10" applyNumberFormat="1" applyFont="1" applyFill="1" applyBorder="1" applyAlignment="1">
      <alignment horizontal="right" wrapText="1"/>
    </xf>
    <xf numFmtId="0" fontId="30" fillId="57" borderId="16" xfId="3" applyFont="1" applyFill="1" applyBorder="1" applyAlignment="1">
      <alignment horizontal="right"/>
    </xf>
    <xf numFmtId="0" fontId="26" fillId="57" borderId="26" xfId="9" applyFont="1" applyFill="1" applyBorder="1" applyAlignment="1">
      <alignment horizontal="center"/>
    </xf>
    <xf numFmtId="0" fontId="26" fillId="57" borderId="26" xfId="9" applyFont="1" applyFill="1" applyBorder="1" applyAlignment="1">
      <alignment horizontal="left"/>
    </xf>
    <xf numFmtId="0" fontId="12" fillId="54" borderId="26" xfId="12" applyBorder="1" applyAlignment="1">
      <alignment horizontal="left" vertical="top" wrapText="1"/>
    </xf>
    <xf numFmtId="0" fontId="12" fillId="54" borderId="26" xfId="12" applyBorder="1" applyAlignment="1">
      <alignment horizontal="center" vertical="top" wrapText="1"/>
    </xf>
    <xf numFmtId="4" fontId="12" fillId="54" borderId="26" xfId="10" applyNumberFormat="1" applyFont="1" applyFill="1" applyBorder="1" applyAlignment="1">
      <alignment horizontal="right"/>
    </xf>
    <xf numFmtId="4" fontId="12" fillId="57" borderId="26" xfId="10" applyNumberFormat="1" applyFont="1" applyFill="1" applyBorder="1" applyAlignment="1">
      <alignment horizontal="right"/>
    </xf>
    <xf numFmtId="4" fontId="30" fillId="54" borderId="4" xfId="9" applyNumberFormat="1" applyFont="1" applyBorder="1" applyAlignment="1">
      <alignment horizontal="right" wrapText="1"/>
    </xf>
    <xf numFmtId="0" fontId="12" fillId="54" borderId="16" xfId="12" applyBorder="1" applyAlignment="1">
      <alignment horizontal="center" vertical="top" wrapText="1"/>
    </xf>
    <xf numFmtId="2" fontId="12" fillId="57" borderId="16" xfId="10" applyNumberFormat="1" applyFont="1" applyFill="1" applyBorder="1" applyAlignment="1">
      <alignment horizontal="right"/>
    </xf>
    <xf numFmtId="0" fontId="14" fillId="54" borderId="16" xfId="12" applyFont="1" applyBorder="1" applyAlignment="1">
      <alignment horizontal="center" vertical="top" wrapText="1"/>
    </xf>
    <xf numFmtId="4" fontId="36" fillId="54" borderId="16" xfId="16" applyNumberFormat="1" applyFont="1" applyFill="1" applyBorder="1" applyAlignment="1">
      <alignment horizontal="right" wrapText="1"/>
    </xf>
    <xf numFmtId="0" fontId="26" fillId="57" borderId="20" xfId="9" applyFont="1" applyFill="1" applyBorder="1" applyAlignment="1">
      <alignment horizontal="center"/>
    </xf>
    <xf numFmtId="0" fontId="26" fillId="57" borderId="21" xfId="9" applyFont="1" applyFill="1" applyBorder="1" applyAlignment="1">
      <alignment horizontal="center"/>
    </xf>
    <xf numFmtId="4" fontId="12" fillId="54" borderId="16" xfId="16" applyNumberFormat="1" applyFont="1" applyFill="1" applyBorder="1" applyAlignment="1">
      <alignment horizontal="right" wrapText="1"/>
    </xf>
    <xf numFmtId="0" fontId="30" fillId="54" borderId="26" xfId="9" applyFont="1" applyBorder="1"/>
    <xf numFmtId="0" fontId="30" fillId="54" borderId="18" xfId="9" applyFont="1" applyBorder="1" applyAlignment="1">
      <alignment horizontal="center"/>
    </xf>
    <xf numFmtId="0" fontId="30" fillId="54" borderId="19" xfId="9" applyFont="1" applyBorder="1" applyAlignment="1">
      <alignment horizontal="center"/>
    </xf>
    <xf numFmtId="0" fontId="30" fillId="54" borderId="17" xfId="9" applyFont="1" applyBorder="1" applyAlignment="1">
      <alignment horizontal="center"/>
    </xf>
    <xf numFmtId="0" fontId="30" fillId="54" borderId="25" xfId="9" applyFont="1" applyBorder="1" applyAlignment="1">
      <alignment horizontal="center"/>
    </xf>
    <xf numFmtId="4" fontId="30" fillId="54" borderId="28" xfId="9" applyNumberFormat="1" applyFont="1" applyBorder="1" applyAlignment="1">
      <alignment horizontal="right" wrapText="1"/>
    </xf>
    <xf numFmtId="0" fontId="12" fillId="54" borderId="26" xfId="9" applyFont="1" applyBorder="1" applyAlignment="1">
      <alignment horizontal="right" vertical="center" wrapText="1"/>
    </xf>
    <xf numFmtId="4" fontId="29" fillId="57" borderId="4" xfId="9" applyNumberFormat="1" applyFont="1" applyFill="1" applyBorder="1" applyAlignment="1">
      <alignment horizontal="right" wrapText="1"/>
    </xf>
    <xf numFmtId="0" fontId="30" fillId="57" borderId="16" xfId="9" applyFont="1" applyFill="1" applyBorder="1" applyAlignment="1">
      <alignment horizontal="left" vertical="center"/>
    </xf>
    <xf numFmtId="0" fontId="30" fillId="57" borderId="15" xfId="9" applyFont="1" applyFill="1" applyBorder="1" applyAlignment="1">
      <alignment horizontal="center" vertical="center"/>
    </xf>
    <xf numFmtId="0" fontId="30" fillId="54" borderId="16" xfId="9" applyFont="1" applyBorder="1" applyAlignment="1">
      <alignment horizontal="left"/>
    </xf>
    <xf numFmtId="0" fontId="30" fillId="54" borderId="16" xfId="9" applyFont="1" applyBorder="1" applyAlignment="1">
      <alignment horizontal="right"/>
    </xf>
    <xf numFmtId="0" fontId="30" fillId="54" borderId="16" xfId="9" applyFont="1" applyBorder="1" applyAlignment="1">
      <alignment horizontal="left" wrapText="1"/>
    </xf>
    <xf numFmtId="0" fontId="37" fillId="54" borderId="16" xfId="14" applyFont="1" applyBorder="1"/>
    <xf numFmtId="0" fontId="31" fillId="54" borderId="2" xfId="9" applyFont="1" applyBorder="1" applyAlignment="1">
      <alignment horizontal="right" vertical="top" wrapText="1"/>
    </xf>
    <xf numFmtId="0" fontId="30" fillId="54" borderId="20" xfId="9" applyFont="1" applyBorder="1" applyAlignment="1">
      <alignment horizontal="center" vertical="center"/>
    </xf>
    <xf numFmtId="0" fontId="30" fillId="54" borderId="21" xfId="9" applyFont="1" applyBorder="1" applyAlignment="1">
      <alignment horizontal="center" vertical="center"/>
    </xf>
    <xf numFmtId="0" fontId="30" fillId="54" borderId="30" xfId="9" applyFont="1" applyBorder="1" applyAlignment="1">
      <alignment horizontal="center" vertical="center"/>
    </xf>
    <xf numFmtId="0" fontId="12" fillId="54" borderId="25" xfId="9" applyFont="1" applyBorder="1" applyAlignment="1">
      <alignment horizontal="right" vertical="center" wrapText="1"/>
    </xf>
    <xf numFmtId="0" fontId="29" fillId="57" borderId="18" xfId="9" applyFont="1" applyFill="1" applyBorder="1" applyAlignment="1">
      <alignment horizontal="center" vertical="center" wrapText="1"/>
    </xf>
    <xf numFmtId="0" fontId="19" fillId="54" borderId="18" xfId="9" applyFont="1" applyBorder="1" applyAlignment="1">
      <alignment horizontal="left" vertical="top" wrapText="1"/>
    </xf>
    <xf numFmtId="0" fontId="26" fillId="57" borderId="18" xfId="9" applyFont="1" applyFill="1" applyBorder="1" applyAlignment="1">
      <alignment horizontal="center" vertical="center" wrapText="1"/>
    </xf>
    <xf numFmtId="0" fontId="26" fillId="57" borderId="18" xfId="9" applyFont="1" applyFill="1" applyBorder="1" applyAlignment="1">
      <alignment vertical="center" wrapText="1"/>
    </xf>
    <xf numFmtId="4" fontId="12" fillId="54" borderId="18" xfId="10" applyNumberFormat="1" applyFont="1" applyFill="1" applyBorder="1" applyAlignment="1">
      <alignment horizontal="right"/>
    </xf>
    <xf numFmtId="0" fontId="11" fillId="57" borderId="18" xfId="14" applyFill="1" applyBorder="1"/>
    <xf numFmtId="0" fontId="12" fillId="57" borderId="18" xfId="9" applyFont="1" applyFill="1" applyBorder="1" applyAlignment="1">
      <alignment horizontal="right" vertical="center" wrapText="1"/>
    </xf>
    <xf numFmtId="4" fontId="12" fillId="57" borderId="18" xfId="9" applyNumberFormat="1" applyFont="1" applyFill="1" applyBorder="1" applyAlignment="1">
      <alignment horizontal="right" wrapText="1"/>
    </xf>
    <xf numFmtId="4" fontId="30" fillId="57" borderId="19" xfId="9" applyNumberFormat="1" applyFont="1" applyFill="1" applyBorder="1" applyAlignment="1">
      <alignment horizontal="right" wrapText="1"/>
    </xf>
    <xf numFmtId="4" fontId="30" fillId="54" borderId="26" xfId="9" applyNumberFormat="1" applyFont="1" applyBorder="1" applyAlignment="1">
      <alignment horizontal="right" wrapText="1"/>
    </xf>
    <xf numFmtId="0" fontId="12" fillId="54" borderId="16" xfId="9" applyFont="1" applyBorder="1" applyAlignment="1">
      <alignment horizontal="justify" vertical="center" wrapText="1"/>
    </xf>
    <xf numFmtId="4" fontId="29" fillId="54" borderId="1" xfId="9" applyNumberFormat="1" applyFont="1" applyAlignment="1">
      <alignment horizontal="right" wrapText="1"/>
    </xf>
    <xf numFmtId="0" fontId="26" fillId="57" borderId="21" xfId="9" applyFont="1" applyFill="1" applyBorder="1" applyAlignment="1">
      <alignment horizontal="left"/>
    </xf>
    <xf numFmtId="0" fontId="14" fillId="57" borderId="21" xfId="12" applyFont="1" applyFill="1" applyBorder="1" applyAlignment="1">
      <alignment horizontal="left" vertical="top" wrapText="1"/>
    </xf>
    <xf numFmtId="4" fontId="12" fillId="57" borderId="21" xfId="12" applyNumberFormat="1" applyFill="1" applyBorder="1" applyAlignment="1">
      <alignment horizontal="right" wrapText="1"/>
    </xf>
    <xf numFmtId="4" fontId="12" fillId="57" borderId="21" xfId="10" applyNumberFormat="1" applyFont="1" applyFill="1" applyBorder="1" applyAlignment="1">
      <alignment horizontal="right"/>
    </xf>
    <xf numFmtId="0" fontId="26" fillId="57" borderId="13" xfId="9" applyFont="1" applyFill="1" applyBorder="1" applyAlignment="1">
      <alignment horizontal="center"/>
    </xf>
    <xf numFmtId="0" fontId="26" fillId="57" borderId="1" xfId="9" applyFont="1" applyFill="1" applyAlignment="1">
      <alignment horizontal="center"/>
    </xf>
    <xf numFmtId="0" fontId="26" fillId="54" borderId="27" xfId="9" applyFont="1" applyBorder="1" applyAlignment="1">
      <alignment horizontal="justify" vertical="center" wrapText="1"/>
    </xf>
    <xf numFmtId="4" fontId="29" fillId="54" borderId="28" xfId="9" applyNumberFormat="1" applyFont="1" applyBorder="1" applyAlignment="1">
      <alignment horizontal="right" wrapText="1"/>
    </xf>
    <xf numFmtId="0" fontId="30" fillId="57" borderId="1" xfId="3" applyFont="1" applyFill="1" applyAlignment="1">
      <alignment horizontal="right"/>
    </xf>
    <xf numFmtId="0" fontId="12" fillId="57" borderId="16" xfId="9" applyFont="1" applyFill="1" applyBorder="1" applyAlignment="1">
      <alignment horizontal="center"/>
    </xf>
    <xf numFmtId="0" fontId="12" fillId="57" borderId="16" xfId="9" applyFont="1" applyFill="1" applyBorder="1" applyAlignment="1">
      <alignment horizontal="right"/>
    </xf>
    <xf numFmtId="4" fontId="30" fillId="54" borderId="11" xfId="9" applyNumberFormat="1" applyFont="1" applyBorder="1" applyAlignment="1">
      <alignment horizontal="right" wrapText="1"/>
    </xf>
    <xf numFmtId="0" fontId="12" fillId="57" borderId="16" xfId="9" applyFont="1" applyFill="1" applyBorder="1" applyAlignment="1">
      <alignment horizontal="center" vertical="center" wrapText="1"/>
    </xf>
    <xf numFmtId="4" fontId="12" fillId="57" borderId="16" xfId="16" applyNumberFormat="1" applyFont="1" applyFill="1" applyBorder="1" applyAlignment="1">
      <alignment horizontal="right" wrapText="1"/>
    </xf>
    <xf numFmtId="0" fontId="12" fillId="54" borderId="26" xfId="9" applyFont="1" applyBorder="1" applyAlignment="1">
      <alignment vertical="center" wrapText="1"/>
    </xf>
    <xf numFmtId="2" fontId="12" fillId="54" borderId="26" xfId="9" applyNumberFormat="1" applyFont="1" applyBorder="1" applyAlignment="1">
      <alignment horizontal="right" vertical="center" wrapText="1"/>
    </xf>
    <xf numFmtId="4" fontId="12" fillId="57" borderId="16" xfId="9" applyNumberFormat="1" applyFont="1" applyFill="1" applyBorder="1" applyAlignment="1">
      <alignment vertical="center" wrapText="1"/>
    </xf>
    <xf numFmtId="4" fontId="30" fillId="57" borderId="4" xfId="9" applyNumberFormat="1" applyFont="1" applyFill="1" applyBorder="1" applyAlignment="1">
      <alignment horizontal="right" wrapText="1"/>
    </xf>
    <xf numFmtId="0" fontId="30" fillId="57" borderId="16" xfId="9" applyFont="1" applyFill="1" applyBorder="1" applyAlignment="1">
      <alignment horizontal="right" vertical="center"/>
    </xf>
    <xf numFmtId="0" fontId="29" fillId="57" borderId="27" xfId="9" applyFont="1" applyFill="1" applyBorder="1" applyAlignment="1">
      <alignment horizontal="center" vertical="center"/>
    </xf>
    <xf numFmtId="0" fontId="29" fillId="57" borderId="13" xfId="9" applyFont="1" applyFill="1" applyBorder="1" applyAlignment="1">
      <alignment horizontal="center" vertical="center" wrapText="1"/>
    </xf>
    <xf numFmtId="0" fontId="26" fillId="57" borderId="27" xfId="9" applyFont="1" applyFill="1" applyBorder="1" applyAlignment="1">
      <alignment horizontal="center" vertical="center" wrapText="1"/>
    </xf>
    <xf numFmtId="0" fontId="26" fillId="57" borderId="27" xfId="9" applyFont="1" applyFill="1" applyBorder="1" applyAlignment="1">
      <alignment vertical="center" wrapText="1"/>
    </xf>
    <xf numFmtId="0" fontId="12" fillId="54" borderId="19" xfId="11" applyFont="1" applyBorder="1" applyAlignment="1">
      <alignment horizontal="right" vertical="top" wrapText="1"/>
    </xf>
    <xf numFmtId="0" fontId="29" fillId="54" borderId="25" xfId="9" applyFont="1" applyBorder="1" applyAlignment="1">
      <alignment horizontal="center" vertical="center" wrapText="1"/>
    </xf>
    <xf numFmtId="4" fontId="30" fillId="54" borderId="7" xfId="9" applyNumberFormat="1" applyFont="1" applyBorder="1" applyAlignment="1">
      <alignment horizontal="right" wrapText="1"/>
    </xf>
    <xf numFmtId="0" fontId="30" fillId="54" borderId="15" xfId="9" applyFont="1" applyBorder="1" applyAlignment="1">
      <alignment horizontal="right" vertical="center"/>
    </xf>
    <xf numFmtId="0" fontId="14" fillId="54" borderId="15" xfId="12" applyFont="1" applyBorder="1" applyAlignment="1">
      <alignment horizontal="right" vertical="top" wrapText="1"/>
    </xf>
    <xf numFmtId="0" fontId="12" fillId="57" borderId="15" xfId="12" applyFill="1" applyBorder="1" applyAlignment="1">
      <alignment horizontal="center" vertical="top" wrapText="1"/>
    </xf>
    <xf numFmtId="4" fontId="12" fillId="57" borderId="15" xfId="16" applyNumberFormat="1" applyFont="1" applyFill="1" applyBorder="1" applyAlignment="1">
      <alignment horizontal="right" wrapText="1"/>
    </xf>
    <xf numFmtId="4" fontId="12" fillId="57" borderId="15" xfId="10" applyNumberFormat="1" applyFont="1" applyFill="1" applyBorder="1" applyAlignment="1">
      <alignment horizontal="right"/>
    </xf>
    <xf numFmtId="0" fontId="26" fillId="54" borderId="15" xfId="11" applyFont="1" applyBorder="1" applyAlignment="1">
      <alignment horizontal="right" vertical="top" wrapText="1"/>
    </xf>
    <xf numFmtId="0" fontId="20" fillId="54" borderId="16" xfId="9" applyFont="1" applyBorder="1"/>
    <xf numFmtId="0" fontId="12" fillId="57" borderId="26" xfId="12" applyFill="1" applyBorder="1" applyAlignment="1">
      <alignment horizontal="center" vertical="top"/>
    </xf>
    <xf numFmtId="4" fontId="30" fillId="57" borderId="16" xfId="9" applyNumberFormat="1" applyFont="1" applyFill="1" applyBorder="1" applyAlignment="1">
      <alignment horizontal="center"/>
    </xf>
    <xf numFmtId="0" fontId="34" fillId="57" borderId="26" xfId="12" applyFont="1" applyFill="1" applyBorder="1" applyAlignment="1">
      <alignment horizontal="right" vertical="top" wrapText="1"/>
    </xf>
    <xf numFmtId="4" fontId="12" fillId="57" borderId="26" xfId="12" applyNumberFormat="1" applyFill="1" applyBorder="1" applyAlignment="1">
      <alignment horizontal="right" wrapText="1"/>
    </xf>
    <xf numFmtId="0" fontId="26" fillId="57" borderId="16" xfId="12" applyFont="1" applyFill="1" applyBorder="1" applyAlignment="1">
      <alignment horizontal="left" vertical="top" wrapText="1"/>
    </xf>
    <xf numFmtId="0" fontId="30" fillId="57" borderId="16" xfId="9" applyFont="1" applyFill="1" applyBorder="1" applyAlignment="1">
      <alignment horizontal="right"/>
    </xf>
    <xf numFmtId="4" fontId="30" fillId="54" borderId="16" xfId="9" applyNumberFormat="1" applyFont="1" applyBorder="1" applyAlignment="1">
      <alignment horizontal="center"/>
    </xf>
    <xf numFmtId="0" fontId="12" fillId="57" borderId="21" xfId="12" applyFill="1" applyBorder="1" applyAlignment="1">
      <alignment horizontal="right" vertical="top" wrapText="1"/>
    </xf>
    <xf numFmtId="4" fontId="30" fillId="54" borderId="21" xfId="9" applyNumberFormat="1" applyFont="1" applyBorder="1" applyAlignment="1">
      <alignment horizontal="right" wrapText="1"/>
    </xf>
    <xf numFmtId="0" fontId="12" fillId="54" borderId="16" xfId="12" applyBorder="1" applyAlignment="1">
      <alignment horizontal="right" vertical="top" wrapText="1"/>
    </xf>
    <xf numFmtId="0" fontId="12" fillId="54" borderId="16" xfId="9" applyFont="1" applyBorder="1" applyAlignment="1">
      <alignment horizontal="right" wrapText="1"/>
    </xf>
    <xf numFmtId="0" fontId="12" fillId="54" borderId="16" xfId="3" applyBorder="1" applyAlignment="1">
      <alignment horizontal="right" vertical="center"/>
    </xf>
    <xf numFmtId="0" fontId="14" fillId="57" borderId="26" xfId="12" applyFont="1" applyFill="1" applyBorder="1" applyAlignment="1">
      <alignment horizontal="left" vertical="top" wrapText="1"/>
    </xf>
    <xf numFmtId="0" fontId="14" fillId="54" borderId="26" xfId="12" applyFont="1" applyBorder="1" applyAlignment="1">
      <alignment horizontal="center" vertical="top" wrapText="1"/>
    </xf>
    <xf numFmtId="4" fontId="36" fillId="54" borderId="26" xfId="16" applyNumberFormat="1" applyFont="1" applyFill="1" applyBorder="1" applyAlignment="1">
      <alignment horizontal="right" wrapText="1"/>
    </xf>
    <xf numFmtId="4" fontId="36" fillId="54" borderId="26" xfId="10" applyNumberFormat="1" applyFont="1" applyFill="1" applyBorder="1" applyAlignment="1">
      <alignment horizontal="right"/>
    </xf>
    <xf numFmtId="0" fontId="12" fillId="57" borderId="16" xfId="9" applyFont="1" applyFill="1" applyBorder="1" applyAlignment="1">
      <alignment horizontal="left"/>
    </xf>
    <xf numFmtId="4" fontId="30" fillId="57" borderId="1" xfId="9" applyNumberFormat="1" applyFont="1" applyFill="1" applyAlignment="1">
      <alignment horizontal="right" wrapText="1"/>
    </xf>
    <xf numFmtId="0" fontId="30" fillId="54" borderId="1" xfId="9" applyFont="1" applyAlignment="1">
      <alignment horizontal="center" vertical="center"/>
    </xf>
    <xf numFmtId="4" fontId="12" fillId="54" borderId="16" xfId="11" applyNumberFormat="1" applyFont="1" applyBorder="1" applyAlignment="1">
      <alignment horizontal="right" vertical="top" wrapText="1"/>
    </xf>
    <xf numFmtId="0" fontId="29" fillId="54" borderId="26" xfId="9" applyFont="1" applyBorder="1" applyAlignment="1">
      <alignment horizontal="center" vertical="center" wrapText="1"/>
    </xf>
    <xf numFmtId="0" fontId="19" fillId="54" borderId="26" xfId="9" applyFont="1" applyBorder="1" applyAlignment="1">
      <alignment horizontal="left" vertical="top" wrapText="1"/>
    </xf>
    <xf numFmtId="0" fontId="12" fillId="54" borderId="26" xfId="12" applyBorder="1" applyAlignment="1">
      <alignment horizontal="center" vertical="top"/>
    </xf>
    <xf numFmtId="0" fontId="11" fillId="57" borderId="26" xfId="14" applyFill="1" applyBorder="1"/>
    <xf numFmtId="4" fontId="12" fillId="57" borderId="26" xfId="9" applyNumberFormat="1" applyFont="1" applyFill="1" applyBorder="1" applyAlignment="1">
      <alignment horizontal="right" wrapText="1"/>
    </xf>
    <xf numFmtId="0" fontId="30" fillId="57" borderId="17" xfId="9" applyFont="1" applyFill="1" applyBorder="1" applyAlignment="1">
      <alignment horizontal="right" vertical="center"/>
    </xf>
    <xf numFmtId="4" fontId="12" fillId="54" borderId="26" xfId="16" applyNumberFormat="1" applyFont="1" applyFill="1" applyBorder="1" applyAlignment="1">
      <alignment horizontal="right" wrapText="1"/>
    </xf>
    <xf numFmtId="4" fontId="30" fillId="54" borderId="19" xfId="9" applyNumberFormat="1" applyFont="1" applyBorder="1" applyAlignment="1">
      <alignment horizontal="right" wrapText="1"/>
    </xf>
    <xf numFmtId="0" fontId="26" fillId="57" borderId="16" xfId="11" applyFont="1" applyFill="1" applyBorder="1" applyAlignment="1">
      <alignment horizontal="right" vertical="top" wrapText="1"/>
    </xf>
    <xf numFmtId="0" fontId="26" fillId="57" borderId="17" xfId="9" applyFont="1" applyFill="1" applyBorder="1" applyAlignment="1">
      <alignment horizontal="left"/>
    </xf>
    <xf numFmtId="4" fontId="12" fillId="57" borderId="16" xfId="10" applyNumberFormat="1" applyFont="1" applyFill="1" applyBorder="1" applyAlignment="1">
      <alignment horizontal="center" wrapText="1"/>
    </xf>
    <xf numFmtId="0" fontId="12" fillId="57" borderId="26" xfId="12" applyFill="1" applyBorder="1" applyAlignment="1">
      <alignment horizontal="left" vertical="top" wrapText="1"/>
    </xf>
    <xf numFmtId="2" fontId="12" fillId="57" borderId="26" xfId="10" applyNumberFormat="1" applyFont="1" applyFill="1" applyBorder="1" applyAlignment="1">
      <alignment horizontal="right"/>
    </xf>
    <xf numFmtId="0" fontId="26" fillId="57" borderId="16" xfId="9" applyFont="1" applyFill="1" applyBorder="1" applyAlignment="1">
      <alignment horizontal="justify" vertical="center" wrapText="1"/>
    </xf>
    <xf numFmtId="4" fontId="29" fillId="54" borderId="25" xfId="9" applyNumberFormat="1" applyFont="1" applyBorder="1" applyAlignment="1">
      <alignment horizontal="right" wrapText="1"/>
    </xf>
    <xf numFmtId="0" fontId="30" fillId="54" borderId="16" xfId="9" applyFont="1" applyBorder="1" applyAlignment="1">
      <alignment horizontal="right" vertical="center"/>
    </xf>
    <xf numFmtId="0" fontId="38" fillId="54" borderId="1" xfId="9" applyFont="1"/>
    <xf numFmtId="0" fontId="30" fillId="54" borderId="16" xfId="9" applyFont="1" applyBorder="1" applyAlignment="1">
      <alignment horizontal="left" vertical="center"/>
    </xf>
    <xf numFmtId="0" fontId="30" fillId="54" borderId="21" xfId="9" applyFont="1" applyBorder="1" applyAlignment="1">
      <alignment horizontal="right" vertical="center"/>
    </xf>
    <xf numFmtId="0" fontId="34" fillId="54" borderId="16" xfId="12" applyFont="1" applyBorder="1" applyAlignment="1">
      <alignment horizontal="left" vertical="center" wrapText="1"/>
    </xf>
    <xf numFmtId="0" fontId="12" fillId="54" borderId="19" xfId="12" applyBorder="1" applyAlignment="1">
      <alignment horizontal="center" vertical="center" wrapText="1"/>
    </xf>
    <xf numFmtId="4" fontId="12" fillId="54" borderId="16" xfId="10" applyNumberFormat="1" applyFont="1" applyFill="1" applyBorder="1" applyAlignment="1">
      <alignment horizontal="right" vertical="center"/>
    </xf>
    <xf numFmtId="4" fontId="12" fillId="54" borderId="16" xfId="10" applyNumberFormat="1" applyFont="1" applyFill="1" applyBorder="1" applyAlignment="1">
      <alignment horizontal="center" vertical="center" wrapText="1"/>
    </xf>
    <xf numFmtId="4" fontId="12" fillId="57" borderId="16" xfId="10" applyNumberFormat="1" applyFont="1" applyFill="1" applyBorder="1" applyAlignment="1">
      <alignment horizontal="right" vertical="center"/>
    </xf>
    <xf numFmtId="0" fontId="26" fillId="57" borderId="19" xfId="12" applyFont="1" applyFill="1" applyBorder="1" applyAlignment="1">
      <alignment horizontal="center" vertical="center" wrapText="1"/>
    </xf>
    <xf numFmtId="4" fontId="12" fillId="54" borderId="16" xfId="17" applyNumberFormat="1" applyFont="1" applyFill="1" applyBorder="1" applyAlignment="1">
      <alignment horizontal="right" vertical="center" wrapText="1"/>
    </xf>
    <xf numFmtId="0" fontId="26" fillId="57" borderId="16" xfId="12" applyFont="1" applyFill="1" applyBorder="1" applyAlignment="1">
      <alignment horizontal="right" vertical="center" wrapText="1"/>
    </xf>
    <xf numFmtId="4" fontId="30" fillId="57" borderId="31" xfId="9" applyNumberFormat="1" applyFont="1" applyFill="1" applyBorder="1" applyAlignment="1">
      <alignment horizontal="right" wrapText="1"/>
    </xf>
    <xf numFmtId="0" fontId="12" fillId="57" borderId="26" xfId="9" applyFont="1" applyFill="1" applyBorder="1" applyAlignment="1">
      <alignment horizontal="center" vertical="center" wrapText="1"/>
    </xf>
    <xf numFmtId="0" fontId="12" fillId="57" borderId="1" xfId="12" applyFill="1" applyAlignment="1">
      <alignment horizontal="right" vertical="top" wrapText="1"/>
    </xf>
    <xf numFmtId="4" fontId="30" fillId="54" borderId="18" xfId="9" applyNumberFormat="1" applyFont="1" applyBorder="1" applyAlignment="1">
      <alignment horizontal="right" wrapText="1"/>
    </xf>
    <xf numFmtId="0" fontId="34" fillId="54" borderId="16" xfId="12" applyFont="1" applyBorder="1" applyAlignment="1">
      <alignment horizontal="right" vertical="top" wrapText="1"/>
    </xf>
    <xf numFmtId="0" fontId="26" fillId="57" borderId="18" xfId="9" applyFont="1" applyFill="1" applyBorder="1" applyAlignment="1">
      <alignment horizontal="center" wrapText="1"/>
    </xf>
    <xf numFmtId="0" fontId="26" fillId="57" borderId="18" xfId="9" applyFont="1" applyFill="1" applyBorder="1" applyAlignment="1">
      <alignment wrapText="1"/>
    </xf>
    <xf numFmtId="0" fontId="26" fillId="57" borderId="18" xfId="9" applyFont="1" applyFill="1" applyBorder="1" applyAlignment="1">
      <alignment horizontal="right" wrapText="1"/>
    </xf>
    <xf numFmtId="0" fontId="26" fillId="57" borderId="19" xfId="9" applyFont="1" applyFill="1" applyBorder="1" applyAlignment="1">
      <alignment horizontal="right" wrapText="1"/>
    </xf>
    <xf numFmtId="0" fontId="26" fillId="57" borderId="20" xfId="9" applyFont="1" applyFill="1" applyBorder="1" applyAlignment="1">
      <alignment horizontal="left"/>
    </xf>
    <xf numFmtId="0" fontId="14" fillId="54" borderId="26" xfId="12" applyFont="1" applyBorder="1" applyAlignment="1">
      <alignment horizontal="right" vertical="top" wrapText="1"/>
    </xf>
    <xf numFmtId="0" fontId="30" fillId="57" borderId="26" xfId="9" applyFont="1" applyFill="1" applyBorder="1" applyAlignment="1">
      <alignment horizontal="center"/>
    </xf>
    <xf numFmtId="2" fontId="30" fillId="54" borderId="26" xfId="9" applyNumberFormat="1" applyFont="1" applyBorder="1" applyAlignment="1">
      <alignment horizontal="center" vertical="center"/>
    </xf>
    <xf numFmtId="4" fontId="30" fillId="54" borderId="26" xfId="9" applyNumberFormat="1" applyFont="1" applyBorder="1" applyAlignment="1">
      <alignment horizontal="center" vertical="center"/>
    </xf>
    <xf numFmtId="168" fontId="35" fillId="54" borderId="26" xfId="10" applyFont="1" applyFill="1" applyBorder="1" applyAlignment="1">
      <alignment horizontal="left" vertical="center"/>
    </xf>
    <xf numFmtId="4" fontId="12" fillId="54" borderId="26" xfId="9" applyNumberFormat="1" applyFont="1" applyBorder="1" applyAlignment="1">
      <alignment horizontal="center" vertical="center" wrapText="1"/>
    </xf>
    <xf numFmtId="4" fontId="12" fillId="54" borderId="16" xfId="9" applyNumberFormat="1" applyFont="1" applyBorder="1" applyAlignment="1">
      <alignment horizontal="right" vertical="center" wrapText="1"/>
    </xf>
    <xf numFmtId="0" fontId="34" fillId="57" borderId="16" xfId="12" applyFont="1" applyFill="1" applyBorder="1" applyAlignment="1">
      <alignment horizontal="left" vertical="top" wrapText="1"/>
    </xf>
    <xf numFmtId="0" fontId="30" fillId="54" borderId="1" xfId="9" applyFont="1" applyAlignment="1">
      <alignment horizontal="center"/>
    </xf>
    <xf numFmtId="0" fontId="29" fillId="57" borderId="14" xfId="9" applyFont="1" applyFill="1" applyBorder="1" applyAlignment="1">
      <alignment horizontal="center" vertical="center"/>
    </xf>
    <xf numFmtId="0" fontId="29" fillId="57" borderId="25" xfId="9" applyFont="1" applyFill="1" applyBorder="1" applyAlignment="1">
      <alignment horizontal="center" vertical="center" wrapText="1"/>
    </xf>
    <xf numFmtId="4" fontId="12" fillId="57" borderId="16" xfId="10" applyNumberFormat="1" applyFont="1" applyFill="1" applyBorder="1" applyAlignment="1">
      <alignment horizontal="center" vertical="center"/>
    </xf>
    <xf numFmtId="0" fontId="12" fillId="54" borderId="16" xfId="12" applyBorder="1" applyAlignment="1">
      <alignment horizontal="center" vertical="center" wrapText="1"/>
    </xf>
    <xf numFmtId="4" fontId="12" fillId="57" borderId="16" xfId="17" applyNumberFormat="1" applyFont="1" applyFill="1" applyBorder="1" applyAlignment="1">
      <alignment horizontal="right" vertical="center" wrapText="1"/>
    </xf>
    <xf numFmtId="4" fontId="39" fillId="57" borderId="16" xfId="10" applyNumberFormat="1" applyFont="1" applyFill="1" applyBorder="1" applyAlignment="1">
      <alignment horizontal="center" vertical="center" wrapText="1"/>
    </xf>
    <xf numFmtId="4" fontId="39" fillId="57" borderId="16" xfId="10" applyNumberFormat="1" applyFont="1" applyFill="1" applyBorder="1" applyAlignment="1">
      <alignment horizontal="right" vertical="center" wrapText="1"/>
    </xf>
    <xf numFmtId="4" fontId="40" fillId="54" borderId="16" xfId="10" applyNumberFormat="1" applyFont="1" applyFill="1" applyBorder="1" applyAlignment="1">
      <alignment horizontal="right" vertical="center" wrapText="1"/>
    </xf>
    <xf numFmtId="4" fontId="12" fillId="54" borderId="17" xfId="10" applyNumberFormat="1" applyFont="1" applyFill="1" applyBorder="1" applyAlignment="1">
      <alignment horizontal="right" vertical="center"/>
    </xf>
    <xf numFmtId="4" fontId="12" fillId="57" borderId="17" xfId="10" applyNumberFormat="1" applyFont="1" applyFill="1" applyBorder="1" applyAlignment="1">
      <alignment horizontal="right" vertical="center"/>
    </xf>
    <xf numFmtId="165" fontId="12" fillId="54" borderId="16" xfId="17" applyNumberFormat="1" applyFont="1" applyFill="1" applyBorder="1" applyAlignment="1">
      <alignment horizontal="right" vertical="center" wrapText="1"/>
    </xf>
    <xf numFmtId="4" fontId="26" fillId="54" borderId="16" xfId="10" applyNumberFormat="1" applyFont="1" applyFill="1" applyBorder="1" applyAlignment="1">
      <alignment horizontal="right" vertical="center"/>
    </xf>
    <xf numFmtId="4" fontId="26" fillId="54" borderId="16" xfId="10" applyNumberFormat="1" applyFont="1" applyFill="1" applyBorder="1" applyAlignment="1">
      <alignment horizontal="center" vertical="center"/>
    </xf>
    <xf numFmtId="0" fontId="26" fillId="57" borderId="21" xfId="12" applyFont="1" applyFill="1" applyBorder="1" applyAlignment="1">
      <alignment horizontal="right" vertical="top" wrapText="1"/>
    </xf>
    <xf numFmtId="0" fontId="12" fillId="57" borderId="21" xfId="12" applyFill="1" applyBorder="1" applyAlignment="1">
      <alignment horizontal="center" vertical="top" wrapText="1"/>
    </xf>
    <xf numFmtId="4" fontId="30" fillId="54" borderId="21" xfId="12" applyNumberFormat="1" applyFont="1" applyBorder="1" applyAlignment="1">
      <alignment horizontal="right" wrapText="1"/>
    </xf>
    <xf numFmtId="4" fontId="30" fillId="57" borderId="30" xfId="9" applyNumberFormat="1" applyFont="1" applyFill="1" applyBorder="1" applyAlignment="1">
      <alignment horizontal="right" wrapText="1"/>
    </xf>
    <xf numFmtId="4" fontId="29" fillId="54" borderId="11" xfId="9" applyNumberFormat="1" applyFont="1" applyBorder="1" applyAlignment="1">
      <alignment horizontal="right" wrapText="1"/>
    </xf>
    <xf numFmtId="0" fontId="34" fillId="54" borderId="25" xfId="12" applyFont="1" applyBorder="1" applyAlignment="1">
      <alignment horizontal="right" vertical="top" wrapText="1"/>
    </xf>
    <xf numFmtId="0" fontId="18" fillId="54" borderId="7" xfId="9" applyFont="1" applyBorder="1" applyAlignment="1">
      <alignment horizontal="center" vertical="center" wrapText="1"/>
    </xf>
    <xf numFmtId="0" fontId="18" fillId="54" borderId="7" xfId="9" applyFont="1" applyBorder="1" applyAlignment="1">
      <alignment vertical="top" wrapText="1"/>
    </xf>
    <xf numFmtId="4" fontId="12" fillId="54" borderId="25" xfId="12" applyNumberFormat="1" applyBorder="1" applyAlignment="1">
      <alignment horizontal="right" wrapText="1"/>
    </xf>
    <xf numFmtId="39" fontId="19" fillId="54" borderId="4" xfId="9" applyNumberFormat="1" applyFont="1" applyBorder="1" applyAlignment="1">
      <alignment horizontal="center" vertical="center" wrapText="1"/>
    </xf>
    <xf numFmtId="4" fontId="19" fillId="54" borderId="4" xfId="9" applyNumberFormat="1" applyFont="1" applyBorder="1" applyAlignment="1">
      <alignment horizontal="right" wrapText="1"/>
    </xf>
    <xf numFmtId="0" fontId="26" fillId="57" borderId="16" xfId="3" applyFont="1" applyFill="1" applyBorder="1" applyAlignment="1">
      <alignment horizontal="center" vertical="center"/>
    </xf>
    <xf numFmtId="0" fontId="12" fillId="57" borderId="16" xfId="9" applyFont="1" applyFill="1" applyBorder="1" applyAlignment="1">
      <alignment horizontal="left" wrapText="1"/>
    </xf>
    <xf numFmtId="0" fontId="30" fillId="57" borderId="16" xfId="3" applyFont="1" applyFill="1" applyBorder="1" applyAlignment="1">
      <alignment horizontal="right" vertical="center"/>
    </xf>
    <xf numFmtId="4" fontId="12" fillId="54" borderId="16" xfId="16" applyNumberFormat="1" applyFont="1" applyBorder="1" applyAlignment="1">
      <alignment horizontal="right" wrapText="1"/>
    </xf>
    <xf numFmtId="4" fontId="12" fillId="54" borderId="16" xfId="10" applyNumberFormat="1" applyFont="1" applyBorder="1" applyAlignment="1">
      <alignment horizontal="right"/>
    </xf>
    <xf numFmtId="2" fontId="12" fillId="54" borderId="16" xfId="10" applyNumberFormat="1" applyFont="1" applyFill="1" applyBorder="1" applyAlignment="1">
      <alignment horizontal="right"/>
    </xf>
    <xf numFmtId="0" fontId="30" fillId="54" borderId="1" xfId="9" applyFont="1"/>
    <xf numFmtId="0" fontId="30" fillId="54" borderId="1" xfId="9" applyFont="1" applyAlignment="1">
      <alignment horizontal="right"/>
    </xf>
    <xf numFmtId="0" fontId="42" fillId="54" borderId="1" xfId="18" applyFont="1"/>
    <xf numFmtId="0" fontId="12" fillId="54" borderId="1" xfId="19"/>
    <xf numFmtId="0" fontId="43" fillId="54" borderId="17" xfId="20" applyFont="1" applyBorder="1" applyAlignment="1">
      <alignment horizontal="center" vertical="center"/>
    </xf>
    <xf numFmtId="0" fontId="43" fillId="54" borderId="18" xfId="20" applyFont="1" applyBorder="1" applyAlignment="1">
      <alignment horizontal="center" vertical="center"/>
    </xf>
    <xf numFmtId="0" fontId="43" fillId="54" borderId="15" xfId="20" applyFont="1" applyBorder="1" applyAlignment="1">
      <alignment horizontal="center" vertical="center"/>
    </xf>
    <xf numFmtId="0" fontId="43" fillId="54" borderId="29" xfId="20" applyFont="1" applyBorder="1" applyAlignment="1">
      <alignment horizontal="center" vertical="center"/>
    </xf>
    <xf numFmtId="0" fontId="43" fillId="60" borderId="16" xfId="21" applyFont="1" applyFill="1" applyBorder="1" applyAlignment="1">
      <alignment vertical="center" wrapText="1"/>
    </xf>
    <xf numFmtId="0" fontId="43" fillId="60" borderId="16" xfId="21" applyFont="1" applyFill="1" applyBorder="1" applyAlignment="1">
      <alignment horizontal="center" vertical="center" wrapText="1"/>
    </xf>
    <xf numFmtId="0" fontId="42" fillId="54" borderId="16" xfId="20" applyFont="1" applyBorder="1" applyAlignment="1">
      <alignment horizontal="center" vertical="center"/>
    </xf>
    <xf numFmtId="0" fontId="45" fillId="54" borderId="16" xfId="20" applyFont="1" applyBorder="1" applyAlignment="1">
      <alignment vertical="center" wrapText="1"/>
    </xf>
    <xf numFmtId="0" fontId="42" fillId="54" borderId="16" xfId="21" applyFont="1" applyBorder="1" applyAlignment="1">
      <alignment horizontal="center" vertical="center" wrapText="1"/>
    </xf>
    <xf numFmtId="0" fontId="47" fillId="54" borderId="16" xfId="18" applyFont="1" applyBorder="1" applyAlignment="1">
      <alignment horizontal="center" vertical="center"/>
    </xf>
    <xf numFmtId="0" fontId="48" fillId="54" borderId="16" xfId="20" applyFont="1" applyBorder="1" applyAlignment="1">
      <alignment vertical="center" wrapText="1"/>
    </xf>
    <xf numFmtId="0" fontId="49" fillId="54" borderId="16" xfId="22" applyBorder="1" applyAlignment="1">
      <alignment horizontal="center" vertical="center"/>
    </xf>
    <xf numFmtId="0" fontId="43" fillId="54" borderId="14" xfId="20" applyFont="1" applyBorder="1" applyAlignment="1">
      <alignment horizontal="center" vertical="center"/>
    </xf>
    <xf numFmtId="170" fontId="42" fillId="54" borderId="16" xfId="23" applyFont="1" applyBorder="1" applyAlignment="1">
      <alignment horizontal="center" vertical="center"/>
    </xf>
    <xf numFmtId="0" fontId="42" fillId="54" borderId="16" xfId="24" applyFont="1" applyBorder="1" applyAlignment="1">
      <alignment vertical="center" wrapText="1"/>
    </xf>
    <xf numFmtId="0" fontId="42" fillId="54" borderId="16" xfId="24" applyFont="1" applyBorder="1" applyAlignment="1">
      <alignment horizontal="center" vertical="center" wrapText="1"/>
    </xf>
    <xf numFmtId="4" fontId="43" fillId="54" borderId="16" xfId="24" applyNumberFormat="1" applyFont="1" applyBorder="1" applyAlignment="1">
      <alignment horizontal="center" vertical="center" wrapText="1"/>
    </xf>
    <xf numFmtId="0" fontId="43" fillId="54" borderId="16" xfId="24" applyFont="1" applyBorder="1" applyAlignment="1">
      <alignment horizontal="left" vertical="top" wrapText="1"/>
    </xf>
    <xf numFmtId="2" fontId="42" fillId="57" borderId="16" xfId="24" applyNumberFormat="1" applyFont="1" applyFill="1" applyBorder="1" applyAlignment="1">
      <alignment horizontal="center" vertical="center" wrapText="1"/>
    </xf>
    <xf numFmtId="0" fontId="42" fillId="54" borderId="16" xfId="14" applyFont="1" applyBorder="1" applyAlignment="1">
      <alignment horizontal="center" vertical="center" wrapText="1"/>
    </xf>
    <xf numFmtId="0" fontId="43" fillId="54" borderId="16" xfId="21" applyFont="1" applyBorder="1" applyAlignment="1">
      <alignment horizontal="left" vertical="center" wrapText="1"/>
    </xf>
    <xf numFmtId="14" fontId="42" fillId="54" borderId="16" xfId="14" applyNumberFormat="1" applyFont="1" applyBorder="1" applyAlignment="1">
      <alignment horizontal="center" vertical="center" wrapText="1"/>
    </xf>
    <xf numFmtId="4" fontId="42" fillId="54" borderId="16" xfId="14" applyNumberFormat="1" applyFont="1" applyBorder="1" applyAlignment="1">
      <alignment horizontal="center" vertical="center"/>
    </xf>
    <xf numFmtId="0" fontId="48" fillId="54" borderId="1" xfId="25" applyFont="1"/>
    <xf numFmtId="0" fontId="41" fillId="54" borderId="1" xfId="26"/>
    <xf numFmtId="0" fontId="41" fillId="54" borderId="16" xfId="26" applyBorder="1" applyAlignment="1">
      <alignment horizontal="center" vertical="center"/>
    </xf>
    <xf numFmtId="0" fontId="42" fillId="57" borderId="16" xfId="14" applyFont="1" applyFill="1" applyBorder="1" applyAlignment="1">
      <alignment horizontal="center" vertical="center" wrapText="1"/>
    </xf>
    <xf numFmtId="14" fontId="42" fillId="57" borderId="16" xfId="14" applyNumberFormat="1" applyFont="1" applyFill="1" applyBorder="1" applyAlignment="1">
      <alignment horizontal="center" vertical="center" wrapText="1"/>
    </xf>
    <xf numFmtId="4" fontId="42" fillId="57" borderId="16" xfId="14" applyNumberFormat="1" applyFont="1" applyFill="1" applyBorder="1" applyAlignment="1">
      <alignment horizontal="center" vertical="center"/>
    </xf>
    <xf numFmtId="0" fontId="13" fillId="57" borderId="16" xfId="21" applyFont="1" applyFill="1" applyBorder="1" applyAlignment="1">
      <alignment horizontal="left" vertical="top" wrapText="1"/>
    </xf>
    <xf numFmtId="0" fontId="42" fillId="57" borderId="16" xfId="27" applyFont="1" applyFill="1" applyBorder="1" applyAlignment="1">
      <alignment horizontal="center" vertical="center" wrapText="1"/>
    </xf>
    <xf numFmtId="14" fontId="42" fillId="57" borderId="16" xfId="27" applyNumberFormat="1" applyFont="1" applyFill="1" applyBorder="1" applyAlignment="1">
      <alignment horizontal="center" vertical="center" wrapText="1"/>
    </xf>
    <xf numFmtId="4" fontId="14" fillId="57" borderId="5" xfId="5" applyNumberFormat="1" applyFont="1" applyFill="1" applyBorder="1" applyAlignment="1">
      <alignment horizontal="center" vertical="center" wrapText="1"/>
    </xf>
    <xf numFmtId="0" fontId="50" fillId="57" borderId="1" xfId="5" applyFont="1" applyFill="1"/>
    <xf numFmtId="0" fontId="41" fillId="57" borderId="16" xfId="26" applyFill="1" applyBorder="1" applyAlignment="1">
      <alignment horizontal="center" vertical="center" wrapText="1"/>
    </xf>
    <xf numFmtId="0" fontId="14" fillId="57" borderId="16" xfId="14" applyFont="1" applyFill="1" applyBorder="1" applyAlignment="1">
      <alignment horizontal="center" vertical="center" wrapText="1"/>
    </xf>
    <xf numFmtId="170" fontId="14" fillId="57" borderId="16" xfId="21" applyNumberFormat="1" applyFont="1" applyFill="1" applyBorder="1" applyAlignment="1">
      <alignment horizontal="center" vertical="center" wrapText="1"/>
    </xf>
    <xf numFmtId="0" fontId="14" fillId="57" borderId="16" xfId="21" applyFont="1" applyFill="1" applyBorder="1" applyAlignment="1">
      <alignment horizontal="center" vertical="center" wrapText="1"/>
    </xf>
    <xf numFmtId="4" fontId="14" fillId="57" borderId="16" xfId="21" applyNumberFormat="1" applyFont="1" applyFill="1" applyBorder="1" applyAlignment="1">
      <alignment horizontal="center" vertical="center" wrapText="1"/>
    </xf>
    <xf numFmtId="0" fontId="0" fillId="11" borderId="1" xfId="0" applyFill="1" applyBorder="1" applyAlignment="1" applyProtection="1">
      <alignment wrapText="1"/>
      <protection locked="0"/>
    </xf>
    <xf numFmtId="0" fontId="18" fillId="12" borderId="1" xfId="0" applyFont="1" applyFill="1" applyBorder="1" applyAlignment="1">
      <alignment horizontal="left" vertical="center" wrapText="1"/>
    </xf>
    <xf numFmtId="0" fontId="19" fillId="14" borderId="1" xfId="0" applyFont="1" applyFill="1" applyBorder="1" applyAlignment="1">
      <alignment horizontal="left" vertical="center" wrapText="1"/>
    </xf>
    <xf numFmtId="0" fontId="21" fillId="2" borderId="1" xfId="0" applyFont="1" applyFill="1" applyBorder="1" applyAlignment="1" applyProtection="1">
      <alignment wrapText="1"/>
      <protection locked="0"/>
    </xf>
    <xf numFmtId="0" fontId="10" fillId="4" borderId="2" xfId="0" applyFont="1" applyFill="1" applyBorder="1" applyAlignment="1">
      <alignment horizontal="left" vertical="center" wrapText="1"/>
    </xf>
    <xf numFmtId="0" fontId="10" fillId="10" borderId="2" xfId="0" applyFont="1" applyFill="1" applyBorder="1" applyAlignment="1">
      <alignment horizontal="right" vertical="center" wrapText="1"/>
    </xf>
    <xf numFmtId="0" fontId="30" fillId="54" borderId="17" xfId="9" applyFont="1" applyBorder="1" applyAlignment="1">
      <alignment horizontal="center"/>
    </xf>
    <xf numFmtId="0" fontId="30" fillId="54" borderId="18" xfId="9" applyFont="1" applyBorder="1" applyAlignment="1">
      <alignment horizontal="center"/>
    </xf>
    <xf numFmtId="0" fontId="30" fillId="54" borderId="19" xfId="9" applyFont="1" applyBorder="1" applyAlignment="1">
      <alignment horizontal="center"/>
    </xf>
    <xf numFmtId="0" fontId="26" fillId="58" borderId="17" xfId="3" applyFont="1" applyFill="1" applyBorder="1" applyAlignment="1">
      <alignment horizontal="center" vertical="center"/>
    </xf>
    <xf numFmtId="0" fontId="26" fillId="58" borderId="18" xfId="3" applyFont="1" applyFill="1" applyBorder="1" applyAlignment="1">
      <alignment horizontal="center" vertical="center"/>
    </xf>
    <xf numFmtId="0" fontId="30" fillId="54" borderId="17" xfId="9" applyFont="1" applyBorder="1" applyAlignment="1">
      <alignment horizontal="center" vertical="center"/>
    </xf>
    <xf numFmtId="0" fontId="30" fillId="54" borderId="18" xfId="9" applyFont="1" applyBorder="1" applyAlignment="1">
      <alignment horizontal="center" vertical="center"/>
    </xf>
    <xf numFmtId="0" fontId="30" fillId="54" borderId="19" xfId="9" applyFont="1" applyBorder="1" applyAlignment="1">
      <alignment horizontal="center" vertical="center"/>
    </xf>
    <xf numFmtId="0" fontId="26" fillId="54" borderId="16" xfId="3" applyFont="1" applyBorder="1" applyAlignment="1">
      <alignment horizontal="center" vertical="center"/>
    </xf>
    <xf numFmtId="0" fontId="30" fillId="57" borderId="17" xfId="9" applyFont="1" applyFill="1" applyBorder="1" applyAlignment="1">
      <alignment horizontal="center" vertical="center"/>
    </xf>
    <xf numFmtId="0" fontId="30" fillId="57" borderId="18" xfId="9" applyFont="1" applyFill="1" applyBorder="1" applyAlignment="1">
      <alignment horizontal="center" vertical="center"/>
    </xf>
    <xf numFmtId="0" fontId="30" fillId="57" borderId="19" xfId="9" applyFont="1" applyFill="1" applyBorder="1" applyAlignment="1">
      <alignment horizontal="center" vertical="center"/>
    </xf>
    <xf numFmtId="0" fontId="30" fillId="57" borderId="20" xfId="9" applyFont="1" applyFill="1" applyBorder="1" applyAlignment="1">
      <alignment horizontal="center"/>
    </xf>
    <xf numFmtId="0" fontId="30" fillId="57" borderId="21" xfId="9" applyFont="1" applyFill="1" applyBorder="1" applyAlignment="1">
      <alignment horizontal="center"/>
    </xf>
    <xf numFmtId="0" fontId="30" fillId="57" borderId="30" xfId="9" applyFont="1" applyFill="1" applyBorder="1" applyAlignment="1">
      <alignment horizontal="center"/>
    </xf>
    <xf numFmtId="0" fontId="26" fillId="57" borderId="20" xfId="9" applyFont="1" applyFill="1" applyBorder="1" applyAlignment="1">
      <alignment horizontal="center"/>
    </xf>
    <xf numFmtId="0" fontId="26" fillId="57" borderId="21" xfId="9" applyFont="1" applyFill="1" applyBorder="1" applyAlignment="1">
      <alignment horizontal="center"/>
    </xf>
    <xf numFmtId="0" fontId="26" fillId="57" borderId="17" xfId="9" applyFont="1" applyFill="1" applyBorder="1" applyAlignment="1">
      <alignment horizontal="center"/>
    </xf>
    <xf numFmtId="0" fontId="26" fillId="57" borderId="18" xfId="9" applyFont="1" applyFill="1" applyBorder="1" applyAlignment="1">
      <alignment horizontal="center"/>
    </xf>
    <xf numFmtId="0" fontId="26" fillId="57" borderId="19" xfId="9" applyFont="1" applyFill="1" applyBorder="1" applyAlignment="1">
      <alignment horizontal="center"/>
    </xf>
    <xf numFmtId="0" fontId="30" fillId="57" borderId="17" xfId="9" applyFont="1" applyFill="1" applyBorder="1" applyAlignment="1">
      <alignment horizontal="center"/>
    </xf>
    <xf numFmtId="0" fontId="30" fillId="57" borderId="18" xfId="9" applyFont="1" applyFill="1" applyBorder="1" applyAlignment="1">
      <alignment horizontal="center"/>
    </xf>
    <xf numFmtId="0" fontId="30" fillId="57" borderId="19" xfId="9" applyFont="1" applyFill="1" applyBorder="1" applyAlignment="1">
      <alignment horizontal="center"/>
    </xf>
    <xf numFmtId="0" fontId="30" fillId="54" borderId="14" xfId="9" applyFont="1" applyBorder="1" applyAlignment="1">
      <alignment horizontal="center" vertical="center"/>
    </xf>
    <xf numFmtId="0" fontId="30" fillId="54" borderId="15" xfId="9" applyFont="1" applyBorder="1" applyAlignment="1">
      <alignment horizontal="center" vertical="center"/>
    </xf>
    <xf numFmtId="0" fontId="30" fillId="54" borderId="29" xfId="9" applyFont="1" applyBorder="1" applyAlignment="1">
      <alignment horizontal="center" vertical="center"/>
    </xf>
    <xf numFmtId="0" fontId="30" fillId="54" borderId="16" xfId="9" applyFont="1" applyBorder="1" applyAlignment="1">
      <alignment horizontal="center" vertical="center"/>
    </xf>
    <xf numFmtId="0" fontId="29" fillId="57" borderId="17" xfId="9" applyFont="1" applyFill="1" applyBorder="1" applyAlignment="1">
      <alignment horizontal="center" vertical="center"/>
    </xf>
    <xf numFmtId="0" fontId="29" fillId="57" borderId="18" xfId="9" applyFont="1" applyFill="1" applyBorder="1" applyAlignment="1">
      <alignment horizontal="center" vertical="center"/>
    </xf>
    <xf numFmtId="0" fontId="29" fillId="57" borderId="19" xfId="9" applyFont="1" applyFill="1" applyBorder="1" applyAlignment="1">
      <alignment horizontal="center" vertical="center"/>
    </xf>
    <xf numFmtId="0" fontId="26" fillId="54" borderId="17" xfId="3" applyFont="1" applyBorder="1" applyAlignment="1">
      <alignment horizontal="center" vertical="center"/>
    </xf>
    <xf numFmtId="0" fontId="26" fillId="54" borderId="18" xfId="3" applyFont="1" applyBorder="1" applyAlignment="1">
      <alignment horizontal="center" vertical="center"/>
    </xf>
    <xf numFmtId="0" fontId="26" fillId="54" borderId="19" xfId="3" applyFont="1" applyBorder="1" applyAlignment="1">
      <alignment horizontal="center" vertical="center"/>
    </xf>
    <xf numFmtId="0" fontId="26" fillId="57" borderId="13" xfId="9" applyFont="1" applyFill="1" applyBorder="1" applyAlignment="1">
      <alignment horizontal="center"/>
    </xf>
    <xf numFmtId="0" fontId="26" fillId="57" borderId="1" xfId="9" applyFont="1" applyFill="1" applyAlignment="1">
      <alignment horizontal="center"/>
    </xf>
    <xf numFmtId="0" fontId="30" fillId="54" borderId="16" xfId="9" applyFont="1" applyBorder="1" applyAlignment="1">
      <alignment horizontal="center"/>
    </xf>
    <xf numFmtId="0" fontId="30" fillId="54" borderId="20" xfId="9" applyFont="1" applyBorder="1" applyAlignment="1">
      <alignment horizontal="center"/>
    </xf>
    <xf numFmtId="0" fontId="30" fillId="54" borderId="21" xfId="9" applyFont="1" applyBorder="1" applyAlignment="1">
      <alignment horizontal="center"/>
    </xf>
    <xf numFmtId="0" fontId="30" fillId="54" borderId="20" xfId="9" applyFont="1" applyBorder="1" applyAlignment="1">
      <alignment horizontal="center" vertical="center"/>
    </xf>
    <xf numFmtId="0" fontId="30" fillId="54" borderId="21" xfId="9" applyFont="1" applyBorder="1" applyAlignment="1">
      <alignment horizontal="center" vertical="center"/>
    </xf>
    <xf numFmtId="0" fontId="30" fillId="54" borderId="30" xfId="9" applyFont="1" applyBorder="1" applyAlignment="1">
      <alignment horizontal="center" vertical="center"/>
    </xf>
    <xf numFmtId="0" fontId="30" fillId="57" borderId="16" xfId="9" applyFont="1" applyFill="1" applyBorder="1" applyAlignment="1">
      <alignment horizontal="center" vertical="center"/>
    </xf>
    <xf numFmtId="0" fontId="29" fillId="54" borderId="17" xfId="9" applyFont="1" applyBorder="1" applyAlignment="1">
      <alignment horizontal="center" vertical="center"/>
    </xf>
    <xf numFmtId="0" fontId="29" fillId="54" borderId="18" xfId="9" applyFont="1" applyBorder="1" applyAlignment="1">
      <alignment horizontal="center" vertical="center"/>
    </xf>
    <xf numFmtId="0" fontId="29" fillId="54" borderId="19" xfId="9" applyFont="1" applyBorder="1" applyAlignment="1">
      <alignment horizontal="center" vertical="center"/>
    </xf>
    <xf numFmtId="0" fontId="26" fillId="57" borderId="31" xfId="9" applyFont="1" applyFill="1" applyBorder="1" applyAlignment="1">
      <alignment horizontal="center"/>
    </xf>
    <xf numFmtId="0" fontId="26" fillId="57" borderId="16" xfId="9" applyFont="1" applyFill="1" applyBorder="1" applyAlignment="1">
      <alignment horizontal="center"/>
    </xf>
    <xf numFmtId="0" fontId="26" fillId="55" borderId="16" xfId="3" applyFont="1" applyFill="1" applyBorder="1" applyAlignment="1">
      <alignment horizontal="left" vertical="top"/>
    </xf>
    <xf numFmtId="0" fontId="26" fillId="55" borderId="22" xfId="3" applyFont="1" applyFill="1" applyBorder="1" applyAlignment="1">
      <alignment horizontal="left" vertical="top" wrapText="1"/>
    </xf>
    <xf numFmtId="0" fontId="26" fillId="55" borderId="23" xfId="3" applyFont="1" applyFill="1" applyBorder="1" applyAlignment="1">
      <alignment horizontal="left" vertical="top" wrapText="1"/>
    </xf>
    <xf numFmtId="0" fontId="26" fillId="55" borderId="24" xfId="3" applyFont="1" applyFill="1" applyBorder="1" applyAlignment="1">
      <alignment horizontal="left" vertical="top" wrapText="1"/>
    </xf>
    <xf numFmtId="0" fontId="26" fillId="55" borderId="20" xfId="3" applyFont="1" applyFill="1" applyBorder="1" applyAlignment="1">
      <alignment horizontal="center" vertical="top" wrapText="1"/>
    </xf>
    <xf numFmtId="0" fontId="26" fillId="55" borderId="21" xfId="3" applyFont="1" applyFill="1" applyBorder="1" applyAlignment="1">
      <alignment horizontal="center" vertical="top" wrapText="1"/>
    </xf>
    <xf numFmtId="0" fontId="26" fillId="55" borderId="13" xfId="3" applyFont="1" applyFill="1" applyBorder="1" applyAlignment="1">
      <alignment horizontal="center" vertical="top" wrapText="1"/>
    </xf>
    <xf numFmtId="0" fontId="26" fillId="55" borderId="1" xfId="3" applyFont="1" applyFill="1" applyAlignment="1">
      <alignment horizontal="center" vertical="top" wrapText="1"/>
    </xf>
    <xf numFmtId="0" fontId="26" fillId="55" borderId="14" xfId="3" applyFont="1" applyFill="1" applyBorder="1" applyAlignment="1">
      <alignment horizontal="center" vertical="top" wrapText="1"/>
    </xf>
    <xf numFmtId="0" fontId="26" fillId="55" borderId="15" xfId="3" applyFont="1" applyFill="1" applyBorder="1" applyAlignment="1">
      <alignment horizontal="center" vertical="top" wrapText="1"/>
    </xf>
    <xf numFmtId="0" fontId="26" fillId="56" borderId="17" xfId="3" applyFont="1" applyFill="1" applyBorder="1" applyAlignment="1">
      <alignment horizontal="center" vertical="center"/>
    </xf>
    <xf numFmtId="0" fontId="26" fillId="56" borderId="18" xfId="3" applyFont="1" applyFill="1" applyBorder="1" applyAlignment="1">
      <alignment horizontal="center" vertical="center"/>
    </xf>
    <xf numFmtId="0" fontId="26" fillId="56" borderId="19" xfId="3" applyFont="1" applyFill="1" applyBorder="1" applyAlignment="1">
      <alignment horizontal="center" vertical="center"/>
    </xf>
    <xf numFmtId="0" fontId="26" fillId="55" borderId="16" xfId="3" applyFont="1" applyFill="1" applyBorder="1" applyAlignment="1">
      <alignment horizontal="left" vertical="center" wrapText="1"/>
    </xf>
    <xf numFmtId="0" fontId="4" fillId="22" borderId="2" xfId="0" applyFont="1" applyFill="1" applyBorder="1" applyAlignment="1">
      <alignment horizontal="justify" vertical="top" wrapText="1"/>
    </xf>
    <xf numFmtId="0" fontId="4" fillId="21" borderId="2" xfId="0" applyFont="1" applyFill="1" applyBorder="1" applyAlignment="1">
      <alignment horizontal="center" vertical="top" wrapText="1"/>
    </xf>
    <xf numFmtId="0" fontId="4" fillId="17" borderId="1" xfId="0" applyFont="1" applyFill="1" applyBorder="1" applyAlignment="1">
      <alignment horizontal="left" vertical="top" wrapText="1"/>
    </xf>
    <xf numFmtId="0" fontId="10" fillId="18" borderId="2" xfId="0" applyFont="1" applyFill="1" applyBorder="1" applyAlignment="1">
      <alignment horizontal="left" vertical="center" wrapText="1"/>
    </xf>
    <xf numFmtId="0" fontId="22" fillId="19" borderId="2" xfId="0" applyFont="1" applyFill="1" applyBorder="1" applyAlignment="1">
      <alignment horizontal="left" vertical="center" wrapText="1"/>
    </xf>
    <xf numFmtId="0" fontId="10" fillId="20" borderId="2" xfId="0" applyFont="1" applyFill="1" applyBorder="1" applyAlignment="1">
      <alignment horizontal="center" vertical="center" wrapText="1"/>
    </xf>
    <xf numFmtId="0" fontId="22" fillId="25" borderId="2" xfId="0" applyFont="1" applyFill="1" applyBorder="1" applyAlignment="1">
      <alignment horizontal="right" vertical="top" wrapText="1"/>
    </xf>
    <xf numFmtId="0" fontId="16" fillId="27" borderId="1" xfId="0" applyFont="1" applyFill="1" applyBorder="1" applyAlignment="1">
      <alignment horizontal="left" vertical="top" wrapText="1"/>
    </xf>
    <xf numFmtId="0" fontId="10" fillId="28" borderId="2" xfId="0" applyFont="1" applyFill="1" applyBorder="1" applyAlignment="1">
      <alignment horizontal="right" vertical="center" wrapText="1"/>
    </xf>
    <xf numFmtId="0" fontId="10" fillId="29" borderId="3" xfId="0" applyFont="1" applyFill="1" applyBorder="1" applyAlignment="1">
      <alignment horizontal="left" vertical="center" wrapText="1"/>
    </xf>
    <xf numFmtId="0" fontId="10" fillId="30" borderId="4"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5" borderId="2" xfId="0" applyFont="1" applyFill="1" applyBorder="1" applyAlignment="1">
      <alignment horizontal="left" vertical="center" wrapText="1"/>
    </xf>
    <xf numFmtId="0" fontId="16" fillId="36" borderId="5" xfId="0" applyFont="1" applyFill="1" applyBorder="1" applyAlignment="1">
      <alignment horizontal="left" vertical="center" wrapText="1"/>
    </xf>
    <xf numFmtId="164" fontId="16" fillId="31" borderId="2" xfId="0" applyNumberFormat="1" applyFont="1" applyFill="1" applyBorder="1" applyAlignment="1">
      <alignment horizontal="center" vertical="center" wrapText="1"/>
    </xf>
    <xf numFmtId="0" fontId="4" fillId="22" borderId="2" xfId="0" applyFont="1" applyFill="1" applyBorder="1" applyAlignment="1">
      <alignment horizontal="justify" vertical="top"/>
    </xf>
    <xf numFmtId="0" fontId="5" fillId="54" borderId="1" xfId="2" applyFont="1" applyAlignment="1">
      <alignment horizontal="right" vertical="center" wrapText="1"/>
    </xf>
    <xf numFmtId="4" fontId="8" fillId="54" borderId="1" xfId="2" applyNumberFormat="1" applyFont="1" applyAlignment="1">
      <alignment horizontal="right" vertical="center" wrapText="1"/>
    </xf>
    <xf numFmtId="0" fontId="11" fillId="54" borderId="1" xfId="2" applyAlignment="1" applyProtection="1">
      <alignment wrapText="1"/>
      <protection locked="0"/>
    </xf>
    <xf numFmtId="0" fontId="0" fillId="54" borderId="16" xfId="5" applyFont="1" applyBorder="1" applyAlignment="1" applyProtection="1">
      <alignment horizontal="center" vertical="top" wrapText="1"/>
      <protection locked="0"/>
    </xf>
    <xf numFmtId="0" fontId="13" fillId="54" borderId="1" xfId="5" applyFont="1" applyAlignment="1">
      <alignment horizontal="right" vertical="center" wrapText="1"/>
    </xf>
    <xf numFmtId="0" fontId="15" fillId="54" borderId="1" xfId="5" applyFont="1" applyAlignment="1" applyProtection="1">
      <alignment horizontal="right" vertical="center" wrapText="1"/>
      <protection locked="0"/>
    </xf>
    <xf numFmtId="4" fontId="17" fillId="54" borderId="1" xfId="5" applyNumberFormat="1" applyFont="1" applyAlignment="1">
      <alignment horizontal="right" vertical="center" wrapText="1"/>
    </xf>
    <xf numFmtId="0" fontId="17" fillId="54" borderId="1" xfId="5" applyFont="1" applyAlignment="1" applyProtection="1">
      <alignment horizontal="right" vertical="center" wrapText="1"/>
      <protection locked="0"/>
    </xf>
    <xf numFmtId="0" fontId="13" fillId="55" borderId="13" xfId="3" applyFont="1" applyFill="1" applyBorder="1" applyAlignment="1">
      <alignment horizontal="center" vertical="top" wrapText="1"/>
    </xf>
    <xf numFmtId="0" fontId="13" fillId="55" borderId="1" xfId="3" applyFont="1" applyFill="1" applyAlignment="1">
      <alignment horizontal="center" vertical="top" wrapText="1"/>
    </xf>
    <xf numFmtId="0" fontId="14" fillId="54" borderId="14" xfId="4" applyFont="1" applyBorder="1" applyAlignment="1">
      <alignment horizontal="center" vertical="top" wrapText="1"/>
    </xf>
    <xf numFmtId="0" fontId="14" fillId="54" borderId="15" xfId="4" applyFont="1" applyBorder="1" applyAlignment="1">
      <alignment horizontal="center" vertical="top" wrapText="1"/>
    </xf>
    <xf numFmtId="0" fontId="13" fillId="54" borderId="17" xfId="4" applyFont="1" applyBorder="1" applyAlignment="1">
      <alignment horizontal="center" vertical="top"/>
    </xf>
    <xf numFmtId="0" fontId="13" fillId="54" borderId="18" xfId="4" applyFont="1" applyBorder="1" applyAlignment="1">
      <alignment horizontal="center" vertical="top"/>
    </xf>
    <xf numFmtId="0" fontId="13" fillId="54" borderId="19" xfId="4" applyFont="1" applyBorder="1" applyAlignment="1">
      <alignment horizontal="center" vertical="top"/>
    </xf>
    <xf numFmtId="0" fontId="24" fillId="37" borderId="1" xfId="0" applyFont="1" applyFill="1" applyBorder="1" applyAlignment="1">
      <alignment horizontal="right" vertical="center" wrapText="1"/>
    </xf>
    <xf numFmtId="4" fontId="25" fillId="44" borderId="1" xfId="0" applyNumberFormat="1" applyFont="1" applyFill="1" applyBorder="1" applyAlignment="1">
      <alignment horizontal="right" vertical="center" wrapText="1"/>
    </xf>
    <xf numFmtId="0" fontId="23" fillId="2" borderId="1" xfId="0" applyFont="1" applyFill="1" applyBorder="1" applyAlignment="1" applyProtection="1">
      <alignment wrapText="1"/>
      <protection locked="0"/>
    </xf>
    <xf numFmtId="0" fontId="11" fillId="54" borderId="1" xfId="8" applyAlignment="1" applyProtection="1">
      <alignment wrapText="1"/>
      <protection locked="0"/>
    </xf>
    <xf numFmtId="0" fontId="4" fillId="45" borderId="2" xfId="8" applyFont="1" applyFill="1" applyBorder="1" applyAlignment="1">
      <alignment horizontal="center" vertical="center" wrapText="1"/>
    </xf>
    <xf numFmtId="0" fontId="9" fillId="54" borderId="2" xfId="8" applyFont="1" applyBorder="1" applyAlignment="1">
      <alignment horizontal="left" vertical="center" wrapText="1"/>
    </xf>
    <xf numFmtId="0" fontId="8" fillId="54" borderId="2" xfId="8" applyFont="1" applyBorder="1" applyAlignment="1">
      <alignment horizontal="left" vertical="center" wrapText="1"/>
    </xf>
    <xf numFmtId="4" fontId="8" fillId="54" borderId="2" xfId="8" applyNumberFormat="1" applyFont="1" applyBorder="1" applyAlignment="1">
      <alignment horizontal="right" vertical="center" wrapText="1"/>
    </xf>
    <xf numFmtId="166" fontId="7" fillId="54" borderId="4" xfId="8" applyNumberFormat="1" applyFont="1" applyBorder="1" applyAlignment="1">
      <alignment horizontal="right" vertical="center" wrapText="1"/>
    </xf>
    <xf numFmtId="4" fontId="8" fillId="45" borderId="2" xfId="8" applyNumberFormat="1" applyFont="1" applyFill="1" applyBorder="1" applyAlignment="1">
      <alignment horizontal="right" vertical="center" wrapText="1"/>
    </xf>
    <xf numFmtId="4" fontId="6" fillId="45" borderId="11" xfId="8" applyNumberFormat="1" applyFont="1" applyFill="1" applyBorder="1" applyAlignment="1">
      <alignment horizontal="right" vertical="center" wrapText="1"/>
    </xf>
    <xf numFmtId="4" fontId="8" fillId="45" borderId="4" xfId="8" applyNumberFormat="1" applyFont="1" applyFill="1" applyBorder="1" applyAlignment="1">
      <alignment horizontal="right" vertical="center" wrapText="1"/>
    </xf>
    <xf numFmtId="0" fontId="0" fillId="2" borderId="1" xfId="0" applyFill="1" applyBorder="1" applyAlignment="1" applyProtection="1">
      <alignment wrapText="1"/>
      <protection locked="0"/>
    </xf>
    <xf numFmtId="0" fontId="5" fillId="37" borderId="1" xfId="0" applyFont="1" applyFill="1" applyBorder="1" applyAlignment="1">
      <alignment horizontal="right" vertical="center" wrapText="1"/>
    </xf>
    <xf numFmtId="0" fontId="10" fillId="54" borderId="1" xfId="0" applyFont="1" applyFill="1" applyBorder="1" applyAlignment="1">
      <alignment horizontal="left" vertical="center" wrapText="1"/>
    </xf>
    <xf numFmtId="170" fontId="17" fillId="57" borderId="26" xfId="23" applyFill="1" applyBorder="1" applyAlignment="1">
      <alignment horizontal="center" vertical="center"/>
    </xf>
    <xf numFmtId="170" fontId="17" fillId="57" borderId="27" xfId="23" applyFill="1" applyBorder="1" applyAlignment="1">
      <alignment horizontal="center" vertical="center"/>
    </xf>
    <xf numFmtId="170" fontId="17" fillId="57" borderId="25" xfId="23" applyFill="1" applyBorder="1" applyAlignment="1">
      <alignment horizontal="center" vertical="center"/>
    </xf>
    <xf numFmtId="0" fontId="14" fillId="57" borderId="26" xfId="21" applyFont="1" applyFill="1" applyBorder="1" applyAlignment="1">
      <alignment horizontal="center" vertical="center" wrapText="1"/>
    </xf>
    <xf numFmtId="0" fontId="14" fillId="57" borderId="27" xfId="21" applyFont="1" applyFill="1" applyBorder="1" applyAlignment="1">
      <alignment horizontal="center" vertical="center" wrapText="1"/>
    </xf>
    <xf numFmtId="0" fontId="14" fillId="57" borderId="25" xfId="21" applyFont="1" applyFill="1" applyBorder="1" applyAlignment="1">
      <alignment horizontal="center" vertical="center" wrapText="1"/>
    </xf>
    <xf numFmtId="4" fontId="13" fillId="57" borderId="26" xfId="21" applyNumberFormat="1" applyFont="1" applyFill="1" applyBorder="1" applyAlignment="1">
      <alignment horizontal="center" vertical="center" wrapText="1"/>
    </xf>
    <xf numFmtId="4" fontId="13" fillId="57" borderId="27" xfId="21" applyNumberFormat="1" applyFont="1" applyFill="1" applyBorder="1" applyAlignment="1">
      <alignment horizontal="center" vertical="center" wrapText="1"/>
    </xf>
    <xf numFmtId="4" fontId="13" fillId="57" borderId="25" xfId="21" applyNumberFormat="1" applyFont="1" applyFill="1" applyBorder="1" applyAlignment="1">
      <alignment horizontal="center" vertical="center" wrapText="1"/>
    </xf>
    <xf numFmtId="0" fontId="46" fillId="54" borderId="17" xfId="21" applyFont="1" applyBorder="1" applyAlignment="1">
      <alignment horizontal="center" vertical="center" wrapText="1"/>
    </xf>
    <xf numFmtId="0" fontId="46" fillId="54" borderId="19" xfId="21" applyFont="1" applyBorder="1" applyAlignment="1">
      <alignment horizontal="center" vertical="center" wrapText="1"/>
    </xf>
    <xf numFmtId="0" fontId="43" fillId="54" borderId="16" xfId="20" applyFont="1" applyBorder="1" applyAlignment="1">
      <alignment horizontal="center" vertical="center"/>
    </xf>
    <xf numFmtId="0" fontId="42" fillId="54" borderId="16" xfId="14" applyFont="1" applyBorder="1" applyAlignment="1">
      <alignment horizontal="center" vertical="center" wrapText="1"/>
    </xf>
    <xf numFmtId="0" fontId="42" fillId="54" borderId="16" xfId="21" applyFont="1" applyBorder="1" applyAlignment="1">
      <alignment horizontal="left" vertical="center" wrapText="1"/>
    </xf>
    <xf numFmtId="0" fontId="42" fillId="54" borderId="16" xfId="21" applyFont="1" applyBorder="1" applyAlignment="1">
      <alignment horizontal="center" vertical="center" wrapText="1"/>
    </xf>
    <xf numFmtId="4" fontId="43" fillId="54" borderId="16" xfId="21" applyNumberFormat="1" applyFont="1" applyBorder="1" applyAlignment="1">
      <alignment horizontal="center" vertical="center" wrapText="1"/>
    </xf>
    <xf numFmtId="0" fontId="43" fillId="54" borderId="16" xfId="21" applyFont="1" applyBorder="1" applyAlignment="1">
      <alignment horizontal="center" vertical="center" wrapText="1"/>
    </xf>
    <xf numFmtId="0" fontId="43" fillId="60" borderId="16" xfId="21" applyFont="1" applyFill="1" applyBorder="1" applyAlignment="1">
      <alignment horizontal="center" vertical="center" wrapText="1"/>
    </xf>
    <xf numFmtId="0" fontId="42" fillId="54" borderId="17" xfId="21" applyFont="1" applyBorder="1" applyAlignment="1">
      <alignment horizontal="center" vertical="center" wrapText="1"/>
    </xf>
    <xf numFmtId="0" fontId="42" fillId="54" borderId="19" xfId="21" applyFont="1" applyBorder="1" applyAlignment="1">
      <alignment horizontal="center" vertical="center" wrapText="1"/>
    </xf>
  </cellXfs>
  <cellStyles count="28">
    <cellStyle name="Hiperlink 2" xfId="22" xr:uid="{B0719FB5-3C31-45C2-A971-2E96F057BA18}"/>
    <cellStyle name="Hiperlink 3" xfId="26" xr:uid="{0917F84E-AF79-4649-ABE8-05B5491EAF71}"/>
    <cellStyle name="Normal" xfId="0" builtinId="0"/>
    <cellStyle name="Normal 10 2" xfId="4" xr:uid="{3497EEFD-7B6B-4BC0-BE4D-D902C3D05E01}"/>
    <cellStyle name="Normal 14 3" xfId="14" xr:uid="{14AFD966-1E9A-4554-8CC1-84C7073C0A9F}"/>
    <cellStyle name="Normal 14 5" xfId="20" xr:uid="{68945F0C-2816-43FE-B0D3-3932550603A7}"/>
    <cellStyle name="Normal 2" xfId="2" xr:uid="{DDDB1C40-435E-4C08-99B8-E7C1294A0FBD}"/>
    <cellStyle name="Normal 2 2 2 4" xfId="5" xr:uid="{36AB0FB8-4192-4950-B5B0-340E0F533B5D}"/>
    <cellStyle name="Normal 2 2 3" xfId="12" xr:uid="{59B6F4DE-F085-4FE1-B6A0-44EE97DA1C43}"/>
    <cellStyle name="Normal 2 3 2" xfId="24" xr:uid="{B3BF3202-D35C-4F46-8CA3-BEFF6E97D700}"/>
    <cellStyle name="Normal 2 3 2 2" xfId="21" xr:uid="{23EDF8A1-049E-47D4-8AFC-6BCFE9B14A7D}"/>
    <cellStyle name="Normal 2 3 2 2 2" xfId="27" xr:uid="{026408A6-5764-4D42-A2E4-46141C7CA481}"/>
    <cellStyle name="Normal 3" xfId="8" xr:uid="{9669905C-1B6D-4FA0-B2E5-19451D156702}"/>
    <cellStyle name="Normal 35" xfId="25" xr:uid="{E5E88640-CF52-4656-8FBC-8DA333B1951D}"/>
    <cellStyle name="Normal 4" xfId="7" xr:uid="{8A4BFC58-8933-4FFC-82A0-7AC6A928D628}"/>
    <cellStyle name="Normal 4 2" xfId="18" xr:uid="{E969202A-8F53-424B-9035-052210EA6253}"/>
    <cellStyle name="Normal 43 2" xfId="23" xr:uid="{262B420D-4F9D-4431-88E4-BAAE9E7DE42D}"/>
    <cellStyle name="Normal 5 2 2 2 2 2 2" xfId="11" xr:uid="{5FD7B763-9857-41AA-9A6D-69D7B894AE09}"/>
    <cellStyle name="Normal 53" xfId="19" xr:uid="{51D48125-E2B2-4E5D-B604-243E7EC4E0AD}"/>
    <cellStyle name="Normal 6 2 2 2 2" xfId="9" xr:uid="{A99D0215-945B-486B-8FA4-6C6046C4BD3D}"/>
    <cellStyle name="Normal 8" xfId="3" xr:uid="{7753728E-6778-4BD7-9507-DFFDCA3760E7}"/>
    <cellStyle name="Porcentagem" xfId="1" builtinId="5"/>
    <cellStyle name="Porcentagem 2" xfId="16" xr:uid="{8629B2A2-9457-4023-94A6-0DE52A724359}"/>
    <cellStyle name="Porcentagem 2 2 2 2 2" xfId="17" xr:uid="{D8778690-090F-49D8-9A82-598FAC3E6DA9}"/>
    <cellStyle name="Porcentagem 3 2" xfId="6" xr:uid="{691F3F89-647C-4E4B-B55D-B7857DEBDE10}"/>
    <cellStyle name="Separador de milhares 2 2" xfId="13" xr:uid="{B7EA27DF-93C6-4CB5-BB27-DE68F65A860D}"/>
    <cellStyle name="Vírgula 2 2 2 2 2" xfId="10" xr:uid="{68B83BE4-DC56-45D5-AF16-A9A6EB6C47B9}"/>
    <cellStyle name="Vírgula 2 4" xfId="15" xr:uid="{7539B329-E5B3-4662-9880-67E14DEE70DA}"/>
  </cellStyles>
  <dxfs count="3">
    <dxf>
      <font>
        <color rgb="FF9C0006"/>
      </font>
    </dxf>
    <dxf>
      <font>
        <color rgb="FF9C0006"/>
      </font>
    </dxf>
    <dxf>
      <font>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jpg"/></Relationships>
</file>

<file path=xl/drawings/_rels/drawing5.xml.rels><?xml version="1.0" encoding="UTF-8" standalone="yes"?>
<Relationships xmlns="http://schemas.openxmlformats.org/package/2006/relationships"><Relationship Id="rId1" Type="http://schemas.openxmlformats.org/officeDocument/2006/relationships/image" Target="../media/image7.jpg"/></Relationships>
</file>

<file path=xl/drawings/_rels/drawing6.xml.rels><?xml version="1.0" encoding="UTF-8" standalone="yes"?>
<Relationships xmlns="http://schemas.openxmlformats.org/package/2006/relationships"><Relationship Id="rId1" Type="http://schemas.openxmlformats.org/officeDocument/2006/relationships/image" Target="../media/image8.jpg"/></Relationships>
</file>

<file path=xl/drawings/_rels/drawing7.xml.rels><?xml version="1.0" encoding="UTF-8" standalone="yes"?>
<Relationships xmlns="http://schemas.openxmlformats.org/package/2006/relationships"><Relationship Id="rId1" Type="http://schemas.openxmlformats.org/officeDocument/2006/relationships/image" Target="../media/image9.jpg"/></Relationships>
</file>

<file path=xl/drawings/_rels/drawing8.xml.rels><?xml version="1.0" encoding="UTF-8" standalone="yes"?>
<Relationships xmlns="http://schemas.openxmlformats.org/package/2006/relationships"><Relationship Id="rId1" Type="http://schemas.openxmlformats.org/officeDocument/2006/relationships/image" Target="../media/image10.jpg"/></Relationships>
</file>

<file path=xl/drawings/_rels/drawing9.xml.rels><?xml version="1.0" encoding="UTF-8" standalone="yes"?>
<Relationships xmlns="http://schemas.openxmlformats.org/package/2006/relationships"><Relationship Id="rId1"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0</xdr:colOff>
      <xdr:row>3</xdr:row>
      <xdr:rowOff>0</xdr:rowOff>
    </xdr:to>
    <xdr:pic>
      <xdr:nvPicPr>
        <xdr:cNvPr id="1847118048" name="Picture">
          <a:extLst>
            <a:ext uri="{FF2B5EF4-FFF2-40B4-BE49-F238E27FC236}">
              <a16:creationId xmlns:a16="http://schemas.microsoft.com/office/drawing/2014/main" id="{00000000-0008-0000-0100-0000E0C8186E}"/>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0</xdr:colOff>
      <xdr:row>1</xdr:row>
      <xdr:rowOff>0</xdr:rowOff>
    </xdr:to>
    <xdr:pic>
      <xdr:nvPicPr>
        <xdr:cNvPr id="989200984" name="Picture">
          <a:extLst>
            <a:ext uri="{FF2B5EF4-FFF2-40B4-BE49-F238E27FC236}">
              <a16:creationId xmlns:a16="http://schemas.microsoft.com/office/drawing/2014/main" id="{00000000-0008-0000-0000-00005802F63A}"/>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201084</xdr:colOff>
      <xdr:row>0</xdr:row>
      <xdr:rowOff>84667</xdr:rowOff>
    </xdr:from>
    <xdr:to>
      <xdr:col>1</xdr:col>
      <xdr:colOff>294692</xdr:colOff>
      <xdr:row>3</xdr:row>
      <xdr:rowOff>249767</xdr:rowOff>
    </xdr:to>
    <xdr:pic>
      <xdr:nvPicPr>
        <xdr:cNvPr id="2" name="Picture 2">
          <a:extLst>
            <a:ext uri="{FF2B5EF4-FFF2-40B4-BE49-F238E27FC236}">
              <a16:creationId xmlns:a16="http://schemas.microsoft.com/office/drawing/2014/main" id="{F915D3FA-C4DC-4648-8D74-2DC53E42EC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6250" t="24303" r="36250" b="15698"/>
        <a:stretch>
          <a:fillRect/>
        </a:stretch>
      </xdr:blipFill>
      <xdr:spPr bwMode="auto">
        <a:xfrm>
          <a:off x="201084" y="84667"/>
          <a:ext cx="693683" cy="850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666750</xdr:colOff>
      <xdr:row>1</xdr:row>
      <xdr:rowOff>0</xdr:rowOff>
    </xdr:to>
    <xdr:pic>
      <xdr:nvPicPr>
        <xdr:cNvPr id="400397537" name="Picture">
          <a:extLst>
            <a:ext uri="{FF2B5EF4-FFF2-40B4-BE49-F238E27FC236}">
              <a16:creationId xmlns:a16="http://schemas.microsoft.com/office/drawing/2014/main" id="{00000000-0008-0000-0200-0000E194DD17}"/>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0</xdr:colOff>
      <xdr:row>1</xdr:row>
      <xdr:rowOff>0</xdr:rowOff>
    </xdr:to>
    <xdr:pic>
      <xdr:nvPicPr>
        <xdr:cNvPr id="2" name="Picture">
          <a:extLst>
            <a:ext uri="{FF2B5EF4-FFF2-40B4-BE49-F238E27FC236}">
              <a16:creationId xmlns:a16="http://schemas.microsoft.com/office/drawing/2014/main" id="{5D1AD4AB-849F-4F2F-B58F-A4575E33A094}"/>
            </a:ext>
          </a:extLst>
        </xdr:cNvPr>
        <xdr:cNvPicPr/>
      </xdr:nvPicPr>
      <xdr:blipFill>
        <a:blip xmlns:r="http://schemas.openxmlformats.org/officeDocument/2006/relationships" r:embed="rId1"/>
        <a:srcRect/>
        <a:stretch>
          <a:fillRect/>
        </a:stretch>
      </xdr:blipFill>
      <xdr:spPr>
        <a:xfrm>
          <a:off x="0" y="0"/>
          <a:ext cx="8896350" cy="12573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0</xdr:colOff>
      <xdr:row>1</xdr:row>
      <xdr:rowOff>0</xdr:rowOff>
    </xdr:to>
    <xdr:pic>
      <xdr:nvPicPr>
        <xdr:cNvPr id="1263954585" name="Picture">
          <a:extLst>
            <a:ext uri="{FF2B5EF4-FFF2-40B4-BE49-F238E27FC236}">
              <a16:creationId xmlns:a16="http://schemas.microsoft.com/office/drawing/2014/main" id="{00000000-0008-0000-0400-0000996A564B}"/>
            </a:ext>
          </a:extLst>
        </xdr:cNvPr>
        <xdr:cNvPicPr/>
      </xdr:nvPicPr>
      <xdr:blipFill>
        <a:blip xmlns:r="http://schemas.openxmlformats.org/officeDocument/2006/relationships" r:embed="rId1"/>
        <a:srcRect/>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126999</xdr:colOff>
      <xdr:row>1</xdr:row>
      <xdr:rowOff>0</xdr:rowOff>
    </xdr:to>
    <xdr:pic>
      <xdr:nvPicPr>
        <xdr:cNvPr id="2" name="Picture">
          <a:extLst>
            <a:ext uri="{FF2B5EF4-FFF2-40B4-BE49-F238E27FC236}">
              <a16:creationId xmlns:a16="http://schemas.microsoft.com/office/drawing/2014/main" id="{42562DA3-A1CF-4DAD-9F9A-C062B2DEE31E}"/>
            </a:ext>
          </a:extLst>
        </xdr:cNvPr>
        <xdr:cNvPicPr/>
      </xdr:nvPicPr>
      <xdr:blipFill>
        <a:blip xmlns:r="http://schemas.openxmlformats.org/officeDocument/2006/relationships" r:embed="rId1"/>
        <a:srcRect/>
        <a:stretch>
          <a:fillRect/>
        </a:stretch>
      </xdr:blipFill>
      <xdr:spPr>
        <a:xfrm>
          <a:off x="0" y="0"/>
          <a:ext cx="8270874" cy="14287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542926</xdr:colOff>
      <xdr:row>0</xdr:row>
      <xdr:rowOff>1409700</xdr:rowOff>
    </xdr:to>
    <xdr:pic>
      <xdr:nvPicPr>
        <xdr:cNvPr id="754419572" name="Picture">
          <a:extLst>
            <a:ext uri="{FF2B5EF4-FFF2-40B4-BE49-F238E27FC236}">
              <a16:creationId xmlns:a16="http://schemas.microsoft.com/office/drawing/2014/main" id="{00000000-0008-0000-0600-00007487F72C}"/>
            </a:ext>
          </a:extLst>
        </xdr:cNvPr>
        <xdr:cNvPicPr/>
      </xdr:nvPicPr>
      <xdr:blipFill>
        <a:blip xmlns:r="http://schemas.openxmlformats.org/officeDocument/2006/relationships" r:embed="rId1"/>
        <a:srcRect/>
        <a:stretch>
          <a:fillRect/>
        </a:stretch>
      </xdr:blipFill>
      <xdr:spPr>
        <a:xfrm>
          <a:off x="1" y="0"/>
          <a:ext cx="5181600" cy="14097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50800</xdr:colOff>
      <xdr:row>0</xdr:row>
      <xdr:rowOff>0</xdr:rowOff>
    </xdr:from>
    <xdr:ext cx="1107899" cy="903514"/>
    <xdr:pic>
      <xdr:nvPicPr>
        <xdr:cNvPr id="2" name="Imagem 1">
          <a:extLst>
            <a:ext uri="{FF2B5EF4-FFF2-40B4-BE49-F238E27FC236}">
              <a16:creationId xmlns:a16="http://schemas.microsoft.com/office/drawing/2014/main" id="{7112AC14-200D-408A-92EA-EBA44EDCC569}"/>
            </a:ext>
          </a:extLst>
        </xdr:cNvPr>
        <xdr:cNvPicPr>
          <a:picLocks noChangeAspect="1"/>
        </xdr:cNvPicPr>
      </xdr:nvPicPr>
      <xdr:blipFill>
        <a:blip xmlns:r="http://schemas.openxmlformats.org/officeDocument/2006/relationships" r:embed="rId1" cstate="print"/>
        <a:stretch>
          <a:fillRect/>
        </a:stretch>
      </xdr:blipFill>
      <xdr:spPr>
        <a:xfrm>
          <a:off x="50800" y="0"/>
          <a:ext cx="1107899" cy="90351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3_INFRAESTRUTURA\EMENDAS%202021-2022\EMENDA%2028.000.000\2&#186;%20ENTREGA\OR&#199;AMENTO\OR&#199;AMENTO_EMENDAS_28M%20-%20LOTE%202%20-%20R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everaldo.junior/Desktop/OR&#199;AMENTO_EMENDAS_28M%20-%20LOTE%202%20-%20R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Orçamentária"/>
      <sheetName val="Memória de Cálculo"/>
      <sheetName val="PARÂMETROS"/>
      <sheetName val="Cronograma"/>
      <sheetName val="Cronograma Unificado"/>
      <sheetName val="COMPOSIÇÕES"/>
      <sheetName val="REF PRECOS SINAPI SET 2019"/>
      <sheetName val="REF PRECOS ANP INSUMOS"/>
      <sheetName val="ÍNDICE DE CORREÇÃO"/>
      <sheetName val="DEP E REC "/>
      <sheetName val="BDI DESONERADO"/>
      <sheetName val="BDI N DESONERADO"/>
      <sheetName val="mapa cotação"/>
      <sheetName val="ABC - DESO"/>
      <sheetName val="ABC - NÃO DESO"/>
      <sheetName val="BASE"/>
      <sheetName val="Comp"/>
      <sheetName val="Insumos"/>
      <sheetName val="BDI materiais"/>
      <sheetName val="MODELO PCR"/>
    </sheetNames>
    <sheetDataSet>
      <sheetData sheetId="0"/>
      <sheetData sheetId="1">
        <row r="1">
          <cell r="A1" t="str">
            <v>PREFEITURA MUNICIPAL DO JABOATÃO DOS GUARARAPES</v>
          </cell>
        </row>
        <row r="2">
          <cell r="A2" t="str">
            <v>SECRETARIA DE INFRAESTRUTURA - SEINFRA</v>
          </cell>
        </row>
        <row r="3">
          <cell r="A3" t="str">
            <v>SECRETARIA EXECUTIVA DE OBRAS</v>
          </cell>
        </row>
        <row r="5">
          <cell r="A5" t="str">
            <v>PLANILHA REFERENCIA</v>
          </cell>
        </row>
        <row r="6">
          <cell r="A6" t="str">
            <v>Objeto:  PAVIMENTAÇÃO E DRENAGEM, RECAPEAMENTO, CONTENÇÃO DE ENCOSTAS, ADEQUAÇÃO DE VIAS, CICLOFAIXA, PONTES E TRAVESSIAS EM DESNÍVEL, DEMOLIÇÃO E REMOÇÃO DE PAVIMENTOS EM DIVERSOS BAIRROS</v>
          </cell>
        </row>
        <row r="7">
          <cell r="A7" t="str">
            <v>Local: Jaboatão dos Guararapes</v>
          </cell>
          <cell r="G7" t="str">
            <v>SINAPI-JULHO/22</v>
          </cell>
        </row>
        <row r="8">
          <cell r="A8" t="str">
            <v>Data: SETEMBRO/2022</v>
          </cell>
          <cell r="G8" t="str">
            <v>BDI DESONERADO:</v>
          </cell>
          <cell r="I8">
            <v>0.2359</v>
          </cell>
          <cell r="J8" t="str">
            <v>BDI DESONERADO EQUIPAMENTO:</v>
          </cell>
          <cell r="K8">
            <v>0.15459999999999999</v>
          </cell>
        </row>
        <row r="9">
          <cell r="G9" t="str">
            <v>BDI NÃO DESONERADO:</v>
          </cell>
          <cell r="I9">
            <v>0.1757</v>
          </cell>
          <cell r="J9" t="str">
            <v>BDI NÃO DESONERADO EQUIPAMENTO:</v>
          </cell>
          <cell r="K9">
            <v>0.1007</v>
          </cell>
        </row>
        <row r="10">
          <cell r="A10" t="str">
            <v>Ítem</v>
          </cell>
          <cell r="B10" t="str">
            <v>Código</v>
          </cell>
          <cell r="C10" t="str">
            <v>DISCRIMINAÇÃO</v>
          </cell>
          <cell r="D10" t="str">
            <v>Und</v>
          </cell>
          <cell r="E10" t="str">
            <v>Qtd</v>
          </cell>
          <cell r="F10" t="str">
            <v>PREÇO DESONERADO</v>
          </cell>
          <cell r="I10" t="str">
            <v>PREÇO NÃO DESONERADO</v>
          </cell>
        </row>
        <row r="11">
          <cell r="F11" t="str">
            <v>SEM BDI</v>
          </cell>
          <cell r="G11" t="str">
            <v>COM BDI</v>
          </cell>
          <cell r="H11" t="str">
            <v>TOTAL (R$)</v>
          </cell>
          <cell r="I11" t="str">
            <v>SEM BDI</v>
          </cell>
          <cell r="J11" t="str">
            <v>COM BDI</v>
          </cell>
          <cell r="K11" t="str">
            <v>TOTAL (R$)</v>
          </cell>
        </row>
        <row r="12">
          <cell r="A12" t="str">
            <v>1.0</v>
          </cell>
          <cell r="B12" t="str">
            <v>PAVIMENTAÇÃO</v>
          </cell>
        </row>
        <row r="13">
          <cell r="A13" t="str">
            <v>1.1</v>
          </cell>
          <cell r="C13" t="str">
            <v>RUA EQUADOR - CAJUEIRO SECO</v>
          </cell>
          <cell r="H13">
            <v>1088301.81</v>
          </cell>
          <cell r="K13">
            <v>1063633.8799999999</v>
          </cell>
        </row>
        <row r="14">
          <cell r="A14" t="str">
            <v>1.1.1</v>
          </cell>
          <cell r="C14" t="str">
            <v>INSTALAÇÕES PROVISÓRIAS</v>
          </cell>
          <cell r="H14">
            <v>10711.26</v>
          </cell>
          <cell r="K14">
            <v>10252.02</v>
          </cell>
        </row>
        <row r="15">
          <cell r="A15" t="str">
            <v>1.1.1.1</v>
          </cell>
          <cell r="B15" t="str">
            <v>CP-74209/001-15055090</v>
          </cell>
          <cell r="C15" t="str">
            <v>PLACA DE OBRA EM CHAPA DE ACO GALVANIZADO</v>
          </cell>
          <cell r="D15" t="str">
            <v xml:space="preserve">M2    </v>
          </cell>
          <cell r="E15">
            <v>8</v>
          </cell>
          <cell r="F15">
            <v>558.35</v>
          </cell>
          <cell r="G15">
            <v>690.06</v>
          </cell>
          <cell r="H15">
            <v>5520.48</v>
          </cell>
          <cell r="I15">
            <v>564.99</v>
          </cell>
          <cell r="J15">
            <v>664.26</v>
          </cell>
          <cell r="K15">
            <v>5314.08</v>
          </cell>
        </row>
        <row r="16">
          <cell r="A16" t="str">
            <v>1.1.1.2</v>
          </cell>
          <cell r="B16" t="str">
            <v>COMP-07440249</v>
          </cell>
          <cell r="C16" t="str">
            <v>BANHEIRO QUÍMICO, COM LOCAÇÃO, TRANSPORTE E LIMPEZA</v>
          </cell>
          <cell r="D16" t="str">
            <v>MÊS</v>
          </cell>
          <cell r="E16">
            <v>6</v>
          </cell>
          <cell r="F16">
            <v>700</v>
          </cell>
          <cell r="G16">
            <v>865.13</v>
          </cell>
          <cell r="H16">
            <v>5190.78</v>
          </cell>
          <cell r="I16">
            <v>700</v>
          </cell>
          <cell r="J16">
            <v>822.99</v>
          </cell>
          <cell r="K16">
            <v>4937.9399999999996</v>
          </cell>
        </row>
        <row r="17">
          <cell r="A17" t="str">
            <v>1.1.2</v>
          </cell>
          <cell r="C17" t="str">
            <v>ADMINISTRAÇÃO LOCAL</v>
          </cell>
          <cell r="H17">
            <v>35021.089999999997</v>
          </cell>
          <cell r="K17">
            <v>38363.51</v>
          </cell>
        </row>
        <row r="18">
          <cell r="A18" t="str">
            <v>1.1.2.1</v>
          </cell>
          <cell r="B18">
            <v>93565</v>
          </cell>
          <cell r="C18" t="str">
            <v>ENGENHEIRO CIVIL DE OBRA JUNIOR COM ENCARGOS COMPLEMENTARES</v>
          </cell>
          <cell r="D18" t="str">
            <v>MES</v>
          </cell>
          <cell r="E18">
            <v>0.75</v>
          </cell>
          <cell r="F18">
            <v>14549.96</v>
          </cell>
          <cell r="G18">
            <v>17982.3</v>
          </cell>
          <cell r="H18">
            <v>13486.73</v>
          </cell>
          <cell r="I18">
            <v>16819.14</v>
          </cell>
          <cell r="J18">
            <v>19774.259999999998</v>
          </cell>
          <cell r="K18">
            <v>14830.7</v>
          </cell>
        </row>
        <row r="19">
          <cell r="A19" t="str">
            <v>1.1.2.2</v>
          </cell>
          <cell r="B19">
            <v>93572</v>
          </cell>
          <cell r="C19" t="str">
            <v>ENCARREGADO GERAL DE OBRAS COM ENCARGOS COMPLEMENTARES</v>
          </cell>
          <cell r="D19" t="str">
            <v>MES</v>
          </cell>
          <cell r="E19">
            <v>3</v>
          </cell>
          <cell r="F19">
            <v>5808.01</v>
          </cell>
          <cell r="G19">
            <v>7178.12</v>
          </cell>
          <cell r="H19">
            <v>21534.36</v>
          </cell>
          <cell r="I19">
            <v>6672</v>
          </cell>
          <cell r="J19">
            <v>7844.27</v>
          </cell>
          <cell r="K19">
            <v>23532.81</v>
          </cell>
        </row>
        <row r="20">
          <cell r="A20" t="str">
            <v>1.1.3</v>
          </cell>
          <cell r="C20" t="str">
            <v>SERVIÇOS PRELIMINARES</v>
          </cell>
          <cell r="H20">
            <v>69199.789999999994</v>
          </cell>
          <cell r="K20">
            <v>72916.73</v>
          </cell>
        </row>
        <row r="21">
          <cell r="A21" t="str">
            <v>1.1.3.1</v>
          </cell>
          <cell r="B21">
            <v>99064</v>
          </cell>
          <cell r="C21" t="str">
            <v>LOCAÇÃO DE PAVIMENTAÇÃO. AF_10/2018</v>
          </cell>
          <cell r="D21" t="str">
            <v>M</v>
          </cell>
          <cell r="E21">
            <v>614.66999999999996</v>
          </cell>
          <cell r="F21">
            <v>0.43</v>
          </cell>
          <cell r="G21">
            <v>0.53</v>
          </cell>
          <cell r="H21">
            <v>325.77999999999997</v>
          </cell>
          <cell r="I21">
            <v>0.49</v>
          </cell>
          <cell r="J21">
            <v>0.57999999999999996</v>
          </cell>
          <cell r="K21">
            <v>356.51</v>
          </cell>
        </row>
        <row r="22">
          <cell r="A22" t="str">
            <v>1.1.3.2</v>
          </cell>
          <cell r="B22" t="str">
            <v>COMP-17562084</v>
          </cell>
          <cell r="C22" t="str">
            <v>DEMOLIÇÃO MANUAL DE CONCRETO SIMPLES</v>
          </cell>
          <cell r="D22" t="str">
            <v>M3</v>
          </cell>
          <cell r="E22">
            <v>211.49</v>
          </cell>
          <cell r="F22">
            <v>190.89</v>
          </cell>
          <cell r="G22">
            <v>235.92</v>
          </cell>
          <cell r="H22">
            <v>49894.720000000001</v>
          </cell>
          <cell r="I22">
            <v>212.24</v>
          </cell>
          <cell r="J22">
            <v>249.53</v>
          </cell>
          <cell r="K22">
            <v>52773.1</v>
          </cell>
        </row>
        <row r="23">
          <cell r="A23" t="str">
            <v>1.1.3.3</v>
          </cell>
          <cell r="B23" t="str">
            <v>COMP-01471766</v>
          </cell>
          <cell r="C23" t="str">
            <v>DEMOLIÇÃO DE MEIO-FIO</v>
          </cell>
          <cell r="D23" t="str">
            <v>M</v>
          </cell>
          <cell r="E23">
            <v>1279.92</v>
          </cell>
          <cell r="F23">
            <v>10.02</v>
          </cell>
          <cell r="G23">
            <v>12.38</v>
          </cell>
          <cell r="H23">
            <v>15845.41</v>
          </cell>
          <cell r="I23">
            <v>11.13</v>
          </cell>
          <cell r="J23">
            <v>13.09</v>
          </cell>
          <cell r="K23">
            <v>16754.150000000001</v>
          </cell>
        </row>
        <row r="24">
          <cell r="A24" t="str">
            <v>1.1.3.4</v>
          </cell>
          <cell r="B24" t="str">
            <v>COMP-35145154</v>
          </cell>
          <cell r="C24" t="str">
            <v>CARGA E DESCARGA MECANICA DE SOLO UTILIZANDO CAMINHAO BASCULANTE 14,0M3/36T E PA CARREGADEIRA SOBRE PNEUS 128 HP, CAPACIDADE DA CAÇAMBA 1,7 A 2,8 M3, PESO OPERACIONAL 11632 KH</v>
          </cell>
          <cell r="D24" t="str">
            <v>M3</v>
          </cell>
          <cell r="E24">
            <v>336.36</v>
          </cell>
          <cell r="F24">
            <v>2.83</v>
          </cell>
          <cell r="G24">
            <v>3.5</v>
          </cell>
          <cell r="H24">
            <v>1177.26</v>
          </cell>
          <cell r="I24">
            <v>2.9</v>
          </cell>
          <cell r="J24">
            <v>3.41</v>
          </cell>
          <cell r="K24">
            <v>1146.99</v>
          </cell>
        </row>
        <row r="25">
          <cell r="A25" t="str">
            <v>1.1.3.5</v>
          </cell>
          <cell r="B25">
            <v>95876</v>
          </cell>
          <cell r="C25" t="str">
            <v>TRANSPORTE COM CAMINHÃO BASCULANTE DE 14 M³, EM VIA URBANA PAVIMENTADA, DMT ATÉ 30 KM (UNIDADE: M3XKM). AF_07/2020</v>
          </cell>
          <cell r="D25" t="str">
            <v>M3XKM</v>
          </cell>
          <cell r="E25">
            <v>706.36</v>
          </cell>
          <cell r="F25">
            <v>2.2400000000000002</v>
          </cell>
          <cell r="G25">
            <v>2.77</v>
          </cell>
          <cell r="H25">
            <v>1956.62</v>
          </cell>
          <cell r="I25">
            <v>2.27</v>
          </cell>
          <cell r="J25">
            <v>2.67</v>
          </cell>
          <cell r="K25">
            <v>1885.98</v>
          </cell>
        </row>
        <row r="26">
          <cell r="A26" t="str">
            <v>1.1.4</v>
          </cell>
          <cell r="C26" t="str">
            <v>TERRAPLANAGEM</v>
          </cell>
          <cell r="H26">
            <v>31368.87</v>
          </cell>
          <cell r="K26">
            <v>30382.37</v>
          </cell>
        </row>
        <row r="27">
          <cell r="A27" t="str">
            <v>1.1.4.1</v>
          </cell>
          <cell r="B27" t="str">
            <v>CP-74205/001-17324935</v>
          </cell>
          <cell r="C27" t="str">
            <v>ESCAVAÇÃO MECÂNICA DE MATERIAL 1A. CATEGORIA, PROVENIENTE DE CORTE DE SUBLEITO (C/TRATOR ESTEIRAS  160HP)</v>
          </cell>
          <cell r="D27" t="str">
            <v>M3</v>
          </cell>
          <cell r="E27">
            <v>2121.4899999999998</v>
          </cell>
          <cell r="F27">
            <v>2.54</v>
          </cell>
          <cell r="G27">
            <v>3.14</v>
          </cell>
          <cell r="H27">
            <v>6661.48</v>
          </cell>
          <cell r="I27">
            <v>2.59</v>
          </cell>
          <cell r="J27">
            <v>3.05</v>
          </cell>
          <cell r="K27">
            <v>6470.54</v>
          </cell>
        </row>
        <row r="28">
          <cell r="A28" t="str">
            <v>1.1.4.2</v>
          </cell>
          <cell r="B28" t="str">
            <v>COMP-35145154</v>
          </cell>
          <cell r="C28" t="str">
            <v>CARGA E DESCARGA MECANICA DE SOLO UTILIZANDO CAMINHAO BASCULANTE 14,0M3/36T E PA CARREGADEIRA SOBRE PNEUS 128 HP, CAPACIDADE DA CAÇAMBA 1,7 A 2,8 M3, PESO OPERACIONAL 11632 KH</v>
          </cell>
          <cell r="D28" t="str">
            <v>M3</v>
          </cell>
          <cell r="E28">
            <v>2651.86</v>
          </cell>
          <cell r="F28">
            <v>2.83</v>
          </cell>
          <cell r="G28">
            <v>3.5</v>
          </cell>
          <cell r="H28">
            <v>9281.51</v>
          </cell>
          <cell r="I28">
            <v>2.9</v>
          </cell>
          <cell r="J28">
            <v>3.41</v>
          </cell>
          <cell r="K28">
            <v>9042.84</v>
          </cell>
        </row>
        <row r="29">
          <cell r="A29" t="str">
            <v>1.1.4.3</v>
          </cell>
          <cell r="B29">
            <v>95876</v>
          </cell>
          <cell r="C29" t="str">
            <v>TRANSPORTE COM CAMINHÃO BASCULANTE DE 14 M³, EM VIA URBANA PAVIMENTADA, DMT ATÉ 30 KM (UNIDADE: M3XKM). AF_07/2020</v>
          </cell>
          <cell r="D29" t="str">
            <v>M3XKM</v>
          </cell>
          <cell r="E29">
            <v>5568.91</v>
          </cell>
          <cell r="F29">
            <v>2.2400000000000002</v>
          </cell>
          <cell r="G29">
            <v>2.77</v>
          </cell>
          <cell r="H29">
            <v>15425.88</v>
          </cell>
          <cell r="I29">
            <v>2.27</v>
          </cell>
          <cell r="J29">
            <v>2.67</v>
          </cell>
          <cell r="K29">
            <v>14868.99</v>
          </cell>
        </row>
        <row r="30">
          <cell r="A30" t="str">
            <v>1.1.5</v>
          </cell>
          <cell r="C30" t="str">
            <v>PAVIMENTAÇÃO</v>
          </cell>
          <cell r="H30">
            <v>233065.57</v>
          </cell>
          <cell r="K30">
            <v>230771.49</v>
          </cell>
        </row>
        <row r="31">
          <cell r="A31" t="str">
            <v>1.1.5.1</v>
          </cell>
          <cell r="B31">
            <v>100576</v>
          </cell>
          <cell r="C31" t="str">
            <v>REGULARIZAÇÃO E COMPACTAÇÃO DE SUBLEITO DE SOLO  PREDOMINANTEMENTE ARGILOSO. AF_11/2019</v>
          </cell>
          <cell r="D31" t="str">
            <v>M2</v>
          </cell>
          <cell r="E31">
            <v>4302.6899999999996</v>
          </cell>
          <cell r="F31">
            <v>2.64</v>
          </cell>
          <cell r="G31">
            <v>3.26</v>
          </cell>
          <cell r="H31">
            <v>14026.77</v>
          </cell>
          <cell r="I31">
            <v>2.79</v>
          </cell>
          <cell r="J31">
            <v>3.28</v>
          </cell>
          <cell r="K31">
            <v>14112.82</v>
          </cell>
        </row>
        <row r="32">
          <cell r="A32" t="str">
            <v>1.1.5.2</v>
          </cell>
          <cell r="B32" t="str">
            <v>COMP-28881239</v>
          </cell>
          <cell r="C32" t="str">
            <v>Base ou sub-base de macadame hidráulico com brita comercial - EXCLUSIVE MATERIAL, CARGA E TRANSPORTE - NÃO DESONERADO</v>
          </cell>
          <cell r="D32" t="str">
            <v>M3</v>
          </cell>
          <cell r="E32">
            <v>553.20000000000005</v>
          </cell>
          <cell r="F32">
            <v>11.24</v>
          </cell>
          <cell r="G32">
            <v>13.89</v>
          </cell>
          <cell r="H32">
            <v>7683.95</v>
          </cell>
          <cell r="I32">
            <v>11.4</v>
          </cell>
          <cell r="J32">
            <v>13.4</v>
          </cell>
          <cell r="K32">
            <v>7412.88</v>
          </cell>
        </row>
        <row r="33">
          <cell r="A33" t="str">
            <v>1.1.5.3</v>
          </cell>
          <cell r="B33" t="str">
            <v>CP-96396-26507981</v>
          </cell>
          <cell r="C33" t="str">
            <v>EXECUÇÃO E COMPACTAÇÃO DE BASE E OU SUB BASE PARA PAVIMENTAÇÃO DE BRITA GRADUADA SIMPLES - EXCLUSIVE MATERIAL, CARGA E TRANSPORTE</v>
          </cell>
          <cell r="D33" t="str">
            <v>M3</v>
          </cell>
          <cell r="E33">
            <v>614.66999999999996</v>
          </cell>
          <cell r="F33">
            <v>13.86</v>
          </cell>
          <cell r="G33">
            <v>17.13</v>
          </cell>
          <cell r="H33">
            <v>10529.3</v>
          </cell>
          <cell r="I33">
            <v>14.44</v>
          </cell>
          <cell r="J33">
            <v>16.98</v>
          </cell>
          <cell r="K33">
            <v>10437.1</v>
          </cell>
        </row>
        <row r="34">
          <cell r="A34" t="str">
            <v>1.1.5.4</v>
          </cell>
          <cell r="B34" t="str">
            <v>COMP-35145154</v>
          </cell>
          <cell r="C34" t="str">
            <v>CARGA E DESCARGA MECANICA DE SOLO UTILIZANDO CAMINHAO BASCULANTE 14,0M3/36T E PA CARREGADEIRA SOBRE PNEUS 128 HP, CAPACIDADE DA CAÇAMBA 1,7 A 2,8 M3, PESO OPERACIONAL 11632 KH</v>
          </cell>
          <cell r="D34" t="str">
            <v>M3</v>
          </cell>
          <cell r="E34">
            <v>1459.84</v>
          </cell>
          <cell r="F34">
            <v>2.83</v>
          </cell>
          <cell r="G34">
            <v>3.5</v>
          </cell>
          <cell r="H34">
            <v>5109.4399999999996</v>
          </cell>
          <cell r="I34">
            <v>2.9</v>
          </cell>
          <cell r="J34">
            <v>3.41</v>
          </cell>
          <cell r="K34">
            <v>4978.05</v>
          </cell>
        </row>
        <row r="35">
          <cell r="A35" t="str">
            <v>1.1.5.5</v>
          </cell>
          <cell r="B35" t="str">
            <v>COMP-83526730</v>
          </cell>
          <cell r="C35" t="str">
            <v>TRANSPORTE COMERCIAL DE BRITA</v>
          </cell>
          <cell r="D35" t="str">
            <v>M3XKM</v>
          </cell>
          <cell r="E35">
            <v>10218.879999999999</v>
          </cell>
          <cell r="F35">
            <v>1.36</v>
          </cell>
          <cell r="G35">
            <v>1.68</v>
          </cell>
          <cell r="H35">
            <v>17167.72</v>
          </cell>
          <cell r="I35">
            <v>1.37</v>
          </cell>
          <cell r="J35">
            <v>1.61</v>
          </cell>
          <cell r="K35">
            <v>16452.400000000001</v>
          </cell>
        </row>
        <row r="36">
          <cell r="A36" t="str">
            <v>1.1.5.6</v>
          </cell>
          <cell r="B36" t="str">
            <v>CP-96401-52745838</v>
          </cell>
          <cell r="C36" t="str">
            <v>EXECUÇÃO DE IMPRIMAÇÃO COM ASFALTO DILUÍDO CM-30, EXCLUSIVE MATERIAL.</v>
          </cell>
          <cell r="D36" t="str">
            <v>M2</v>
          </cell>
          <cell r="E36">
            <v>3068.17</v>
          </cell>
          <cell r="F36">
            <v>1.18</v>
          </cell>
          <cell r="G36">
            <v>1.46</v>
          </cell>
          <cell r="H36">
            <v>4479.53</v>
          </cell>
          <cell r="I36">
            <v>1.24</v>
          </cell>
          <cell r="J36">
            <v>1.46</v>
          </cell>
          <cell r="K36">
            <v>4479.53</v>
          </cell>
        </row>
        <row r="37">
          <cell r="A37" t="str">
            <v>1.1.5.7</v>
          </cell>
          <cell r="B37" t="str">
            <v>CP-95995-51339760</v>
          </cell>
          <cell r="C37" t="str">
            <v>EXECUÇÃO DE PAVIMENTO COM APLICAÇÃO DE CONCRETO ASFÁLTICO, CAMADA DE ROLAMENTO - EXCLUSIVE CARGA E TRANSPORTE E CONCRETO BETUMINOSO</v>
          </cell>
          <cell r="D37" t="str">
            <v>M3</v>
          </cell>
          <cell r="E37">
            <v>153.41</v>
          </cell>
          <cell r="F37">
            <v>127.58</v>
          </cell>
          <cell r="G37">
            <v>157.68</v>
          </cell>
          <cell r="H37">
            <v>24189.69</v>
          </cell>
          <cell r="I37">
            <v>133.37</v>
          </cell>
          <cell r="J37">
            <v>156.80000000000001</v>
          </cell>
          <cell r="K37">
            <v>24054.69</v>
          </cell>
        </row>
        <row r="38">
          <cell r="A38" t="str">
            <v>1.1.5.8</v>
          </cell>
          <cell r="B38" t="str">
            <v>COMP-10034101</v>
          </cell>
          <cell r="C38" t="str">
            <v>CARGA, MANOBRAS E DESCARGA DE MISTURA BETUMINOSA A QUENTE, COM CAMINHAO BASCULANTE 6 M3, DESCARGA EM VIBRO-ACABADORA</v>
          </cell>
          <cell r="D38" t="str">
            <v>M3</v>
          </cell>
          <cell r="E38">
            <v>153.41</v>
          </cell>
          <cell r="F38">
            <v>7.74</v>
          </cell>
          <cell r="G38">
            <v>9.57</v>
          </cell>
          <cell r="H38">
            <v>1468.13</v>
          </cell>
          <cell r="I38">
            <v>7.86</v>
          </cell>
          <cell r="J38">
            <v>9.24</v>
          </cell>
          <cell r="K38">
            <v>1417.51</v>
          </cell>
        </row>
        <row r="39">
          <cell r="A39" t="str">
            <v>1.1.5.9</v>
          </cell>
          <cell r="B39" t="str">
            <v>CP-95303-56931542</v>
          </cell>
          <cell r="C39" t="str">
            <v>TRANSPORTE COM CAMINHÃO BASCULANTE 10 M3 DE MASSA ASFALTICA PARA PAVIMENTAÇÃO URBANA</v>
          </cell>
          <cell r="D39" t="str">
            <v>M3XKM</v>
          </cell>
          <cell r="E39">
            <v>2316.4899999999998</v>
          </cell>
          <cell r="F39">
            <v>1.75</v>
          </cell>
          <cell r="G39">
            <v>2.16</v>
          </cell>
          <cell r="H39">
            <v>5003.62</v>
          </cell>
          <cell r="I39">
            <v>1.77</v>
          </cell>
          <cell r="J39">
            <v>2.08</v>
          </cell>
          <cell r="K39">
            <v>4818.3</v>
          </cell>
        </row>
        <row r="40">
          <cell r="A40" t="str">
            <v>1.1.5.10</v>
          </cell>
          <cell r="B40" t="str">
            <v>CP-97084-89637704</v>
          </cell>
          <cell r="C40" t="str">
            <v>REGULARIZACAO E COMPACTAÇÃO MANUAL DE TERRENO COM PLACA VIBRATÓRIA</v>
          </cell>
          <cell r="D40" t="str">
            <v>M2</v>
          </cell>
          <cell r="E40">
            <v>3007.49</v>
          </cell>
          <cell r="F40">
            <v>0.59</v>
          </cell>
          <cell r="G40">
            <v>0.73</v>
          </cell>
          <cell r="H40">
            <v>2195.4699999999998</v>
          </cell>
          <cell r="I40">
            <v>0.65</v>
          </cell>
          <cell r="J40">
            <v>0.76</v>
          </cell>
          <cell r="K40">
            <v>2285.69</v>
          </cell>
        </row>
        <row r="41">
          <cell r="A41" t="str">
            <v>1.1.5.11</v>
          </cell>
          <cell r="B41" t="str">
            <v>CP-94991-12549457</v>
          </cell>
          <cell r="C41" t="str">
            <v>EXECUÇÃO DE PASSEIO (CALÇADA) OU PISO DE CONCRETO COM CONCRETO MOLDADO IN LOCO, USINADO, ACABAMENTO CONVENCIONAL, NÃO ARMADO - EXCLUINDO O CONCRETO USINADO 20MPA</v>
          </cell>
          <cell r="D41" t="str">
            <v>M3</v>
          </cell>
          <cell r="E41">
            <v>208.83</v>
          </cell>
          <cell r="F41">
            <v>104.6</v>
          </cell>
          <cell r="G41">
            <v>129.28</v>
          </cell>
          <cell r="H41">
            <v>26997.54</v>
          </cell>
          <cell r="I41">
            <v>112.75</v>
          </cell>
          <cell r="J41">
            <v>132.56</v>
          </cell>
          <cell r="K41">
            <v>27682.5</v>
          </cell>
        </row>
        <row r="42">
          <cell r="A42" t="str">
            <v>1.1.5.12</v>
          </cell>
          <cell r="B42">
            <v>94273</v>
          </cell>
          <cell r="C42" t="str">
            <v>ASSENTAMENTO DE GUIA (MEIO-FIO) EM TRECHO RETO, CONFECCIONADA EM CONCRETO PRÉ-FABRICADO, DIMENSÕES 100X15X13X30 CM (COMPRIMENTO X BASE INFERIOR X BASE SUPERIOR X ALTURA), PARA VIAS URBANAS (USO VIÁRIO). AF_06/2016</v>
          </cell>
          <cell r="D42" t="str">
            <v>M</v>
          </cell>
          <cell r="E42">
            <v>1282.3800000000001</v>
          </cell>
          <cell r="F42">
            <v>54.61</v>
          </cell>
          <cell r="G42">
            <v>67.489999999999995</v>
          </cell>
          <cell r="H42">
            <v>86547.83</v>
          </cell>
          <cell r="I42">
            <v>56.47</v>
          </cell>
          <cell r="J42">
            <v>66.39</v>
          </cell>
          <cell r="K42">
            <v>85137.21</v>
          </cell>
        </row>
        <row r="43">
          <cell r="A43" t="str">
            <v>1.1.5.13</v>
          </cell>
          <cell r="B43">
            <v>94274</v>
          </cell>
          <cell r="C43" t="str">
            <v>ASSENTAMENTO DE GUIA (MEIO-FIO) EM TRECHO CURVO, CONFECCIONADA EM CONCRETO PRÉ-FABRICADO, DIMENSÕES 100X15X13X30 CM (COMPRIMENTO X BASE INFERIOR X BASE SUPERIOR X ALTURA), PARA VIAS URBANAS (USO VIÁRIO). AF_06/2016</v>
          </cell>
          <cell r="D43" t="str">
            <v>M</v>
          </cell>
          <cell r="E43">
            <v>36.159999999999997</v>
          </cell>
          <cell r="F43">
            <v>58.17</v>
          </cell>
          <cell r="G43">
            <v>71.89</v>
          </cell>
          <cell r="H43">
            <v>2599.54</v>
          </cell>
          <cell r="I43">
            <v>60.43</v>
          </cell>
          <cell r="J43">
            <v>71.05</v>
          </cell>
          <cell r="K43">
            <v>2569.17</v>
          </cell>
        </row>
        <row r="44">
          <cell r="A44" t="str">
            <v>1.1.5.14</v>
          </cell>
          <cell r="B44">
            <v>94275</v>
          </cell>
          <cell r="C44" t="str">
            <v>ASSENTAMENTO DE GUIA (MEIO-FIO) EM TRECHO RETO, CONFECCIONADA EM CONCRETO PRÉ-FABRICADO, DIMENSÕES 100X15X13X20 CM (COMPRIMENTO X BASE INFERIOR X BASE SUPERIOR X ALTURA), PARA URBANIZAÇÃO INTERNA DE EMPREENDIMENTOS. AF_06/2016_P</v>
          </cell>
          <cell r="D44" t="str">
            <v>M</v>
          </cell>
          <cell r="E44">
            <v>77</v>
          </cell>
          <cell r="F44">
            <v>52.64</v>
          </cell>
          <cell r="G44">
            <v>65.06</v>
          </cell>
          <cell r="H44">
            <v>5009.62</v>
          </cell>
          <cell r="I44">
            <v>54.31</v>
          </cell>
          <cell r="J44">
            <v>63.85</v>
          </cell>
          <cell r="K44">
            <v>4916.45</v>
          </cell>
        </row>
        <row r="45">
          <cell r="A45" t="str">
            <v>1.1.5.15</v>
          </cell>
          <cell r="B45">
            <v>94287</v>
          </cell>
          <cell r="C45" t="str">
            <v>EXECUÇÃO DE SARJETA DE CONCRETO USINADO, MOLDADA  IN LOCO  EM TRECHO RETO, 30 CM BASE X 10 CM ALTURA. AF_06/2016</v>
          </cell>
          <cell r="D45" t="str">
            <v>M</v>
          </cell>
          <cell r="E45">
            <v>330.83</v>
          </cell>
          <cell r="F45">
            <v>37.69</v>
          </cell>
          <cell r="G45">
            <v>46.58</v>
          </cell>
          <cell r="H45">
            <v>15410.06</v>
          </cell>
          <cell r="I45">
            <v>39.770000000000003</v>
          </cell>
          <cell r="J45">
            <v>46.76</v>
          </cell>
          <cell r="K45">
            <v>15469.61</v>
          </cell>
        </row>
        <row r="46">
          <cell r="A46" t="str">
            <v>1.1.5.16</v>
          </cell>
          <cell r="B46">
            <v>94288</v>
          </cell>
          <cell r="C46" t="str">
            <v>EXECUÇÃO DE SARJETA DE CONCRETO USINADO, MOLDADA  IN LOCO  EM TRECHO CURVO, 30 CM BASE X 10 CM ALTURA. AF_06/2016</v>
          </cell>
          <cell r="D46" t="str">
            <v>M</v>
          </cell>
          <cell r="E46">
            <v>17.84</v>
          </cell>
          <cell r="F46">
            <v>47.14</v>
          </cell>
          <cell r="G46">
            <v>58.26</v>
          </cell>
          <cell r="H46">
            <v>1039.3599999999999</v>
          </cell>
          <cell r="I46">
            <v>50.32</v>
          </cell>
          <cell r="J46">
            <v>59.16</v>
          </cell>
          <cell r="K46">
            <v>1055.4100000000001</v>
          </cell>
        </row>
        <row r="47">
          <cell r="A47" t="str">
            <v>1.1.5.17</v>
          </cell>
          <cell r="B47">
            <v>98511</v>
          </cell>
          <cell r="C47" t="str">
            <v>PLANTIO DE ÁRVORE ORNAMENTAL COM ALTURA DE MUDA MAIOR QUE 2,00 M E MENOR OU IGUAL A 4,00 M. AF_05/2018</v>
          </cell>
          <cell r="D47" t="str">
            <v>UN</v>
          </cell>
          <cell r="E47">
            <v>11</v>
          </cell>
          <cell r="F47">
            <v>198.4</v>
          </cell>
          <cell r="G47">
            <v>245.2</v>
          </cell>
          <cell r="H47">
            <v>2697.2</v>
          </cell>
          <cell r="I47">
            <v>201.05</v>
          </cell>
          <cell r="J47">
            <v>236.37</v>
          </cell>
          <cell r="K47">
            <v>2600.0700000000002</v>
          </cell>
        </row>
        <row r="48">
          <cell r="A48" t="str">
            <v>1.1.5.18</v>
          </cell>
          <cell r="B48">
            <v>98504</v>
          </cell>
          <cell r="C48" t="str">
            <v>PLANTIO DE GRAMA BATATAIS EM PLACAS. AF_05/2018</v>
          </cell>
          <cell r="D48" t="str">
            <v>M2</v>
          </cell>
          <cell r="E48">
            <v>55</v>
          </cell>
          <cell r="F48">
            <v>13.4</v>
          </cell>
          <cell r="G48">
            <v>16.559999999999999</v>
          </cell>
          <cell r="H48">
            <v>910.8</v>
          </cell>
          <cell r="I48">
            <v>13.8</v>
          </cell>
          <cell r="J48">
            <v>16.22</v>
          </cell>
          <cell r="K48">
            <v>892.1</v>
          </cell>
        </row>
        <row r="49">
          <cell r="A49" t="str">
            <v>1.1.6</v>
          </cell>
          <cell r="C49" t="str">
            <v>DRENAGEM</v>
          </cell>
          <cell r="H49">
            <v>151210.10999999999</v>
          </cell>
          <cell r="K49">
            <v>148501.4</v>
          </cell>
        </row>
        <row r="50">
          <cell r="A50" t="str">
            <v>1.1.6.1</v>
          </cell>
          <cell r="B50">
            <v>90091</v>
          </cell>
          <cell r="C50" t="str">
            <v>ESCAVAÇÃO MECANIZADA DE VALA COM PROF. ATÉ 1,5 M (MÉDIA MONTANTE E JUSANTE/UMA COMPOSIÇÃO POR TRECHO), ESCAVADEIRA (0,8 M3), LARG. DE 1,5 M A 2,5 M, EM SOLO DE 1A CATEGORIA, LOCAIS COM BAIXO NÍVEL DE INTERFERÊNCIA. AF_02/2021</v>
          </cell>
          <cell r="D50" t="str">
            <v>M3</v>
          </cell>
          <cell r="E50">
            <v>71.61</v>
          </cell>
          <cell r="F50">
            <v>6.24</v>
          </cell>
          <cell r="G50">
            <v>7.71</v>
          </cell>
          <cell r="H50">
            <v>552.11</v>
          </cell>
          <cell r="I50">
            <v>6.48</v>
          </cell>
          <cell r="J50">
            <v>7.62</v>
          </cell>
          <cell r="K50">
            <v>545.66999999999996</v>
          </cell>
        </row>
        <row r="51">
          <cell r="A51" t="str">
            <v>1.1.6.2</v>
          </cell>
          <cell r="B51">
            <v>93367</v>
          </cell>
          <cell r="C51" t="str">
            <v>REATERRO MECANIZADO DE VALA COM ESCAVADEIRA HIDRÁULICA (CAPACIDADE DA CAÇAMBA: 0,8 M³ / POTÊNCIA: 111 HP), LARGURA DE 1,5 A 2,5 M, PROFUNDIDADE ATÉ 1,5 M, COM SOLO DE 1ª CATEGORIA EM LOCAIS COM BAIXO NÍVEL DE INTERFERÊNCIA. AF_04/2016</v>
          </cell>
          <cell r="D51" t="str">
            <v>M3</v>
          </cell>
          <cell r="E51">
            <v>26.85</v>
          </cell>
          <cell r="F51">
            <v>22.53</v>
          </cell>
          <cell r="G51">
            <v>27.84</v>
          </cell>
          <cell r="H51">
            <v>747.5</v>
          </cell>
          <cell r="I51">
            <v>23.75</v>
          </cell>
          <cell r="J51">
            <v>27.92</v>
          </cell>
          <cell r="K51">
            <v>749.65</v>
          </cell>
        </row>
        <row r="52">
          <cell r="A52" t="str">
            <v>1.1.6.3</v>
          </cell>
          <cell r="B52" t="str">
            <v>COMP-35145154</v>
          </cell>
          <cell r="C52" t="str">
            <v>CARGA E DESCARGA MECANICA DE SOLO UTILIZANDO CAMINHAO BASCULANTE 14,0M3/36T E PA CARREGADEIRA SOBRE PNEUS 128 HP, CAPACIDADE DA CAÇAMBA 1,7 A 2,8 M3, PESO OPERACIONAL 11632 KH</v>
          </cell>
          <cell r="D52" t="str">
            <v>M3</v>
          </cell>
          <cell r="E52">
            <v>55.95</v>
          </cell>
          <cell r="F52">
            <v>2.83</v>
          </cell>
          <cell r="G52">
            <v>3.5</v>
          </cell>
          <cell r="H52">
            <v>195.83</v>
          </cell>
          <cell r="I52">
            <v>2.9</v>
          </cell>
          <cell r="J52">
            <v>3.41</v>
          </cell>
          <cell r="K52">
            <v>190.79</v>
          </cell>
        </row>
        <row r="53">
          <cell r="A53" t="str">
            <v>1.1.6.4</v>
          </cell>
          <cell r="B53">
            <v>95876</v>
          </cell>
          <cell r="C53" t="str">
            <v>TRANSPORTE COM CAMINHÃO BASCULANTE DE 14 M³, EM VIA URBANA PAVIMENTADA, DMT ATÉ 30 KM (UNIDADE: M3XKM). AF_07/2020</v>
          </cell>
          <cell r="D53" t="str">
            <v>M3XKM</v>
          </cell>
          <cell r="E53">
            <v>117.5</v>
          </cell>
          <cell r="F53">
            <v>2.2400000000000002</v>
          </cell>
          <cell r="G53">
            <v>2.77</v>
          </cell>
          <cell r="H53">
            <v>325.48</v>
          </cell>
          <cell r="I53">
            <v>2.27</v>
          </cell>
          <cell r="J53">
            <v>2.67</v>
          </cell>
          <cell r="K53">
            <v>313.73</v>
          </cell>
        </row>
        <row r="54">
          <cell r="A54" t="str">
            <v>1.1.6.5</v>
          </cell>
          <cell r="B54">
            <v>94971</v>
          </cell>
          <cell r="C54" t="str">
            <v>CONCRETO FCK = 25MPA, TRAÇO 1:2,3:2,7 (EM MASSA SECA DE CIMENTO/ AREIA MÉDIA/ BRITA 1) - PREPARO MECÂNICO COM BETONEIRA 600 L. AF_05/2021</v>
          </cell>
          <cell r="D54" t="str">
            <v>M3</v>
          </cell>
          <cell r="E54">
            <v>38.03</v>
          </cell>
          <cell r="F54">
            <v>464.88</v>
          </cell>
          <cell r="G54">
            <v>574.54999999999995</v>
          </cell>
          <cell r="H54">
            <v>21850.14</v>
          </cell>
          <cell r="I54">
            <v>472.74</v>
          </cell>
          <cell r="J54">
            <v>555.79999999999995</v>
          </cell>
          <cell r="K54">
            <v>21137.07</v>
          </cell>
        </row>
        <row r="55">
          <cell r="A55" t="str">
            <v>1.1.6.6</v>
          </cell>
          <cell r="B55">
            <v>94974</v>
          </cell>
          <cell r="C55" t="str">
            <v>CONCRETO MAGRO PARA LASTRO, TRAÇO 1:4,5:4,5 (EM MASSA SECA DE CIMENTO/ AREIA MÉDIA/ BRITA 1) - PREPARO MANUAL. AF_05/2021</v>
          </cell>
          <cell r="D55" t="str">
            <v>M3</v>
          </cell>
          <cell r="E55">
            <v>29.84</v>
          </cell>
          <cell r="F55">
            <v>423.75</v>
          </cell>
          <cell r="G55">
            <v>523.71</v>
          </cell>
          <cell r="H55">
            <v>15627.51</v>
          </cell>
          <cell r="I55">
            <v>436.13</v>
          </cell>
          <cell r="J55">
            <v>512.76</v>
          </cell>
          <cell r="K55">
            <v>15300.76</v>
          </cell>
        </row>
        <row r="56">
          <cell r="A56" t="str">
            <v>1.1.6.7</v>
          </cell>
          <cell r="B56">
            <v>92771</v>
          </cell>
          <cell r="C56" t="str">
            <v>ARMAÇÃO DE LAJE DE ESTRUTURA CONVENCIONAL DE CONCRETO ARMADO UTILIZANDO AÇO CA-50 DE 10,0 MM - MONTAGEM. AF_06/2022</v>
          </cell>
          <cell r="D56" t="str">
            <v>KG</v>
          </cell>
          <cell r="E56">
            <v>2473.5700000000002</v>
          </cell>
          <cell r="F56">
            <v>15.04</v>
          </cell>
          <cell r="G56">
            <v>18.59</v>
          </cell>
          <cell r="H56">
            <v>45983.67</v>
          </cell>
          <cell r="I56">
            <v>15.14</v>
          </cell>
          <cell r="J56">
            <v>17.8</v>
          </cell>
          <cell r="K56">
            <v>44029.55</v>
          </cell>
        </row>
        <row r="57">
          <cell r="A57" t="str">
            <v>1.1.6.8</v>
          </cell>
          <cell r="B57" t="str">
            <v>CP-92268-29291149</v>
          </cell>
          <cell r="C57" t="str">
            <v>FABRICAÇÃO DE FÔRMA PARA LAJES, EM CHAPA DE MADEIRA COMPENSADA PLASTIFICADA, E = 18 MM - EXCLUINDO O PAINEL DE MADEIRA COMPENSADA PLASTIFICADA DE 2200 x 1100 MM, E = *17* MM</v>
          </cell>
          <cell r="D57" t="str">
            <v>M2</v>
          </cell>
          <cell r="E57">
            <v>179.03</v>
          </cell>
          <cell r="F57">
            <v>0.98</v>
          </cell>
          <cell r="G57">
            <v>1.21</v>
          </cell>
          <cell r="H57">
            <v>216.63</v>
          </cell>
          <cell r="I57">
            <v>1.1000000000000001</v>
          </cell>
          <cell r="J57">
            <v>1.29</v>
          </cell>
          <cell r="K57">
            <v>230.95</v>
          </cell>
        </row>
        <row r="58">
          <cell r="A58" t="str">
            <v>1.1.6.9</v>
          </cell>
          <cell r="B58">
            <v>103320</v>
          </cell>
          <cell r="C58" t="str">
            <v>ALVENARIA DE VEDAÇÃO DE BLOCOS VAZADOS DE CONCRETO DE 19X19X39 CM (ESPESSURA 19 CM) E ARGAMASSA DE ASSENTAMENTO COM PREPARO EM BETONEIRA. AF_12/2021</v>
          </cell>
          <cell r="D58" t="str">
            <v>M2</v>
          </cell>
          <cell r="E58">
            <v>238.7</v>
          </cell>
          <cell r="F58">
            <v>101.36</v>
          </cell>
          <cell r="G58">
            <v>125.27</v>
          </cell>
          <cell r="H58">
            <v>29901.95</v>
          </cell>
          <cell r="I58">
            <v>105.62</v>
          </cell>
          <cell r="J58">
            <v>124.18</v>
          </cell>
          <cell r="K58">
            <v>29641.77</v>
          </cell>
        </row>
        <row r="59">
          <cell r="A59" t="str">
            <v>1.1.6.10</v>
          </cell>
          <cell r="B59">
            <v>87879</v>
          </cell>
          <cell r="C59" t="str">
            <v>CHAPISCO APLICADO EM ALVENARIAS E ESTRUTURAS DE CONCRETO INTERNAS, COM COLHER DE PEDREIRO.  ARGAMASSA TRAÇO 1:3 COM PREPARO EM BETONEIRA 400L. AF_06/2014</v>
          </cell>
          <cell r="D59" t="str">
            <v>M2</v>
          </cell>
          <cell r="E59">
            <v>238.7</v>
          </cell>
          <cell r="F59">
            <v>3.85</v>
          </cell>
          <cell r="G59">
            <v>4.76</v>
          </cell>
          <cell r="H59">
            <v>1136.21</v>
          </cell>
          <cell r="I59">
            <v>4.0999999999999996</v>
          </cell>
          <cell r="J59">
            <v>4.82</v>
          </cell>
          <cell r="K59">
            <v>1150.53</v>
          </cell>
        </row>
        <row r="60">
          <cell r="A60" t="str">
            <v>1.1.6.11</v>
          </cell>
          <cell r="B60">
            <v>87547</v>
          </cell>
          <cell r="C60" t="str">
            <v>MASSA ÚNICA, PARA RECEBIMENTO DE PINTURA, EM ARGAMASSA TRAÇO 1:2:8, PREPARO MECÂNICO COM BETONEIRA 400L, APLICADA MANUALMENTE EM FACES INTERNAS DE PAREDES, ESPESSURA DE 10MM, COM EXECUÇÃO DE TALISCAS. AF_06/2014</v>
          </cell>
          <cell r="D60" t="str">
            <v>M2</v>
          </cell>
          <cell r="E60">
            <v>238.7</v>
          </cell>
          <cell r="F60">
            <v>23.35</v>
          </cell>
          <cell r="G60">
            <v>28.86</v>
          </cell>
          <cell r="H60">
            <v>6888.88</v>
          </cell>
          <cell r="I60">
            <v>24.83</v>
          </cell>
          <cell r="J60">
            <v>29.19</v>
          </cell>
          <cell r="K60">
            <v>6967.65</v>
          </cell>
        </row>
        <row r="61">
          <cell r="A61" t="str">
            <v>1.1.6.12</v>
          </cell>
          <cell r="B61">
            <v>94975</v>
          </cell>
          <cell r="C61" t="str">
            <v>CONCRETO FCK = 15MPA, TRAÇO 1:3,4:3,5 (EM MASSA SECA DE CIMENTO/ AREIA MÉDIA/ BRITA 1) - PREPARO MANUAL. AF_05/2021</v>
          </cell>
          <cell r="D61" t="str">
            <v>M3</v>
          </cell>
          <cell r="E61">
            <v>25.39</v>
          </cell>
          <cell r="F61">
            <v>457.19</v>
          </cell>
          <cell r="G61">
            <v>565.04</v>
          </cell>
          <cell r="H61">
            <v>14346.37</v>
          </cell>
          <cell r="I61">
            <v>469.42</v>
          </cell>
          <cell r="J61">
            <v>551.9</v>
          </cell>
          <cell r="K61">
            <v>14012.74</v>
          </cell>
        </row>
        <row r="62">
          <cell r="A62" t="str">
            <v>1.1.6.13</v>
          </cell>
          <cell r="B62" t="str">
            <v>CP-74157/004-48264518</v>
          </cell>
          <cell r="C62" t="str">
            <v>LANCAMENTO/APLICACAO MANUAL DE CONCRETO EM FUNDACOES (concreto magro)</v>
          </cell>
          <cell r="D62" t="str">
            <v>M3</v>
          </cell>
          <cell r="E62">
            <v>93.26</v>
          </cell>
          <cell r="F62">
            <v>116.59</v>
          </cell>
          <cell r="G62">
            <v>144.09</v>
          </cell>
          <cell r="H62">
            <v>13437.83</v>
          </cell>
          <cell r="I62">
            <v>129.79</v>
          </cell>
          <cell r="J62">
            <v>152.59</v>
          </cell>
          <cell r="K62">
            <v>14230.54</v>
          </cell>
        </row>
        <row r="63">
          <cell r="A63" t="str">
            <v>1.1.7</v>
          </cell>
          <cell r="C63" t="str">
            <v>SINALIZAÇÃO</v>
          </cell>
          <cell r="H63">
            <v>19740.53</v>
          </cell>
          <cell r="K63">
            <v>19447.54</v>
          </cell>
        </row>
        <row r="64">
          <cell r="A64" t="str">
            <v>1.1.7.1</v>
          </cell>
          <cell r="B64">
            <v>5213421</v>
          </cell>
          <cell r="C64" t="str">
            <v>Confecção de placa em aço nº 16 galvanizado, com película tipo I + IV</v>
          </cell>
          <cell r="D64" t="str">
            <v xml:space="preserve">M2    </v>
          </cell>
          <cell r="E64">
            <v>7.3</v>
          </cell>
          <cell r="F64">
            <v>343.8</v>
          </cell>
          <cell r="G64">
            <v>424.9</v>
          </cell>
          <cell r="H64">
            <v>3101.77</v>
          </cell>
          <cell r="I64">
            <v>347.25</v>
          </cell>
          <cell r="J64">
            <v>408.26</v>
          </cell>
          <cell r="K64">
            <v>2980.3</v>
          </cell>
        </row>
        <row r="65">
          <cell r="A65" t="str">
            <v>1.1.7.2</v>
          </cell>
          <cell r="B65">
            <v>5216111</v>
          </cell>
          <cell r="C65" t="str">
            <v>FORNECIMENTO E IMPLANTAÇÃO DE SUPORTE E TRAVESSA PARA PLACA DE SINALIZAÇÃO EM MADEIRA DE LEI TRATADA 8 X 8 CM</v>
          </cell>
          <cell r="D65" t="str">
            <v>UND</v>
          </cell>
          <cell r="E65">
            <v>29</v>
          </cell>
          <cell r="F65">
            <v>119.1379</v>
          </cell>
          <cell r="G65">
            <v>147.24</v>
          </cell>
          <cell r="H65">
            <v>4269.96</v>
          </cell>
          <cell r="I65">
            <v>121.48</v>
          </cell>
          <cell r="J65">
            <v>142.82</v>
          </cell>
          <cell r="K65">
            <v>4141.78</v>
          </cell>
        </row>
        <row r="66">
          <cell r="A66" t="str">
            <v>1.1.7.3</v>
          </cell>
          <cell r="B66" t="str">
            <v>COMP-58084869</v>
          </cell>
          <cell r="C66" t="str">
            <v>PLACA ESMALTADA PARA IDENTIFICAÇÃO NR DE RUA, DIMENSÕES 45X25CM</v>
          </cell>
          <cell r="D66" t="str">
            <v>UND</v>
          </cell>
          <cell r="E66">
            <v>4</v>
          </cell>
          <cell r="F66">
            <v>155.54</v>
          </cell>
          <cell r="G66">
            <v>192.23</v>
          </cell>
          <cell r="H66">
            <v>768.92</v>
          </cell>
          <cell r="I66">
            <v>156.33000000000001</v>
          </cell>
          <cell r="J66">
            <v>183.8</v>
          </cell>
          <cell r="K66">
            <v>735.2</v>
          </cell>
        </row>
        <row r="67">
          <cell r="A67" t="str">
            <v>1.1.7.4</v>
          </cell>
          <cell r="B67">
            <v>102512</v>
          </cell>
          <cell r="C67" t="str">
            <v>PINTURA DE EIXO VIÁRIO SOBRE ASFALTO COM TINTA RETRORREFLETIVA A BASE DE RESINA ACRÍLICA COM MICROESFERAS DE VIDRO, APLICAÇÃO MECÂNICA COM DEMARCADORA AUTOPROPELIDA. AF_05/2021</v>
          </cell>
          <cell r="D67" t="str">
            <v>M</v>
          </cell>
          <cell r="E67">
            <v>1502.34</v>
          </cell>
          <cell r="F67">
            <v>5.22</v>
          </cell>
          <cell r="G67">
            <v>6.45</v>
          </cell>
          <cell r="H67">
            <v>9690.09</v>
          </cell>
          <cell r="I67">
            <v>5.48</v>
          </cell>
          <cell r="J67">
            <v>6.44</v>
          </cell>
          <cell r="K67">
            <v>9675.07</v>
          </cell>
        </row>
        <row r="68">
          <cell r="A68" t="str">
            <v>1.1.7.5</v>
          </cell>
          <cell r="B68">
            <v>102509</v>
          </cell>
          <cell r="C68" t="str">
            <v>PINTURA DE FAIXA DE PEDESTRE OU ZEBRADA TINTA RETRORREFLETIVA A BASE DE RESINA ACRÍLICA COM MICROESFERAS DE VIDRO, E = 30 CM, APLICAÇÃO MANUAL. AF_05/2021</v>
          </cell>
          <cell r="D68" t="str">
            <v>M2</v>
          </cell>
          <cell r="E68">
            <v>67.459999999999994</v>
          </cell>
          <cell r="F68">
            <v>22.91</v>
          </cell>
          <cell r="G68">
            <v>28.31</v>
          </cell>
          <cell r="H68">
            <v>1909.79</v>
          </cell>
          <cell r="I68">
            <v>24.15</v>
          </cell>
          <cell r="J68">
            <v>28.39</v>
          </cell>
          <cell r="K68">
            <v>1915.19</v>
          </cell>
        </row>
        <row r="69">
          <cell r="A69" t="str">
            <v>1.1.8</v>
          </cell>
          <cell r="C69" t="str">
            <v>ACESSIBILIDADE</v>
          </cell>
          <cell r="H69">
            <v>3247.62</v>
          </cell>
          <cell r="K69">
            <v>3193.69</v>
          </cell>
        </row>
        <row r="70">
          <cell r="A70" t="str">
            <v>1.1.8.1</v>
          </cell>
          <cell r="B70" t="str">
            <v>CP-S12039-81921471</v>
          </cell>
          <cell r="C70" t="str">
            <v>Piso tátil direcional e/ou alerta, de concreto, na cor natural, p/deficientes visuais, dimensões 40x40cm, aplicado com argamassa industrializada ac-ii, rejuntado, exclusive regularização de base</v>
          </cell>
          <cell r="D70" t="str">
            <v>M2</v>
          </cell>
          <cell r="E70">
            <v>24.18</v>
          </cell>
          <cell r="F70">
            <v>108.67</v>
          </cell>
          <cell r="G70">
            <v>134.31</v>
          </cell>
          <cell r="H70">
            <v>3247.62</v>
          </cell>
          <cell r="I70">
            <v>112.34</v>
          </cell>
          <cell r="J70">
            <v>132.08000000000001</v>
          </cell>
          <cell r="K70">
            <v>3193.69</v>
          </cell>
        </row>
        <row r="71">
          <cell r="A71" t="str">
            <v>1.1.9</v>
          </cell>
          <cell r="C71" t="str">
            <v>MATERIAIS</v>
          </cell>
          <cell r="H71">
            <v>534736.97</v>
          </cell>
          <cell r="K71">
            <v>509805.13</v>
          </cell>
        </row>
        <row r="72">
          <cell r="A72" t="str">
            <v>1.1.9.1</v>
          </cell>
          <cell r="B72">
            <v>10775</v>
          </cell>
          <cell r="C72" t="str">
            <v xml:space="preserve">LOCACAO DE CONTAINER 2,30 X 6,00 M, ALT. 2,50 M, COM 1 SANITARIO, PARA ESCRITORIO, COMPLETO, SEM DIVISORIAS INTERNAS (NAO INCLUI MOBILIZACAO/DESMOBILIZACAO)                                                                                                                                                                                                                                                                                                                                              </v>
          </cell>
          <cell r="D72" t="str">
            <v xml:space="preserve">MES   </v>
          </cell>
          <cell r="E72">
            <v>6</v>
          </cell>
          <cell r="F72">
            <v>830</v>
          </cell>
          <cell r="G72">
            <v>958.32</v>
          </cell>
          <cell r="H72">
            <v>5749.92</v>
          </cell>
          <cell r="I72">
            <v>830</v>
          </cell>
          <cell r="J72">
            <v>913.58</v>
          </cell>
          <cell r="K72">
            <v>5481.48</v>
          </cell>
        </row>
        <row r="73">
          <cell r="A73" t="str">
            <v>1.1.9.2</v>
          </cell>
          <cell r="B73">
            <v>10776</v>
          </cell>
          <cell r="C73" t="str">
            <v xml:space="preserve">LOCACAO DE CONTAINER 2,30 X 6,00 M, ALT. 2,50 M, PARA ESCRITORIO, SEM DIVISORIAS INTERNAS E SEM SANITARIO (NAO INCLUI MOBILIZACAO/DESMOBILIZACAO)                                                                                                                                                                                                                                                                                                                                                         </v>
          </cell>
          <cell r="D73" t="str">
            <v xml:space="preserve">MES   </v>
          </cell>
          <cell r="E73">
            <v>6</v>
          </cell>
          <cell r="F73">
            <v>648.42999999999995</v>
          </cell>
          <cell r="G73">
            <v>748.68</v>
          </cell>
          <cell r="H73">
            <v>4492.08</v>
          </cell>
          <cell r="I73">
            <v>648.42999999999995</v>
          </cell>
          <cell r="J73">
            <v>713.73</v>
          </cell>
          <cell r="K73">
            <v>4282.38</v>
          </cell>
        </row>
        <row r="74">
          <cell r="A74" t="str">
            <v>1.1.9.3</v>
          </cell>
          <cell r="B74">
            <v>1518</v>
          </cell>
          <cell r="C74" t="str">
            <v xml:space="preserve">CONCRETO BETUMINOSO USINADO A QUENTE (CBUQ) PARA PAVIMENTACAO ASFALTICA, PADRAO DNIT, FAIXA C, COM CAP 50/70 - AQUISICAO POSTO USINA                                                                                                                                                                                                                                                                                                                                                                      </v>
          </cell>
          <cell r="D74" t="str">
            <v xml:space="preserve">T     </v>
          </cell>
          <cell r="E74">
            <v>391.93</v>
          </cell>
          <cell r="F74">
            <v>522.5</v>
          </cell>
          <cell r="G74">
            <v>603.28</v>
          </cell>
          <cell r="H74">
            <v>236443.53</v>
          </cell>
          <cell r="I74">
            <v>522.5</v>
          </cell>
          <cell r="J74">
            <v>575.12</v>
          </cell>
          <cell r="K74">
            <v>225406.78</v>
          </cell>
        </row>
        <row r="75">
          <cell r="A75" t="str">
            <v>1.1.9.4</v>
          </cell>
          <cell r="B75" t="str">
            <v>INS-185032</v>
          </cell>
          <cell r="C75" t="str">
            <v>BRITA GRADUADA SIMPLES (BGS)</v>
          </cell>
          <cell r="D75" t="str">
            <v>M3</v>
          </cell>
          <cell r="E75">
            <v>614.66999999999996</v>
          </cell>
          <cell r="F75">
            <v>56.099999999999994</v>
          </cell>
          <cell r="G75">
            <v>64.77</v>
          </cell>
          <cell r="H75">
            <v>39812.18</v>
          </cell>
          <cell r="I75">
            <v>56.099999999999994</v>
          </cell>
          <cell r="J75">
            <v>61.75</v>
          </cell>
          <cell r="K75">
            <v>37955.870000000003</v>
          </cell>
        </row>
        <row r="76">
          <cell r="A76" t="str">
            <v>1.1.9.5</v>
          </cell>
          <cell r="B76" t="str">
            <v>M0808</v>
          </cell>
          <cell r="C76" t="str">
            <v>Brita 4</v>
          </cell>
          <cell r="D76" t="str">
            <v>M3</v>
          </cell>
          <cell r="E76">
            <v>697.03</v>
          </cell>
          <cell r="F76">
            <v>90.74</v>
          </cell>
          <cell r="G76">
            <v>104.77</v>
          </cell>
          <cell r="H76">
            <v>73027.83</v>
          </cell>
          <cell r="I76">
            <v>90.74</v>
          </cell>
          <cell r="J76">
            <v>99.88</v>
          </cell>
          <cell r="K76">
            <v>69619.360000000001</v>
          </cell>
        </row>
        <row r="77">
          <cell r="A77" t="str">
            <v>1.1.9.6</v>
          </cell>
          <cell r="B77" t="str">
            <v>M1135</v>
          </cell>
          <cell r="C77" t="str">
            <v>Pó de pedra</v>
          </cell>
          <cell r="D77" t="str">
            <v>M3</v>
          </cell>
          <cell r="E77">
            <v>77.45</v>
          </cell>
          <cell r="F77">
            <v>74.53</v>
          </cell>
          <cell r="G77">
            <v>86.05</v>
          </cell>
          <cell r="H77">
            <v>6664.57</v>
          </cell>
          <cell r="I77">
            <v>74.53</v>
          </cell>
          <cell r="J77">
            <v>82.04</v>
          </cell>
          <cell r="K77">
            <v>6354</v>
          </cell>
        </row>
        <row r="78">
          <cell r="A78" t="str">
            <v>1.1.9.7</v>
          </cell>
          <cell r="B78" t="str">
            <v>INS-711371</v>
          </cell>
          <cell r="C78" t="str">
            <v>ASFALTO DILUÍDO CM - 30</v>
          </cell>
          <cell r="D78" t="str">
            <v>KG</v>
          </cell>
          <cell r="E78">
            <v>3681.8</v>
          </cell>
          <cell r="F78">
            <v>5.32</v>
          </cell>
          <cell r="G78">
            <v>6.14</v>
          </cell>
          <cell r="H78">
            <v>22606.25</v>
          </cell>
          <cell r="I78">
            <v>5.32</v>
          </cell>
          <cell r="J78">
            <v>5.86</v>
          </cell>
          <cell r="K78">
            <v>21575.35</v>
          </cell>
        </row>
        <row r="79">
          <cell r="A79" t="str">
            <v>1.1.9.8</v>
          </cell>
          <cell r="B79">
            <v>34492</v>
          </cell>
          <cell r="C79" t="str">
            <v xml:space="preserve">CONCRETO USINADO BOMBEAVEL, CLASSE DE RESISTENCIA C20, COM BRITA 0 E 1, SLUMP = 100 +/- 20 MM, EXCLUI SERVICO DE BOMBEAMENTO (NBR 8953)                                                                                                                                                                                                                                                                                                                                                                   </v>
          </cell>
          <cell r="D79" t="str">
            <v xml:space="preserve">M3    </v>
          </cell>
          <cell r="E79">
            <v>257.17</v>
          </cell>
          <cell r="F79">
            <v>422.5</v>
          </cell>
          <cell r="G79">
            <v>487.82</v>
          </cell>
          <cell r="H79">
            <v>125452.67</v>
          </cell>
          <cell r="I79">
            <v>422.5</v>
          </cell>
          <cell r="J79">
            <v>465.05</v>
          </cell>
          <cell r="K79">
            <v>119596.91</v>
          </cell>
        </row>
        <row r="80">
          <cell r="A80" t="str">
            <v>1.1.9.9</v>
          </cell>
          <cell r="B80">
            <v>1345</v>
          </cell>
          <cell r="C80" t="str">
            <v xml:space="preserve">CHAPA/PAINEL DE MADEIRA COMPENSADA PLASTIFICADA (MADEIRITE PLASTIFICADO) PARA FORMA DE CONCRETO, DE 2200 x 1100 MM, E = *17* MM                                                                                                                                                                                                                                                                                                                                                                           </v>
          </cell>
          <cell r="D80" t="str">
            <v xml:space="preserve">M2    </v>
          </cell>
          <cell r="E80">
            <v>187.98</v>
          </cell>
          <cell r="F80">
            <v>94.4</v>
          </cell>
          <cell r="G80">
            <v>108.99</v>
          </cell>
          <cell r="H80">
            <v>20487.939999999999</v>
          </cell>
          <cell r="I80">
            <v>94.4</v>
          </cell>
          <cell r="J80">
            <v>103.91</v>
          </cell>
          <cell r="K80">
            <v>19533</v>
          </cell>
        </row>
        <row r="81">
          <cell r="A81" t="str">
            <v>1.2</v>
          </cell>
          <cell r="C81" t="str">
            <v>RUA PASTOS BONS - CAJUEIRO SECO</v>
          </cell>
          <cell r="H81">
            <v>79674.2</v>
          </cell>
          <cell r="K81">
            <v>78117.58</v>
          </cell>
        </row>
        <row r="82">
          <cell r="A82" t="str">
            <v>1.2.1</v>
          </cell>
          <cell r="C82" t="str">
            <v>INSTALAÇÕES PROVISÓRIAS</v>
          </cell>
          <cell r="H82">
            <v>6385.61</v>
          </cell>
          <cell r="K82">
            <v>6137.07</v>
          </cell>
        </row>
        <row r="83">
          <cell r="A83" t="str">
            <v>1.2.1.1</v>
          </cell>
          <cell r="B83" t="str">
            <v>CP-74209/001-15055090</v>
          </cell>
          <cell r="C83" t="str">
            <v>PLACA DE OBRA EM CHAPA DE ACO GALVANIZADO</v>
          </cell>
          <cell r="D83" t="str">
            <v xml:space="preserve">M2    </v>
          </cell>
          <cell r="E83">
            <v>8</v>
          </cell>
          <cell r="F83">
            <v>558.35</v>
          </cell>
          <cell r="G83">
            <v>690.06</v>
          </cell>
          <cell r="H83">
            <v>5520.48</v>
          </cell>
          <cell r="I83">
            <v>564.99</v>
          </cell>
          <cell r="J83">
            <v>664.26</v>
          </cell>
          <cell r="K83">
            <v>5314.08</v>
          </cell>
        </row>
        <row r="84">
          <cell r="A84" t="str">
            <v>1.2.1.2</v>
          </cell>
          <cell r="B84" t="str">
            <v>COMP-07440249</v>
          </cell>
          <cell r="C84" t="str">
            <v>BANHEIRO QUÍMICO, COM LOCAÇÃO, TRANSPORTE E LIMPEZA</v>
          </cell>
          <cell r="D84" t="str">
            <v>MÊS</v>
          </cell>
          <cell r="E84">
            <v>1</v>
          </cell>
          <cell r="F84">
            <v>700</v>
          </cell>
          <cell r="G84">
            <v>865.13</v>
          </cell>
          <cell r="H84">
            <v>865.13</v>
          </cell>
          <cell r="I84">
            <v>700</v>
          </cell>
          <cell r="J84">
            <v>822.99</v>
          </cell>
          <cell r="K84">
            <v>822.99</v>
          </cell>
        </row>
        <row r="85">
          <cell r="A85" t="str">
            <v>1.2.2</v>
          </cell>
          <cell r="C85" t="str">
            <v>ADMINISTRAÇÃO LOCAL</v>
          </cell>
          <cell r="H85">
            <v>3270.86</v>
          </cell>
          <cell r="K85">
            <v>3590.41</v>
          </cell>
        </row>
        <row r="86">
          <cell r="A86" t="str">
            <v>1.2.2.1</v>
          </cell>
          <cell r="B86">
            <v>93565</v>
          </cell>
          <cell r="C86" t="str">
            <v>ENGENHEIRO CIVIL DE OBRA JUNIOR COM ENCARGOS COMPLEMENTARES</v>
          </cell>
          <cell r="D86" t="str">
            <v>MES</v>
          </cell>
          <cell r="E86">
            <v>0.13</v>
          </cell>
          <cell r="F86">
            <v>14549.96</v>
          </cell>
          <cell r="G86">
            <v>17982.3</v>
          </cell>
          <cell r="H86">
            <v>2337.6999999999998</v>
          </cell>
          <cell r="I86">
            <v>16819.14</v>
          </cell>
          <cell r="J86">
            <v>19774.259999999998</v>
          </cell>
          <cell r="K86">
            <v>2570.65</v>
          </cell>
        </row>
        <row r="87">
          <cell r="A87" t="str">
            <v>1.2.2.2</v>
          </cell>
          <cell r="B87">
            <v>93572</v>
          </cell>
          <cell r="C87" t="str">
            <v>ENCARREGADO GERAL DE OBRAS COM ENCARGOS COMPLEMENTARES</v>
          </cell>
          <cell r="D87" t="str">
            <v>MES</v>
          </cell>
          <cell r="E87">
            <v>0.13</v>
          </cell>
          <cell r="F87">
            <v>5808.01</v>
          </cell>
          <cell r="G87">
            <v>7178.12</v>
          </cell>
          <cell r="H87">
            <v>933.16</v>
          </cell>
          <cell r="I87">
            <v>6672</v>
          </cell>
          <cell r="J87">
            <v>7844.27</v>
          </cell>
          <cell r="K87">
            <v>1019.76</v>
          </cell>
        </row>
        <row r="88">
          <cell r="A88" t="str">
            <v>1.2.3</v>
          </cell>
          <cell r="C88" t="str">
            <v>SERVIÇOS PRELIMINARES</v>
          </cell>
          <cell r="H88">
            <v>2993.98</v>
          </cell>
          <cell r="K88">
            <v>3156.04</v>
          </cell>
        </row>
        <row r="89">
          <cell r="A89" t="str">
            <v>1.2.3.1</v>
          </cell>
          <cell r="B89">
            <v>99064</v>
          </cell>
          <cell r="C89" t="str">
            <v>LOCAÇÃO DE PAVIMENTAÇÃO. AF_10/2018</v>
          </cell>
          <cell r="D89" t="str">
            <v>M</v>
          </cell>
          <cell r="E89">
            <v>46.54</v>
          </cell>
          <cell r="F89">
            <v>0.43</v>
          </cell>
          <cell r="G89">
            <v>0.53</v>
          </cell>
          <cell r="H89">
            <v>24.67</v>
          </cell>
          <cell r="I89">
            <v>0.49</v>
          </cell>
          <cell r="J89">
            <v>0.57999999999999996</v>
          </cell>
          <cell r="K89">
            <v>26.99</v>
          </cell>
        </row>
        <row r="90">
          <cell r="A90" t="str">
            <v>1.2.3.2</v>
          </cell>
          <cell r="B90" t="str">
            <v>COMP-17562084</v>
          </cell>
          <cell r="C90" t="str">
            <v>DEMOLIÇÃO MANUAL DE CONCRETO SIMPLES</v>
          </cell>
          <cell r="D90" t="str">
            <v>M3</v>
          </cell>
          <cell r="E90">
            <v>7.32</v>
          </cell>
          <cell r="F90">
            <v>190.89</v>
          </cell>
          <cell r="G90">
            <v>235.92</v>
          </cell>
          <cell r="H90">
            <v>1726.93</v>
          </cell>
          <cell r="I90">
            <v>212.24</v>
          </cell>
          <cell r="J90">
            <v>249.53</v>
          </cell>
          <cell r="K90">
            <v>1826.56</v>
          </cell>
        </row>
        <row r="91">
          <cell r="A91" t="str">
            <v>1.2.3.3</v>
          </cell>
          <cell r="B91" t="str">
            <v>COMP-01471766</v>
          </cell>
          <cell r="C91" t="str">
            <v>DEMOLIÇÃO DE MEIO-FIO</v>
          </cell>
          <cell r="D91" t="str">
            <v>M</v>
          </cell>
          <cell r="E91">
            <v>90.28</v>
          </cell>
          <cell r="F91">
            <v>10.02</v>
          </cell>
          <cell r="G91">
            <v>12.38</v>
          </cell>
          <cell r="H91">
            <v>1117.67</v>
          </cell>
          <cell r="I91">
            <v>11.13</v>
          </cell>
          <cell r="J91">
            <v>13.09</v>
          </cell>
          <cell r="K91">
            <v>1181.77</v>
          </cell>
        </row>
        <row r="92">
          <cell r="A92" t="str">
            <v>1.2.3.4</v>
          </cell>
          <cell r="B92" t="str">
            <v>COMP-35145154</v>
          </cell>
          <cell r="C92" t="str">
            <v>CARGA E DESCARGA MECANICA DE SOLO UTILIZANDO CAMINHAO BASCULANTE 14,0M3/36T E PA CARREGADEIRA SOBRE PNEUS 128 HP, CAPACIDADE DA CAÇAMBA 1,7 A 2,8 M3, PESO OPERACIONAL 11632 KH</v>
          </cell>
          <cell r="D92" t="str">
            <v>M3</v>
          </cell>
          <cell r="E92">
            <v>14.23</v>
          </cell>
          <cell r="F92">
            <v>2.83</v>
          </cell>
          <cell r="G92">
            <v>3.5</v>
          </cell>
          <cell r="H92">
            <v>49.81</v>
          </cell>
          <cell r="I92">
            <v>2.9</v>
          </cell>
          <cell r="J92">
            <v>3.41</v>
          </cell>
          <cell r="K92">
            <v>48.52</v>
          </cell>
        </row>
        <row r="93">
          <cell r="A93" t="str">
            <v>1.2.3.5</v>
          </cell>
          <cell r="B93">
            <v>95876</v>
          </cell>
          <cell r="C93" t="str">
            <v>TRANSPORTE COM CAMINHÃO BASCULANTE DE 14 M³, EM VIA URBANA PAVIMENTADA, DMT ATÉ 30 KM (UNIDADE: M3XKM). AF_07/2020</v>
          </cell>
          <cell r="D93" t="str">
            <v>M3XKM</v>
          </cell>
          <cell r="E93">
            <v>27.04</v>
          </cell>
          <cell r="F93">
            <v>2.2400000000000002</v>
          </cell>
          <cell r="G93">
            <v>2.77</v>
          </cell>
          <cell r="H93">
            <v>74.900000000000006</v>
          </cell>
          <cell r="I93">
            <v>2.27</v>
          </cell>
          <cell r="J93">
            <v>2.67</v>
          </cell>
          <cell r="K93">
            <v>72.2</v>
          </cell>
        </row>
        <row r="94">
          <cell r="A94" t="str">
            <v>1.2.4</v>
          </cell>
          <cell r="C94" t="str">
            <v>TERRAPLANAGEM</v>
          </cell>
          <cell r="H94">
            <v>1484.47</v>
          </cell>
          <cell r="K94">
            <v>1438.12</v>
          </cell>
        </row>
        <row r="95">
          <cell r="A95" t="str">
            <v>1.2.4.1</v>
          </cell>
          <cell r="B95" t="str">
            <v>CP-74205/001-17324935</v>
          </cell>
          <cell r="C95" t="str">
            <v>ESCAVAÇÃO MECÂNICA DE MATERIAL 1A. CATEGORIA, PROVENIENTE DE CORTE DE SUBLEITO (C/TRATOR ESTEIRAS  160HP)</v>
          </cell>
          <cell r="D95" t="str">
            <v>M3</v>
          </cell>
          <cell r="E95">
            <v>105.33</v>
          </cell>
          <cell r="F95">
            <v>2.54</v>
          </cell>
          <cell r="G95">
            <v>3.14</v>
          </cell>
          <cell r="H95">
            <v>330.74</v>
          </cell>
          <cell r="I95">
            <v>2.59</v>
          </cell>
          <cell r="J95">
            <v>3.05</v>
          </cell>
          <cell r="K95">
            <v>321.26</v>
          </cell>
        </row>
        <row r="96">
          <cell r="A96" t="str">
            <v>1.2.4.2</v>
          </cell>
          <cell r="B96" t="str">
            <v>COMP-35145154</v>
          </cell>
          <cell r="C96" t="str">
            <v>CARGA E DESCARGA MECANICA DE SOLO UTILIZANDO CAMINHAO BASCULANTE 14,0M3/36T E PA CARREGADEIRA SOBRE PNEUS 128 HP, CAPACIDADE DA CAÇAMBA 1,7 A 2,8 M3, PESO OPERACIONAL 11632 KH</v>
          </cell>
          <cell r="D96" t="str">
            <v>M3</v>
          </cell>
          <cell r="E96">
            <v>131.66</v>
          </cell>
          <cell r="F96">
            <v>2.83</v>
          </cell>
          <cell r="G96">
            <v>3.5</v>
          </cell>
          <cell r="H96">
            <v>460.81</v>
          </cell>
          <cell r="I96">
            <v>2.9</v>
          </cell>
          <cell r="J96">
            <v>3.41</v>
          </cell>
          <cell r="K96">
            <v>448.96</v>
          </cell>
        </row>
        <row r="97">
          <cell r="A97" t="str">
            <v>1.2.4.3</v>
          </cell>
          <cell r="B97">
            <v>95876</v>
          </cell>
          <cell r="C97" t="str">
            <v>TRANSPORTE COM CAMINHÃO BASCULANTE DE 14 M³, EM VIA URBANA PAVIMENTADA, DMT ATÉ 30 KM (UNIDADE: M3XKM). AF_07/2020</v>
          </cell>
          <cell r="D97" t="str">
            <v>M3XKM</v>
          </cell>
          <cell r="E97">
            <v>250.15</v>
          </cell>
          <cell r="F97">
            <v>2.2400000000000002</v>
          </cell>
          <cell r="G97">
            <v>2.77</v>
          </cell>
          <cell r="H97">
            <v>692.92</v>
          </cell>
          <cell r="I97">
            <v>2.27</v>
          </cell>
          <cell r="J97">
            <v>2.67</v>
          </cell>
          <cell r="K97">
            <v>667.9</v>
          </cell>
        </row>
        <row r="98">
          <cell r="A98" t="str">
            <v>1.2.5</v>
          </cell>
          <cell r="C98" t="str">
            <v>PAVIMENTAÇÃO</v>
          </cell>
          <cell r="H98">
            <v>11082.09</v>
          </cell>
          <cell r="K98">
            <v>10970.73</v>
          </cell>
        </row>
        <row r="99">
          <cell r="A99" t="str">
            <v>1.2.5.1</v>
          </cell>
          <cell r="B99">
            <v>100576</v>
          </cell>
          <cell r="C99" t="str">
            <v>REGULARIZAÇÃO E COMPACTAÇÃO DE SUBLEITO DE SOLO  PREDOMINANTEMENTE ARGILOSO. AF_11/2019</v>
          </cell>
          <cell r="D99" t="str">
            <v>M2</v>
          </cell>
          <cell r="E99">
            <v>232.7</v>
          </cell>
          <cell r="F99">
            <v>2.64</v>
          </cell>
          <cell r="G99">
            <v>3.26</v>
          </cell>
          <cell r="H99">
            <v>758.6</v>
          </cell>
          <cell r="I99">
            <v>2.79</v>
          </cell>
          <cell r="J99">
            <v>3.28</v>
          </cell>
          <cell r="K99">
            <v>763.26</v>
          </cell>
        </row>
        <row r="100">
          <cell r="A100" t="str">
            <v>1.2.5.2</v>
          </cell>
          <cell r="B100" t="str">
            <v>CP-96396-26507981</v>
          </cell>
          <cell r="C100" t="str">
            <v>EXECUÇÃO E COMPACTAÇÃO DE BASE E OU SUB BASE PARA PAVIMENTAÇÃO DE BRITA GRADUADA SIMPLES - EXCLUSIVE MATERIAL, CARGA E TRANSPORTE</v>
          </cell>
          <cell r="D100" t="str">
            <v>M3</v>
          </cell>
          <cell r="E100">
            <v>34.909999999999997</v>
          </cell>
          <cell r="F100">
            <v>13.86</v>
          </cell>
          <cell r="G100">
            <v>17.13</v>
          </cell>
          <cell r="H100">
            <v>598.01</v>
          </cell>
          <cell r="I100">
            <v>14.44</v>
          </cell>
          <cell r="J100">
            <v>16.98</v>
          </cell>
          <cell r="K100">
            <v>592.77</v>
          </cell>
        </row>
        <row r="101">
          <cell r="A101" t="str">
            <v>1.2.5.3</v>
          </cell>
          <cell r="B101" t="str">
            <v>COMP-35145154</v>
          </cell>
          <cell r="C101" t="str">
            <v>CARGA E DESCARGA MECANICA DE SOLO UTILIZANDO CAMINHAO BASCULANTE 14,0M3/36T E PA CARREGADEIRA SOBRE PNEUS 128 HP, CAPACIDADE DA CAÇAMBA 1,7 A 2,8 M3, PESO OPERACIONAL 11632 KH</v>
          </cell>
          <cell r="D101" t="str">
            <v>M3</v>
          </cell>
          <cell r="E101">
            <v>43.64</v>
          </cell>
          <cell r="F101">
            <v>2.83</v>
          </cell>
          <cell r="G101">
            <v>3.5</v>
          </cell>
          <cell r="H101">
            <v>152.74</v>
          </cell>
          <cell r="I101">
            <v>2.9</v>
          </cell>
          <cell r="J101">
            <v>3.41</v>
          </cell>
          <cell r="K101">
            <v>148.81</v>
          </cell>
        </row>
        <row r="102">
          <cell r="A102" t="str">
            <v>1.2.5.4</v>
          </cell>
          <cell r="B102" t="str">
            <v>COMP-83526730</v>
          </cell>
          <cell r="C102" t="str">
            <v>TRANSPORTE COMERCIAL DE BRITA</v>
          </cell>
          <cell r="D102" t="str">
            <v>M3XKM</v>
          </cell>
          <cell r="E102">
            <v>226.93</v>
          </cell>
          <cell r="F102">
            <v>1.36</v>
          </cell>
          <cell r="G102">
            <v>1.68</v>
          </cell>
          <cell r="H102">
            <v>381.24</v>
          </cell>
          <cell r="I102">
            <v>1.37</v>
          </cell>
          <cell r="J102">
            <v>1.61</v>
          </cell>
          <cell r="K102">
            <v>365.36</v>
          </cell>
        </row>
        <row r="103">
          <cell r="A103" t="str">
            <v>1.2.5.5</v>
          </cell>
          <cell r="B103" t="str">
            <v>CP-96401-52745838</v>
          </cell>
          <cell r="C103" t="str">
            <v>EXECUÇÃO DE IMPRIMAÇÃO COM ASFALTO DILUÍDO CM-30, EXCLUSIVE MATERIAL.</v>
          </cell>
          <cell r="D103" t="str">
            <v>M2</v>
          </cell>
          <cell r="E103">
            <v>116.38</v>
          </cell>
          <cell r="F103">
            <v>1.18</v>
          </cell>
          <cell r="G103">
            <v>1.46</v>
          </cell>
          <cell r="H103">
            <v>169.91</v>
          </cell>
          <cell r="I103">
            <v>1.24</v>
          </cell>
          <cell r="J103">
            <v>1.46</v>
          </cell>
          <cell r="K103">
            <v>169.91</v>
          </cell>
        </row>
        <row r="104">
          <cell r="A104" t="str">
            <v>1.2.5.6</v>
          </cell>
          <cell r="B104" t="str">
            <v>CP-95995-51339760</v>
          </cell>
          <cell r="C104" t="str">
            <v>EXECUÇÃO DE PAVIMENTO COM APLICAÇÃO DE CONCRETO ASFÁLTICO, CAMADA DE ROLAMENTO - EXCLUSIVE CARGA E TRANSPORTE E CONCRETO BETUMINOSO</v>
          </cell>
          <cell r="D104" t="str">
            <v>M3</v>
          </cell>
          <cell r="E104">
            <v>5.81</v>
          </cell>
          <cell r="F104">
            <v>127.58</v>
          </cell>
          <cell r="G104">
            <v>157.68</v>
          </cell>
          <cell r="H104">
            <v>916.12</v>
          </cell>
          <cell r="I104">
            <v>133.37</v>
          </cell>
          <cell r="J104">
            <v>156.80000000000001</v>
          </cell>
          <cell r="K104">
            <v>911.01</v>
          </cell>
        </row>
        <row r="105">
          <cell r="A105" t="str">
            <v>1.2.5.7</v>
          </cell>
          <cell r="B105" t="str">
            <v>COMP-10034101</v>
          </cell>
          <cell r="C105" t="str">
            <v>CARGA, MANOBRAS E DESCARGA DE MISTURA BETUMINOSA A QUENTE, COM CAMINHAO BASCULANTE 6 M3, DESCARGA EM VIBRO-ACABADORA</v>
          </cell>
          <cell r="D105" t="str">
            <v>M3</v>
          </cell>
          <cell r="E105">
            <v>5.81</v>
          </cell>
          <cell r="F105">
            <v>7.74</v>
          </cell>
          <cell r="G105">
            <v>9.57</v>
          </cell>
          <cell r="H105">
            <v>55.6</v>
          </cell>
          <cell r="I105">
            <v>7.86</v>
          </cell>
          <cell r="J105">
            <v>9.24</v>
          </cell>
          <cell r="K105">
            <v>53.68</v>
          </cell>
        </row>
        <row r="106">
          <cell r="A106" t="str">
            <v>1.2.5.8</v>
          </cell>
          <cell r="B106" t="str">
            <v>CP-95303-56931542</v>
          </cell>
          <cell r="C106" t="str">
            <v>TRANSPORTE COM CAMINHÃO BASCULANTE 10 M3 DE MASSA ASFALTICA PARA PAVIMENTAÇÃO URBANA</v>
          </cell>
          <cell r="D106" t="str">
            <v>M3XKM</v>
          </cell>
          <cell r="E106">
            <v>93.54</v>
          </cell>
          <cell r="F106">
            <v>1.75</v>
          </cell>
          <cell r="G106">
            <v>2.16</v>
          </cell>
          <cell r="H106">
            <v>202.05</v>
          </cell>
          <cell r="I106">
            <v>1.77</v>
          </cell>
          <cell r="J106">
            <v>2.08</v>
          </cell>
          <cell r="K106">
            <v>194.56</v>
          </cell>
        </row>
        <row r="107">
          <cell r="A107" t="str">
            <v>1.2.5.9</v>
          </cell>
          <cell r="B107" t="str">
            <v>CP-97084-89637704</v>
          </cell>
          <cell r="C107" t="str">
            <v>REGULARIZACAO E COMPACTAÇÃO MANUAL DE TERRENO COM PLACA VIBRATÓRIA</v>
          </cell>
          <cell r="D107" t="str">
            <v>M2</v>
          </cell>
          <cell r="E107">
            <v>123.1</v>
          </cell>
          <cell r="F107">
            <v>0.59</v>
          </cell>
          <cell r="G107">
            <v>0.73</v>
          </cell>
          <cell r="H107">
            <v>89.86</v>
          </cell>
          <cell r="I107">
            <v>0.65</v>
          </cell>
          <cell r="J107">
            <v>0.76</v>
          </cell>
          <cell r="K107">
            <v>93.56</v>
          </cell>
        </row>
        <row r="108">
          <cell r="A108" t="str">
            <v>1.2.5.10</v>
          </cell>
          <cell r="B108" t="str">
            <v>CP-94991-12549457</v>
          </cell>
          <cell r="C108" t="str">
            <v>EXECUÇÃO DE PASSEIO (CALÇADA) OU PISO DE CONCRETO COM CONCRETO MOLDADO IN LOCO, USINADO, ACABAMENTO CONVENCIONAL, NÃO ARMADO - EXCLUINDO O CONCRETO USINADO 20MPA</v>
          </cell>
          <cell r="D108" t="str">
            <v>M3</v>
          </cell>
          <cell r="E108">
            <v>8.0399999999999991</v>
          </cell>
          <cell r="F108">
            <v>104.6</v>
          </cell>
          <cell r="G108">
            <v>129.28</v>
          </cell>
          <cell r="H108">
            <v>1039.4100000000001</v>
          </cell>
          <cell r="I108">
            <v>112.75</v>
          </cell>
          <cell r="J108">
            <v>132.56</v>
          </cell>
          <cell r="K108">
            <v>1065.78</v>
          </cell>
        </row>
        <row r="109">
          <cell r="A109" t="str">
            <v>1.2.5.11</v>
          </cell>
          <cell r="B109">
            <v>94273</v>
          </cell>
          <cell r="C109" t="str">
            <v>ASSENTAMENTO DE GUIA (MEIO-FIO) EM TRECHO RETO, CONFECCIONADA EM CONCRETO PRÉ-FABRICADO, DIMENSÕES 100X15X13X30 CM (COMPRIMENTO X BASE INFERIOR X BASE SUPERIOR X ALTURA), PARA VIAS URBANAS (USO VIÁRIO). AF_06/2016</v>
          </cell>
          <cell r="D109" t="str">
            <v>M</v>
          </cell>
          <cell r="E109">
            <v>89.93</v>
          </cell>
          <cell r="F109">
            <v>54.61</v>
          </cell>
          <cell r="G109">
            <v>67.489999999999995</v>
          </cell>
          <cell r="H109">
            <v>6069.38</v>
          </cell>
          <cell r="I109">
            <v>56.47</v>
          </cell>
          <cell r="J109">
            <v>66.39</v>
          </cell>
          <cell r="K109">
            <v>5970.45</v>
          </cell>
        </row>
        <row r="110">
          <cell r="A110" t="str">
            <v>1.2.5.12</v>
          </cell>
          <cell r="B110">
            <v>94274</v>
          </cell>
          <cell r="C110" t="str">
            <v>ASSENTAMENTO DE GUIA (MEIO-FIO) EM TRECHO CURVO, CONFECCIONADA EM CONCRETO PRÉ-FABRICADO, DIMENSÕES 100X15X13X30 CM (COMPRIMENTO X BASE INFERIOR X BASE SUPERIOR X ALTURA), PARA VIAS URBANAS (USO VIÁRIO). AF_06/2016</v>
          </cell>
          <cell r="D110" t="str">
            <v>M</v>
          </cell>
          <cell r="E110">
            <v>9.0299999999999994</v>
          </cell>
          <cell r="F110">
            <v>58.17</v>
          </cell>
          <cell r="G110">
            <v>71.89</v>
          </cell>
          <cell r="H110">
            <v>649.16999999999996</v>
          </cell>
          <cell r="I110">
            <v>60.43</v>
          </cell>
          <cell r="J110">
            <v>71.05</v>
          </cell>
          <cell r="K110">
            <v>641.58000000000004</v>
          </cell>
        </row>
        <row r="111">
          <cell r="A111" t="str">
            <v>1.2.6</v>
          </cell>
          <cell r="C111" t="str">
            <v>DRENAGEM</v>
          </cell>
          <cell r="H111">
            <v>28637.56</v>
          </cell>
          <cell r="K111">
            <v>28124.68</v>
          </cell>
        </row>
        <row r="112">
          <cell r="A112" t="str">
            <v>1.2.6.1</v>
          </cell>
          <cell r="B112">
            <v>90091</v>
          </cell>
          <cell r="C112" t="str">
            <v>ESCAVAÇÃO MECANIZADA DE VALA COM PROF. ATÉ 1,5 M (MÉDIA MONTANTE E JUSANTE/UMA COMPOSIÇÃO POR TRECHO), ESCAVADEIRA (0,8 M3), LARG. DE 1,5 M A 2,5 M, EM SOLO DE 1A CATEGORIA, LOCAIS COM BAIXO NÍVEL DE INTERFERÊNCIA. AF_02/2021</v>
          </cell>
          <cell r="D112" t="str">
            <v>M3</v>
          </cell>
          <cell r="E112">
            <v>13.56</v>
          </cell>
          <cell r="F112">
            <v>6.24</v>
          </cell>
          <cell r="G112">
            <v>7.71</v>
          </cell>
          <cell r="H112">
            <v>104.55</v>
          </cell>
          <cell r="I112">
            <v>6.48</v>
          </cell>
          <cell r="J112">
            <v>7.62</v>
          </cell>
          <cell r="K112">
            <v>103.33</v>
          </cell>
        </row>
        <row r="113">
          <cell r="A113" t="str">
            <v>1.2.6.2</v>
          </cell>
          <cell r="B113">
            <v>93367</v>
          </cell>
          <cell r="C113" t="str">
            <v>REATERRO MECANIZADO DE VALA COM ESCAVADEIRA HIDRÁULICA (CAPACIDADE DA CAÇAMBA: 0,8 M³ / POTÊNCIA: 111 HP), LARGURA DE 1,5 A 2,5 M, PROFUNDIDADE ATÉ 1,5 M, COM SOLO DE 1ª CATEGORIA EM LOCAIS COM BAIXO NÍVEL DE INTERFERÊNCIA. AF_04/2016</v>
          </cell>
          <cell r="D113" t="str">
            <v>M3</v>
          </cell>
          <cell r="E113">
            <v>5.08</v>
          </cell>
          <cell r="F113">
            <v>22.53</v>
          </cell>
          <cell r="G113">
            <v>27.84</v>
          </cell>
          <cell r="H113">
            <v>141.43</v>
          </cell>
          <cell r="I113">
            <v>23.75</v>
          </cell>
          <cell r="J113">
            <v>27.92</v>
          </cell>
          <cell r="K113">
            <v>141.83000000000001</v>
          </cell>
        </row>
        <row r="114">
          <cell r="A114" t="str">
            <v>1.2.6.3</v>
          </cell>
          <cell r="B114" t="str">
            <v>COMP-35145154</v>
          </cell>
          <cell r="C114" t="str">
            <v>CARGA E DESCARGA MECANICA DE SOLO UTILIZANDO CAMINHAO BASCULANTE 14,0M3/36T E PA CARREGADEIRA SOBRE PNEUS 128 HP, CAPACIDADE DA CAÇAMBA 1,7 A 2,8 M3, PESO OPERACIONAL 11632 KH</v>
          </cell>
          <cell r="D114" t="str">
            <v>M3</v>
          </cell>
          <cell r="E114">
            <v>10.6</v>
          </cell>
          <cell r="F114">
            <v>2.83</v>
          </cell>
          <cell r="G114">
            <v>3.5</v>
          </cell>
          <cell r="H114">
            <v>37.1</v>
          </cell>
          <cell r="I114">
            <v>2.9</v>
          </cell>
          <cell r="J114">
            <v>3.41</v>
          </cell>
          <cell r="K114">
            <v>36.15</v>
          </cell>
        </row>
        <row r="115">
          <cell r="A115" t="str">
            <v>1.2.6.4</v>
          </cell>
          <cell r="B115">
            <v>95876</v>
          </cell>
          <cell r="C115" t="str">
            <v>TRANSPORTE COM CAMINHÃO BASCULANTE DE 14 M³, EM VIA URBANA PAVIMENTADA, DMT ATÉ 30 KM (UNIDADE: M3XKM). AF_07/2020</v>
          </cell>
          <cell r="D115" t="str">
            <v>M3XKM</v>
          </cell>
          <cell r="E115">
            <v>20.14</v>
          </cell>
          <cell r="F115">
            <v>2.2400000000000002</v>
          </cell>
          <cell r="G115">
            <v>2.77</v>
          </cell>
          <cell r="H115">
            <v>55.79</v>
          </cell>
          <cell r="I115">
            <v>2.27</v>
          </cell>
          <cell r="J115">
            <v>2.67</v>
          </cell>
          <cell r="K115">
            <v>53.77</v>
          </cell>
        </row>
        <row r="116">
          <cell r="A116" t="str">
            <v>1.2.6.5</v>
          </cell>
          <cell r="B116">
            <v>94971</v>
          </cell>
          <cell r="C116" t="str">
            <v>CONCRETO FCK = 25MPA, TRAÇO 1:2,3:2,7 (EM MASSA SECA DE CIMENTO/ AREIA MÉDIA/ BRITA 1) - PREPARO MECÂNICO COM BETONEIRA 600 L. AF_05/2021</v>
          </cell>
          <cell r="D116" t="str">
            <v>M3</v>
          </cell>
          <cell r="E116">
            <v>7.21</v>
          </cell>
          <cell r="F116">
            <v>464.88</v>
          </cell>
          <cell r="G116">
            <v>574.54999999999995</v>
          </cell>
          <cell r="H116">
            <v>4142.51</v>
          </cell>
          <cell r="I116">
            <v>472.74</v>
          </cell>
          <cell r="J116">
            <v>555.79999999999995</v>
          </cell>
          <cell r="K116">
            <v>4007.32</v>
          </cell>
        </row>
        <row r="117">
          <cell r="A117" t="str">
            <v>1.2.6.6</v>
          </cell>
          <cell r="B117">
            <v>94974</v>
          </cell>
          <cell r="C117" t="str">
            <v>CONCRETO MAGRO PARA LASTRO, TRAÇO 1:4,5:4,5 (EM MASSA SECA DE CIMENTO/ AREIA MÉDIA/ BRITA 1) - PREPARO MANUAL. AF_05/2021</v>
          </cell>
          <cell r="D117" t="str">
            <v>M3</v>
          </cell>
          <cell r="E117">
            <v>5.65</v>
          </cell>
          <cell r="F117">
            <v>423.75</v>
          </cell>
          <cell r="G117">
            <v>523.71</v>
          </cell>
          <cell r="H117">
            <v>2958.96</v>
          </cell>
          <cell r="I117">
            <v>436.13</v>
          </cell>
          <cell r="J117">
            <v>512.76</v>
          </cell>
          <cell r="K117">
            <v>2897.09</v>
          </cell>
        </row>
        <row r="118">
          <cell r="A118" t="str">
            <v>1.2.6.7</v>
          </cell>
          <cell r="B118">
            <v>92771</v>
          </cell>
          <cell r="C118" t="str">
            <v>ARMAÇÃO DE LAJE DE ESTRUTURA CONVENCIONAL DE CONCRETO ARMADO UTILIZANDO AÇO CA-50 DE 10,0 MM - MONTAGEM. AF_06/2022</v>
          </cell>
          <cell r="D118" t="str">
            <v>KG</v>
          </cell>
          <cell r="E118">
            <v>468.47</v>
          </cell>
          <cell r="F118">
            <v>15.04</v>
          </cell>
          <cell r="G118">
            <v>18.59</v>
          </cell>
          <cell r="H118">
            <v>8708.86</v>
          </cell>
          <cell r="I118">
            <v>15.14</v>
          </cell>
          <cell r="J118">
            <v>17.8</v>
          </cell>
          <cell r="K118">
            <v>8338.77</v>
          </cell>
        </row>
        <row r="119">
          <cell r="A119" t="str">
            <v>1.2.6.8</v>
          </cell>
          <cell r="B119" t="str">
            <v>CP-92268-29291149</v>
          </cell>
          <cell r="C119" t="str">
            <v>FABRICAÇÃO DE FÔRMA PARA LAJES, EM CHAPA DE MADEIRA COMPENSADA PLASTIFICADA, E = 18 MM - EXCLUINDO O PAINEL DE MADEIRA COMPENSADA PLASTIFICADA DE 2200 x 1100 MM, E = *17* MM</v>
          </cell>
          <cell r="D119" t="str">
            <v>M2</v>
          </cell>
          <cell r="E119">
            <v>33.909999999999997</v>
          </cell>
          <cell r="F119">
            <v>0.98</v>
          </cell>
          <cell r="G119">
            <v>1.21</v>
          </cell>
          <cell r="H119">
            <v>41.03</v>
          </cell>
          <cell r="I119">
            <v>1.1000000000000001</v>
          </cell>
          <cell r="J119">
            <v>1.29</v>
          </cell>
          <cell r="K119">
            <v>43.74</v>
          </cell>
        </row>
        <row r="120">
          <cell r="A120" t="str">
            <v>1.2.6.9</v>
          </cell>
          <cell r="B120">
            <v>103320</v>
          </cell>
          <cell r="C120" t="str">
            <v>ALVENARIA DE VEDAÇÃO DE BLOCOS VAZADOS DE CONCRETO DE 19X19X39 CM (ESPESSURA 19 CM) E ARGAMASSA DE ASSENTAMENTO COM PREPARO EM BETONEIRA. AF_12/2021</v>
          </cell>
          <cell r="D120" t="str">
            <v>M2</v>
          </cell>
          <cell r="E120">
            <v>45.21</v>
          </cell>
          <cell r="F120">
            <v>101.36</v>
          </cell>
          <cell r="G120">
            <v>125.27</v>
          </cell>
          <cell r="H120">
            <v>5663.46</v>
          </cell>
          <cell r="I120">
            <v>105.62</v>
          </cell>
          <cell r="J120">
            <v>124.18</v>
          </cell>
          <cell r="K120">
            <v>5614.18</v>
          </cell>
        </row>
        <row r="121">
          <cell r="A121" t="str">
            <v>1.2.6.10</v>
          </cell>
          <cell r="B121">
            <v>87879</v>
          </cell>
          <cell r="C121" t="str">
            <v>CHAPISCO APLICADO EM ALVENARIAS E ESTRUTURAS DE CONCRETO INTERNAS, COM COLHER DE PEDREIRO.  ARGAMASSA TRAÇO 1:3 COM PREPARO EM BETONEIRA 400L. AF_06/2014</v>
          </cell>
          <cell r="D121" t="str">
            <v>M2</v>
          </cell>
          <cell r="E121">
            <v>45.21</v>
          </cell>
          <cell r="F121">
            <v>3.85</v>
          </cell>
          <cell r="G121">
            <v>4.76</v>
          </cell>
          <cell r="H121">
            <v>215.2</v>
          </cell>
          <cell r="I121">
            <v>4.0999999999999996</v>
          </cell>
          <cell r="J121">
            <v>4.82</v>
          </cell>
          <cell r="K121">
            <v>217.91</v>
          </cell>
        </row>
        <row r="122">
          <cell r="A122" t="str">
            <v>1.2.6.11</v>
          </cell>
          <cell r="B122">
            <v>87547</v>
          </cell>
          <cell r="C122" t="str">
            <v>MASSA ÚNICA, PARA RECEBIMENTO DE PINTURA, EM ARGAMASSA TRAÇO 1:2:8, PREPARO MECÂNICO COM BETONEIRA 400L, APLICADA MANUALMENTE EM FACES INTERNAS DE PAREDES, ESPESSURA DE 10MM, COM EXECUÇÃO DE TALISCAS. AF_06/2014</v>
          </cell>
          <cell r="D122" t="str">
            <v>M2</v>
          </cell>
          <cell r="E122">
            <v>45.21</v>
          </cell>
          <cell r="F122">
            <v>23.35</v>
          </cell>
          <cell r="G122">
            <v>28.86</v>
          </cell>
          <cell r="H122">
            <v>1304.76</v>
          </cell>
          <cell r="I122">
            <v>24.83</v>
          </cell>
          <cell r="J122">
            <v>29.19</v>
          </cell>
          <cell r="K122">
            <v>1319.68</v>
          </cell>
        </row>
        <row r="123">
          <cell r="A123" t="str">
            <v>1.2.6.12</v>
          </cell>
          <cell r="B123">
            <v>94975</v>
          </cell>
          <cell r="C123" t="str">
            <v>CONCRETO FCK = 15MPA, TRAÇO 1:3,4:3,5 (EM MASSA SECA DE CIMENTO/ AREIA MÉDIA/ BRITA 1) - PREPARO MANUAL. AF_05/2021</v>
          </cell>
          <cell r="D123" t="str">
            <v>M3</v>
          </cell>
          <cell r="E123">
            <v>4.8099999999999996</v>
          </cell>
          <cell r="F123">
            <v>457.19</v>
          </cell>
          <cell r="G123">
            <v>565.04</v>
          </cell>
          <cell r="H123">
            <v>2717.84</v>
          </cell>
          <cell r="I123">
            <v>469.42</v>
          </cell>
          <cell r="J123">
            <v>551.9</v>
          </cell>
          <cell r="K123">
            <v>2654.64</v>
          </cell>
        </row>
        <row r="124">
          <cell r="A124" t="str">
            <v>1.2.6.13</v>
          </cell>
          <cell r="B124" t="str">
            <v>CP-74157/004-48264518</v>
          </cell>
          <cell r="C124" t="str">
            <v>LANCAMENTO/APLICACAO MANUAL DE CONCRETO EM FUNDACOES (concreto magro)</v>
          </cell>
          <cell r="D124" t="str">
            <v>M3</v>
          </cell>
          <cell r="E124">
            <v>17.670000000000002</v>
          </cell>
          <cell r="F124">
            <v>116.59</v>
          </cell>
          <cell r="G124">
            <v>144.09</v>
          </cell>
          <cell r="H124">
            <v>2546.0700000000002</v>
          </cell>
          <cell r="I124">
            <v>129.79</v>
          </cell>
          <cell r="J124">
            <v>152.59</v>
          </cell>
          <cell r="K124">
            <v>2696.27</v>
          </cell>
        </row>
        <row r="125">
          <cell r="A125" t="str">
            <v>1.2.7</v>
          </cell>
          <cell r="C125" t="str">
            <v>SINALIZAÇÃO</v>
          </cell>
          <cell r="H125">
            <v>2224.06</v>
          </cell>
          <cell r="K125">
            <v>2171.7600000000002</v>
          </cell>
        </row>
        <row r="126">
          <cell r="A126" t="str">
            <v>1.2.7.1</v>
          </cell>
          <cell r="B126">
            <v>5213421</v>
          </cell>
          <cell r="C126" t="str">
            <v>Confecção de placa em aço nº 16 galvanizado, com película tipo I + IV</v>
          </cell>
          <cell r="D126" t="str">
            <v xml:space="preserve">M2    </v>
          </cell>
          <cell r="E126">
            <v>0.99</v>
          </cell>
          <cell r="F126">
            <v>343.8</v>
          </cell>
          <cell r="G126">
            <v>424.9</v>
          </cell>
          <cell r="H126">
            <v>420.65</v>
          </cell>
          <cell r="I126">
            <v>347.25</v>
          </cell>
          <cell r="J126">
            <v>408.26</v>
          </cell>
          <cell r="K126">
            <v>404.18</v>
          </cell>
        </row>
        <row r="127">
          <cell r="A127" t="str">
            <v>1.2.7.2</v>
          </cell>
          <cell r="B127">
            <v>5216111</v>
          </cell>
          <cell r="C127" t="str">
            <v>FORNECIMENTO E IMPLANTAÇÃO DE SUPORTE E TRAVESSA PARA PLACA DE SINALIZAÇÃO EM MADEIRA DE LEI TRATADA 8 X 8 CM</v>
          </cell>
          <cell r="D127" t="str">
            <v>UND</v>
          </cell>
          <cell r="E127">
            <v>4</v>
          </cell>
          <cell r="F127">
            <v>119.1379</v>
          </cell>
          <cell r="G127">
            <v>147.24</v>
          </cell>
          <cell r="H127">
            <v>588.96</v>
          </cell>
          <cell r="I127">
            <v>121.48</v>
          </cell>
          <cell r="J127">
            <v>142.82</v>
          </cell>
          <cell r="K127">
            <v>571.28</v>
          </cell>
        </row>
        <row r="128">
          <cell r="A128" t="str">
            <v>1.2.7.3</v>
          </cell>
          <cell r="B128" t="str">
            <v>COMP-58084869</v>
          </cell>
          <cell r="C128" t="str">
            <v>PLACA ESMALTADA PARA IDENTIFICAÇÃO NR DE RUA, DIMENSÕES 45X25CM</v>
          </cell>
          <cell r="D128" t="str">
            <v>UND</v>
          </cell>
          <cell r="E128">
            <v>2</v>
          </cell>
          <cell r="F128">
            <v>155.54</v>
          </cell>
          <cell r="G128">
            <v>192.23</v>
          </cell>
          <cell r="H128">
            <v>384.46</v>
          </cell>
          <cell r="I128">
            <v>156.33000000000001</v>
          </cell>
          <cell r="J128">
            <v>183.8</v>
          </cell>
          <cell r="K128">
            <v>367.6</v>
          </cell>
        </row>
        <row r="129">
          <cell r="A129" t="str">
            <v>1.2.7.4</v>
          </cell>
          <cell r="B129">
            <v>102512</v>
          </cell>
          <cell r="C129" t="str">
            <v>PINTURA DE EIXO VIÁRIO SOBRE ASFALTO COM TINTA RETRORREFLETIVA A BASE DE RESINA ACRÍLICA COM MICROESFERAS DE VIDRO, APLICAÇÃO MECÂNICA COM DEMARCADORA AUTOPROPELIDA. AF_05/2021</v>
          </cell>
          <cell r="D129" t="str">
            <v>M</v>
          </cell>
          <cell r="E129">
            <v>128.68</v>
          </cell>
          <cell r="F129">
            <v>5.22</v>
          </cell>
          <cell r="G129">
            <v>6.45</v>
          </cell>
          <cell r="H129">
            <v>829.99</v>
          </cell>
          <cell r="I129">
            <v>5.48</v>
          </cell>
          <cell r="J129">
            <v>6.44</v>
          </cell>
          <cell r="K129">
            <v>828.7</v>
          </cell>
        </row>
        <row r="130">
          <cell r="A130" t="str">
            <v>1.2.8</v>
          </cell>
          <cell r="C130" t="str">
            <v>ACESSIBILIDADE</v>
          </cell>
          <cell r="H130">
            <v>1106.71</v>
          </cell>
          <cell r="K130">
            <v>1088.3399999999999</v>
          </cell>
        </row>
        <row r="131">
          <cell r="A131" t="str">
            <v>1.2.8.1</v>
          </cell>
          <cell r="B131" t="str">
            <v>CP-S12039-81921471</v>
          </cell>
          <cell r="C131" t="str">
            <v>Piso tátil direcional e/ou alerta, de concreto, na cor natural, p/deficientes visuais, dimensões 40x40cm, aplicado com argamassa industrializada ac-ii, rejuntado, exclusive regularização de base</v>
          </cell>
          <cell r="D131" t="str">
            <v>M2</v>
          </cell>
          <cell r="E131">
            <v>8.24</v>
          </cell>
          <cell r="F131">
            <v>108.67</v>
          </cell>
          <cell r="G131">
            <v>134.31</v>
          </cell>
          <cell r="H131">
            <v>1106.71</v>
          </cell>
          <cell r="I131">
            <v>112.34</v>
          </cell>
          <cell r="J131">
            <v>132.08000000000001</v>
          </cell>
          <cell r="K131">
            <v>1088.3399999999999</v>
          </cell>
        </row>
        <row r="132">
          <cell r="A132" t="str">
            <v>1.2.9</v>
          </cell>
          <cell r="C132" t="str">
            <v>MATERIAIS</v>
          </cell>
          <cell r="H132">
            <v>22488.86</v>
          </cell>
          <cell r="K132">
            <v>21440.43</v>
          </cell>
        </row>
        <row r="133">
          <cell r="A133" t="str">
            <v>1.2.9.1</v>
          </cell>
          <cell r="B133">
            <v>10775</v>
          </cell>
          <cell r="C133" t="str">
            <v xml:space="preserve">LOCACAO DE CONTAINER 2,30 X 6,00 M, ALT. 2,50 M, COM 1 SANITARIO, PARA ESCRITORIO, COMPLETO, SEM DIVISORIAS INTERNAS (NAO INCLUI MOBILIZACAO/DESMOBILIZACAO)                                                                                                                                                                                                                                                                                                                                              </v>
          </cell>
          <cell r="D133" t="str">
            <v xml:space="preserve">MES   </v>
          </cell>
          <cell r="E133">
            <v>1</v>
          </cell>
          <cell r="F133">
            <v>830</v>
          </cell>
          <cell r="G133">
            <v>958.32</v>
          </cell>
          <cell r="H133">
            <v>958.32</v>
          </cell>
          <cell r="I133">
            <v>830</v>
          </cell>
          <cell r="J133">
            <v>913.58</v>
          </cell>
          <cell r="K133">
            <v>913.58</v>
          </cell>
        </row>
        <row r="134">
          <cell r="A134" t="str">
            <v>1.2.9.2</v>
          </cell>
          <cell r="B134">
            <v>10776</v>
          </cell>
          <cell r="C134" t="str">
            <v xml:space="preserve">LOCACAO DE CONTAINER 2,30 X 6,00 M, ALT. 2,50 M, PARA ESCRITORIO, SEM DIVISORIAS INTERNAS E SEM SANITARIO (NAO INCLUI MOBILIZACAO/DESMOBILIZACAO)                                                                                                                                                                                                                                                                                                                                                         </v>
          </cell>
          <cell r="D134" t="str">
            <v xml:space="preserve">MES   </v>
          </cell>
          <cell r="E134">
            <v>1</v>
          </cell>
          <cell r="F134">
            <v>648.42999999999995</v>
          </cell>
          <cell r="G134">
            <v>748.68</v>
          </cell>
          <cell r="H134">
            <v>748.68</v>
          </cell>
          <cell r="I134">
            <v>648.42999999999995</v>
          </cell>
          <cell r="J134">
            <v>713.73</v>
          </cell>
          <cell r="K134">
            <v>713.73</v>
          </cell>
        </row>
        <row r="135">
          <cell r="A135" t="str">
            <v>1.2.9.3</v>
          </cell>
          <cell r="B135">
            <v>1518</v>
          </cell>
          <cell r="C135" t="str">
            <v xml:space="preserve">CONCRETO BETUMINOSO USINADO A QUENTE (CBUQ) PARA PAVIMENTACAO ASFALTICA, PADRAO DNIT, FAIXA C, COM CAP 50/70 - AQUISICAO POSTO USINA                                                                                                                                                                                                                                                                                                                                                                      </v>
          </cell>
          <cell r="D135" t="str">
            <v xml:space="preserve">T     </v>
          </cell>
          <cell r="E135">
            <v>14.84</v>
          </cell>
          <cell r="F135">
            <v>522.5</v>
          </cell>
          <cell r="G135">
            <v>603.28</v>
          </cell>
          <cell r="H135">
            <v>8952.68</v>
          </cell>
          <cell r="I135">
            <v>522.5</v>
          </cell>
          <cell r="J135">
            <v>575.12</v>
          </cell>
          <cell r="K135">
            <v>8534.7800000000007</v>
          </cell>
        </row>
        <row r="136">
          <cell r="A136" t="str">
            <v>1.2.9.4</v>
          </cell>
          <cell r="B136" t="str">
            <v>INS-185032</v>
          </cell>
          <cell r="C136" t="str">
            <v>BRITA GRADUADA SIMPLES (BGS)</v>
          </cell>
          <cell r="D136" t="str">
            <v>M3</v>
          </cell>
          <cell r="E136">
            <v>34.909999999999997</v>
          </cell>
          <cell r="F136">
            <v>56.099999999999994</v>
          </cell>
          <cell r="G136">
            <v>64.77</v>
          </cell>
          <cell r="H136">
            <v>2261.12</v>
          </cell>
          <cell r="I136">
            <v>56.099999999999994</v>
          </cell>
          <cell r="J136">
            <v>61.75</v>
          </cell>
          <cell r="K136">
            <v>2155.69</v>
          </cell>
        </row>
        <row r="137">
          <cell r="A137" t="str">
            <v>1.2.9.5</v>
          </cell>
          <cell r="B137" t="str">
            <v>INS-711371</v>
          </cell>
          <cell r="C137" t="str">
            <v>ASFALTO DILUÍDO CM - 30</v>
          </cell>
          <cell r="D137" t="str">
            <v>KG</v>
          </cell>
          <cell r="E137">
            <v>139.66</v>
          </cell>
          <cell r="F137">
            <v>5.32</v>
          </cell>
          <cell r="G137">
            <v>6.14</v>
          </cell>
          <cell r="H137">
            <v>857.51</v>
          </cell>
          <cell r="I137">
            <v>5.32</v>
          </cell>
          <cell r="J137">
            <v>5.86</v>
          </cell>
          <cell r="K137">
            <v>818.41</v>
          </cell>
        </row>
        <row r="138">
          <cell r="A138" t="str">
            <v>1.2.9.6</v>
          </cell>
          <cell r="B138">
            <v>34492</v>
          </cell>
          <cell r="C138" t="str">
            <v xml:space="preserve">CONCRETO USINADO BOMBEAVEL, CLASSE DE RESISTENCIA C20, COM BRITA 0 E 1, SLUMP = 100 +/- 20 MM, EXCLUI SERVICO DE BOMBEAMENTO (NBR 8953)                                                                                                                                                                                                                                                                                                                                                                   </v>
          </cell>
          <cell r="D138" t="str">
            <v xml:space="preserve">M3    </v>
          </cell>
          <cell r="E138">
            <v>9.9</v>
          </cell>
          <cell r="F138">
            <v>422.5</v>
          </cell>
          <cell r="G138">
            <v>487.82</v>
          </cell>
          <cell r="H138">
            <v>4829.42</v>
          </cell>
          <cell r="I138">
            <v>422.5</v>
          </cell>
          <cell r="J138">
            <v>465.05</v>
          </cell>
          <cell r="K138">
            <v>4604</v>
          </cell>
        </row>
        <row r="139">
          <cell r="A139" t="str">
            <v>1.2.9.7</v>
          </cell>
          <cell r="B139">
            <v>1345</v>
          </cell>
          <cell r="C139" t="str">
            <v xml:space="preserve">CHAPA/PAINEL DE MADEIRA COMPENSADA PLASTIFICADA (MADEIRITE PLASTIFICADO) PARA FORMA DE CONCRETO, DE 2200 x 1100 MM, E = *17* MM                                                                                                                                                                                                                                                                                                                                                                           </v>
          </cell>
          <cell r="D139" t="str">
            <v xml:space="preserve">M2    </v>
          </cell>
          <cell r="E139">
            <v>35.61</v>
          </cell>
          <cell r="F139">
            <v>94.4</v>
          </cell>
          <cell r="G139">
            <v>108.99</v>
          </cell>
          <cell r="H139">
            <v>3881.13</v>
          </cell>
          <cell r="I139">
            <v>94.4</v>
          </cell>
          <cell r="J139">
            <v>103.91</v>
          </cell>
          <cell r="K139">
            <v>3700.24</v>
          </cell>
        </row>
        <row r="140">
          <cell r="A140" t="str">
            <v>1.3</v>
          </cell>
          <cell r="C140" t="str">
            <v>RUA VICÊNCIA - CAJUEIRO SECO</v>
          </cell>
          <cell r="H140">
            <v>149978.85999999999</v>
          </cell>
          <cell r="K140">
            <v>146363.26999999999</v>
          </cell>
        </row>
        <row r="141">
          <cell r="A141" t="str">
            <v>1.3.1</v>
          </cell>
          <cell r="C141" t="str">
            <v>INSTALAÇÕES PROVISÓRIAS</v>
          </cell>
          <cell r="H141">
            <v>6385.61</v>
          </cell>
          <cell r="K141">
            <v>6137.07</v>
          </cell>
        </row>
        <row r="142">
          <cell r="A142" t="str">
            <v>1.3.1.1</v>
          </cell>
          <cell r="B142" t="str">
            <v>CP-74209/001-15055090</v>
          </cell>
          <cell r="C142" t="str">
            <v>PLACA DE OBRA EM CHAPA DE ACO GALVANIZADO</v>
          </cell>
          <cell r="D142" t="str">
            <v xml:space="preserve">M2    </v>
          </cell>
          <cell r="E142">
            <v>8</v>
          </cell>
          <cell r="F142">
            <v>558.35</v>
          </cell>
          <cell r="G142">
            <v>690.06</v>
          </cell>
          <cell r="H142">
            <v>5520.48</v>
          </cell>
          <cell r="I142">
            <v>564.99</v>
          </cell>
          <cell r="J142">
            <v>664.26</v>
          </cell>
          <cell r="K142">
            <v>5314.08</v>
          </cell>
        </row>
        <row r="143">
          <cell r="A143" t="str">
            <v>1.3.1.2</v>
          </cell>
          <cell r="B143" t="str">
            <v>COMP-07440249</v>
          </cell>
          <cell r="C143" t="str">
            <v>BANHEIRO QUÍMICO, COM LOCAÇÃO, TRANSPORTE E LIMPEZA</v>
          </cell>
          <cell r="D143" t="str">
            <v>MÊS</v>
          </cell>
          <cell r="E143">
            <v>1</v>
          </cell>
          <cell r="F143">
            <v>700</v>
          </cell>
          <cell r="G143">
            <v>865.13</v>
          </cell>
          <cell r="H143">
            <v>865.13</v>
          </cell>
          <cell r="I143">
            <v>700</v>
          </cell>
          <cell r="J143">
            <v>822.99</v>
          </cell>
          <cell r="K143">
            <v>822.99</v>
          </cell>
        </row>
        <row r="144">
          <cell r="A144" t="str">
            <v>1.3.2</v>
          </cell>
          <cell r="C144" t="str">
            <v>ADMINISTRAÇÃO LOCAL</v>
          </cell>
          <cell r="H144">
            <v>5926.76</v>
          </cell>
          <cell r="K144">
            <v>6492.79</v>
          </cell>
        </row>
        <row r="145">
          <cell r="A145" t="str">
            <v>1.3.2.1</v>
          </cell>
          <cell r="B145">
            <v>93565</v>
          </cell>
          <cell r="C145" t="str">
            <v>ENGENHEIRO CIVIL DE OBRA JUNIOR COM ENCARGOS COMPLEMENTARES</v>
          </cell>
          <cell r="D145" t="str">
            <v>MES</v>
          </cell>
          <cell r="E145">
            <v>0.13</v>
          </cell>
          <cell r="F145">
            <v>14549.96</v>
          </cell>
          <cell r="G145">
            <v>17982.3</v>
          </cell>
          <cell r="H145">
            <v>2337.6999999999998</v>
          </cell>
          <cell r="I145">
            <v>16819.14</v>
          </cell>
          <cell r="J145">
            <v>19774.259999999998</v>
          </cell>
          <cell r="K145">
            <v>2570.65</v>
          </cell>
        </row>
        <row r="146">
          <cell r="A146" t="str">
            <v>1.3.2.2</v>
          </cell>
          <cell r="B146">
            <v>93572</v>
          </cell>
          <cell r="C146" t="str">
            <v>ENCARREGADO GERAL DE OBRAS COM ENCARGOS COMPLEMENTARES</v>
          </cell>
          <cell r="D146" t="str">
            <v>MES</v>
          </cell>
          <cell r="E146">
            <v>0.5</v>
          </cell>
          <cell r="F146">
            <v>5808.01</v>
          </cell>
          <cell r="G146">
            <v>7178.12</v>
          </cell>
          <cell r="H146">
            <v>3589.06</v>
          </cell>
          <cell r="I146">
            <v>6672</v>
          </cell>
          <cell r="J146">
            <v>7844.27</v>
          </cell>
          <cell r="K146">
            <v>3922.14</v>
          </cell>
        </row>
        <row r="147">
          <cell r="A147" t="str">
            <v>1.3.3</v>
          </cell>
          <cell r="C147" t="str">
            <v>SERVIÇOS PRELIMINARES</v>
          </cell>
          <cell r="H147">
            <v>910.55</v>
          </cell>
          <cell r="K147">
            <v>960.1</v>
          </cell>
        </row>
        <row r="148">
          <cell r="A148" t="str">
            <v>1.3.3.1</v>
          </cell>
          <cell r="B148">
            <v>99064</v>
          </cell>
          <cell r="C148" t="str">
            <v>LOCAÇÃO DE PAVIMENTAÇÃO. AF_10/2018</v>
          </cell>
          <cell r="D148" t="str">
            <v>M</v>
          </cell>
          <cell r="E148">
            <v>50.44</v>
          </cell>
          <cell r="F148">
            <v>0.43</v>
          </cell>
          <cell r="G148">
            <v>0.53</v>
          </cell>
          <cell r="H148">
            <v>26.73</v>
          </cell>
          <cell r="I148">
            <v>0.49</v>
          </cell>
          <cell r="J148">
            <v>0.57999999999999996</v>
          </cell>
          <cell r="K148">
            <v>29.26</v>
          </cell>
        </row>
        <row r="149">
          <cell r="A149" t="str">
            <v>1.3.3.2</v>
          </cell>
          <cell r="B149" t="str">
            <v>COMP-17562084</v>
          </cell>
          <cell r="C149" t="str">
            <v>DEMOLIÇÃO MANUAL DE CONCRETO SIMPLES</v>
          </cell>
          <cell r="D149" t="str">
            <v>M3</v>
          </cell>
          <cell r="E149">
            <v>3.56</v>
          </cell>
          <cell r="F149">
            <v>190.89</v>
          </cell>
          <cell r="G149">
            <v>235.92</v>
          </cell>
          <cell r="H149">
            <v>839.88</v>
          </cell>
          <cell r="I149">
            <v>212.24</v>
          </cell>
          <cell r="J149">
            <v>249.53</v>
          </cell>
          <cell r="K149">
            <v>888.33</v>
          </cell>
        </row>
        <row r="150">
          <cell r="A150" t="str">
            <v>1.3.3.3</v>
          </cell>
          <cell r="B150" t="str">
            <v>COMP-35145154</v>
          </cell>
          <cell r="C150" t="str">
            <v>CARGA E DESCARGA MECANICA DE SOLO UTILIZANDO CAMINHAO BASCULANTE 14,0M3/36T E PA CARREGADEIRA SOBRE PNEUS 128 HP, CAPACIDADE DA CAÇAMBA 1,7 A 2,8 M3, PESO OPERACIONAL 11632 KH</v>
          </cell>
          <cell r="D150" t="str">
            <v>M3</v>
          </cell>
          <cell r="E150">
            <v>4.45</v>
          </cell>
          <cell r="F150">
            <v>2.83</v>
          </cell>
          <cell r="G150">
            <v>3.5</v>
          </cell>
          <cell r="H150">
            <v>15.58</v>
          </cell>
          <cell r="I150">
            <v>2.9</v>
          </cell>
          <cell r="J150">
            <v>3.41</v>
          </cell>
          <cell r="K150">
            <v>15.17</v>
          </cell>
        </row>
        <row r="151">
          <cell r="A151" t="str">
            <v>1.3.3.4</v>
          </cell>
          <cell r="B151">
            <v>95876</v>
          </cell>
          <cell r="C151" t="str">
            <v>TRANSPORTE COM CAMINHÃO BASCULANTE DE 14 M³, EM VIA URBANA PAVIMENTADA, DMT ATÉ 30 KM (UNIDADE: M3XKM). AF_07/2020</v>
          </cell>
          <cell r="D151" t="str">
            <v>M3XKM</v>
          </cell>
          <cell r="E151">
            <v>10.24</v>
          </cell>
          <cell r="F151">
            <v>2.2400000000000002</v>
          </cell>
          <cell r="G151">
            <v>2.77</v>
          </cell>
          <cell r="H151">
            <v>28.36</v>
          </cell>
          <cell r="I151">
            <v>2.27</v>
          </cell>
          <cell r="J151">
            <v>2.67</v>
          </cell>
          <cell r="K151">
            <v>27.34</v>
          </cell>
        </row>
        <row r="152">
          <cell r="A152" t="str">
            <v>1.3.4</v>
          </cell>
          <cell r="C152" t="str">
            <v>TERRAPLANAGEM</v>
          </cell>
          <cell r="H152">
            <v>3115.93</v>
          </cell>
          <cell r="K152">
            <v>3017.29</v>
          </cell>
        </row>
        <row r="153">
          <cell r="A153" t="str">
            <v>1.3.4.1</v>
          </cell>
          <cell r="B153" t="str">
            <v>CP-74205/001-17324935</v>
          </cell>
          <cell r="C153" t="str">
            <v>ESCAVAÇÃO MECÂNICA DE MATERIAL 1A. CATEGORIA, PROVENIENTE DE CORTE DE SUBLEITO (C/TRATOR ESTEIRAS  160HP)</v>
          </cell>
          <cell r="D153" t="str">
            <v>M3</v>
          </cell>
          <cell r="E153">
            <v>201.3</v>
          </cell>
          <cell r="F153">
            <v>2.54</v>
          </cell>
          <cell r="G153">
            <v>3.14</v>
          </cell>
          <cell r="H153">
            <v>632.08000000000004</v>
          </cell>
          <cell r="I153">
            <v>2.59</v>
          </cell>
          <cell r="J153">
            <v>3.05</v>
          </cell>
          <cell r="K153">
            <v>613.97</v>
          </cell>
        </row>
        <row r="154">
          <cell r="A154" t="str">
            <v>1.3.4.2</v>
          </cell>
          <cell r="B154" t="str">
            <v>COMP-35145154</v>
          </cell>
          <cell r="C154" t="str">
            <v>CARGA E DESCARGA MECANICA DE SOLO UTILIZANDO CAMINHAO BASCULANTE 14,0M3/36T E PA CARREGADEIRA SOBRE PNEUS 128 HP, CAPACIDADE DA CAÇAMBA 1,7 A 2,8 M3, PESO OPERACIONAL 11632 KH</v>
          </cell>
          <cell r="D154" t="str">
            <v>M3</v>
          </cell>
          <cell r="E154">
            <v>251.63</v>
          </cell>
          <cell r="F154">
            <v>2.83</v>
          </cell>
          <cell r="G154">
            <v>3.5</v>
          </cell>
          <cell r="H154">
            <v>880.71</v>
          </cell>
          <cell r="I154">
            <v>2.9</v>
          </cell>
          <cell r="J154">
            <v>3.41</v>
          </cell>
          <cell r="K154">
            <v>858.06</v>
          </cell>
        </row>
        <row r="155">
          <cell r="A155" t="str">
            <v>1.3.4.3</v>
          </cell>
          <cell r="B155">
            <v>95876</v>
          </cell>
          <cell r="C155" t="str">
            <v>TRANSPORTE COM CAMINHÃO BASCULANTE DE 14 M³, EM VIA URBANA PAVIMENTADA, DMT ATÉ 30 KM (UNIDADE: M3XKM). AF_07/2020</v>
          </cell>
          <cell r="D155" t="str">
            <v>M3XKM</v>
          </cell>
          <cell r="E155">
            <v>578.75</v>
          </cell>
          <cell r="F155">
            <v>2.2400000000000002</v>
          </cell>
          <cell r="G155">
            <v>2.77</v>
          </cell>
          <cell r="H155">
            <v>1603.14</v>
          </cell>
          <cell r="I155">
            <v>2.27</v>
          </cell>
          <cell r="J155">
            <v>2.67</v>
          </cell>
          <cell r="K155">
            <v>1545.26</v>
          </cell>
        </row>
        <row r="156">
          <cell r="A156" t="str">
            <v>1.3.5</v>
          </cell>
          <cell r="C156" t="str">
            <v>PAVIMENTAÇÃO</v>
          </cell>
          <cell r="H156">
            <v>22210.33</v>
          </cell>
          <cell r="K156">
            <v>22021.22</v>
          </cell>
        </row>
        <row r="157">
          <cell r="A157" t="str">
            <v>1.3.5.1</v>
          </cell>
          <cell r="B157">
            <v>100576</v>
          </cell>
          <cell r="C157" t="str">
            <v>REGULARIZAÇÃO E COMPACTAÇÃO DE SUBLEITO DE SOLO  PREDOMINANTEMENTE ARGILOSO. AF_11/2019</v>
          </cell>
          <cell r="D157" t="str">
            <v>M2</v>
          </cell>
          <cell r="E157">
            <v>353.08</v>
          </cell>
          <cell r="F157">
            <v>2.64</v>
          </cell>
          <cell r="G157">
            <v>3.26</v>
          </cell>
          <cell r="H157">
            <v>1151.04</v>
          </cell>
          <cell r="I157">
            <v>2.79</v>
          </cell>
          <cell r="J157">
            <v>3.28</v>
          </cell>
          <cell r="K157">
            <v>1158.0999999999999</v>
          </cell>
        </row>
        <row r="158">
          <cell r="A158" t="str">
            <v>1.3.5.2</v>
          </cell>
          <cell r="B158" t="str">
            <v>COMP-28881239</v>
          </cell>
          <cell r="C158" t="str">
            <v>Base ou sub-base de macadame hidráulico com brita comercial - EXCLUSIVE MATERIAL, CARGA E TRANSPORTE - NÃO DESONERADO</v>
          </cell>
          <cell r="D158" t="str">
            <v>M3</v>
          </cell>
          <cell r="E158">
            <v>52.96</v>
          </cell>
          <cell r="F158">
            <v>11.24</v>
          </cell>
          <cell r="G158">
            <v>13.89</v>
          </cell>
          <cell r="H158">
            <v>735.61</v>
          </cell>
          <cell r="I158">
            <v>11.4</v>
          </cell>
          <cell r="J158">
            <v>13.4</v>
          </cell>
          <cell r="K158">
            <v>709.66</v>
          </cell>
        </row>
        <row r="159">
          <cell r="A159" t="str">
            <v>1.3.5.3</v>
          </cell>
          <cell r="B159" t="str">
            <v>CP-96396-26507981</v>
          </cell>
          <cell r="C159" t="str">
            <v>EXECUÇÃO E COMPACTAÇÃO DE BASE E OU SUB BASE PARA PAVIMENTAÇÃO DE BRITA GRADUADA SIMPLES - EXCLUSIVE MATERIAL, CARGA E TRANSPORTE</v>
          </cell>
          <cell r="D159" t="str">
            <v>M3</v>
          </cell>
          <cell r="E159">
            <v>60.53</v>
          </cell>
          <cell r="F159">
            <v>13.86</v>
          </cell>
          <cell r="G159">
            <v>17.13</v>
          </cell>
          <cell r="H159">
            <v>1036.8800000000001</v>
          </cell>
          <cell r="I159">
            <v>14.44</v>
          </cell>
          <cell r="J159">
            <v>16.98</v>
          </cell>
          <cell r="K159">
            <v>1027.8</v>
          </cell>
        </row>
        <row r="160">
          <cell r="A160" t="str">
            <v>1.3.5.4</v>
          </cell>
          <cell r="B160" t="str">
            <v>COMP-35145154</v>
          </cell>
          <cell r="C160" t="str">
            <v>CARGA E DESCARGA MECANICA DE SOLO UTILIZANDO CAMINHAO BASCULANTE 14,0M3/36T E PA CARREGADEIRA SOBRE PNEUS 128 HP, CAPACIDADE DA CAÇAMBA 1,7 A 2,8 M3, PESO OPERACIONAL 11632 KH</v>
          </cell>
          <cell r="D160" t="str">
            <v>M3</v>
          </cell>
          <cell r="E160">
            <v>141.86000000000001</v>
          </cell>
          <cell r="F160">
            <v>2.83</v>
          </cell>
          <cell r="G160">
            <v>3.5</v>
          </cell>
          <cell r="H160">
            <v>496.51</v>
          </cell>
          <cell r="I160">
            <v>2.9</v>
          </cell>
          <cell r="J160">
            <v>3.41</v>
          </cell>
          <cell r="K160">
            <v>483.74</v>
          </cell>
        </row>
        <row r="161">
          <cell r="A161" t="str">
            <v>1.3.5.5</v>
          </cell>
          <cell r="B161" t="str">
            <v>COMP-83526730</v>
          </cell>
          <cell r="C161" t="str">
            <v>TRANSPORTE COMERCIAL DE BRITA</v>
          </cell>
          <cell r="D161" t="str">
            <v>M3XKM</v>
          </cell>
          <cell r="E161">
            <v>1021.39</v>
          </cell>
          <cell r="F161">
            <v>1.36</v>
          </cell>
          <cell r="G161">
            <v>1.68</v>
          </cell>
          <cell r="H161">
            <v>1715.94</v>
          </cell>
          <cell r="I161">
            <v>1.37</v>
          </cell>
          <cell r="J161">
            <v>1.61</v>
          </cell>
          <cell r="K161">
            <v>1644.44</v>
          </cell>
        </row>
        <row r="162">
          <cell r="A162" t="str">
            <v>1.3.5.6</v>
          </cell>
          <cell r="B162" t="str">
            <v>CP-96401-52745838</v>
          </cell>
          <cell r="C162" t="str">
            <v>EXECUÇÃO DE IMPRIMAÇÃO COM ASFALTO DILUÍDO CM-30, EXCLUSIVE MATERIAL.</v>
          </cell>
          <cell r="D162" t="str">
            <v>M2</v>
          </cell>
          <cell r="E162">
            <v>280.07</v>
          </cell>
          <cell r="F162">
            <v>1.18</v>
          </cell>
          <cell r="G162">
            <v>1.46</v>
          </cell>
          <cell r="H162">
            <v>408.9</v>
          </cell>
          <cell r="I162">
            <v>1.24</v>
          </cell>
          <cell r="J162">
            <v>1.46</v>
          </cell>
          <cell r="K162">
            <v>408.9</v>
          </cell>
        </row>
        <row r="163">
          <cell r="A163" t="str">
            <v>1.3.5.7</v>
          </cell>
          <cell r="B163" t="str">
            <v>CP-95995-51339760</v>
          </cell>
          <cell r="C163" t="str">
            <v>EXECUÇÃO DE PAVIMENTO COM APLICAÇÃO DE CONCRETO ASFÁLTICO, CAMADA DE ROLAMENTO - EXCLUSIVE CARGA E TRANSPORTE E CONCRETO BETUMINOSO</v>
          </cell>
          <cell r="D163" t="str">
            <v>M3</v>
          </cell>
          <cell r="E163">
            <v>14</v>
          </cell>
          <cell r="F163">
            <v>127.58</v>
          </cell>
          <cell r="G163">
            <v>157.68</v>
          </cell>
          <cell r="H163">
            <v>2207.52</v>
          </cell>
          <cell r="I163">
            <v>133.37</v>
          </cell>
          <cell r="J163">
            <v>156.80000000000001</v>
          </cell>
          <cell r="K163">
            <v>2195.1999999999998</v>
          </cell>
        </row>
        <row r="164">
          <cell r="A164" t="str">
            <v>1.3.5.8</v>
          </cell>
          <cell r="B164" t="str">
            <v>COMP-10034101</v>
          </cell>
          <cell r="C164" t="str">
            <v>CARGA, MANOBRAS E DESCARGA DE MISTURA BETUMINOSA A QUENTE, COM CAMINHAO BASCULANTE 6 M3, DESCARGA EM VIBRO-ACABADORA</v>
          </cell>
          <cell r="D164" t="str">
            <v>M3</v>
          </cell>
          <cell r="E164">
            <v>14</v>
          </cell>
          <cell r="F164">
            <v>7.74</v>
          </cell>
          <cell r="G164">
            <v>9.57</v>
          </cell>
          <cell r="H164">
            <v>133.97999999999999</v>
          </cell>
          <cell r="I164">
            <v>7.86</v>
          </cell>
          <cell r="J164">
            <v>9.24</v>
          </cell>
          <cell r="K164">
            <v>129.36000000000001</v>
          </cell>
        </row>
        <row r="165">
          <cell r="A165" t="str">
            <v>1.3.5.9</v>
          </cell>
          <cell r="B165" t="str">
            <v>CP-95303-56931542</v>
          </cell>
          <cell r="C165" t="str">
            <v>TRANSPORTE COM CAMINHÃO BASCULANTE 10 M3 DE MASSA ASFALTICA PARA PAVIMENTAÇÃO URBANA</v>
          </cell>
          <cell r="D165" t="str">
            <v>M3XKM</v>
          </cell>
          <cell r="E165">
            <v>228.2</v>
          </cell>
          <cell r="F165">
            <v>1.75</v>
          </cell>
          <cell r="G165">
            <v>2.16</v>
          </cell>
          <cell r="H165">
            <v>492.91</v>
          </cell>
          <cell r="I165">
            <v>1.77</v>
          </cell>
          <cell r="J165">
            <v>2.08</v>
          </cell>
          <cell r="K165">
            <v>474.66</v>
          </cell>
        </row>
        <row r="166">
          <cell r="A166" t="str">
            <v>1.3.5.10</v>
          </cell>
          <cell r="B166" t="str">
            <v>CP-97084-89637704</v>
          </cell>
          <cell r="C166" t="str">
            <v>REGULARIZACAO E COMPACTAÇÃO MANUAL DE TERRENO COM PLACA VIBRATÓRIA</v>
          </cell>
          <cell r="D166" t="str">
            <v>M2</v>
          </cell>
          <cell r="E166">
            <v>212.65</v>
          </cell>
          <cell r="F166">
            <v>0.59</v>
          </cell>
          <cell r="G166">
            <v>0.73</v>
          </cell>
          <cell r="H166">
            <v>155.22999999999999</v>
          </cell>
          <cell r="I166">
            <v>0.65</v>
          </cell>
          <cell r="J166">
            <v>0.76</v>
          </cell>
          <cell r="K166">
            <v>161.61000000000001</v>
          </cell>
        </row>
        <row r="167">
          <cell r="A167" t="str">
            <v>1.3.5.11</v>
          </cell>
          <cell r="B167" t="str">
            <v>CP-94991-12549457</v>
          </cell>
          <cell r="C167" t="str">
            <v>EXECUÇÃO DE PASSEIO (CALÇADA) OU PISO DE CONCRETO COM CONCRETO MOLDADO IN LOCO, USINADO, ACABAMENTO CONVENCIONAL, NÃO ARMADO - EXCLUINDO O CONCRETO USINADO 20MPA</v>
          </cell>
          <cell r="D167" t="str">
            <v>M3</v>
          </cell>
          <cell r="E167">
            <v>14.38</v>
          </cell>
          <cell r="F167">
            <v>104.6</v>
          </cell>
          <cell r="G167">
            <v>129.28</v>
          </cell>
          <cell r="H167">
            <v>1859.05</v>
          </cell>
          <cell r="I167">
            <v>112.75</v>
          </cell>
          <cell r="J167">
            <v>132.56</v>
          </cell>
          <cell r="K167">
            <v>1906.21</v>
          </cell>
        </row>
        <row r="168">
          <cell r="A168" t="str">
            <v>1.3.5.12</v>
          </cell>
          <cell r="B168">
            <v>94273</v>
          </cell>
          <cell r="C168" t="str">
            <v>ASSENTAMENTO DE GUIA (MEIO-FIO) EM TRECHO RETO, CONFECCIONADA EM CONCRETO PRÉ-FABRICADO, DIMENSÕES 100X15X13X30 CM (COMPRIMENTO X BASE INFERIOR X BASE SUPERIOR X ALTURA), PARA VIAS URBANAS (USO VIÁRIO). AF_06/2016</v>
          </cell>
          <cell r="D168" t="str">
            <v>M</v>
          </cell>
          <cell r="E168">
            <v>99.93</v>
          </cell>
          <cell r="F168">
            <v>54.61</v>
          </cell>
          <cell r="G168">
            <v>67.489999999999995</v>
          </cell>
          <cell r="H168">
            <v>6744.28</v>
          </cell>
          <cell r="I168">
            <v>56.47</v>
          </cell>
          <cell r="J168">
            <v>66.39</v>
          </cell>
          <cell r="K168">
            <v>6634.35</v>
          </cell>
        </row>
        <row r="169">
          <cell r="A169" t="str">
            <v>1.3.5.13</v>
          </cell>
          <cell r="B169">
            <v>94274</v>
          </cell>
          <cell r="C169" t="str">
            <v>ASSENTAMENTO DE GUIA (MEIO-FIO) EM TRECHO CURVO, CONFECCIONADA EM CONCRETO PRÉ-FABRICADO, DIMENSÕES 100X15X13X30 CM (COMPRIMENTO X BASE INFERIOR X BASE SUPERIOR X ALTURA), PARA VIAS URBANAS (USO VIÁRIO). AF_06/2016</v>
          </cell>
          <cell r="D169" t="str">
            <v>M</v>
          </cell>
          <cell r="E169">
            <v>1.81</v>
          </cell>
          <cell r="F169">
            <v>58.17</v>
          </cell>
          <cell r="G169">
            <v>71.89</v>
          </cell>
          <cell r="H169">
            <v>130.12</v>
          </cell>
          <cell r="I169">
            <v>60.43</v>
          </cell>
          <cell r="J169">
            <v>71.05</v>
          </cell>
          <cell r="K169">
            <v>128.6</v>
          </cell>
        </row>
        <row r="170">
          <cell r="A170" t="str">
            <v>1.3.5.14</v>
          </cell>
          <cell r="B170">
            <v>94275</v>
          </cell>
          <cell r="C170" t="str">
            <v>ASSENTAMENTO DE GUIA (MEIO-FIO) EM TRECHO RETO, CONFECCIONADA EM CONCRETO PRÉ-FABRICADO, DIMENSÕES 100X15X13X20 CM (COMPRIMENTO X BASE INFERIOR X BASE SUPERIOR X ALTURA), PARA URBANIZAÇÃO INTERNA DE EMPREENDIMENTOS. AF_06/2016_P</v>
          </cell>
          <cell r="D170" t="str">
            <v>M</v>
          </cell>
          <cell r="E170">
            <v>2.8</v>
          </cell>
          <cell r="F170">
            <v>52.64</v>
          </cell>
          <cell r="G170">
            <v>65.06</v>
          </cell>
          <cell r="H170">
            <v>182.17</v>
          </cell>
          <cell r="I170">
            <v>54.31</v>
          </cell>
          <cell r="J170">
            <v>63.85</v>
          </cell>
          <cell r="K170">
            <v>178.78</v>
          </cell>
        </row>
        <row r="171">
          <cell r="A171" t="str">
            <v>1.3.5.15</v>
          </cell>
          <cell r="B171">
            <v>94287</v>
          </cell>
          <cell r="C171" t="str">
            <v>EXECUÇÃO DE SARJETA DE CONCRETO USINADO, MOLDADA  IN LOCO  EM TRECHO RETO, 30 CM BASE X 10 CM ALTURA. AF_06/2016</v>
          </cell>
          <cell r="D171" t="str">
            <v>M</v>
          </cell>
          <cell r="E171">
            <v>99.93</v>
          </cell>
          <cell r="F171">
            <v>37.69</v>
          </cell>
          <cell r="G171">
            <v>46.58</v>
          </cell>
          <cell r="H171">
            <v>4654.74</v>
          </cell>
          <cell r="I171">
            <v>39.770000000000003</v>
          </cell>
          <cell r="J171">
            <v>46.76</v>
          </cell>
          <cell r="K171">
            <v>4672.7299999999996</v>
          </cell>
        </row>
        <row r="172">
          <cell r="A172" t="str">
            <v>1.3.5.16</v>
          </cell>
          <cell r="B172">
            <v>94288</v>
          </cell>
          <cell r="C172" t="str">
            <v>EXECUÇÃO DE SARJETA DE CONCRETO USINADO, MOLDADA  IN LOCO  EM TRECHO CURVO, 30 CM BASE X 10 CM ALTURA. AF_06/2016</v>
          </cell>
          <cell r="D172" t="str">
            <v>M</v>
          </cell>
          <cell r="E172">
            <v>1.81</v>
          </cell>
          <cell r="F172">
            <v>47.14</v>
          </cell>
          <cell r="G172">
            <v>58.26</v>
          </cell>
          <cell r="H172">
            <v>105.45</v>
          </cell>
          <cell r="I172">
            <v>50.32</v>
          </cell>
          <cell r="J172">
            <v>59.16</v>
          </cell>
          <cell r="K172">
            <v>107.08</v>
          </cell>
        </row>
        <row r="173">
          <cell r="A173" t="str">
            <v>1.3.6</v>
          </cell>
          <cell r="C173" t="str">
            <v>DRENAGEM</v>
          </cell>
          <cell r="H173">
            <v>29637.69</v>
          </cell>
          <cell r="K173">
            <v>29633.46</v>
          </cell>
        </row>
        <row r="174">
          <cell r="A174" t="str">
            <v>1.3.6.1</v>
          </cell>
          <cell r="B174">
            <v>90106</v>
          </cell>
          <cell r="C174" t="str">
            <v>ESCAVAÇÃO MECANIZADA DE VALA COM PROFUNDIDADE ATÉ 1,5 M (MÉDIA MONTANTE E JUSANTE/UMA COMPOSIÇÃO POR TRECHO), RETROESCAV. (0,26 M3), LARGURA DE 0,8 M A 1,5 M, EM SOLO DE 1A CATEGORIA, LOCAIS COM BAIXO NÍVEL DE INTERFERÊNCIA. AF_02/2021</v>
          </cell>
          <cell r="D174" t="str">
            <v>M3</v>
          </cell>
          <cell r="E174">
            <v>90.75</v>
          </cell>
          <cell r="F174">
            <v>8.15</v>
          </cell>
          <cell r="G174">
            <v>10.07</v>
          </cell>
          <cell r="H174">
            <v>913.85</v>
          </cell>
          <cell r="I174">
            <v>8.5399999999999991</v>
          </cell>
          <cell r="J174">
            <v>10.039999999999999</v>
          </cell>
          <cell r="K174">
            <v>911.13</v>
          </cell>
        </row>
        <row r="175">
          <cell r="A175" t="str">
            <v>1.3.6.2</v>
          </cell>
          <cell r="B175">
            <v>90105</v>
          </cell>
          <cell r="C175" t="str">
            <v>ESCAVAÇÃO MECANIZADA DE VALA COM PROFUNDIDADE ATÉ 1,5 M (MÉDIA MONTANTE E JUSANTE/UMA COMPOSIÇÃO POR TRECHO), RETROESCAV. (0,26 M3), LARGURA MENOR QUE 0,8 M, EM SOLO DE 1A CATEGORIA, LOCAIS COM BAIXO NÍVEL DE INTERFERÊNCIA. AF_02/2021</v>
          </cell>
          <cell r="D175" t="str">
            <v>M3</v>
          </cell>
          <cell r="E175">
            <v>15.4</v>
          </cell>
          <cell r="F175">
            <v>9.58</v>
          </cell>
          <cell r="G175">
            <v>11.84</v>
          </cell>
          <cell r="H175">
            <v>182.34</v>
          </cell>
          <cell r="I175">
            <v>10.039999999999999</v>
          </cell>
          <cell r="J175">
            <v>11.8</v>
          </cell>
          <cell r="K175">
            <v>181.72</v>
          </cell>
        </row>
        <row r="176">
          <cell r="A176" t="str">
            <v>1.3.6.3</v>
          </cell>
          <cell r="B176">
            <v>93378</v>
          </cell>
          <cell r="C176" t="str">
            <v>REATERRO MECANIZADO DE VALA COM RETROESCAVADEIRA (CAPACIDADE DA CAÇAMBA DA RETRO: 0,26 M³ / POTÊNCIA: 88 HP), LARGURA ATÉ 0,8 M, PROFUNDIDADE ATÉ 1,5 M, COM SOLO DE 1ª CATEGORIA EM LOCAIS COM BAIXO NÍVEL DE INTERFERÊNCIA. AF_04/2016</v>
          </cell>
          <cell r="D176" t="str">
            <v>M3</v>
          </cell>
          <cell r="E176">
            <v>13.07</v>
          </cell>
          <cell r="F176">
            <v>27.22</v>
          </cell>
          <cell r="G176">
            <v>33.64</v>
          </cell>
          <cell r="H176">
            <v>439.67</v>
          </cell>
          <cell r="I176">
            <v>29.29</v>
          </cell>
          <cell r="J176">
            <v>34.44</v>
          </cell>
          <cell r="K176">
            <v>450.13</v>
          </cell>
        </row>
        <row r="177">
          <cell r="A177" t="str">
            <v>1.3.6.4</v>
          </cell>
          <cell r="B177">
            <v>93379</v>
          </cell>
          <cell r="C177" t="str">
            <v>REATERRO MECANIZADO DE VALA COM RETROESCAVADEIRA (CAPACIDADE DA CAÇAMBA DA RETRO: 0,26 M³ / POTÊNCIA: 88 HP), LARGURA DE 0,8 A 1,5 M, PROFUNDIDADE ATÉ 1,5 M, COM SOLO DE 1ª CATEGORIA EM LOCAIS COM BAIXO NÍVEL DE INTERFERÊNCIA. AF_04/2016</v>
          </cell>
          <cell r="D177" t="str">
            <v>M3</v>
          </cell>
          <cell r="E177">
            <v>56.12</v>
          </cell>
          <cell r="F177">
            <v>21.03</v>
          </cell>
          <cell r="G177">
            <v>25.99</v>
          </cell>
          <cell r="H177">
            <v>1458.56</v>
          </cell>
          <cell r="I177">
            <v>22.62</v>
          </cell>
          <cell r="J177">
            <v>26.59</v>
          </cell>
          <cell r="K177">
            <v>1492.23</v>
          </cell>
        </row>
        <row r="178">
          <cell r="A178" t="str">
            <v>1.3.6.5</v>
          </cell>
          <cell r="B178" t="str">
            <v>COMP-35145154</v>
          </cell>
          <cell r="C178" t="str">
            <v>CARGA E DESCARGA MECANICA DE SOLO UTILIZANDO CAMINHAO BASCULANTE 14,0M3/36T E PA CARREGADEIRA SOBRE PNEUS 128 HP, CAPACIDADE DA CAÇAMBA 1,7 A 2,8 M3, PESO OPERACIONAL 11632 KH</v>
          </cell>
          <cell r="D178" t="str">
            <v>M3</v>
          </cell>
          <cell r="E178">
            <v>46.2</v>
          </cell>
          <cell r="F178">
            <v>2.83</v>
          </cell>
          <cell r="G178">
            <v>3.5</v>
          </cell>
          <cell r="H178">
            <v>161.69999999999999</v>
          </cell>
          <cell r="I178">
            <v>2.9</v>
          </cell>
          <cell r="J178">
            <v>3.41</v>
          </cell>
          <cell r="K178">
            <v>157.54</v>
          </cell>
        </row>
        <row r="179">
          <cell r="A179" t="str">
            <v>1.3.6.6</v>
          </cell>
          <cell r="B179">
            <v>95876</v>
          </cell>
          <cell r="C179" t="str">
            <v>TRANSPORTE COM CAMINHÃO BASCULANTE DE 14 M³, EM VIA URBANA PAVIMENTADA, DMT ATÉ 30 KM (UNIDADE: M3XKM). AF_07/2020</v>
          </cell>
          <cell r="D179" t="str">
            <v>M3XKM</v>
          </cell>
          <cell r="E179">
            <v>106.26</v>
          </cell>
          <cell r="F179">
            <v>2.2400000000000002</v>
          </cell>
          <cell r="G179">
            <v>2.77</v>
          </cell>
          <cell r="H179">
            <v>294.33999999999997</v>
          </cell>
          <cell r="I179">
            <v>2.27</v>
          </cell>
          <cell r="J179">
            <v>2.67</v>
          </cell>
          <cell r="K179">
            <v>283.70999999999998</v>
          </cell>
        </row>
        <row r="180">
          <cell r="A180" t="str">
            <v>1.3.6.7</v>
          </cell>
          <cell r="B180">
            <v>94974</v>
          </cell>
          <cell r="C180" t="str">
            <v>CONCRETO MAGRO PARA LASTRO, TRAÇO 1:4,5:4,5 (EM MASSA SECA DE CIMENTO/ AREIA MÉDIA/ BRITA 1) - PREPARO MANUAL. AF_05/2021</v>
          </cell>
          <cell r="D180" t="str">
            <v>M3</v>
          </cell>
          <cell r="E180">
            <v>3.51</v>
          </cell>
          <cell r="F180">
            <v>423.75</v>
          </cell>
          <cell r="G180">
            <v>523.71</v>
          </cell>
          <cell r="H180">
            <v>1838.22</v>
          </cell>
          <cell r="I180">
            <v>436.13</v>
          </cell>
          <cell r="J180">
            <v>512.76</v>
          </cell>
          <cell r="K180">
            <v>1799.79</v>
          </cell>
        </row>
        <row r="181">
          <cell r="A181" t="str">
            <v>1.3.6.8</v>
          </cell>
          <cell r="B181" t="str">
            <v>COMP-47781585</v>
          </cell>
          <cell r="C181" t="str">
            <v>BOCA DE LOBO SIMPLES COM CHAPÉU E TAMPA DE CONCRETO - BLS 01 (H=1,00m)</v>
          </cell>
          <cell r="D181" t="str">
            <v>UND</v>
          </cell>
          <cell r="E181">
            <v>6</v>
          </cell>
          <cell r="F181">
            <v>1361.5</v>
          </cell>
          <cell r="G181">
            <v>1682.68</v>
          </cell>
          <cell r="H181">
            <v>10096.08</v>
          </cell>
          <cell r="I181">
            <v>1436.65</v>
          </cell>
          <cell r="J181">
            <v>1689.07</v>
          </cell>
          <cell r="K181">
            <v>10134.42</v>
          </cell>
        </row>
        <row r="182">
          <cell r="A182" t="str">
            <v>1.3.6.9</v>
          </cell>
          <cell r="B182">
            <v>97994</v>
          </cell>
          <cell r="C182" t="str">
            <v>BASE PARA POÇO DE VISITA RETANGULAR PARA  ESGOTO, EM ALVENARIA COM BLOCOS DE CONCRETO, DIMENSÕES INTERNAS = 1X1 M, PROFUNDIDADE = 1,40 M, EXCLUINDO TAMPÃO. AF_12/2020</v>
          </cell>
          <cell r="D182" t="str">
            <v>UN</v>
          </cell>
          <cell r="E182">
            <v>4</v>
          </cell>
          <cell r="F182">
            <v>2465.7199999999998</v>
          </cell>
          <cell r="G182">
            <v>3047.38</v>
          </cell>
          <cell r="H182">
            <v>12189.52</v>
          </cell>
          <cell r="I182">
            <v>2575.58</v>
          </cell>
          <cell r="J182">
            <v>3028.11</v>
          </cell>
          <cell r="K182">
            <v>12112.44</v>
          </cell>
        </row>
        <row r="183">
          <cell r="A183" t="str">
            <v>1.3.6.10</v>
          </cell>
          <cell r="B183">
            <v>98115</v>
          </cell>
          <cell r="C183" t="str">
            <v>TAMPA CIRCULAR PARA ESGOTO E DRENAGEM, EM CONCRETO PRÉ-MOLDADO, DIÂMETRO INTERNO = 0,60 M E ALTURA = 0,10 M. AF_12/2020</v>
          </cell>
          <cell r="D183" t="str">
            <v>UN</v>
          </cell>
          <cell r="E183">
            <v>4</v>
          </cell>
          <cell r="F183">
            <v>90.01</v>
          </cell>
          <cell r="G183">
            <v>111.24</v>
          </cell>
          <cell r="H183">
            <v>444.96</v>
          </cell>
          <cell r="I183">
            <v>96.01</v>
          </cell>
          <cell r="J183">
            <v>112.88</v>
          </cell>
          <cell r="K183">
            <v>451.52</v>
          </cell>
        </row>
        <row r="184">
          <cell r="A184" t="str">
            <v>1.3.6.11</v>
          </cell>
          <cell r="B184" t="str">
            <v>CP-74157/004-48264518</v>
          </cell>
          <cell r="C184" t="str">
            <v>LANCAMENTO/APLICACAO MANUAL DE CONCRETO EM FUNDACOES (concreto magro)</v>
          </cell>
          <cell r="D184" t="str">
            <v>M3</v>
          </cell>
          <cell r="E184">
            <v>3.51</v>
          </cell>
          <cell r="F184">
            <v>116.59</v>
          </cell>
          <cell r="G184">
            <v>144.09</v>
          </cell>
          <cell r="H184">
            <v>505.76</v>
          </cell>
          <cell r="I184">
            <v>129.79</v>
          </cell>
          <cell r="J184">
            <v>152.59</v>
          </cell>
          <cell r="K184">
            <v>535.59</v>
          </cell>
        </row>
        <row r="185">
          <cell r="A185" t="str">
            <v>1.3.6.12</v>
          </cell>
          <cell r="B185">
            <v>90746</v>
          </cell>
          <cell r="C185" t="str">
            <v>ASSENTAMENTO DE TUBO DE PEAD CORRUGADO DE DUPLA PAREDE PARA REDE COLETORA DE ESGOTO, DN 450 MM, JUNTA ELÁSTICA INTEGRADA (NÃO INCLUI FORNECIMENTO). AF_01/2021</v>
          </cell>
          <cell r="D185" t="str">
            <v>M</v>
          </cell>
          <cell r="E185">
            <v>14.67</v>
          </cell>
          <cell r="F185">
            <v>3.54</v>
          </cell>
          <cell r="G185">
            <v>4.38</v>
          </cell>
          <cell r="H185">
            <v>64.25</v>
          </cell>
          <cell r="I185">
            <v>3.97</v>
          </cell>
          <cell r="J185">
            <v>4.67</v>
          </cell>
          <cell r="K185">
            <v>68.510000000000005</v>
          </cell>
        </row>
        <row r="186">
          <cell r="A186" t="str">
            <v>1.3.6.13</v>
          </cell>
          <cell r="B186">
            <v>90747</v>
          </cell>
          <cell r="C186" t="str">
            <v>ASSENTAMENTO DE TUBO DE PEAD CORRUGADO DE DUPLA PAREDE PARA REDE COLETORA DE ESGOTO, DN 600 MM, JUNTA ELÁSTICA INTEGRADA (NÃO INCLUI FORNECIMENTO). AF_01/2021</v>
          </cell>
          <cell r="D186" t="str">
            <v>M</v>
          </cell>
          <cell r="E186">
            <v>48.36</v>
          </cell>
          <cell r="F186">
            <v>17.54</v>
          </cell>
          <cell r="G186">
            <v>21.68</v>
          </cell>
          <cell r="H186">
            <v>1048.44</v>
          </cell>
          <cell r="I186">
            <v>18.55</v>
          </cell>
          <cell r="J186">
            <v>21.81</v>
          </cell>
          <cell r="K186">
            <v>1054.73</v>
          </cell>
        </row>
        <row r="187">
          <cell r="A187" t="str">
            <v>1.3.7</v>
          </cell>
          <cell r="C187" t="str">
            <v>SINALIZAÇÃO</v>
          </cell>
          <cell r="H187">
            <v>3422.35</v>
          </cell>
          <cell r="K187">
            <v>3358.29</v>
          </cell>
        </row>
        <row r="188">
          <cell r="A188" t="str">
            <v>1.3.7.1</v>
          </cell>
          <cell r="B188">
            <v>5213421</v>
          </cell>
          <cell r="C188" t="str">
            <v>Confecção de placa em aço nº 16 galvanizado, com película tipo I + IV</v>
          </cell>
          <cell r="D188" t="str">
            <v xml:space="preserve">M2    </v>
          </cell>
          <cell r="E188">
            <v>1.29</v>
          </cell>
          <cell r="F188">
            <v>343.8</v>
          </cell>
          <cell r="G188">
            <v>424.9</v>
          </cell>
          <cell r="H188">
            <v>548.12</v>
          </cell>
          <cell r="I188">
            <v>347.25</v>
          </cell>
          <cell r="J188">
            <v>408.26</v>
          </cell>
          <cell r="K188">
            <v>526.66</v>
          </cell>
        </row>
        <row r="189">
          <cell r="A189" t="str">
            <v>1.3.7.2</v>
          </cell>
          <cell r="B189">
            <v>5216111</v>
          </cell>
          <cell r="C189" t="str">
            <v>FORNECIMENTO E IMPLANTAÇÃO DE SUPORTE E TRAVESSA PARA PLACA DE SINALIZAÇÃO EM MADEIRA DE LEI TRATADA 8 X 8 CM</v>
          </cell>
          <cell r="D189" t="str">
            <v>UND</v>
          </cell>
          <cell r="E189">
            <v>6</v>
          </cell>
          <cell r="F189">
            <v>119.1379</v>
          </cell>
          <cell r="G189">
            <v>147.24</v>
          </cell>
          <cell r="H189">
            <v>883.44</v>
          </cell>
          <cell r="I189">
            <v>121.48</v>
          </cell>
          <cell r="J189">
            <v>142.82</v>
          </cell>
          <cell r="K189">
            <v>856.92</v>
          </cell>
        </row>
        <row r="190">
          <cell r="A190" t="str">
            <v>1.3.7.3</v>
          </cell>
          <cell r="B190" t="str">
            <v>COMP-58084869</v>
          </cell>
          <cell r="C190" t="str">
            <v>PLACA ESMALTADA PARA IDENTIFICAÇÃO NR DE RUA, DIMENSÕES 45X25CM</v>
          </cell>
          <cell r="D190" t="str">
            <v>UND</v>
          </cell>
          <cell r="E190">
            <v>2</v>
          </cell>
          <cell r="F190">
            <v>155.54</v>
          </cell>
          <cell r="G190">
            <v>192.23</v>
          </cell>
          <cell r="H190">
            <v>384.46</v>
          </cell>
          <cell r="I190">
            <v>156.33000000000001</v>
          </cell>
          <cell r="J190">
            <v>183.8</v>
          </cell>
          <cell r="K190">
            <v>367.6</v>
          </cell>
        </row>
        <row r="191">
          <cell r="A191" t="str">
            <v>1.3.7.4</v>
          </cell>
          <cell r="B191">
            <v>102512</v>
          </cell>
          <cell r="C191" t="str">
            <v>PINTURA DE EIXO VIÁRIO SOBRE ASFALTO COM TINTA RETRORREFLETIVA A BASE DE RESINA ACRÍLICA COM MICROESFERAS DE VIDRO, APLICAÇÃO MECÂNICA COM DEMARCADORA AUTOPROPELIDA. AF_05/2021</v>
          </cell>
          <cell r="D191" t="str">
            <v>M</v>
          </cell>
          <cell r="E191">
            <v>133.16999999999999</v>
          </cell>
          <cell r="F191">
            <v>5.22</v>
          </cell>
          <cell r="G191">
            <v>6.45</v>
          </cell>
          <cell r="H191">
            <v>858.95</v>
          </cell>
          <cell r="I191">
            <v>5.48</v>
          </cell>
          <cell r="J191">
            <v>6.44</v>
          </cell>
          <cell r="K191">
            <v>857.61</v>
          </cell>
        </row>
        <row r="192">
          <cell r="A192" t="str">
            <v>1.3.7.5</v>
          </cell>
          <cell r="B192">
            <v>102509</v>
          </cell>
          <cell r="C192" t="str">
            <v>PINTURA DE FAIXA DE PEDESTRE OU ZEBRADA TINTA RETRORREFLETIVA A BASE DE RESINA ACRÍLICA COM MICROESFERAS DE VIDRO, E = 30 CM, APLICAÇÃO MANUAL. AF_05/2021</v>
          </cell>
          <cell r="D192" t="str">
            <v>M2</v>
          </cell>
          <cell r="E192">
            <v>26.4</v>
          </cell>
          <cell r="F192">
            <v>22.91</v>
          </cell>
          <cell r="G192">
            <v>28.31</v>
          </cell>
          <cell r="H192">
            <v>747.38</v>
          </cell>
          <cell r="I192">
            <v>24.15</v>
          </cell>
          <cell r="J192">
            <v>28.39</v>
          </cell>
          <cell r="K192">
            <v>749.5</v>
          </cell>
        </row>
        <row r="193">
          <cell r="A193" t="str">
            <v>1.3.8</v>
          </cell>
          <cell r="C193" t="str">
            <v>ACESSIBILIDADE</v>
          </cell>
          <cell r="H193">
            <v>971.06</v>
          </cell>
          <cell r="K193">
            <v>954.94</v>
          </cell>
        </row>
        <row r="194">
          <cell r="A194" t="str">
            <v>1.3.8.1</v>
          </cell>
          <cell r="B194" t="str">
            <v>CP-S12039-81921471</v>
          </cell>
          <cell r="C194" t="str">
            <v>Piso tátil direcional e/ou alerta, de concreto, na cor natural, p/deficientes visuais, dimensões 40x40cm, aplicado com argamassa industrializada ac-ii, rejuntado, exclusive regularização de base</v>
          </cell>
          <cell r="D194" t="str">
            <v>M2</v>
          </cell>
          <cell r="E194">
            <v>7.23</v>
          </cell>
          <cell r="F194">
            <v>108.67</v>
          </cell>
          <cell r="G194">
            <v>134.31</v>
          </cell>
          <cell r="H194">
            <v>971.06</v>
          </cell>
          <cell r="I194">
            <v>112.34</v>
          </cell>
          <cell r="J194">
            <v>132.08000000000001</v>
          </cell>
          <cell r="K194">
            <v>954.94</v>
          </cell>
        </row>
        <row r="195">
          <cell r="A195" t="str">
            <v>1.3.9</v>
          </cell>
          <cell r="C195" t="str">
            <v>MATERIAIS</v>
          </cell>
          <cell r="H195">
            <v>77398.58</v>
          </cell>
          <cell r="K195">
            <v>73788.11</v>
          </cell>
        </row>
        <row r="196">
          <cell r="A196" t="str">
            <v>1.3.9.1</v>
          </cell>
          <cell r="B196">
            <v>10775</v>
          </cell>
          <cell r="C196" t="str">
            <v xml:space="preserve">LOCACAO DE CONTAINER 2,30 X 6,00 M, ALT. 2,50 M, COM 1 SANITARIO, PARA ESCRITORIO, COMPLETO, SEM DIVISORIAS INTERNAS (NAO INCLUI MOBILIZACAO/DESMOBILIZACAO)                                                                                                                                                                                                                                                                                                                                              </v>
          </cell>
          <cell r="D196" t="str">
            <v xml:space="preserve">MES   </v>
          </cell>
          <cell r="E196">
            <v>1</v>
          </cell>
          <cell r="F196">
            <v>830</v>
          </cell>
          <cell r="G196">
            <v>958.32</v>
          </cell>
          <cell r="H196">
            <v>958.32</v>
          </cell>
          <cell r="I196">
            <v>830</v>
          </cell>
          <cell r="J196">
            <v>913.58</v>
          </cell>
          <cell r="K196">
            <v>913.58</v>
          </cell>
        </row>
        <row r="197">
          <cell r="A197" t="str">
            <v>1.3.9.2</v>
          </cell>
          <cell r="B197">
            <v>10776</v>
          </cell>
          <cell r="C197" t="str">
            <v xml:space="preserve">LOCACAO DE CONTAINER 2,30 X 6,00 M, ALT. 2,50 M, PARA ESCRITORIO, SEM DIVISORIAS INTERNAS E SEM SANITARIO (NAO INCLUI MOBILIZACAO/DESMOBILIZACAO)                                                                                                                                                                                                                                                                                                                                                         </v>
          </cell>
          <cell r="D197" t="str">
            <v xml:space="preserve">MES   </v>
          </cell>
          <cell r="E197">
            <v>1</v>
          </cell>
          <cell r="F197">
            <v>648.42999999999995</v>
          </cell>
          <cell r="G197">
            <v>748.68</v>
          </cell>
          <cell r="H197">
            <v>748.68</v>
          </cell>
          <cell r="I197">
            <v>648.42999999999995</v>
          </cell>
          <cell r="J197">
            <v>713.73</v>
          </cell>
          <cell r="K197">
            <v>713.73</v>
          </cell>
        </row>
        <row r="198">
          <cell r="A198" t="str">
            <v>1.3.9.3</v>
          </cell>
          <cell r="B198">
            <v>1518</v>
          </cell>
          <cell r="C198" t="str">
            <v xml:space="preserve">CONCRETO BETUMINOSO USINADO A QUENTE (CBUQ) PARA PAVIMENTACAO ASFALTICA, PADRAO DNIT, FAIXA C, COM CAP 50/70 - AQUISICAO POSTO USINA                                                                                                                                                                                                                                                                                                                                                                      </v>
          </cell>
          <cell r="D198" t="str">
            <v xml:space="preserve">T     </v>
          </cell>
          <cell r="E198">
            <v>35.770000000000003</v>
          </cell>
          <cell r="F198">
            <v>522.5</v>
          </cell>
          <cell r="G198">
            <v>603.28</v>
          </cell>
          <cell r="H198">
            <v>21579.33</v>
          </cell>
          <cell r="I198">
            <v>522.5</v>
          </cell>
          <cell r="J198">
            <v>575.12</v>
          </cell>
          <cell r="K198">
            <v>20572.04</v>
          </cell>
        </row>
        <row r="199">
          <cell r="A199" t="str">
            <v>1.3.9.4</v>
          </cell>
          <cell r="B199" t="str">
            <v>M0132</v>
          </cell>
          <cell r="C199" t="str">
            <v xml:space="preserve">	Tubo PEAD corrugado com paredes estruturadas para drenagem - D = 450 mm</v>
          </cell>
          <cell r="D199" t="str">
            <v>M</v>
          </cell>
          <cell r="E199">
            <v>14.67</v>
          </cell>
          <cell r="F199">
            <v>227.86</v>
          </cell>
          <cell r="G199">
            <v>263.08999999999997</v>
          </cell>
          <cell r="H199">
            <v>3859.53</v>
          </cell>
          <cell r="I199">
            <v>227.86</v>
          </cell>
          <cell r="J199">
            <v>250.81</v>
          </cell>
          <cell r="K199">
            <v>3679.38</v>
          </cell>
        </row>
        <row r="200">
          <cell r="A200" t="str">
            <v>1.3.9.5</v>
          </cell>
          <cell r="B200" t="str">
            <v>M0134</v>
          </cell>
          <cell r="C200" t="str">
            <v>Tubo PEAD corrugado com paredes estruturadas para drenagem - D = 600 mm</v>
          </cell>
          <cell r="D200" t="str">
            <v>M</v>
          </cell>
          <cell r="E200">
            <v>48.36</v>
          </cell>
          <cell r="F200">
            <v>501.47</v>
          </cell>
          <cell r="G200">
            <v>579</v>
          </cell>
          <cell r="H200">
            <v>28000.44</v>
          </cell>
          <cell r="I200">
            <v>501.47</v>
          </cell>
          <cell r="J200">
            <v>551.97</v>
          </cell>
          <cell r="K200">
            <v>26693.27</v>
          </cell>
        </row>
        <row r="201">
          <cell r="A201" t="str">
            <v>1.3.9.6</v>
          </cell>
          <cell r="B201" t="str">
            <v>INS-185032</v>
          </cell>
          <cell r="C201" t="str">
            <v>BRITA GRADUADA SIMPLES (BGS)</v>
          </cell>
          <cell r="D201" t="str">
            <v>M3</v>
          </cell>
          <cell r="E201">
            <v>60.53</v>
          </cell>
          <cell r="F201">
            <v>56.099999999999994</v>
          </cell>
          <cell r="G201">
            <v>64.77</v>
          </cell>
          <cell r="H201">
            <v>3920.53</v>
          </cell>
          <cell r="I201">
            <v>56.099999999999994</v>
          </cell>
          <cell r="J201">
            <v>61.75</v>
          </cell>
          <cell r="K201">
            <v>3737.73</v>
          </cell>
        </row>
        <row r="202">
          <cell r="A202" t="str">
            <v>1.3.9.7</v>
          </cell>
          <cell r="B202" t="str">
            <v>M0808</v>
          </cell>
          <cell r="C202" t="str">
            <v>Brita 4</v>
          </cell>
          <cell r="D202" t="str">
            <v>M3</v>
          </cell>
          <cell r="E202">
            <v>66.73</v>
          </cell>
          <cell r="F202">
            <v>90.74</v>
          </cell>
          <cell r="G202">
            <v>104.77</v>
          </cell>
          <cell r="H202">
            <v>6991.3</v>
          </cell>
          <cell r="I202">
            <v>90.74</v>
          </cell>
          <cell r="J202">
            <v>99.88</v>
          </cell>
          <cell r="K202">
            <v>6664.99</v>
          </cell>
        </row>
        <row r="203">
          <cell r="A203" t="str">
            <v>1.3.9.8</v>
          </cell>
          <cell r="B203" t="str">
            <v>M1135</v>
          </cell>
          <cell r="C203" t="str">
            <v>Pó de pedra</v>
          </cell>
          <cell r="D203" t="str">
            <v>M3</v>
          </cell>
          <cell r="E203">
            <v>7.41</v>
          </cell>
          <cell r="F203">
            <v>74.53</v>
          </cell>
          <cell r="G203">
            <v>86.05</v>
          </cell>
          <cell r="H203">
            <v>637.63</v>
          </cell>
          <cell r="I203">
            <v>74.53</v>
          </cell>
          <cell r="J203">
            <v>82.04</v>
          </cell>
          <cell r="K203">
            <v>607.91999999999996</v>
          </cell>
        </row>
        <row r="204">
          <cell r="A204" t="str">
            <v>1.3.9.9</v>
          </cell>
          <cell r="B204" t="str">
            <v>INS-711371</v>
          </cell>
          <cell r="C204" t="str">
            <v>ASFALTO DILUÍDO CM - 30</v>
          </cell>
          <cell r="D204" t="str">
            <v>KG</v>
          </cell>
          <cell r="E204">
            <v>336.08</v>
          </cell>
          <cell r="F204">
            <v>5.32</v>
          </cell>
          <cell r="G204">
            <v>6.14</v>
          </cell>
          <cell r="H204">
            <v>2063.5300000000002</v>
          </cell>
          <cell r="I204">
            <v>5.32</v>
          </cell>
          <cell r="J204">
            <v>5.86</v>
          </cell>
          <cell r="K204">
            <v>1969.43</v>
          </cell>
        </row>
        <row r="205">
          <cell r="A205" t="str">
            <v>1.3.9.10</v>
          </cell>
          <cell r="B205">
            <v>34492</v>
          </cell>
          <cell r="C205" t="str">
            <v xml:space="preserve">CONCRETO USINADO BOMBEAVEL, CLASSE DE RESISTENCIA C20, COM BRITA 0 E 1, SLUMP = 100 +/- 20 MM, EXCLUI SERVICO DE BOMBEAMENTO (NBR 8953)                                                                                                                                                                                                                                                                                                                                                                   </v>
          </cell>
          <cell r="D205" t="str">
            <v xml:space="preserve">M3    </v>
          </cell>
          <cell r="E205">
            <v>17.71</v>
          </cell>
          <cell r="F205">
            <v>422.5</v>
          </cell>
          <cell r="G205">
            <v>487.82</v>
          </cell>
          <cell r="H205">
            <v>8639.2900000000009</v>
          </cell>
          <cell r="I205">
            <v>422.5</v>
          </cell>
          <cell r="J205">
            <v>465.05</v>
          </cell>
          <cell r="K205">
            <v>8236.0400000000009</v>
          </cell>
        </row>
        <row r="206">
          <cell r="A206" t="str">
            <v>1.4</v>
          </cell>
          <cell r="C206" t="str">
            <v>RUA LUÍS GONZAGA - BARRA DE JANGADA</v>
          </cell>
          <cell r="H206">
            <v>111394.67</v>
          </cell>
          <cell r="K206">
            <v>108474.03</v>
          </cell>
        </row>
        <row r="207">
          <cell r="A207" t="str">
            <v>1.4.1</v>
          </cell>
          <cell r="C207" t="str">
            <v>INSTALAÇÕES PROVISÓRIAS</v>
          </cell>
          <cell r="H207">
            <v>6385.61</v>
          </cell>
          <cell r="K207">
            <v>6137.07</v>
          </cell>
        </row>
        <row r="208">
          <cell r="A208" t="str">
            <v>1.4.1.1</v>
          </cell>
          <cell r="B208" t="str">
            <v>CP-74209/001-15055090</v>
          </cell>
          <cell r="C208" t="str">
            <v>PLACA DE OBRA EM CHAPA DE ACO GALVANIZADO</v>
          </cell>
          <cell r="D208" t="str">
            <v xml:space="preserve">M2    </v>
          </cell>
          <cell r="E208">
            <v>8</v>
          </cell>
          <cell r="F208">
            <v>558.35</v>
          </cell>
          <cell r="G208">
            <v>690.06</v>
          </cell>
          <cell r="H208">
            <v>5520.48</v>
          </cell>
          <cell r="I208">
            <v>564.99</v>
          </cell>
          <cell r="J208">
            <v>664.26</v>
          </cell>
          <cell r="K208">
            <v>5314.08</v>
          </cell>
        </row>
        <row r="209">
          <cell r="A209" t="str">
            <v>1.4.1.2</v>
          </cell>
          <cell r="B209" t="str">
            <v>COMP-07440249</v>
          </cell>
          <cell r="C209" t="str">
            <v>BANHEIRO QUÍMICO, COM LOCAÇÃO, TRANSPORTE E LIMPEZA</v>
          </cell>
          <cell r="D209" t="str">
            <v>MÊS</v>
          </cell>
          <cell r="E209">
            <v>1</v>
          </cell>
          <cell r="F209">
            <v>700</v>
          </cell>
          <cell r="G209">
            <v>865.13</v>
          </cell>
          <cell r="H209">
            <v>865.13</v>
          </cell>
          <cell r="I209">
            <v>700</v>
          </cell>
          <cell r="J209">
            <v>822.99</v>
          </cell>
          <cell r="K209">
            <v>822.99</v>
          </cell>
        </row>
        <row r="210">
          <cell r="A210" t="str">
            <v>1.4.2</v>
          </cell>
          <cell r="C210" t="str">
            <v>ADMINISTRAÇÃO LOCAL</v>
          </cell>
          <cell r="H210">
            <v>4132.2299999999996</v>
          </cell>
          <cell r="K210">
            <v>4531.72</v>
          </cell>
        </row>
        <row r="211">
          <cell r="A211" t="str">
            <v>1.4.2.1</v>
          </cell>
          <cell r="B211">
            <v>93565</v>
          </cell>
          <cell r="C211" t="str">
            <v>ENGENHEIRO CIVIL DE OBRA JUNIOR COM ENCARGOS COMPLEMENTARES</v>
          </cell>
          <cell r="D211" t="str">
            <v>MES</v>
          </cell>
          <cell r="E211">
            <v>0.13</v>
          </cell>
          <cell r="F211">
            <v>14549.96</v>
          </cell>
          <cell r="G211">
            <v>17982.3</v>
          </cell>
          <cell r="H211">
            <v>2337.6999999999998</v>
          </cell>
          <cell r="I211">
            <v>16819.14</v>
          </cell>
          <cell r="J211">
            <v>19774.259999999998</v>
          </cell>
          <cell r="K211">
            <v>2570.65</v>
          </cell>
        </row>
        <row r="212">
          <cell r="A212" t="str">
            <v>1.4.2.2</v>
          </cell>
          <cell r="B212">
            <v>93572</v>
          </cell>
          <cell r="C212" t="str">
            <v>ENCARREGADO GERAL DE OBRAS COM ENCARGOS COMPLEMENTARES</v>
          </cell>
          <cell r="D212" t="str">
            <v>MES</v>
          </cell>
          <cell r="E212">
            <v>0.25</v>
          </cell>
          <cell r="F212">
            <v>5808.01</v>
          </cell>
          <cell r="G212">
            <v>7178.12</v>
          </cell>
          <cell r="H212">
            <v>1794.53</v>
          </cell>
          <cell r="I212">
            <v>6672</v>
          </cell>
          <cell r="J212">
            <v>7844.27</v>
          </cell>
          <cell r="K212">
            <v>1961.07</v>
          </cell>
        </row>
        <row r="213">
          <cell r="A213" t="str">
            <v>1.4.3</v>
          </cell>
          <cell r="C213" t="str">
            <v>SERVIÇOS PRELIMINARES</v>
          </cell>
          <cell r="H213">
            <v>669.94</v>
          </cell>
          <cell r="K213">
            <v>701.87</v>
          </cell>
        </row>
        <row r="214">
          <cell r="A214" t="str">
            <v>1.4.3.1</v>
          </cell>
          <cell r="B214">
            <v>99064</v>
          </cell>
          <cell r="C214" t="str">
            <v>LOCAÇÃO DE PAVIMENTAÇÃO. AF_10/2018</v>
          </cell>
          <cell r="D214" t="str">
            <v>M</v>
          </cell>
          <cell r="E214">
            <v>53.88</v>
          </cell>
          <cell r="F214">
            <v>0.43</v>
          </cell>
          <cell r="G214">
            <v>0.53</v>
          </cell>
          <cell r="H214">
            <v>28.56</v>
          </cell>
          <cell r="I214">
            <v>0.49</v>
          </cell>
          <cell r="J214">
            <v>0.57999999999999996</v>
          </cell>
          <cell r="K214">
            <v>31.25</v>
          </cell>
        </row>
        <row r="215">
          <cell r="A215" t="str">
            <v>1.4.3.2</v>
          </cell>
          <cell r="B215" t="str">
            <v>COMP-01471766</v>
          </cell>
          <cell r="C215" t="str">
            <v>DEMOLIÇÃO DE MEIO-FIO</v>
          </cell>
          <cell r="D215" t="str">
            <v>M</v>
          </cell>
          <cell r="E215">
            <v>4.66</v>
          </cell>
          <cell r="F215">
            <v>10.02</v>
          </cell>
          <cell r="G215">
            <v>12.38</v>
          </cell>
          <cell r="H215">
            <v>57.69</v>
          </cell>
          <cell r="I215">
            <v>11.13</v>
          </cell>
          <cell r="J215">
            <v>13.09</v>
          </cell>
          <cell r="K215">
            <v>61</v>
          </cell>
        </row>
        <row r="216">
          <cell r="A216" t="str">
            <v>1.4.3.3</v>
          </cell>
          <cell r="B216" t="str">
            <v>COMP-17562084</v>
          </cell>
          <cell r="C216" t="str">
            <v>DEMOLIÇÃO MANUAL DE CONCRETO SIMPLES</v>
          </cell>
          <cell r="D216" t="str">
            <v>M3</v>
          </cell>
          <cell r="E216">
            <v>2.12</v>
          </cell>
          <cell r="F216">
            <v>190.89</v>
          </cell>
          <cell r="G216">
            <v>235.92</v>
          </cell>
          <cell r="H216">
            <v>500.15</v>
          </cell>
          <cell r="I216">
            <v>212.24</v>
          </cell>
          <cell r="J216">
            <v>249.53</v>
          </cell>
          <cell r="K216">
            <v>529</v>
          </cell>
        </row>
        <row r="217">
          <cell r="A217" t="str">
            <v>1.4.3.4</v>
          </cell>
          <cell r="B217" t="str">
            <v>COMP-35145154</v>
          </cell>
          <cell r="C217" t="str">
            <v>CARGA E DESCARGA MECANICA DE SOLO UTILIZANDO CAMINHAO BASCULANTE 14,0M3/36T E PA CARREGADEIRA SOBRE PNEUS 128 HP, CAPACIDADE DA CAÇAMBA 1,7 A 2,8 M3, PESO OPERACIONAL 11632 KH</v>
          </cell>
          <cell r="D217" t="str">
            <v>M3</v>
          </cell>
          <cell r="E217">
            <v>2.91</v>
          </cell>
          <cell r="F217">
            <v>2.83</v>
          </cell>
          <cell r="G217">
            <v>3.5</v>
          </cell>
          <cell r="H217">
            <v>10.19</v>
          </cell>
          <cell r="I217">
            <v>2.9</v>
          </cell>
          <cell r="J217">
            <v>3.41</v>
          </cell>
          <cell r="K217">
            <v>9.92</v>
          </cell>
        </row>
        <row r="218">
          <cell r="A218" t="str">
            <v>1.4.3.5</v>
          </cell>
          <cell r="B218">
            <v>95876</v>
          </cell>
          <cell r="C218" t="str">
            <v>TRANSPORTE COM CAMINHÃO BASCULANTE DE 14 M³, EM VIA URBANA PAVIMENTADA, DMT ATÉ 30 KM (UNIDADE: M3XKM). AF_07/2020</v>
          </cell>
          <cell r="D218" t="str">
            <v>M3XKM</v>
          </cell>
          <cell r="E218">
            <v>26.48</v>
          </cell>
          <cell r="F218">
            <v>2.2400000000000002</v>
          </cell>
          <cell r="G218">
            <v>2.77</v>
          </cell>
          <cell r="H218">
            <v>73.349999999999994</v>
          </cell>
          <cell r="I218">
            <v>2.27</v>
          </cell>
          <cell r="J218">
            <v>2.67</v>
          </cell>
          <cell r="K218">
            <v>70.7</v>
          </cell>
        </row>
        <row r="219">
          <cell r="A219" t="str">
            <v>1.4.4</v>
          </cell>
          <cell r="C219" t="str">
            <v>TERRAPLANAGEM</v>
          </cell>
          <cell r="H219">
            <v>5349.05</v>
          </cell>
          <cell r="K219">
            <v>5165.37</v>
          </cell>
        </row>
        <row r="220">
          <cell r="A220" t="str">
            <v>1.4.4.1</v>
          </cell>
          <cell r="B220" t="str">
            <v>CP-74205/001-17324935</v>
          </cell>
          <cell r="C220" t="str">
            <v>ESCAVAÇÃO MECÂNICA DE MATERIAL 1A. CATEGORIA, PROVENIENTE DE CORTE DE SUBLEITO (C/TRATOR ESTEIRAS  160HP)</v>
          </cell>
          <cell r="D220" t="str">
            <v>M3</v>
          </cell>
          <cell r="E220">
            <v>137.07</v>
          </cell>
          <cell r="F220">
            <v>2.54</v>
          </cell>
          <cell r="G220">
            <v>3.14</v>
          </cell>
          <cell r="H220">
            <v>430.4</v>
          </cell>
          <cell r="I220">
            <v>2.59</v>
          </cell>
          <cell r="J220">
            <v>3.05</v>
          </cell>
          <cell r="K220">
            <v>418.06</v>
          </cell>
        </row>
        <row r="221">
          <cell r="A221" t="str">
            <v>1.4.4.2</v>
          </cell>
          <cell r="B221" t="str">
            <v>COMP-35145154</v>
          </cell>
          <cell r="C221" t="str">
            <v>CARGA E DESCARGA MECANICA DE SOLO UTILIZANDO CAMINHAO BASCULANTE 14,0M3/36T E PA CARREGADEIRA SOBRE PNEUS 128 HP, CAPACIDADE DA CAÇAMBA 1,7 A 2,8 M3, PESO OPERACIONAL 11632 KH</v>
          </cell>
          <cell r="D221" t="str">
            <v>M3</v>
          </cell>
          <cell r="E221">
            <v>171.34</v>
          </cell>
          <cell r="F221">
            <v>2.83</v>
          </cell>
          <cell r="G221">
            <v>3.5</v>
          </cell>
          <cell r="H221">
            <v>599.69000000000005</v>
          </cell>
          <cell r="I221">
            <v>2.9</v>
          </cell>
          <cell r="J221">
            <v>3.41</v>
          </cell>
          <cell r="K221">
            <v>584.27</v>
          </cell>
        </row>
        <row r="222">
          <cell r="A222" t="str">
            <v>1.4.4.3</v>
          </cell>
          <cell r="B222">
            <v>95876</v>
          </cell>
          <cell r="C222" t="str">
            <v>TRANSPORTE COM CAMINHÃO BASCULANTE DE 14 M³, EM VIA URBANA PAVIMENTADA, DMT ATÉ 30 KM (UNIDADE: M3XKM). AF_07/2020</v>
          </cell>
          <cell r="D222" t="str">
            <v>M3XKM</v>
          </cell>
          <cell r="E222">
            <v>1559.19</v>
          </cell>
          <cell r="F222">
            <v>2.2400000000000002</v>
          </cell>
          <cell r="G222">
            <v>2.77</v>
          </cell>
          <cell r="H222">
            <v>4318.96</v>
          </cell>
          <cell r="I222">
            <v>2.27</v>
          </cell>
          <cell r="J222">
            <v>2.67</v>
          </cell>
          <cell r="K222">
            <v>4163.04</v>
          </cell>
        </row>
        <row r="223">
          <cell r="A223" t="str">
            <v>1.4.5</v>
          </cell>
          <cell r="C223" t="str">
            <v>PAVIMENTAÇÃO</v>
          </cell>
          <cell r="H223">
            <v>22913.040000000001</v>
          </cell>
          <cell r="K223">
            <v>22458.51</v>
          </cell>
        </row>
        <row r="224">
          <cell r="A224" t="str">
            <v>1.4.5.1</v>
          </cell>
          <cell r="B224">
            <v>100576</v>
          </cell>
          <cell r="C224" t="str">
            <v>REGULARIZAÇÃO E COMPACTAÇÃO DE SUBLEITO DE SOLO  PREDOMINANTEMENTE ARGILOSO. AF_11/2019</v>
          </cell>
          <cell r="D224" t="str">
            <v>M2</v>
          </cell>
          <cell r="E224">
            <v>323.27999999999997</v>
          </cell>
          <cell r="F224">
            <v>2.64</v>
          </cell>
          <cell r="G224">
            <v>3.26</v>
          </cell>
          <cell r="H224">
            <v>1053.8900000000001</v>
          </cell>
          <cell r="I224">
            <v>2.79</v>
          </cell>
          <cell r="J224">
            <v>3.28</v>
          </cell>
          <cell r="K224">
            <v>1060.3599999999999</v>
          </cell>
        </row>
        <row r="225">
          <cell r="A225" t="str">
            <v>1.4.5.2</v>
          </cell>
          <cell r="B225" t="str">
            <v>COMP-47176600</v>
          </cell>
          <cell r="C225" t="str">
            <v xml:space="preserve">EXEC. DE ATERRO COM AREIA COM ADENSAMENTO HIDRAULICO </v>
          </cell>
          <cell r="D225" t="str">
            <v xml:space="preserve">M3    </v>
          </cell>
          <cell r="E225">
            <v>40.409999999999997</v>
          </cell>
          <cell r="F225">
            <v>103.23</v>
          </cell>
          <cell r="G225">
            <v>127.58</v>
          </cell>
          <cell r="H225">
            <v>5155.51</v>
          </cell>
          <cell r="I225">
            <v>104.33</v>
          </cell>
          <cell r="J225">
            <v>122.66</v>
          </cell>
          <cell r="K225">
            <v>4956.6899999999996</v>
          </cell>
        </row>
        <row r="226">
          <cell r="A226" t="str">
            <v>1.4.5.3</v>
          </cell>
          <cell r="B226" t="str">
            <v>COMP-28881239</v>
          </cell>
          <cell r="C226" t="str">
            <v>Base ou sub-base de macadame hidráulico com brita comercial - EXCLUSIVE MATERIAL, CARGA E TRANSPORTE - NÃO DESONERADO</v>
          </cell>
          <cell r="D226" t="str">
            <v>M3</v>
          </cell>
          <cell r="E226">
            <v>40.409999999999997</v>
          </cell>
          <cell r="F226">
            <v>11.24</v>
          </cell>
          <cell r="G226">
            <v>13.89</v>
          </cell>
          <cell r="H226">
            <v>561.29</v>
          </cell>
          <cell r="I226">
            <v>11.4</v>
          </cell>
          <cell r="J226">
            <v>13.4</v>
          </cell>
          <cell r="K226">
            <v>541.49</v>
          </cell>
        </row>
        <row r="227">
          <cell r="A227" t="str">
            <v>1.4.5.4</v>
          </cell>
          <cell r="B227" t="str">
            <v>CP-96396-26507981</v>
          </cell>
          <cell r="C227" t="str">
            <v>EXECUÇÃO E COMPACTAÇÃO DE BASE E OU SUB BASE PARA PAVIMENTAÇÃO DE BRITA GRADUADA SIMPLES - EXCLUSIVE MATERIAL, CARGA E TRANSPORTE</v>
          </cell>
          <cell r="D227" t="str">
            <v>M3</v>
          </cell>
          <cell r="E227">
            <v>43.1</v>
          </cell>
          <cell r="F227">
            <v>13.86</v>
          </cell>
          <cell r="G227">
            <v>17.13</v>
          </cell>
          <cell r="H227">
            <v>738.3</v>
          </cell>
          <cell r="I227">
            <v>14.44</v>
          </cell>
          <cell r="J227">
            <v>16.98</v>
          </cell>
          <cell r="K227">
            <v>731.84</v>
          </cell>
        </row>
        <row r="228">
          <cell r="A228" t="str">
            <v>1.4.5.5</v>
          </cell>
          <cell r="B228" t="str">
            <v>COMP-35145154</v>
          </cell>
          <cell r="C228" t="str">
            <v>CARGA E DESCARGA MECANICA DE SOLO UTILIZANDO CAMINHAO BASCULANTE 14,0M3/36T E PA CARREGADEIRA SOBRE PNEUS 128 HP, CAPACIDADE DA CAÇAMBA 1,7 A 2,8 M3, PESO OPERACIONAL 11632 KH</v>
          </cell>
          <cell r="D228" t="str">
            <v>M3</v>
          </cell>
          <cell r="E228">
            <v>104.39</v>
          </cell>
          <cell r="F228">
            <v>2.83</v>
          </cell>
          <cell r="G228">
            <v>3.5</v>
          </cell>
          <cell r="H228">
            <v>365.37</v>
          </cell>
          <cell r="I228">
            <v>2.9</v>
          </cell>
          <cell r="J228">
            <v>3.41</v>
          </cell>
          <cell r="K228">
            <v>355.97</v>
          </cell>
        </row>
        <row r="229">
          <cell r="A229" t="str">
            <v>1.4.5.6</v>
          </cell>
          <cell r="B229" t="str">
            <v>COMP-83526730</v>
          </cell>
          <cell r="C229" t="str">
            <v>TRANSPORTE COMERCIAL DE BRITA</v>
          </cell>
          <cell r="D229" t="str">
            <v>M3XKM</v>
          </cell>
          <cell r="E229">
            <v>1503.22</v>
          </cell>
          <cell r="F229">
            <v>1.36</v>
          </cell>
          <cell r="G229">
            <v>1.68</v>
          </cell>
          <cell r="H229">
            <v>2525.41</v>
          </cell>
          <cell r="I229">
            <v>1.37</v>
          </cell>
          <cell r="J229">
            <v>1.61</v>
          </cell>
          <cell r="K229">
            <v>2420.1799999999998</v>
          </cell>
        </row>
        <row r="230">
          <cell r="A230" t="str">
            <v>1.4.5.7</v>
          </cell>
          <cell r="B230" t="str">
            <v>CP-96401-52745838</v>
          </cell>
          <cell r="C230" t="str">
            <v>EXECUÇÃO DE IMPRIMAÇÃO COM ASFALTO DILUÍDO CM-30, EXCLUSIVE MATERIAL.</v>
          </cell>
          <cell r="D230" t="str">
            <v>M2</v>
          </cell>
          <cell r="E230">
            <v>184.36</v>
          </cell>
          <cell r="F230">
            <v>1.18</v>
          </cell>
          <cell r="G230">
            <v>1.46</v>
          </cell>
          <cell r="H230">
            <v>269.17</v>
          </cell>
          <cell r="I230">
            <v>1.24</v>
          </cell>
          <cell r="J230">
            <v>1.46</v>
          </cell>
          <cell r="K230">
            <v>269.17</v>
          </cell>
        </row>
        <row r="231">
          <cell r="A231" t="str">
            <v>1.4.5.8</v>
          </cell>
          <cell r="B231" t="str">
            <v>CP-95995-51339760</v>
          </cell>
          <cell r="C231" t="str">
            <v>EXECUÇÃO DE PAVIMENTO COM APLICAÇÃO DE CONCRETO ASFÁLTICO, CAMADA DE ROLAMENTO - EXCLUSIVE CARGA E TRANSPORTE E CONCRETO BETUMINOSO</v>
          </cell>
          <cell r="D231" t="str">
            <v>M3</v>
          </cell>
          <cell r="E231">
            <v>9.2200000000000006</v>
          </cell>
          <cell r="F231">
            <v>127.58</v>
          </cell>
          <cell r="G231">
            <v>157.68</v>
          </cell>
          <cell r="H231">
            <v>1453.81</v>
          </cell>
          <cell r="I231">
            <v>133.37</v>
          </cell>
          <cell r="J231">
            <v>156.80000000000001</v>
          </cell>
          <cell r="K231">
            <v>1445.7</v>
          </cell>
        </row>
        <row r="232">
          <cell r="A232" t="str">
            <v>1.4.5.9</v>
          </cell>
          <cell r="B232" t="str">
            <v>COMP-10034101</v>
          </cell>
          <cell r="C232" t="str">
            <v>CARGA, MANOBRAS E DESCARGA DE MISTURA BETUMINOSA A QUENTE, COM CAMINHAO BASCULANTE 6 M3, DESCARGA EM VIBRO-ACABADORA</v>
          </cell>
          <cell r="D232" t="str">
            <v>M3</v>
          </cell>
          <cell r="E232">
            <v>9.2200000000000006</v>
          </cell>
          <cell r="F232">
            <v>7.74</v>
          </cell>
          <cell r="G232">
            <v>9.57</v>
          </cell>
          <cell r="H232">
            <v>88.24</v>
          </cell>
          <cell r="I232">
            <v>7.86</v>
          </cell>
          <cell r="J232">
            <v>9.24</v>
          </cell>
          <cell r="K232">
            <v>85.19</v>
          </cell>
        </row>
        <row r="233">
          <cell r="A233" t="str">
            <v>1.4.5.10</v>
          </cell>
          <cell r="B233" t="str">
            <v>CP-95303-56931542</v>
          </cell>
          <cell r="C233" t="str">
            <v>TRANSPORTE COM CAMINHÃO BASCULANTE 10 M3 DE MASSA ASFALTICA PARA PAVIMENTAÇÃO URBANA</v>
          </cell>
          <cell r="D233" t="str">
            <v>M3XKM</v>
          </cell>
          <cell r="E233">
            <v>203.76</v>
          </cell>
          <cell r="F233">
            <v>1.75</v>
          </cell>
          <cell r="G233">
            <v>2.16</v>
          </cell>
          <cell r="H233">
            <v>440.12</v>
          </cell>
          <cell r="I233">
            <v>1.77</v>
          </cell>
          <cell r="J233">
            <v>2.08</v>
          </cell>
          <cell r="K233">
            <v>423.82</v>
          </cell>
        </row>
        <row r="234">
          <cell r="A234" t="str">
            <v>1.4.5.11</v>
          </cell>
          <cell r="B234" t="str">
            <v>CP-97084-89637704</v>
          </cell>
          <cell r="C234" t="str">
            <v>REGULARIZACAO E COMPACTAÇÃO MANUAL DE TERRENO COM PLACA VIBRATÓRIA</v>
          </cell>
          <cell r="D234" t="str">
            <v>M2</v>
          </cell>
          <cell r="E234">
            <v>179.25</v>
          </cell>
          <cell r="F234">
            <v>0.59</v>
          </cell>
          <cell r="G234">
            <v>0.73</v>
          </cell>
          <cell r="H234">
            <v>130.85</v>
          </cell>
          <cell r="I234">
            <v>0.65</v>
          </cell>
          <cell r="J234">
            <v>0.76</v>
          </cell>
          <cell r="K234">
            <v>136.22999999999999</v>
          </cell>
        </row>
        <row r="235">
          <cell r="A235" t="str">
            <v>1.4.5.12</v>
          </cell>
          <cell r="B235" t="str">
            <v>CP-94991-12549457</v>
          </cell>
          <cell r="C235" t="str">
            <v>EXECUÇÃO DE PASSEIO (CALÇADA) OU PISO DE CONCRETO COM CONCRETO MOLDADO IN LOCO, USINADO, ACABAMENTO CONVENCIONAL, NÃO ARMADO - EXCLUINDO O CONCRETO USINADO 20MPA</v>
          </cell>
          <cell r="D235" t="str">
            <v>M3</v>
          </cell>
          <cell r="E235">
            <v>11.9</v>
          </cell>
          <cell r="F235">
            <v>104.6</v>
          </cell>
          <cell r="G235">
            <v>129.28</v>
          </cell>
          <cell r="H235">
            <v>1538.43</v>
          </cell>
          <cell r="I235">
            <v>112.75</v>
          </cell>
          <cell r="J235">
            <v>132.56</v>
          </cell>
          <cell r="K235">
            <v>1577.46</v>
          </cell>
        </row>
        <row r="236">
          <cell r="A236" t="str">
            <v>1.4.5.13</v>
          </cell>
          <cell r="B236">
            <v>94273</v>
          </cell>
          <cell r="C236" t="str">
            <v>ASSENTAMENTO DE GUIA (MEIO-FIO) EM TRECHO RETO, CONFECCIONADA EM CONCRETO PRÉ-FABRICADO, DIMENSÕES 100X15X13X30 CM (COMPRIMENTO X BASE INFERIOR X BASE SUPERIOR X ALTURA), PARA VIAS URBANAS (USO VIÁRIO). AF_06/2016</v>
          </cell>
          <cell r="D236" t="str">
            <v>M</v>
          </cell>
          <cell r="E236">
            <v>121.48</v>
          </cell>
          <cell r="F236">
            <v>54.61</v>
          </cell>
          <cell r="G236">
            <v>67.489999999999995</v>
          </cell>
          <cell r="H236">
            <v>8198.69</v>
          </cell>
          <cell r="I236">
            <v>56.47</v>
          </cell>
          <cell r="J236">
            <v>66.39</v>
          </cell>
          <cell r="K236">
            <v>8065.06</v>
          </cell>
        </row>
        <row r="237">
          <cell r="A237" t="str">
            <v>1.4.5.14</v>
          </cell>
          <cell r="B237">
            <v>94274</v>
          </cell>
          <cell r="C237" t="str">
            <v>ASSENTAMENTO DE GUIA (MEIO-FIO) EM TRECHO CURVO, CONFECCIONADA EM CONCRETO PRÉ-FABRICADO, DIMENSÕES 100X15X13X30 CM (COMPRIMENTO X BASE INFERIOR X BASE SUPERIOR X ALTURA), PARA VIAS URBANAS (USO VIÁRIO). AF_06/2016</v>
          </cell>
          <cell r="D237" t="str">
            <v>M</v>
          </cell>
          <cell r="E237">
            <v>5.48</v>
          </cell>
          <cell r="F237">
            <v>58.17</v>
          </cell>
          <cell r="G237">
            <v>71.89</v>
          </cell>
          <cell r="H237">
            <v>393.96</v>
          </cell>
          <cell r="I237">
            <v>60.43</v>
          </cell>
          <cell r="J237">
            <v>71.05</v>
          </cell>
          <cell r="K237">
            <v>389.35</v>
          </cell>
        </row>
        <row r="238">
          <cell r="A238" t="str">
            <v>1.4.6</v>
          </cell>
          <cell r="C238" t="str">
            <v>DRENAGEM</v>
          </cell>
          <cell r="H238">
            <v>30896.26</v>
          </cell>
          <cell r="K238">
            <v>30220.080000000002</v>
          </cell>
        </row>
        <row r="239">
          <cell r="A239" t="str">
            <v>1.4.6.1</v>
          </cell>
          <cell r="B239">
            <v>94971</v>
          </cell>
          <cell r="C239" t="str">
            <v>CONCRETO FCK = 25MPA, TRAÇO 1:2,3:2,7 (EM MASSA SECA DE CIMENTO/ AREIA MÉDIA/ BRITA 1) - PREPARO MECÂNICO COM BETONEIRA 600 L. AF_05/2021</v>
          </cell>
          <cell r="D239" t="str">
            <v>M3</v>
          </cell>
          <cell r="E239">
            <v>6.86</v>
          </cell>
          <cell r="F239">
            <v>464.88</v>
          </cell>
          <cell r="G239">
            <v>574.54999999999995</v>
          </cell>
          <cell r="H239">
            <v>3941.41</v>
          </cell>
          <cell r="I239">
            <v>472.74</v>
          </cell>
          <cell r="J239">
            <v>555.79999999999995</v>
          </cell>
          <cell r="K239">
            <v>3812.79</v>
          </cell>
        </row>
        <row r="240">
          <cell r="A240" t="str">
            <v>1.4.6.2</v>
          </cell>
          <cell r="B240">
            <v>94974</v>
          </cell>
          <cell r="C240" t="str">
            <v>CONCRETO MAGRO PARA LASTRO, TRAÇO 1:4,5:4,5 (EM MASSA SECA DE CIMENTO/ AREIA MÉDIA/ BRITA 1) - PREPARO MANUAL. AF_05/2021</v>
          </cell>
          <cell r="D240" t="str">
            <v>M3</v>
          </cell>
          <cell r="E240">
            <v>5.38</v>
          </cell>
          <cell r="F240">
            <v>423.75</v>
          </cell>
          <cell r="G240">
            <v>523.71</v>
          </cell>
          <cell r="H240">
            <v>2817.56</v>
          </cell>
          <cell r="I240">
            <v>436.13</v>
          </cell>
          <cell r="J240">
            <v>512.76</v>
          </cell>
          <cell r="K240">
            <v>2758.65</v>
          </cell>
        </row>
        <row r="241">
          <cell r="A241" t="str">
            <v>1.4.6.3</v>
          </cell>
          <cell r="B241">
            <v>92771</v>
          </cell>
          <cell r="C241" t="str">
            <v>ARMAÇÃO DE LAJE DE ESTRUTURA CONVENCIONAL DE CONCRETO ARMADO UTILIZANDO AÇO CA-50 DE 10,0 MM - MONTAGEM. AF_06/2022</v>
          </cell>
          <cell r="D241" t="str">
            <v>KG</v>
          </cell>
          <cell r="E241">
            <v>446.08</v>
          </cell>
          <cell r="F241">
            <v>15.04</v>
          </cell>
          <cell r="G241">
            <v>18.59</v>
          </cell>
          <cell r="H241">
            <v>8292.6299999999992</v>
          </cell>
          <cell r="I241">
            <v>15.14</v>
          </cell>
          <cell r="J241">
            <v>17.8</v>
          </cell>
          <cell r="K241">
            <v>7940.22</v>
          </cell>
        </row>
        <row r="242">
          <cell r="A242" t="str">
            <v>1.4.6.4</v>
          </cell>
          <cell r="B242">
            <v>92268</v>
          </cell>
          <cell r="C242" t="str">
            <v>FABRICAÇÃO DE FÔRMA PARA LAJES, EM CHAPA DE MADEIRA COMPENSADA PLASTIFICADA, E = 18 MM. AF_09/2020</v>
          </cell>
          <cell r="D242" t="str">
            <v>M2</v>
          </cell>
          <cell r="E242">
            <v>32.29</v>
          </cell>
          <cell r="F242">
            <v>100.06</v>
          </cell>
          <cell r="G242">
            <v>123.66</v>
          </cell>
          <cell r="H242">
            <v>3992.98</v>
          </cell>
          <cell r="I242">
            <v>100.2</v>
          </cell>
          <cell r="J242">
            <v>117.81</v>
          </cell>
          <cell r="K242">
            <v>3804.08</v>
          </cell>
        </row>
        <row r="243">
          <cell r="A243" t="str">
            <v>1.4.6.5</v>
          </cell>
          <cell r="B243">
            <v>103320</v>
          </cell>
          <cell r="C243" t="str">
            <v>ALVENARIA DE VEDAÇÃO DE BLOCOS VAZADOS DE CONCRETO DE 19X19X39 CM (ESPESSURA 19 CM) E ARGAMASSA DE ASSENTAMENTO COM PREPARO EM BETONEIRA. AF_12/2021</v>
          </cell>
          <cell r="D243" t="str">
            <v>M2</v>
          </cell>
          <cell r="E243">
            <v>43.05</v>
          </cell>
          <cell r="F243">
            <v>101.36</v>
          </cell>
          <cell r="G243">
            <v>125.27</v>
          </cell>
          <cell r="H243">
            <v>5392.87</v>
          </cell>
          <cell r="I243">
            <v>105.62</v>
          </cell>
          <cell r="J243">
            <v>124.18</v>
          </cell>
          <cell r="K243">
            <v>5345.95</v>
          </cell>
        </row>
        <row r="244">
          <cell r="A244" t="str">
            <v>1.4.6.6</v>
          </cell>
          <cell r="B244">
            <v>87879</v>
          </cell>
          <cell r="C244" t="str">
            <v>CHAPISCO APLICADO EM ALVENARIAS E ESTRUTURAS DE CONCRETO INTERNAS, COM COLHER DE PEDREIRO.  ARGAMASSA TRAÇO 1:3 COM PREPARO EM BETONEIRA 400L. AF_06/2014</v>
          </cell>
          <cell r="D244" t="str">
            <v>M2</v>
          </cell>
          <cell r="E244">
            <v>43.05</v>
          </cell>
          <cell r="F244">
            <v>3.85</v>
          </cell>
          <cell r="G244">
            <v>4.76</v>
          </cell>
          <cell r="H244">
            <v>204.92</v>
          </cell>
          <cell r="I244">
            <v>4.0999999999999996</v>
          </cell>
          <cell r="J244">
            <v>4.82</v>
          </cell>
          <cell r="K244">
            <v>207.5</v>
          </cell>
        </row>
        <row r="245">
          <cell r="A245" t="str">
            <v>1.4.6.7</v>
          </cell>
          <cell r="B245">
            <v>87547</v>
          </cell>
          <cell r="C245" t="str">
            <v>MASSA ÚNICA, PARA RECEBIMENTO DE PINTURA, EM ARGAMASSA TRAÇO 1:2:8, PREPARO MECÂNICO COM BETONEIRA 400L, APLICADA MANUALMENTE EM FACES INTERNAS DE PAREDES, ESPESSURA DE 10MM, COM EXECUÇÃO DE TALISCAS. AF_06/2014</v>
          </cell>
          <cell r="D245" t="str">
            <v>M2</v>
          </cell>
          <cell r="E245">
            <v>43.05</v>
          </cell>
          <cell r="F245">
            <v>23.35</v>
          </cell>
          <cell r="G245">
            <v>28.86</v>
          </cell>
          <cell r="H245">
            <v>1242.42</v>
          </cell>
          <cell r="I245">
            <v>24.83</v>
          </cell>
          <cell r="J245">
            <v>29.19</v>
          </cell>
          <cell r="K245">
            <v>1256.6300000000001</v>
          </cell>
        </row>
        <row r="246">
          <cell r="A246" t="str">
            <v>1.4.6.8</v>
          </cell>
          <cell r="B246">
            <v>94975</v>
          </cell>
          <cell r="C246" t="str">
            <v>CONCRETO FCK = 15MPA, TRAÇO 1:3,4:3,5 (EM MASSA SECA DE CIMENTO/ AREIA MÉDIA/ BRITA 1) - PREPARO MANUAL. AF_05/2021</v>
          </cell>
          <cell r="D246" t="str">
            <v>M3</v>
          </cell>
          <cell r="E246">
            <v>4.58</v>
          </cell>
          <cell r="F246">
            <v>457.19</v>
          </cell>
          <cell r="G246">
            <v>565.04</v>
          </cell>
          <cell r="H246">
            <v>2587.88</v>
          </cell>
          <cell r="I246">
            <v>469.42</v>
          </cell>
          <cell r="J246">
            <v>551.9</v>
          </cell>
          <cell r="K246">
            <v>2527.6999999999998</v>
          </cell>
        </row>
        <row r="247">
          <cell r="A247" t="str">
            <v>1.4.6.9</v>
          </cell>
          <cell r="B247" t="str">
            <v>CP-74157/004-48264518</v>
          </cell>
          <cell r="C247" t="str">
            <v>LANCAMENTO/APLICACAO MANUAL DE CONCRETO EM FUNDACOES (concreto magro)</v>
          </cell>
          <cell r="D247" t="str">
            <v>M3</v>
          </cell>
          <cell r="E247">
            <v>16.82</v>
          </cell>
          <cell r="F247">
            <v>116.59</v>
          </cell>
          <cell r="G247">
            <v>144.09</v>
          </cell>
          <cell r="H247">
            <v>2423.59</v>
          </cell>
          <cell r="I247">
            <v>129.79</v>
          </cell>
          <cell r="J247">
            <v>152.59</v>
          </cell>
          <cell r="K247">
            <v>2566.56</v>
          </cell>
        </row>
        <row r="248">
          <cell r="A248" t="str">
            <v>1.4.7</v>
          </cell>
          <cell r="C248" t="str">
            <v>SINALIZAÇÃO</v>
          </cell>
          <cell r="H248">
            <v>3072.7</v>
          </cell>
          <cell r="K248">
            <v>3016.92</v>
          </cell>
        </row>
        <row r="249">
          <cell r="A249" t="str">
            <v>1.4.7.1</v>
          </cell>
          <cell r="B249">
            <v>5213421</v>
          </cell>
          <cell r="C249" t="str">
            <v>Confecção de placa em aço nº 16 galvanizado, com película tipo I + IV</v>
          </cell>
          <cell r="D249" t="str">
            <v xml:space="preserve">M2    </v>
          </cell>
          <cell r="E249">
            <v>1.29</v>
          </cell>
          <cell r="F249">
            <v>343.8</v>
          </cell>
          <cell r="G249">
            <v>424.9</v>
          </cell>
          <cell r="H249">
            <v>548.12</v>
          </cell>
          <cell r="I249">
            <v>347.25</v>
          </cell>
          <cell r="J249">
            <v>408.26</v>
          </cell>
          <cell r="K249">
            <v>526.66</v>
          </cell>
        </row>
        <row r="250">
          <cell r="A250" t="str">
            <v>1.4.7.2</v>
          </cell>
          <cell r="B250">
            <v>5216111</v>
          </cell>
          <cell r="C250" t="str">
            <v>FORNECIMENTO E IMPLANTAÇÃO DE SUPORTE E TRAVESSA PARA PLACA DE SINALIZAÇÃO EM MADEIRA DE LEI TRATADA 8 X 8 CM</v>
          </cell>
          <cell r="D250" t="str">
            <v>UND</v>
          </cell>
          <cell r="E250">
            <v>4</v>
          </cell>
          <cell r="F250">
            <v>119.1379</v>
          </cell>
          <cell r="G250">
            <v>147.24</v>
          </cell>
          <cell r="H250">
            <v>588.96</v>
          </cell>
          <cell r="I250">
            <v>121.48</v>
          </cell>
          <cell r="J250">
            <v>142.82</v>
          </cell>
          <cell r="K250">
            <v>571.28</v>
          </cell>
        </row>
        <row r="251">
          <cell r="A251" t="str">
            <v>1.4.7.3</v>
          </cell>
          <cell r="B251" t="str">
            <v>COMP-58084869</v>
          </cell>
          <cell r="C251" t="str">
            <v>PLACA ESMALTADA PARA IDENTIFICAÇÃO NR DE RUA, DIMENSÕES 45X25CM</v>
          </cell>
          <cell r="D251" t="str">
            <v>UND</v>
          </cell>
          <cell r="E251">
            <v>2</v>
          </cell>
          <cell r="F251">
            <v>155.54</v>
          </cell>
          <cell r="G251">
            <v>192.23</v>
          </cell>
          <cell r="H251">
            <v>384.46</v>
          </cell>
          <cell r="I251">
            <v>156.33000000000001</v>
          </cell>
          <cell r="J251">
            <v>183.8</v>
          </cell>
          <cell r="K251">
            <v>367.6</v>
          </cell>
        </row>
        <row r="252">
          <cell r="A252" t="str">
            <v>1.4.7.4</v>
          </cell>
          <cell r="B252">
            <v>102512</v>
          </cell>
          <cell r="C252" t="str">
            <v>PINTURA DE EIXO VIÁRIO SOBRE ASFALTO COM TINTA RETRORREFLETIVA A BASE DE RESINA ACRÍLICA COM MICROESFERAS DE VIDRO, APLICAÇÃO MECÂNICA COM DEMARCADORA AUTOPROPELIDA. AF_05/2021</v>
          </cell>
          <cell r="D252" t="str">
            <v>M</v>
          </cell>
          <cell r="E252">
            <v>147.44</v>
          </cell>
          <cell r="F252">
            <v>5.22</v>
          </cell>
          <cell r="G252">
            <v>6.45</v>
          </cell>
          <cell r="H252">
            <v>950.99</v>
          </cell>
          <cell r="I252">
            <v>5.48</v>
          </cell>
          <cell r="J252">
            <v>6.44</v>
          </cell>
          <cell r="K252">
            <v>949.51</v>
          </cell>
        </row>
        <row r="253">
          <cell r="A253" t="str">
            <v>1.4.7.5</v>
          </cell>
          <cell r="B253">
            <v>102509</v>
          </cell>
          <cell r="C253" t="str">
            <v>PINTURA DE FAIXA DE PEDESTRE OU ZEBRADA TINTA RETRORREFLETIVA A BASE DE RESINA ACRÍLICA COM MICROESFERAS DE VIDRO, E = 30 CM, APLICAÇÃO MANUAL. AF_05/2021</v>
          </cell>
          <cell r="D253" t="str">
            <v>M2</v>
          </cell>
          <cell r="E253">
            <v>21.2</v>
          </cell>
          <cell r="F253">
            <v>22.91</v>
          </cell>
          <cell r="G253">
            <v>28.31</v>
          </cell>
          <cell r="H253">
            <v>600.16999999999996</v>
          </cell>
          <cell r="I253">
            <v>24.15</v>
          </cell>
          <cell r="J253">
            <v>28.39</v>
          </cell>
          <cell r="K253">
            <v>601.87</v>
          </cell>
        </row>
        <row r="254">
          <cell r="A254" t="str">
            <v>1.4.8</v>
          </cell>
          <cell r="C254" t="str">
            <v>ACESSIBILIDADE</v>
          </cell>
          <cell r="H254">
            <v>1242.3699999999999</v>
          </cell>
          <cell r="K254">
            <v>1221.74</v>
          </cell>
        </row>
        <row r="255">
          <cell r="A255" t="str">
            <v>1.4.8.1</v>
          </cell>
          <cell r="B255" t="str">
            <v>CP-S12039-81921471</v>
          </cell>
          <cell r="C255" t="str">
            <v>Piso tátil direcional e/ou alerta, de concreto, na cor natural, p/deficientes visuais, dimensões 40x40cm, aplicado com argamassa industrializada ac-ii, rejuntado, exclusive regularização de base</v>
          </cell>
          <cell r="D255" t="str">
            <v>M2</v>
          </cell>
          <cell r="E255">
            <v>9.25</v>
          </cell>
          <cell r="F255">
            <v>108.67</v>
          </cell>
          <cell r="G255">
            <v>134.31</v>
          </cell>
          <cell r="H255">
            <v>1242.3699999999999</v>
          </cell>
          <cell r="I255">
            <v>112.34</v>
          </cell>
          <cell r="J255">
            <v>132.08000000000001</v>
          </cell>
          <cell r="K255">
            <v>1221.74</v>
          </cell>
        </row>
        <row r="256">
          <cell r="A256" t="str">
            <v>1.4.9</v>
          </cell>
          <cell r="C256" t="str">
            <v>MATERIAIS</v>
          </cell>
          <cell r="H256">
            <v>36733.47</v>
          </cell>
          <cell r="K256">
            <v>35020.75</v>
          </cell>
        </row>
        <row r="257">
          <cell r="A257" t="str">
            <v>1.4.9.1</v>
          </cell>
          <cell r="B257">
            <v>10775</v>
          </cell>
          <cell r="C257" t="str">
            <v xml:space="preserve">LOCACAO DE CONTAINER 2,30 X 6,00 M, ALT. 2,50 M, COM 1 SANITARIO, PARA ESCRITORIO, COMPLETO, SEM DIVISORIAS INTERNAS (NAO INCLUI MOBILIZACAO/DESMOBILIZACAO)                                                                                                                                                                                                                                                                                                                                              </v>
          </cell>
          <cell r="D257" t="str">
            <v xml:space="preserve">MES   </v>
          </cell>
          <cell r="E257">
            <v>1</v>
          </cell>
          <cell r="F257">
            <v>830</v>
          </cell>
          <cell r="G257">
            <v>958.32</v>
          </cell>
          <cell r="H257">
            <v>958.32</v>
          </cell>
          <cell r="I257">
            <v>830</v>
          </cell>
          <cell r="J257">
            <v>913.58</v>
          </cell>
          <cell r="K257">
            <v>913.58</v>
          </cell>
        </row>
        <row r="258">
          <cell r="A258" t="str">
            <v>1.4.9.2</v>
          </cell>
          <cell r="B258">
            <v>10776</v>
          </cell>
          <cell r="C258" t="str">
            <v xml:space="preserve">LOCACAO DE CONTAINER 2,30 X 6,00 M, ALT. 2,50 M, PARA ESCRITORIO, SEM DIVISORIAS INTERNAS E SEM SANITARIO (NAO INCLUI MOBILIZACAO/DESMOBILIZACAO)                                                                                                                                                                                                                                                                                                                                                         </v>
          </cell>
          <cell r="D258" t="str">
            <v xml:space="preserve">MES   </v>
          </cell>
          <cell r="E258">
            <v>1</v>
          </cell>
          <cell r="F258">
            <v>648.42999999999995</v>
          </cell>
          <cell r="G258">
            <v>748.68</v>
          </cell>
          <cell r="H258">
            <v>748.68</v>
          </cell>
          <cell r="I258">
            <v>648.42999999999995</v>
          </cell>
          <cell r="J258">
            <v>713.73</v>
          </cell>
          <cell r="K258">
            <v>713.73</v>
          </cell>
        </row>
        <row r="259">
          <cell r="A259" t="str">
            <v>1.4.9.3</v>
          </cell>
          <cell r="B259">
            <v>1518</v>
          </cell>
          <cell r="C259" t="str">
            <v xml:space="preserve">CONCRETO BETUMINOSO USINADO A QUENTE (CBUQ) PARA PAVIMENTACAO ASFALTICA, PADRAO DNIT, FAIXA C, COM CAP 50/70 - AQUISICAO POSTO USINA                                                                                                                                                                                                                                                                                                                                                                      </v>
          </cell>
          <cell r="D259" t="str">
            <v xml:space="preserve">T     </v>
          </cell>
          <cell r="E259">
            <v>23.56</v>
          </cell>
          <cell r="F259">
            <v>522.5</v>
          </cell>
          <cell r="G259">
            <v>603.28</v>
          </cell>
          <cell r="H259">
            <v>14213.28</v>
          </cell>
          <cell r="I259">
            <v>522.5</v>
          </cell>
          <cell r="J259">
            <v>575.12</v>
          </cell>
          <cell r="K259">
            <v>13549.83</v>
          </cell>
        </row>
        <row r="260">
          <cell r="A260" t="str">
            <v>1.4.9.4</v>
          </cell>
          <cell r="B260" t="str">
            <v>INS-185032</v>
          </cell>
          <cell r="C260" t="str">
            <v>BRITA GRADUADA SIMPLES (BGS)</v>
          </cell>
          <cell r="D260" t="str">
            <v>M3</v>
          </cell>
          <cell r="E260">
            <v>43.1</v>
          </cell>
          <cell r="F260">
            <v>56.099999999999994</v>
          </cell>
          <cell r="G260">
            <v>64.77</v>
          </cell>
          <cell r="H260">
            <v>2791.59</v>
          </cell>
          <cell r="I260">
            <v>56.099999999999994</v>
          </cell>
          <cell r="J260">
            <v>61.75</v>
          </cell>
          <cell r="K260">
            <v>2661.43</v>
          </cell>
        </row>
        <row r="261">
          <cell r="A261" t="str">
            <v>1.4.9.5</v>
          </cell>
          <cell r="B261" t="str">
            <v>M0808</v>
          </cell>
          <cell r="C261" t="str">
            <v>Brita 4</v>
          </cell>
          <cell r="D261" t="str">
            <v>M3</v>
          </cell>
          <cell r="E261">
            <v>50.92</v>
          </cell>
          <cell r="F261">
            <v>90.74</v>
          </cell>
          <cell r="G261">
            <v>104.77</v>
          </cell>
          <cell r="H261">
            <v>5334.89</v>
          </cell>
          <cell r="I261">
            <v>90.74</v>
          </cell>
          <cell r="J261">
            <v>99.88</v>
          </cell>
          <cell r="K261">
            <v>5085.8900000000003</v>
          </cell>
        </row>
        <row r="262">
          <cell r="A262" t="str">
            <v>1.4.9.6</v>
          </cell>
          <cell r="B262" t="str">
            <v>M1135</v>
          </cell>
          <cell r="C262" t="str">
            <v>Pó de pedra</v>
          </cell>
          <cell r="D262" t="str">
            <v>M3</v>
          </cell>
          <cell r="E262">
            <v>5.66</v>
          </cell>
          <cell r="F262">
            <v>74.53</v>
          </cell>
          <cell r="G262">
            <v>86.05</v>
          </cell>
          <cell r="H262">
            <v>487.04</v>
          </cell>
          <cell r="I262">
            <v>74.53</v>
          </cell>
          <cell r="J262">
            <v>82.04</v>
          </cell>
          <cell r="K262">
            <v>464.35</v>
          </cell>
        </row>
        <row r="263">
          <cell r="A263" t="str">
            <v>1.4.9.7</v>
          </cell>
          <cell r="B263" t="str">
            <v>INS-711371</v>
          </cell>
          <cell r="C263" t="str">
            <v>ASFALTO DILUÍDO CM - 30</v>
          </cell>
          <cell r="D263" t="str">
            <v>KG</v>
          </cell>
          <cell r="E263">
            <v>221.23</v>
          </cell>
          <cell r="F263">
            <v>5.32</v>
          </cell>
          <cell r="G263">
            <v>6.14</v>
          </cell>
          <cell r="H263">
            <v>1358.35</v>
          </cell>
          <cell r="I263">
            <v>5.32</v>
          </cell>
          <cell r="J263">
            <v>5.86</v>
          </cell>
          <cell r="K263">
            <v>1296.4100000000001</v>
          </cell>
        </row>
        <row r="264">
          <cell r="A264" t="str">
            <v>1.4.9.8</v>
          </cell>
          <cell r="B264">
            <v>34492</v>
          </cell>
          <cell r="C264" t="str">
            <v xml:space="preserve">CONCRETO USINADO BOMBEAVEL, CLASSE DE RESISTENCIA C20, COM BRITA 0 E 1, SLUMP = 100 +/- 20 MM, EXCLUI SERVICO DE BOMBEAMENTO (NBR 8953)                                                                                                                                                                                                                                                                                                                                                                   </v>
          </cell>
          <cell r="D264" t="str">
            <v xml:space="preserve">M3    </v>
          </cell>
          <cell r="E264">
            <v>14.65</v>
          </cell>
          <cell r="F264">
            <v>422.5</v>
          </cell>
          <cell r="G264">
            <v>487.82</v>
          </cell>
          <cell r="H264">
            <v>7146.56</v>
          </cell>
          <cell r="I264">
            <v>422.5</v>
          </cell>
          <cell r="J264">
            <v>465.05</v>
          </cell>
          <cell r="K264">
            <v>6812.98</v>
          </cell>
        </row>
        <row r="265">
          <cell r="A265" t="str">
            <v>1.4.9.9</v>
          </cell>
          <cell r="B265">
            <v>1345</v>
          </cell>
          <cell r="C265" t="str">
            <v xml:space="preserve">CHAPA/PAINEL DE MADEIRA COMPENSADA PLASTIFICADA (MADEIRITE PLASTIFICADO) PARA FORMA DE CONCRETO, DE 2200 x 1100 MM, E = *17* MM                                                                                                                                                                                                                                                                                                                                                                           </v>
          </cell>
          <cell r="D265" t="str">
            <v xml:space="preserve">M2    </v>
          </cell>
          <cell r="E265">
            <v>33.9</v>
          </cell>
          <cell r="F265">
            <v>94.4</v>
          </cell>
          <cell r="G265">
            <v>108.99</v>
          </cell>
          <cell r="H265">
            <v>3694.76</v>
          </cell>
          <cell r="I265">
            <v>94.4</v>
          </cell>
          <cell r="J265">
            <v>103.91</v>
          </cell>
          <cell r="K265">
            <v>3522.55</v>
          </cell>
        </row>
        <row r="266">
          <cell r="A266" t="str">
            <v>1.5</v>
          </cell>
          <cell r="C266" t="str">
            <v>RUA PLANALTINA - PIEDADE</v>
          </cell>
          <cell r="H266">
            <v>566209.1</v>
          </cell>
          <cell r="K266">
            <v>549479.42000000004</v>
          </cell>
        </row>
        <row r="267">
          <cell r="A267" t="str">
            <v>1.5.1</v>
          </cell>
          <cell r="C267" t="str">
            <v>INSTALAÇÕES PROVISÓRIAS</v>
          </cell>
          <cell r="H267">
            <v>8115.87</v>
          </cell>
          <cell r="K267">
            <v>7783.05</v>
          </cell>
        </row>
        <row r="268">
          <cell r="A268" t="str">
            <v>1.5.1.1</v>
          </cell>
          <cell r="B268" t="str">
            <v>CP-74209/001-15055090</v>
          </cell>
          <cell r="C268" t="str">
            <v>PLACA DE OBRA EM CHAPA DE ACO GALVANIZADO</v>
          </cell>
          <cell r="D268" t="str">
            <v xml:space="preserve">M2    </v>
          </cell>
          <cell r="E268">
            <v>8</v>
          </cell>
          <cell r="F268">
            <v>558.35</v>
          </cell>
          <cell r="G268">
            <v>690.06</v>
          </cell>
          <cell r="H268">
            <v>5520.48</v>
          </cell>
          <cell r="I268">
            <v>564.99</v>
          </cell>
          <cell r="J268">
            <v>664.26</v>
          </cell>
          <cell r="K268">
            <v>5314.08</v>
          </cell>
        </row>
        <row r="269">
          <cell r="A269" t="str">
            <v>1.5.1.2</v>
          </cell>
          <cell r="B269" t="str">
            <v>COMP-07440249</v>
          </cell>
          <cell r="C269" t="str">
            <v>BANHEIRO QUÍMICO, COM LOCAÇÃO, TRANSPORTE E LIMPEZA</v>
          </cell>
          <cell r="D269" t="str">
            <v>MÊS</v>
          </cell>
          <cell r="E269">
            <v>3</v>
          </cell>
          <cell r="F269">
            <v>700</v>
          </cell>
          <cell r="G269">
            <v>865.13</v>
          </cell>
          <cell r="H269">
            <v>2595.39</v>
          </cell>
          <cell r="I269">
            <v>700</v>
          </cell>
          <cell r="J269">
            <v>822.99</v>
          </cell>
          <cell r="K269">
            <v>2468.9699999999998</v>
          </cell>
        </row>
        <row r="270">
          <cell r="A270" t="str">
            <v>1.5.2</v>
          </cell>
          <cell r="C270" t="str">
            <v>ADMINISTRAÇÃO LOCAL</v>
          </cell>
          <cell r="H270">
            <v>17600.45</v>
          </cell>
          <cell r="K270">
            <v>19280.63</v>
          </cell>
        </row>
        <row r="271">
          <cell r="A271" t="str">
            <v>1.5.2.1</v>
          </cell>
          <cell r="B271">
            <v>93565</v>
          </cell>
          <cell r="C271" t="str">
            <v>ENGENHEIRO CIVIL DE OBRA JUNIOR COM ENCARGOS COMPLEMENTARES</v>
          </cell>
          <cell r="D271" t="str">
            <v>MES</v>
          </cell>
          <cell r="E271">
            <v>0.38</v>
          </cell>
          <cell r="F271">
            <v>14549.96</v>
          </cell>
          <cell r="G271">
            <v>17982.3</v>
          </cell>
          <cell r="H271">
            <v>6833.27</v>
          </cell>
          <cell r="I271">
            <v>16819.14</v>
          </cell>
          <cell r="J271">
            <v>19774.259999999998</v>
          </cell>
          <cell r="K271">
            <v>7514.22</v>
          </cell>
        </row>
        <row r="272">
          <cell r="A272" t="str">
            <v>1.5.2.2</v>
          </cell>
          <cell r="B272">
            <v>93572</v>
          </cell>
          <cell r="C272" t="str">
            <v>ENCARREGADO GERAL DE OBRAS COM ENCARGOS COMPLEMENTARES</v>
          </cell>
          <cell r="D272" t="str">
            <v>MES</v>
          </cell>
          <cell r="E272">
            <v>1.5</v>
          </cell>
          <cell r="F272">
            <v>5808.01</v>
          </cell>
          <cell r="G272">
            <v>7178.12</v>
          </cell>
          <cell r="H272">
            <v>10767.18</v>
          </cell>
          <cell r="I272">
            <v>6672</v>
          </cell>
          <cell r="J272">
            <v>7844.27</v>
          </cell>
          <cell r="K272">
            <v>11766.41</v>
          </cell>
        </row>
        <row r="273">
          <cell r="A273" t="str">
            <v>1.5.3</v>
          </cell>
          <cell r="C273" t="str">
            <v>SERVIÇOS PRELIMINARES</v>
          </cell>
          <cell r="H273">
            <v>13779.21</v>
          </cell>
          <cell r="K273">
            <v>14484.16</v>
          </cell>
        </row>
        <row r="274">
          <cell r="A274" t="str">
            <v>1.5.3.1</v>
          </cell>
          <cell r="B274">
            <v>99064</v>
          </cell>
          <cell r="C274" t="str">
            <v>LOCAÇÃO DE PAVIMENTAÇÃO. AF_10/2018</v>
          </cell>
          <cell r="D274" t="str">
            <v>M</v>
          </cell>
          <cell r="E274">
            <v>269.74</v>
          </cell>
          <cell r="F274">
            <v>0.43</v>
          </cell>
          <cell r="G274">
            <v>0.53</v>
          </cell>
          <cell r="H274">
            <v>142.96</v>
          </cell>
          <cell r="I274">
            <v>0.49</v>
          </cell>
          <cell r="J274">
            <v>0.57999999999999996</v>
          </cell>
          <cell r="K274">
            <v>156.44999999999999</v>
          </cell>
        </row>
        <row r="275">
          <cell r="A275" t="str">
            <v>1.5.3.2</v>
          </cell>
          <cell r="B275" t="str">
            <v>COMP-17562084</v>
          </cell>
          <cell r="C275" t="str">
            <v>DEMOLIÇÃO MANUAL DE CONCRETO SIMPLES</v>
          </cell>
          <cell r="D275" t="str">
            <v>M3</v>
          </cell>
          <cell r="E275">
            <v>50.01</v>
          </cell>
          <cell r="F275">
            <v>190.89</v>
          </cell>
          <cell r="G275">
            <v>235.92</v>
          </cell>
          <cell r="H275">
            <v>11798.36</v>
          </cell>
          <cell r="I275">
            <v>212.24</v>
          </cell>
          <cell r="J275">
            <v>249.53</v>
          </cell>
          <cell r="K275">
            <v>12479</v>
          </cell>
        </row>
        <row r="276">
          <cell r="A276" t="str">
            <v>1.5.3.3</v>
          </cell>
          <cell r="B276" t="str">
            <v>COMP-01471766</v>
          </cell>
          <cell r="C276" t="str">
            <v>DEMOLIÇÃO DE MEIO-FIO</v>
          </cell>
          <cell r="D276" t="str">
            <v>M</v>
          </cell>
          <cell r="E276">
            <v>64.63</v>
          </cell>
          <cell r="F276">
            <v>10.02</v>
          </cell>
          <cell r="G276">
            <v>12.38</v>
          </cell>
          <cell r="H276">
            <v>800.12</v>
          </cell>
          <cell r="I276">
            <v>11.13</v>
          </cell>
          <cell r="J276">
            <v>13.09</v>
          </cell>
          <cell r="K276">
            <v>846.01</v>
          </cell>
        </row>
        <row r="277">
          <cell r="A277" t="str">
            <v>1.5.3.4</v>
          </cell>
          <cell r="B277" t="str">
            <v>COMP-35145154</v>
          </cell>
          <cell r="C277" t="str">
            <v>CARGA E DESCARGA MECANICA DE SOLO UTILIZANDO CAMINHAO BASCULANTE 14,0M3/36T E PA CARREGADEIRA SOBRE PNEUS 128 HP, CAPACIDADE DA CAÇAMBA 1,7 A 2,8 M3, PESO OPERACIONAL 11632 KH</v>
          </cell>
          <cell r="D277" t="str">
            <v>M3</v>
          </cell>
          <cell r="E277">
            <v>66.150000000000006</v>
          </cell>
          <cell r="F277">
            <v>2.83</v>
          </cell>
          <cell r="G277">
            <v>3.5</v>
          </cell>
          <cell r="H277">
            <v>231.53</v>
          </cell>
          <cell r="I277">
            <v>2.9</v>
          </cell>
          <cell r="J277">
            <v>3.41</v>
          </cell>
          <cell r="K277">
            <v>225.57</v>
          </cell>
        </row>
        <row r="278">
          <cell r="A278" t="str">
            <v>1.5.3.5</v>
          </cell>
          <cell r="B278">
            <v>95876</v>
          </cell>
          <cell r="C278" t="str">
            <v>TRANSPORTE COM CAMINHÃO BASCULANTE DE 14 M³, EM VIA URBANA PAVIMENTADA, DMT ATÉ 30 KM (UNIDADE: M3XKM). AF_07/2020</v>
          </cell>
          <cell r="D278" t="str">
            <v>M3XKM</v>
          </cell>
          <cell r="E278">
            <v>291.06</v>
          </cell>
          <cell r="F278">
            <v>2.2400000000000002</v>
          </cell>
          <cell r="G278">
            <v>2.77</v>
          </cell>
          <cell r="H278">
            <v>806.24</v>
          </cell>
          <cell r="I278">
            <v>2.27</v>
          </cell>
          <cell r="J278">
            <v>2.67</v>
          </cell>
          <cell r="K278">
            <v>777.13</v>
          </cell>
        </row>
        <row r="279">
          <cell r="A279" t="str">
            <v>1.5.4</v>
          </cell>
          <cell r="C279" t="str">
            <v>TERRAPLENAGEM</v>
          </cell>
          <cell r="H279">
            <v>36839.15</v>
          </cell>
          <cell r="K279">
            <v>35620.620000000003</v>
          </cell>
        </row>
        <row r="280">
          <cell r="A280" t="str">
            <v>1.5.4.1</v>
          </cell>
          <cell r="B280" t="str">
            <v>CP-74205/001-17324935</v>
          </cell>
          <cell r="C280" t="str">
            <v>ESCAVAÇÃO MECÂNICA DE MATERIAL 1A. CATEGORIA, PROVENIENTE DE CORTE DE SUBLEITO (C/TRATOR ESTEIRAS  160HP)</v>
          </cell>
          <cell r="D280" t="str">
            <v>M3</v>
          </cell>
          <cell r="E280">
            <v>1619.3</v>
          </cell>
          <cell r="F280">
            <v>2.54</v>
          </cell>
          <cell r="G280">
            <v>3.14</v>
          </cell>
          <cell r="H280">
            <v>5084.6000000000004</v>
          </cell>
          <cell r="I280">
            <v>2.59</v>
          </cell>
          <cell r="J280">
            <v>3.05</v>
          </cell>
          <cell r="K280">
            <v>4938.87</v>
          </cell>
        </row>
        <row r="281">
          <cell r="A281" t="str">
            <v>1.5.4.2</v>
          </cell>
          <cell r="B281" t="str">
            <v>COMP-35145154</v>
          </cell>
          <cell r="C281" t="str">
            <v>CARGA E DESCARGA MECANICA DE SOLO UTILIZANDO CAMINHAO BASCULANTE 14,0M3/36T E PA CARREGADEIRA SOBRE PNEUS 128 HP, CAPACIDADE DA CAÇAMBA 1,7 A 2,8 M3, PESO OPERACIONAL 11632 KH</v>
          </cell>
          <cell r="D281" t="str">
            <v>M3</v>
          </cell>
          <cell r="E281">
            <v>2024.13</v>
          </cell>
          <cell r="F281">
            <v>2.83</v>
          </cell>
          <cell r="G281">
            <v>3.5</v>
          </cell>
          <cell r="H281">
            <v>7084.46</v>
          </cell>
          <cell r="I281">
            <v>2.9</v>
          </cell>
          <cell r="J281">
            <v>3.41</v>
          </cell>
          <cell r="K281">
            <v>6902.28</v>
          </cell>
        </row>
        <row r="282">
          <cell r="A282" t="str">
            <v>1.5.4.3</v>
          </cell>
          <cell r="B282">
            <v>95876</v>
          </cell>
          <cell r="C282" t="str">
            <v>TRANSPORTE COM CAMINHÃO BASCULANTE DE 14 M³, EM VIA URBANA PAVIMENTADA, DMT ATÉ 30 KM (UNIDADE: M3XKM). AF_07/2020</v>
          </cell>
          <cell r="D282" t="str">
            <v>M3XKM</v>
          </cell>
          <cell r="E282">
            <v>8906.17</v>
          </cell>
          <cell r="F282">
            <v>2.2400000000000002</v>
          </cell>
          <cell r="G282">
            <v>2.77</v>
          </cell>
          <cell r="H282">
            <v>24670.09</v>
          </cell>
          <cell r="I282">
            <v>2.27</v>
          </cell>
          <cell r="J282">
            <v>2.67</v>
          </cell>
          <cell r="K282">
            <v>23779.47</v>
          </cell>
        </row>
        <row r="283">
          <cell r="A283" t="str">
            <v>1.5.5</v>
          </cell>
          <cell r="C283" t="str">
            <v>PAVIMENTAÇÃO</v>
          </cell>
          <cell r="H283">
            <v>181997.19</v>
          </cell>
          <cell r="K283">
            <v>178342.65</v>
          </cell>
        </row>
        <row r="284">
          <cell r="A284" t="str">
            <v>1.5.5.1</v>
          </cell>
          <cell r="B284">
            <v>100576</v>
          </cell>
          <cell r="C284" t="str">
            <v>REGULARIZAÇÃO E COMPACTAÇÃO DE SUBLEITO DE SOLO  PREDOMINANTEMENTE ARGILOSO. AF_11/2019</v>
          </cell>
          <cell r="D284" t="str">
            <v>M2</v>
          </cell>
          <cell r="E284">
            <v>2157.92</v>
          </cell>
          <cell r="F284">
            <v>2.64</v>
          </cell>
          <cell r="G284">
            <v>3.26</v>
          </cell>
          <cell r="H284">
            <v>7034.82</v>
          </cell>
          <cell r="I284">
            <v>2.79</v>
          </cell>
          <cell r="J284">
            <v>3.28</v>
          </cell>
          <cell r="K284">
            <v>7077.98</v>
          </cell>
        </row>
        <row r="285">
          <cell r="A285" t="str">
            <v>1.5.5.2</v>
          </cell>
          <cell r="B285" t="str">
            <v>COMP-47176600</v>
          </cell>
          <cell r="C285" t="str">
            <v xml:space="preserve">EXEC. DE ATERRO COM AREIA COM ADENSAMENTO HIDRAULICO </v>
          </cell>
          <cell r="D285" t="str">
            <v xml:space="preserve">M3    </v>
          </cell>
          <cell r="E285">
            <v>431.58</v>
          </cell>
          <cell r="F285">
            <v>103.23</v>
          </cell>
          <cell r="G285">
            <v>127.58</v>
          </cell>
          <cell r="H285">
            <v>55060.98</v>
          </cell>
          <cell r="I285">
            <v>104.33</v>
          </cell>
          <cell r="J285">
            <v>122.66</v>
          </cell>
          <cell r="K285">
            <v>52937.599999999999</v>
          </cell>
        </row>
        <row r="286">
          <cell r="A286" t="str">
            <v>1.5.5.3</v>
          </cell>
          <cell r="B286" t="str">
            <v>COMP-28881239</v>
          </cell>
          <cell r="C286" t="str">
            <v>Base ou sub-base de macadame hidráulico com brita comercial - EXCLUSIVE MATERIAL, CARGA E TRANSPORTE - NÃO DESONERADO</v>
          </cell>
          <cell r="D286" t="str">
            <v>M3</v>
          </cell>
          <cell r="E286">
            <v>431.58</v>
          </cell>
          <cell r="F286">
            <v>11.24</v>
          </cell>
          <cell r="G286">
            <v>13.89</v>
          </cell>
          <cell r="H286">
            <v>5994.65</v>
          </cell>
          <cell r="I286">
            <v>11.4</v>
          </cell>
          <cell r="J286">
            <v>13.4</v>
          </cell>
          <cell r="K286">
            <v>5783.17</v>
          </cell>
        </row>
        <row r="287">
          <cell r="A287" t="str">
            <v>1.5.5.4</v>
          </cell>
          <cell r="B287" t="str">
            <v>CP-96396-26507981</v>
          </cell>
          <cell r="C287" t="str">
            <v>EXECUÇÃO E COMPACTAÇÃO DE BASE E OU SUB BASE PARA PAVIMENTAÇÃO DE BRITA GRADUADA SIMPLES - EXCLUSIVE MATERIAL, CARGA E TRANSPORTE</v>
          </cell>
          <cell r="D287" t="str">
            <v>M3</v>
          </cell>
          <cell r="E287">
            <v>404.61</v>
          </cell>
          <cell r="F287">
            <v>13.86</v>
          </cell>
          <cell r="G287">
            <v>17.13</v>
          </cell>
          <cell r="H287">
            <v>6930.97</v>
          </cell>
          <cell r="I287">
            <v>14.44</v>
          </cell>
          <cell r="J287">
            <v>16.98</v>
          </cell>
          <cell r="K287">
            <v>6870.28</v>
          </cell>
        </row>
        <row r="288">
          <cell r="A288" t="str">
            <v>1.5.5.5</v>
          </cell>
          <cell r="B288" t="str">
            <v>COMP-35145154</v>
          </cell>
          <cell r="C288" t="str">
            <v>CARGA E DESCARGA MECANICA DE SOLO UTILIZANDO CAMINHAO BASCULANTE 14,0M3/36T E PA CARREGADEIRA SOBRE PNEUS 128 HP, CAPACIDADE DA CAÇAMBA 1,7 A 2,8 M3, PESO OPERACIONAL 11632 KH</v>
          </cell>
          <cell r="D288" t="str">
            <v>M3</v>
          </cell>
          <cell r="E288">
            <v>1045.24</v>
          </cell>
          <cell r="F288">
            <v>2.83</v>
          </cell>
          <cell r="G288">
            <v>3.5</v>
          </cell>
          <cell r="H288">
            <v>3658.34</v>
          </cell>
          <cell r="I288">
            <v>2.9</v>
          </cell>
          <cell r="J288">
            <v>3.41</v>
          </cell>
          <cell r="K288">
            <v>3564.27</v>
          </cell>
        </row>
        <row r="289">
          <cell r="A289" t="str">
            <v>1.5.5.6</v>
          </cell>
          <cell r="B289" t="str">
            <v>COMP-83526730</v>
          </cell>
          <cell r="C289" t="str">
            <v>TRANSPORTE COMERCIAL DE BRITA</v>
          </cell>
          <cell r="D289" t="str">
            <v>M3XKM</v>
          </cell>
          <cell r="E289">
            <v>10452.4</v>
          </cell>
          <cell r="F289">
            <v>1.36</v>
          </cell>
          <cell r="G289">
            <v>1.68</v>
          </cell>
          <cell r="H289">
            <v>17560.03</v>
          </cell>
          <cell r="I289">
            <v>1.37</v>
          </cell>
          <cell r="J289">
            <v>1.61</v>
          </cell>
          <cell r="K289">
            <v>16828.36</v>
          </cell>
        </row>
        <row r="290">
          <cell r="A290" t="str">
            <v>1.5.5.7</v>
          </cell>
          <cell r="B290" t="str">
            <v>CP-96401-52745838</v>
          </cell>
          <cell r="C290" t="str">
            <v>EXECUÇÃO DE IMPRIMAÇÃO COM ASFALTO DILUÍDO CM-30, EXCLUSIVE MATERIAL.</v>
          </cell>
          <cell r="D290" t="str">
            <v>M2</v>
          </cell>
          <cell r="E290">
            <v>1726.62</v>
          </cell>
          <cell r="F290">
            <v>1.18</v>
          </cell>
          <cell r="G290">
            <v>1.46</v>
          </cell>
          <cell r="H290">
            <v>2520.87</v>
          </cell>
          <cell r="I290">
            <v>1.24</v>
          </cell>
          <cell r="J290">
            <v>1.46</v>
          </cell>
          <cell r="K290">
            <v>2520.87</v>
          </cell>
        </row>
        <row r="291">
          <cell r="A291" t="str">
            <v>1.5.5.8</v>
          </cell>
          <cell r="B291" t="str">
            <v>CP-95995-51339760</v>
          </cell>
          <cell r="C291" t="str">
            <v>EXECUÇÃO DE PAVIMENTO COM APLICAÇÃO DE CONCRETO ASFÁLTICO, CAMADA DE ROLAMENTO - EXCLUSIVE CARGA E TRANSPORTE E CONCRETO BETUMINOSO</v>
          </cell>
          <cell r="D291" t="str">
            <v>M3</v>
          </cell>
          <cell r="E291">
            <v>86.33</v>
          </cell>
          <cell r="F291">
            <v>127.58</v>
          </cell>
          <cell r="G291">
            <v>157.68</v>
          </cell>
          <cell r="H291">
            <v>13612.51</v>
          </cell>
          <cell r="I291">
            <v>133.37</v>
          </cell>
          <cell r="J291">
            <v>156.80000000000001</v>
          </cell>
          <cell r="K291">
            <v>13536.54</v>
          </cell>
        </row>
        <row r="292">
          <cell r="A292" t="str">
            <v>1.5.5.9</v>
          </cell>
          <cell r="B292" t="str">
            <v>COMP-10034101</v>
          </cell>
          <cell r="C292" t="str">
            <v>CARGA, MANOBRAS E DESCARGA DE MISTURA BETUMINOSA A QUENTE, COM CAMINHAO BASCULANTE 6 M3, DESCARGA EM VIBRO-ACABADORA</v>
          </cell>
          <cell r="D292" t="str">
            <v>M3</v>
          </cell>
          <cell r="E292">
            <v>86.33</v>
          </cell>
          <cell r="F292">
            <v>7.74</v>
          </cell>
          <cell r="G292">
            <v>9.57</v>
          </cell>
          <cell r="H292">
            <v>826.18</v>
          </cell>
          <cell r="I292">
            <v>7.86</v>
          </cell>
          <cell r="J292">
            <v>9.24</v>
          </cell>
          <cell r="K292">
            <v>797.69</v>
          </cell>
        </row>
        <row r="293">
          <cell r="A293" t="str">
            <v>1.5.5.10</v>
          </cell>
          <cell r="B293" t="str">
            <v>CP-95303-56931542</v>
          </cell>
          <cell r="C293" t="str">
            <v>TRANSPORTE COM CAMINHÃO BASCULANTE 10 M3 DE MASSA ASFALTICA PARA PAVIMENTAÇÃO URBANA</v>
          </cell>
          <cell r="D293" t="str">
            <v>M3XKM</v>
          </cell>
          <cell r="E293">
            <v>1493.51</v>
          </cell>
          <cell r="F293">
            <v>1.75</v>
          </cell>
          <cell r="G293">
            <v>2.16</v>
          </cell>
          <cell r="H293">
            <v>3225.98</v>
          </cell>
          <cell r="I293">
            <v>1.77</v>
          </cell>
          <cell r="J293">
            <v>2.08</v>
          </cell>
          <cell r="K293">
            <v>3106.5</v>
          </cell>
        </row>
        <row r="294">
          <cell r="A294" t="str">
            <v>1.5.5.11</v>
          </cell>
          <cell r="B294" t="str">
            <v>CP-97084-89637704</v>
          </cell>
          <cell r="C294" t="str">
            <v>REGULARIZACAO E COMPACTAÇÃO MANUAL DE TERRENO COM PLACA VIBRATÓRIA</v>
          </cell>
          <cell r="D294" t="str">
            <v>M2</v>
          </cell>
          <cell r="E294">
            <v>1305.7</v>
          </cell>
          <cell r="F294">
            <v>0.59</v>
          </cell>
          <cell r="G294">
            <v>0.73</v>
          </cell>
          <cell r="H294">
            <v>953.16</v>
          </cell>
          <cell r="I294">
            <v>0.65</v>
          </cell>
          <cell r="J294">
            <v>0.76</v>
          </cell>
          <cell r="K294">
            <v>992.33</v>
          </cell>
        </row>
        <row r="295">
          <cell r="A295" t="str">
            <v>1.5.5.12</v>
          </cell>
          <cell r="B295" t="str">
            <v>CP-94991-12549457</v>
          </cell>
          <cell r="C295" t="str">
            <v>EXECUÇÃO DE PASSEIO (CALÇADA) OU PISO DE CONCRETO COM CONCRETO MOLDADO IN LOCO, USINADO, ACABAMENTO CONVENCIONAL, NÃO ARMADO - EXCLUINDO O CONCRETO USINADO 20MPA</v>
          </cell>
          <cell r="D295" t="str">
            <v>M3</v>
          </cell>
          <cell r="E295">
            <v>89.76</v>
          </cell>
          <cell r="F295">
            <v>104.6</v>
          </cell>
          <cell r="G295">
            <v>129.28</v>
          </cell>
          <cell r="H295">
            <v>11604.17</v>
          </cell>
          <cell r="I295">
            <v>112.75</v>
          </cell>
          <cell r="J295">
            <v>132.56</v>
          </cell>
          <cell r="K295">
            <v>11898.59</v>
          </cell>
        </row>
        <row r="296">
          <cell r="A296" t="str">
            <v>1.5.5.13</v>
          </cell>
          <cell r="B296">
            <v>94273</v>
          </cell>
          <cell r="C296" t="str">
            <v>ASSENTAMENTO DE GUIA (MEIO-FIO) EM TRECHO RETO, CONFECCIONADA EM CONCRETO PRÉ-FABRICADO, DIMENSÕES 100X15X13X30 CM (COMPRIMENTO X BASE INFERIOR X BASE SUPERIOR X ALTURA), PARA VIAS URBANAS (USO VIÁRIO). AF_06/2016</v>
          </cell>
          <cell r="D296" t="str">
            <v>M</v>
          </cell>
          <cell r="E296">
            <v>541.19000000000005</v>
          </cell>
          <cell r="F296">
            <v>54.61</v>
          </cell>
          <cell r="G296">
            <v>67.489999999999995</v>
          </cell>
          <cell r="H296">
            <v>36524.910000000003</v>
          </cell>
          <cell r="I296">
            <v>56.47</v>
          </cell>
          <cell r="J296">
            <v>66.39</v>
          </cell>
          <cell r="K296">
            <v>35929.599999999999</v>
          </cell>
        </row>
        <row r="297">
          <cell r="A297" t="str">
            <v>1.5.5.14</v>
          </cell>
          <cell r="B297">
            <v>94274</v>
          </cell>
          <cell r="C297" t="str">
            <v>ASSENTAMENTO DE GUIA (MEIO-FIO) EM TRECHO CURVO, CONFECCIONADA EM CONCRETO PRÉ-FABRICADO, DIMENSÕES 100X15X13X30 CM (COMPRIMENTO X BASE INFERIOR X BASE SUPERIOR X ALTURA), PARA VIAS URBANAS (USO VIÁRIO). AF_06/2016</v>
          </cell>
          <cell r="D297" t="str">
            <v>M</v>
          </cell>
          <cell r="E297">
            <v>34.54</v>
          </cell>
          <cell r="F297">
            <v>58.17</v>
          </cell>
          <cell r="G297">
            <v>71.89</v>
          </cell>
          <cell r="H297">
            <v>2483.08</v>
          </cell>
          <cell r="I297">
            <v>60.43</v>
          </cell>
          <cell r="J297">
            <v>71.05</v>
          </cell>
          <cell r="K297">
            <v>2454.0700000000002</v>
          </cell>
        </row>
        <row r="298">
          <cell r="A298" t="str">
            <v>1.5.5.15</v>
          </cell>
          <cell r="B298">
            <v>94275</v>
          </cell>
          <cell r="C298" t="str">
            <v>ASSENTAMENTO DE GUIA (MEIO-FIO) EM TRECHO RETO, CONFECCIONADA EM CONCRETO PRÉ-FABRICADO, DIMENSÕES 100X15X13X20 CM (COMPRIMENTO X BASE INFERIOR X BASE SUPERIOR X ALTURA), PARA URBANIZAÇÃO INTERNA DE EMPREENDIMENTOS. AF_06/2016_P</v>
          </cell>
          <cell r="D298" t="str">
            <v>M</v>
          </cell>
          <cell r="E298">
            <v>19</v>
          </cell>
          <cell r="F298">
            <v>52.64</v>
          </cell>
          <cell r="G298">
            <v>65.06</v>
          </cell>
          <cell r="H298">
            <v>1236.1400000000001</v>
          </cell>
          <cell r="I298">
            <v>54.31</v>
          </cell>
          <cell r="J298">
            <v>63.85</v>
          </cell>
          <cell r="K298">
            <v>1213.1500000000001</v>
          </cell>
        </row>
        <row r="299">
          <cell r="A299" t="str">
            <v>1.5.5.16</v>
          </cell>
          <cell r="B299">
            <v>94287</v>
          </cell>
          <cell r="C299" t="str">
            <v>EXECUÇÃO DE SARJETA DE CONCRETO USINADO, MOLDADA  IN LOCO  EM TRECHO RETO, 30 CM BASE X 10 CM ALTURA. AF_06/2016</v>
          </cell>
          <cell r="D299" t="str">
            <v>M</v>
          </cell>
          <cell r="E299">
            <v>252.11</v>
          </cell>
          <cell r="F299">
            <v>37.69</v>
          </cell>
          <cell r="G299">
            <v>46.58</v>
          </cell>
          <cell r="H299">
            <v>11743.28</v>
          </cell>
          <cell r="I299">
            <v>39.770000000000003</v>
          </cell>
          <cell r="J299">
            <v>46.76</v>
          </cell>
          <cell r="K299">
            <v>11788.66</v>
          </cell>
        </row>
        <row r="300">
          <cell r="A300" t="str">
            <v>1.5.5.17</v>
          </cell>
          <cell r="B300">
            <v>94288</v>
          </cell>
          <cell r="C300" t="str">
            <v>EXECUÇÃO DE SARJETA DE CONCRETO USINADO, MOLDADA  IN LOCO  EM TRECHO CURVO, 30 CM BASE X 10 CM ALTURA. AF_06/2016</v>
          </cell>
          <cell r="D300" t="str">
            <v>M</v>
          </cell>
          <cell r="E300">
            <v>17.63</v>
          </cell>
          <cell r="F300">
            <v>47.14</v>
          </cell>
          <cell r="G300">
            <v>58.26</v>
          </cell>
          <cell r="H300">
            <v>1027.1199999999999</v>
          </cell>
          <cell r="I300">
            <v>50.32</v>
          </cell>
          <cell r="J300">
            <v>59.16</v>
          </cell>
          <cell r="K300">
            <v>1042.99</v>
          </cell>
        </row>
        <row r="301">
          <cell r="A301" t="str">
            <v>1.5.6</v>
          </cell>
          <cell r="C301" t="str">
            <v>SINALIZAÇÃO</v>
          </cell>
          <cell r="H301">
            <v>11531.34</v>
          </cell>
          <cell r="K301">
            <v>11345.08</v>
          </cell>
        </row>
        <row r="302">
          <cell r="A302" t="str">
            <v>1.5.6.1</v>
          </cell>
          <cell r="B302">
            <v>5213421</v>
          </cell>
          <cell r="C302" t="str">
            <v>Confecção de placa em aço nº 16 galvanizado, com película tipo I + IV</v>
          </cell>
          <cell r="D302" t="str">
            <v xml:space="preserve">M2    </v>
          </cell>
          <cell r="E302">
            <v>3.6</v>
          </cell>
          <cell r="F302">
            <v>343.8</v>
          </cell>
          <cell r="G302">
            <v>424.9</v>
          </cell>
          <cell r="H302">
            <v>1529.64</v>
          </cell>
          <cell r="I302">
            <v>347.25</v>
          </cell>
          <cell r="J302">
            <v>408.26</v>
          </cell>
          <cell r="K302">
            <v>1469.74</v>
          </cell>
        </row>
        <row r="303">
          <cell r="A303" t="str">
            <v>1.5.6.2</v>
          </cell>
          <cell r="B303">
            <v>5216111</v>
          </cell>
          <cell r="C303" t="str">
            <v>FORNECIMENTO E IMPLANTAÇÃO DE SUPORTE E TRAVESSA PARA PLACA DE SINALIZAÇÃO EM MADEIRA DE LEI TRATADA 8 X 8 CM</v>
          </cell>
          <cell r="D303" t="str">
            <v>UND</v>
          </cell>
          <cell r="E303">
            <v>13</v>
          </cell>
          <cell r="F303">
            <v>119.1379</v>
          </cell>
          <cell r="G303">
            <v>147.24</v>
          </cell>
          <cell r="H303">
            <v>1914.12</v>
          </cell>
          <cell r="I303">
            <v>121.48</v>
          </cell>
          <cell r="J303">
            <v>142.82</v>
          </cell>
          <cell r="K303">
            <v>1856.66</v>
          </cell>
        </row>
        <row r="304">
          <cell r="A304" t="str">
            <v>1.5.6.3</v>
          </cell>
          <cell r="B304" t="str">
            <v>COMP-58084869</v>
          </cell>
          <cell r="C304" t="str">
            <v>PLACA ESMALTADA PARA IDENTIFICAÇÃO NR DE RUA, DIMENSÕES 45X25CM</v>
          </cell>
          <cell r="D304" t="str">
            <v>UND</v>
          </cell>
          <cell r="E304">
            <v>8</v>
          </cell>
          <cell r="F304">
            <v>155.54</v>
          </cell>
          <cell r="G304">
            <v>192.23</v>
          </cell>
          <cell r="H304">
            <v>1537.84</v>
          </cell>
          <cell r="I304">
            <v>156.33000000000001</v>
          </cell>
          <cell r="J304">
            <v>183.8</v>
          </cell>
          <cell r="K304">
            <v>1470.4</v>
          </cell>
        </row>
        <row r="305">
          <cell r="A305" t="str">
            <v>1.5.6.4</v>
          </cell>
          <cell r="B305">
            <v>102512</v>
          </cell>
          <cell r="C305" t="str">
            <v>PINTURA DE EIXO VIÁRIO SOBRE ASFALTO COM TINTA RETRORREFLETIVA A BASE DE RESINA ACRÍLICA COM MICROESFERAS DE VIDRO, APLICAÇÃO MECÂNICA COM DEMARCADORA AUTOPROPELIDA. AF_05/2021</v>
          </cell>
          <cell r="D305" t="str">
            <v>M</v>
          </cell>
          <cell r="E305">
            <v>707.17</v>
          </cell>
          <cell r="F305">
            <v>5.22</v>
          </cell>
          <cell r="G305">
            <v>6.45</v>
          </cell>
          <cell r="H305">
            <v>4561.25</v>
          </cell>
          <cell r="I305">
            <v>5.48</v>
          </cell>
          <cell r="J305">
            <v>6.44</v>
          </cell>
          <cell r="K305">
            <v>4554.17</v>
          </cell>
        </row>
        <row r="306">
          <cell r="A306" t="str">
            <v>1.5.6.5</v>
          </cell>
          <cell r="B306">
            <v>102509</v>
          </cell>
          <cell r="C306" t="str">
            <v>PINTURA DE FAIXA DE PEDESTRE OU ZEBRADA TINTA RETRORREFLETIVA A BASE DE RESINA ACRÍLICA COM MICROESFERAS DE VIDRO, E = 30 CM, APLICAÇÃO MANUAL. AF_05/2021</v>
          </cell>
          <cell r="D306" t="str">
            <v>M2</v>
          </cell>
          <cell r="E306">
            <v>70.239999999999995</v>
          </cell>
          <cell r="F306">
            <v>22.91</v>
          </cell>
          <cell r="G306">
            <v>28.31</v>
          </cell>
          <cell r="H306">
            <v>1988.49</v>
          </cell>
          <cell r="I306">
            <v>24.15</v>
          </cell>
          <cell r="J306">
            <v>28.39</v>
          </cell>
          <cell r="K306">
            <v>1994.11</v>
          </cell>
        </row>
        <row r="307">
          <cell r="A307" t="str">
            <v>1.5.7</v>
          </cell>
          <cell r="C307" t="str">
            <v>ACESSIBILIDADE</v>
          </cell>
          <cell r="H307">
            <v>3141.51</v>
          </cell>
          <cell r="K307">
            <v>3089.35</v>
          </cell>
        </row>
        <row r="308">
          <cell r="A308" t="str">
            <v>1.5.7.1</v>
          </cell>
          <cell r="B308" t="str">
            <v>CP-S12039-81921471</v>
          </cell>
          <cell r="C308" t="str">
            <v>Piso tátil direcional e/ou alerta, de concreto, na cor natural, p/deficientes visuais, dimensões 40x40cm, aplicado com argamassa industrializada ac-ii, rejuntado, exclusive regularização de base</v>
          </cell>
          <cell r="D308" t="str">
            <v>M2</v>
          </cell>
          <cell r="E308">
            <v>23.39</v>
          </cell>
          <cell r="F308">
            <v>108.67</v>
          </cell>
          <cell r="G308">
            <v>134.31</v>
          </cell>
          <cell r="H308">
            <v>3141.51</v>
          </cell>
          <cell r="I308">
            <v>112.34</v>
          </cell>
          <cell r="J308">
            <v>132.08000000000001</v>
          </cell>
          <cell r="K308">
            <v>3089.35</v>
          </cell>
        </row>
        <row r="309">
          <cell r="A309" t="str">
            <v>1.5.8</v>
          </cell>
          <cell r="C309" t="str">
            <v>MATERIAIS</v>
          </cell>
          <cell r="H309">
            <v>293204.38</v>
          </cell>
          <cell r="K309">
            <v>279533.88</v>
          </cell>
        </row>
        <row r="310">
          <cell r="A310" t="str">
            <v>1.5.8.1</v>
          </cell>
          <cell r="B310">
            <v>10775</v>
          </cell>
          <cell r="C310" t="str">
            <v xml:space="preserve">LOCACAO DE CONTAINER 2,30 X 6,00 M, ALT. 2,50 M, COM 1 SANITARIO, PARA ESCRITORIO, COMPLETO, SEM DIVISORIAS INTERNAS (NAO INCLUI MOBILIZACAO/DESMOBILIZACAO)                                                                                                                                                                                                                                                                                                                                              </v>
          </cell>
          <cell r="D310" t="str">
            <v xml:space="preserve">MES   </v>
          </cell>
          <cell r="E310">
            <v>3</v>
          </cell>
          <cell r="F310">
            <v>830</v>
          </cell>
          <cell r="G310">
            <v>958.32</v>
          </cell>
          <cell r="H310">
            <v>2874.96</v>
          </cell>
          <cell r="I310">
            <v>830</v>
          </cell>
          <cell r="J310">
            <v>913.58</v>
          </cell>
          <cell r="K310">
            <v>2740.74</v>
          </cell>
        </row>
        <row r="311">
          <cell r="A311" t="str">
            <v>1.5.8.2</v>
          </cell>
          <cell r="B311">
            <v>10776</v>
          </cell>
          <cell r="C311" t="str">
            <v xml:space="preserve">LOCACAO DE CONTAINER 2,30 X 6,00 M, ALT. 2,50 M, PARA ESCRITORIO, SEM DIVISORIAS INTERNAS E SEM SANITARIO (NAO INCLUI MOBILIZACAO/DESMOBILIZACAO)                                                                                                                                                                                                                                                                                                                                                         </v>
          </cell>
          <cell r="D311" t="str">
            <v xml:space="preserve">MES   </v>
          </cell>
          <cell r="E311">
            <v>3</v>
          </cell>
          <cell r="F311">
            <v>648.42999999999995</v>
          </cell>
          <cell r="G311">
            <v>748.68</v>
          </cell>
          <cell r="H311">
            <v>2246.04</v>
          </cell>
          <cell r="I311">
            <v>648.42999999999995</v>
          </cell>
          <cell r="J311">
            <v>713.73</v>
          </cell>
          <cell r="K311">
            <v>2141.19</v>
          </cell>
        </row>
        <row r="312">
          <cell r="A312" t="str">
            <v>1.5.8.3</v>
          </cell>
          <cell r="B312">
            <v>1518</v>
          </cell>
          <cell r="C312" t="str">
            <v xml:space="preserve">CONCRETO BETUMINOSO USINADO A QUENTE (CBUQ) PARA PAVIMENTACAO ASFALTICA, PADRAO DNIT, FAIXA C, COM CAP 50/70 - AQUISICAO POSTO USINA                                                                                                                                                                                                                                                                                                                                                                      </v>
          </cell>
          <cell r="D312" t="str">
            <v xml:space="preserve">T     </v>
          </cell>
          <cell r="E312">
            <v>220.56</v>
          </cell>
          <cell r="F312">
            <v>522.5</v>
          </cell>
          <cell r="G312">
            <v>603.28</v>
          </cell>
          <cell r="H312">
            <v>133059.44</v>
          </cell>
          <cell r="I312">
            <v>522.5</v>
          </cell>
          <cell r="J312">
            <v>575.12</v>
          </cell>
          <cell r="K312">
            <v>126848.47</v>
          </cell>
        </row>
        <row r="313">
          <cell r="A313" t="str">
            <v>1.5.8.4</v>
          </cell>
          <cell r="B313" t="str">
            <v>INS-185032</v>
          </cell>
          <cell r="C313" t="str">
            <v>BRITA GRADUADA SIMPLES (BGS)</v>
          </cell>
          <cell r="D313" t="str">
            <v>M3</v>
          </cell>
          <cell r="E313">
            <v>404.61</v>
          </cell>
          <cell r="F313">
            <v>56.099999999999994</v>
          </cell>
          <cell r="G313">
            <v>64.77</v>
          </cell>
          <cell r="H313">
            <v>26206.59</v>
          </cell>
          <cell r="I313">
            <v>56.099999999999994</v>
          </cell>
          <cell r="J313">
            <v>61.75</v>
          </cell>
          <cell r="K313">
            <v>24984.67</v>
          </cell>
        </row>
        <row r="314">
          <cell r="A314" t="str">
            <v>1.5.8.5</v>
          </cell>
          <cell r="B314" t="str">
            <v>M0808</v>
          </cell>
          <cell r="C314" t="str">
            <v>Brita 4</v>
          </cell>
          <cell r="D314" t="str">
            <v>M3</v>
          </cell>
          <cell r="E314">
            <v>543.79</v>
          </cell>
          <cell r="F314">
            <v>90.74</v>
          </cell>
          <cell r="G314">
            <v>104.77</v>
          </cell>
          <cell r="H314">
            <v>56972.88</v>
          </cell>
          <cell r="I314">
            <v>90.74</v>
          </cell>
          <cell r="J314">
            <v>99.88</v>
          </cell>
          <cell r="K314">
            <v>54313.75</v>
          </cell>
        </row>
        <row r="315">
          <cell r="A315" t="str">
            <v>1.5.8.6</v>
          </cell>
          <cell r="B315" t="str">
            <v>M1135</v>
          </cell>
          <cell r="C315" t="str">
            <v>Pó de pedra</v>
          </cell>
          <cell r="D315" t="str">
            <v>M3</v>
          </cell>
          <cell r="E315">
            <v>60.42</v>
          </cell>
          <cell r="F315">
            <v>74.53</v>
          </cell>
          <cell r="G315">
            <v>86.05</v>
          </cell>
          <cell r="H315">
            <v>5199.1400000000003</v>
          </cell>
          <cell r="I315">
            <v>74.53</v>
          </cell>
          <cell r="J315">
            <v>82.04</v>
          </cell>
          <cell r="K315">
            <v>4956.8599999999997</v>
          </cell>
        </row>
        <row r="316">
          <cell r="A316" t="str">
            <v>1.5.8.7</v>
          </cell>
          <cell r="B316" t="str">
            <v>INS-711371</v>
          </cell>
          <cell r="C316" t="str">
            <v>ASFALTO DILUÍDO CM - 30</v>
          </cell>
          <cell r="D316" t="str">
            <v>KG</v>
          </cell>
          <cell r="E316">
            <v>2071.94</v>
          </cell>
          <cell r="F316">
            <v>5.32</v>
          </cell>
          <cell r="G316">
            <v>6.14</v>
          </cell>
          <cell r="H316">
            <v>12721.71</v>
          </cell>
          <cell r="I316">
            <v>5.32</v>
          </cell>
          <cell r="J316">
            <v>5.86</v>
          </cell>
          <cell r="K316">
            <v>12141.57</v>
          </cell>
        </row>
        <row r="317">
          <cell r="A317" t="str">
            <v>1.5.8.8</v>
          </cell>
          <cell r="B317">
            <v>34492</v>
          </cell>
          <cell r="C317" t="str">
            <v xml:space="preserve">CONCRETO USINADO BOMBEAVEL, CLASSE DE RESISTENCIA C20, COM BRITA 0 E 1, SLUMP = 100 +/- 20 MM, EXCLUI SERVICO DE BOMBEAMENTO (NBR 8953)                                                                                                                                                                                                                                                                                                                                                                   </v>
          </cell>
          <cell r="D317" t="str">
            <v xml:space="preserve">M3    </v>
          </cell>
          <cell r="E317">
            <v>110.54</v>
          </cell>
          <cell r="F317">
            <v>422.5</v>
          </cell>
          <cell r="G317">
            <v>487.82</v>
          </cell>
          <cell r="H317">
            <v>53923.62</v>
          </cell>
          <cell r="I317">
            <v>422.5</v>
          </cell>
          <cell r="J317">
            <v>465.05</v>
          </cell>
          <cell r="K317">
            <v>51406.63</v>
          </cell>
        </row>
        <row r="318">
          <cell r="A318" t="str">
            <v>1.6</v>
          </cell>
          <cell r="C318" t="str">
            <v>RUA JESUS DE NAZARÉ - CURADO IV</v>
          </cell>
          <cell r="H318">
            <v>737513.62</v>
          </cell>
          <cell r="K318">
            <v>721603.77</v>
          </cell>
        </row>
        <row r="319">
          <cell r="A319" t="str">
            <v>1.6.1</v>
          </cell>
          <cell r="C319" t="str">
            <v>INSTALAÇÕES PROVISÓRIAS</v>
          </cell>
          <cell r="H319">
            <v>10711.26</v>
          </cell>
          <cell r="K319">
            <v>10252.02</v>
          </cell>
        </row>
        <row r="320">
          <cell r="A320" t="str">
            <v>1.6.1.1</v>
          </cell>
          <cell r="B320" t="str">
            <v>CP-74209/001-15055090</v>
          </cell>
          <cell r="C320" t="str">
            <v>PLACA DE OBRA EM CHAPA DE ACO GALVANIZADO</v>
          </cell>
          <cell r="D320" t="str">
            <v xml:space="preserve">M2    </v>
          </cell>
          <cell r="E320">
            <v>8</v>
          </cell>
          <cell r="F320">
            <v>558.35</v>
          </cell>
          <cell r="G320">
            <v>690.06</v>
          </cell>
          <cell r="H320">
            <v>5520.48</v>
          </cell>
          <cell r="I320">
            <v>564.99</v>
          </cell>
          <cell r="J320">
            <v>664.26</v>
          </cell>
          <cell r="K320">
            <v>5314.08</v>
          </cell>
        </row>
        <row r="321">
          <cell r="A321" t="str">
            <v>1.6.1.2</v>
          </cell>
          <cell r="B321" t="str">
            <v>COMP-07440249</v>
          </cell>
          <cell r="C321" t="str">
            <v>BANHEIRO QUÍMICO, COM LOCAÇÃO, TRANSPORTE E LIMPEZA</v>
          </cell>
          <cell r="D321" t="str">
            <v>MÊS</v>
          </cell>
          <cell r="E321">
            <v>6</v>
          </cell>
          <cell r="F321">
            <v>700</v>
          </cell>
          <cell r="G321">
            <v>865.13</v>
          </cell>
          <cell r="H321">
            <v>5190.78</v>
          </cell>
          <cell r="I321">
            <v>700</v>
          </cell>
          <cell r="J321">
            <v>822.99</v>
          </cell>
          <cell r="K321">
            <v>4937.9399999999996</v>
          </cell>
        </row>
        <row r="322">
          <cell r="A322" t="str">
            <v>1.6.2</v>
          </cell>
          <cell r="C322" t="str">
            <v>ADMINISTRAÇÃO LOCAL</v>
          </cell>
          <cell r="H322">
            <v>29637.5</v>
          </cell>
          <cell r="K322">
            <v>32480.31</v>
          </cell>
        </row>
        <row r="323">
          <cell r="A323" t="str">
            <v>1.6.2.1</v>
          </cell>
          <cell r="B323">
            <v>93565</v>
          </cell>
          <cell r="C323" t="str">
            <v>ENGENHEIRO CIVIL DE OBRA JUNIOR COM ENCARGOS COMPLEMENTARES</v>
          </cell>
          <cell r="D323" t="str">
            <v>MES</v>
          </cell>
          <cell r="E323">
            <v>0.75</v>
          </cell>
          <cell r="F323">
            <v>14549.96</v>
          </cell>
          <cell r="G323">
            <v>17982.3</v>
          </cell>
          <cell r="H323">
            <v>13486.73</v>
          </cell>
          <cell r="I323">
            <v>16819.14</v>
          </cell>
          <cell r="J323">
            <v>19774.259999999998</v>
          </cell>
          <cell r="K323">
            <v>14830.7</v>
          </cell>
        </row>
        <row r="324">
          <cell r="A324" t="str">
            <v>1.6.2.2</v>
          </cell>
          <cell r="B324">
            <v>93572</v>
          </cell>
          <cell r="C324" t="str">
            <v>ENCARREGADO GERAL DE OBRAS COM ENCARGOS COMPLEMENTARES</v>
          </cell>
          <cell r="D324" t="str">
            <v>MES</v>
          </cell>
          <cell r="E324">
            <v>2.25</v>
          </cell>
          <cell r="F324">
            <v>5808.01</v>
          </cell>
          <cell r="G324">
            <v>7178.12</v>
          </cell>
          <cell r="H324">
            <v>16150.77</v>
          </cell>
          <cell r="I324">
            <v>6672</v>
          </cell>
          <cell r="J324">
            <v>7844.27</v>
          </cell>
          <cell r="K324">
            <v>17649.61</v>
          </cell>
        </row>
        <row r="325">
          <cell r="A325" t="str">
            <v>1.6.3</v>
          </cell>
          <cell r="C325" t="str">
            <v>SERVIÇOS PRELIMINARES</v>
          </cell>
          <cell r="H325">
            <v>8629.7199999999993</v>
          </cell>
          <cell r="K325">
            <v>8949.52</v>
          </cell>
        </row>
        <row r="326">
          <cell r="A326" t="str">
            <v>1.6.3.1</v>
          </cell>
          <cell r="B326">
            <v>99064</v>
          </cell>
          <cell r="C326" t="str">
            <v>LOCAÇÃO DE PAVIMENTAÇÃO. AF_10/2018</v>
          </cell>
          <cell r="D326" t="str">
            <v>M</v>
          </cell>
          <cell r="E326">
            <v>614.01</v>
          </cell>
          <cell r="F326">
            <v>0.43</v>
          </cell>
          <cell r="G326">
            <v>0.53</v>
          </cell>
          <cell r="H326">
            <v>325.43</v>
          </cell>
          <cell r="I326">
            <v>0.49</v>
          </cell>
          <cell r="J326">
            <v>0.57999999999999996</v>
          </cell>
          <cell r="K326">
            <v>356.13</v>
          </cell>
        </row>
        <row r="327">
          <cell r="A327" t="str">
            <v>1.6.3.2</v>
          </cell>
          <cell r="B327" t="str">
            <v>COMP-17562084</v>
          </cell>
          <cell r="C327" t="str">
            <v>DEMOLIÇÃO MANUAL DE CONCRETO SIMPLES</v>
          </cell>
          <cell r="D327" t="str">
            <v>M3</v>
          </cell>
          <cell r="E327">
            <v>26.56</v>
          </cell>
          <cell r="F327">
            <v>190.89</v>
          </cell>
          <cell r="G327">
            <v>235.92</v>
          </cell>
          <cell r="H327">
            <v>6266.04</v>
          </cell>
          <cell r="I327">
            <v>212.24</v>
          </cell>
          <cell r="J327">
            <v>249.53</v>
          </cell>
          <cell r="K327">
            <v>6627.52</v>
          </cell>
        </row>
        <row r="328">
          <cell r="A328" t="str">
            <v>1.6.3.3</v>
          </cell>
          <cell r="B328" t="str">
            <v>COMP-35145154</v>
          </cell>
          <cell r="C328" t="str">
            <v>CARGA E DESCARGA MECANICA DE SOLO UTILIZANDO CAMINHAO BASCULANTE 14,0M3/36T E PA CARREGADEIRA SOBRE PNEUS 128 HP, CAPACIDADE DA CAÇAMBA 1,7 A 2,8 M3, PESO OPERACIONAL 11632 KH</v>
          </cell>
          <cell r="D328" t="str">
            <v>M3</v>
          </cell>
          <cell r="E328">
            <v>33.200000000000003</v>
          </cell>
          <cell r="F328">
            <v>2.83</v>
          </cell>
          <cell r="G328">
            <v>3.5</v>
          </cell>
          <cell r="H328">
            <v>116.2</v>
          </cell>
          <cell r="I328">
            <v>2.9</v>
          </cell>
          <cell r="J328">
            <v>3.41</v>
          </cell>
          <cell r="K328">
            <v>113.21</v>
          </cell>
        </row>
        <row r="329">
          <cell r="A329" t="str">
            <v>1.6.3.4</v>
          </cell>
          <cell r="B329">
            <v>95876</v>
          </cell>
          <cell r="C329" t="str">
            <v>TRANSPORTE COM CAMINHÃO BASCULANTE DE 14 M³, EM VIA URBANA PAVIMENTADA, DMT ATÉ 30 KM (UNIDADE: M3XKM). AF_07/2020</v>
          </cell>
          <cell r="D329" t="str">
            <v>M3XKM</v>
          </cell>
          <cell r="E329">
            <v>693.88</v>
          </cell>
          <cell r="F329">
            <v>2.2400000000000002</v>
          </cell>
          <cell r="G329">
            <v>2.77</v>
          </cell>
          <cell r="H329">
            <v>1922.05</v>
          </cell>
          <cell r="I329">
            <v>2.27</v>
          </cell>
          <cell r="J329">
            <v>2.67</v>
          </cell>
          <cell r="K329">
            <v>1852.66</v>
          </cell>
        </row>
        <row r="330">
          <cell r="A330" t="str">
            <v>1.6.4</v>
          </cell>
          <cell r="C330" t="str">
            <v>TERRAPLENAGEM</v>
          </cell>
          <cell r="H330">
            <v>79238.14</v>
          </cell>
          <cell r="K330">
            <v>76447.929999999993</v>
          </cell>
        </row>
        <row r="331">
          <cell r="A331" t="str">
            <v>1.6.4.1</v>
          </cell>
          <cell r="B331" t="str">
            <v>CP-74205/001-17324935</v>
          </cell>
          <cell r="C331" t="str">
            <v>ESCAVAÇÃO MECÂNICA DE MATERIAL 1A. CATEGORIA, PROVENIENTE DE CORTE DE SUBLEITO (C/TRATOR ESTEIRAS  160HP)</v>
          </cell>
          <cell r="D331" t="str">
            <v>M3</v>
          </cell>
          <cell r="E331">
            <v>995.02</v>
          </cell>
          <cell r="F331">
            <v>2.54</v>
          </cell>
          <cell r="G331">
            <v>3.14</v>
          </cell>
          <cell r="H331">
            <v>3124.36</v>
          </cell>
          <cell r="I331">
            <v>2.59</v>
          </cell>
          <cell r="J331">
            <v>3.05</v>
          </cell>
          <cell r="K331">
            <v>3034.81</v>
          </cell>
        </row>
        <row r="332">
          <cell r="A332" t="str">
            <v>1.6.4.2</v>
          </cell>
          <cell r="B332" t="str">
            <v>COMP-35145154</v>
          </cell>
          <cell r="C332" t="str">
            <v>CARGA E DESCARGA MECANICA DE SOLO UTILIZANDO CAMINHAO BASCULANTE 14,0M3/36T E PA CARREGADEIRA SOBRE PNEUS 128 HP, CAPACIDADE DA CAÇAMBA 1,7 A 2,8 M3, PESO OPERACIONAL 11632 KH</v>
          </cell>
          <cell r="D332" t="str">
            <v>M3</v>
          </cell>
          <cell r="E332">
            <v>1238.78</v>
          </cell>
          <cell r="F332">
            <v>2.83</v>
          </cell>
          <cell r="G332">
            <v>3.5</v>
          </cell>
          <cell r="H332">
            <v>4335.7299999999996</v>
          </cell>
          <cell r="I332">
            <v>2.9</v>
          </cell>
          <cell r="J332">
            <v>3.41</v>
          </cell>
          <cell r="K332">
            <v>4224.24</v>
          </cell>
        </row>
        <row r="333">
          <cell r="A333" t="str">
            <v>1.6.4.3</v>
          </cell>
          <cell r="B333">
            <v>95876</v>
          </cell>
          <cell r="C333" t="str">
            <v>TRANSPORTE COM CAMINHÃO BASCULANTE DE 14 M³, EM VIA URBANA PAVIMENTADA, DMT ATÉ 30 KM (UNIDADE: M3XKM). AF_07/2020</v>
          </cell>
          <cell r="D333" t="str">
            <v>M3XKM</v>
          </cell>
          <cell r="E333">
            <v>25890.5</v>
          </cell>
          <cell r="F333">
            <v>2.2400000000000002</v>
          </cell>
          <cell r="G333">
            <v>2.77</v>
          </cell>
          <cell r="H333">
            <v>71716.69</v>
          </cell>
          <cell r="I333">
            <v>2.27</v>
          </cell>
          <cell r="J333">
            <v>2.67</v>
          </cell>
          <cell r="K333">
            <v>69127.64</v>
          </cell>
        </row>
        <row r="334">
          <cell r="A334" t="str">
            <v>1.6.4.4</v>
          </cell>
          <cell r="B334">
            <v>96385</v>
          </cell>
          <cell r="C334" t="str">
            <v>EXECUÇÃO E COMPACTAÇÃO DE ATERRO COM SOLO PREDOMINANTEMENTE ARGILOSO - EXCLUSIVE SOLO, ESCAVAÇÃO, CARGA E TRANSPORTE. AF_11/2019</v>
          </cell>
          <cell r="D334" t="str">
            <v>M3</v>
          </cell>
          <cell r="E334">
            <v>4</v>
          </cell>
          <cell r="F334">
            <v>12.41</v>
          </cell>
          <cell r="G334">
            <v>15.34</v>
          </cell>
          <cell r="H334">
            <v>61.36</v>
          </cell>
          <cell r="I334">
            <v>13.02</v>
          </cell>
          <cell r="J334">
            <v>15.31</v>
          </cell>
          <cell r="K334">
            <v>61.24</v>
          </cell>
        </row>
        <row r="335">
          <cell r="A335" t="str">
            <v>1.6.5</v>
          </cell>
          <cell r="C335" t="str">
            <v>PAVIMENTAÇÃO</v>
          </cell>
          <cell r="H335">
            <v>198646.97</v>
          </cell>
          <cell r="K335">
            <v>197326.92</v>
          </cell>
        </row>
        <row r="336">
          <cell r="A336" t="str">
            <v>1.6.5.1</v>
          </cell>
          <cell r="B336">
            <v>100576</v>
          </cell>
          <cell r="C336" t="str">
            <v>REGULARIZAÇÃO E COMPACTAÇÃO DE SUBLEITO DE SOLO  PREDOMINANTEMENTE ARGILOSO. AF_11/2019</v>
          </cell>
          <cell r="D336" t="str">
            <v>M2</v>
          </cell>
          <cell r="E336">
            <v>3261.9</v>
          </cell>
          <cell r="F336">
            <v>2.64</v>
          </cell>
          <cell r="G336">
            <v>3.26</v>
          </cell>
          <cell r="H336">
            <v>10633.79</v>
          </cell>
          <cell r="I336">
            <v>2.79</v>
          </cell>
          <cell r="J336">
            <v>3.28</v>
          </cell>
          <cell r="K336">
            <v>10699.03</v>
          </cell>
        </row>
        <row r="337">
          <cell r="A337" t="str">
            <v>1.6.5.2</v>
          </cell>
          <cell r="B337" t="str">
            <v>CP-96396-26507981</v>
          </cell>
          <cell r="C337" t="str">
            <v>EXECUÇÃO E COMPACTAÇÃO DE BASE E OU SUB BASE PARA PAVIMENTAÇÃO DE BRITA GRADUADA SIMPLES - EXCLUSIVE MATERIAL, CARGA E TRANSPORTE</v>
          </cell>
          <cell r="D337" t="str">
            <v>M3</v>
          </cell>
          <cell r="E337">
            <v>610.41</v>
          </cell>
          <cell r="F337">
            <v>13.86</v>
          </cell>
          <cell r="G337">
            <v>17.13</v>
          </cell>
          <cell r="H337">
            <v>10456.32</v>
          </cell>
          <cell r="I337">
            <v>14.44</v>
          </cell>
          <cell r="J337">
            <v>16.98</v>
          </cell>
          <cell r="K337">
            <v>10364.76</v>
          </cell>
        </row>
        <row r="338">
          <cell r="A338" t="str">
            <v>1.6.5.3</v>
          </cell>
          <cell r="B338" t="str">
            <v>COMP-35145154</v>
          </cell>
          <cell r="C338" t="str">
            <v>CARGA E DESCARGA MECANICA DE SOLO UTILIZANDO CAMINHAO BASCULANTE 14,0M3/36T E PA CARREGADEIRA SOBRE PNEUS 128 HP, CAPACIDADE DA CAÇAMBA 1,7 A 2,8 M3, PESO OPERACIONAL 11632 KH</v>
          </cell>
          <cell r="D338" t="str">
            <v>M3</v>
          </cell>
          <cell r="E338">
            <v>763.01</v>
          </cell>
          <cell r="F338">
            <v>2.83</v>
          </cell>
          <cell r="G338">
            <v>3.5</v>
          </cell>
          <cell r="H338">
            <v>2670.54</v>
          </cell>
          <cell r="I338">
            <v>2.9</v>
          </cell>
          <cell r="J338">
            <v>3.41</v>
          </cell>
          <cell r="K338">
            <v>2601.86</v>
          </cell>
        </row>
        <row r="339">
          <cell r="A339" t="str">
            <v>1.6.5.4</v>
          </cell>
          <cell r="B339" t="str">
            <v>COMP-83526730</v>
          </cell>
          <cell r="C339" t="str">
            <v>TRANSPORTE COMERCIAL DE BRITA</v>
          </cell>
          <cell r="D339" t="str">
            <v>M3XKM</v>
          </cell>
          <cell r="E339">
            <v>10987.34</v>
          </cell>
          <cell r="F339">
            <v>1.36</v>
          </cell>
          <cell r="G339">
            <v>1.68</v>
          </cell>
          <cell r="H339">
            <v>18458.73</v>
          </cell>
          <cell r="I339">
            <v>1.37</v>
          </cell>
          <cell r="J339">
            <v>1.61</v>
          </cell>
          <cell r="K339">
            <v>17689.62</v>
          </cell>
        </row>
        <row r="340">
          <cell r="A340" t="str">
            <v>1.6.5.5</v>
          </cell>
          <cell r="B340" t="str">
            <v>CP-92399-27762594</v>
          </cell>
          <cell r="C340" t="str">
            <v>EXECUÇÃO DE VIA EM PISO INTERTRAVADO, COM BLOCO RETANGULAR COR NATURAL/COLORIDO DE 20 X 10 CM, ESPESSURA 8 CM - (SEM O MATERIAL BLOQUETE/PISO INTERTRAVADO)</v>
          </cell>
          <cell r="D340" t="str">
            <v>M2</v>
          </cell>
          <cell r="E340">
            <v>3007.59</v>
          </cell>
          <cell r="F340">
            <v>19.170000000000002</v>
          </cell>
          <cell r="G340">
            <v>23.69</v>
          </cell>
          <cell r="H340">
            <v>71249.81</v>
          </cell>
          <cell r="I340">
            <v>20.41</v>
          </cell>
          <cell r="J340">
            <v>24</v>
          </cell>
          <cell r="K340">
            <v>72182.16</v>
          </cell>
        </row>
        <row r="341">
          <cell r="A341" t="str">
            <v>1.6.5.6</v>
          </cell>
          <cell r="B341">
            <v>94273</v>
          </cell>
          <cell r="C341" t="str">
            <v>ASSENTAMENTO DE GUIA (MEIO-FIO) EM TRECHO RETO, CONFECCIONADA EM CONCRETO PRÉ-FABRICADO, DIMENSÕES 100X15X13X30 CM (COMPRIMENTO X BASE INFERIOR X BASE SUPERIOR X ALTURA), PARA VIAS URBANAS (USO VIÁRIO). AF_06/2016</v>
          </cell>
          <cell r="D341" t="str">
            <v>M</v>
          </cell>
          <cell r="E341">
            <v>1262.08</v>
          </cell>
          <cell r="F341">
            <v>54.61</v>
          </cell>
          <cell r="G341">
            <v>67.489999999999995</v>
          </cell>
          <cell r="H341">
            <v>85177.78</v>
          </cell>
          <cell r="I341">
            <v>56.47</v>
          </cell>
          <cell r="J341">
            <v>66.39</v>
          </cell>
          <cell r="K341">
            <v>83789.490000000005</v>
          </cell>
        </row>
        <row r="342">
          <cell r="A342" t="str">
            <v>1.6.6</v>
          </cell>
          <cell r="C342" t="str">
            <v>DRENAGEM</v>
          </cell>
          <cell r="H342">
            <v>161924.62</v>
          </cell>
          <cell r="K342">
            <v>159009.18</v>
          </cell>
        </row>
        <row r="343">
          <cell r="A343" t="str">
            <v>1.6.6.1</v>
          </cell>
          <cell r="B343">
            <v>93358</v>
          </cell>
          <cell r="C343" t="str">
            <v>ESCAVAÇÃO MANUAL DE VALA COM PROFUNDIDADE MENOR OU IGUAL A 1,30 M. AF_02/2021</v>
          </cell>
          <cell r="D343" t="str">
            <v>M3</v>
          </cell>
          <cell r="E343">
            <v>12.97</v>
          </cell>
          <cell r="F343">
            <v>70.53</v>
          </cell>
          <cell r="G343">
            <v>87.17</v>
          </cell>
          <cell r="H343">
            <v>1130.5899999999999</v>
          </cell>
          <cell r="I343">
            <v>78.319999999999993</v>
          </cell>
          <cell r="J343">
            <v>92.08</v>
          </cell>
          <cell r="K343">
            <v>1194.28</v>
          </cell>
        </row>
        <row r="344">
          <cell r="A344" t="str">
            <v>1.6.6.2</v>
          </cell>
          <cell r="B344">
            <v>90091</v>
          </cell>
          <cell r="C344" t="str">
            <v>ESCAVAÇÃO MECANIZADA DE VALA COM PROF. ATÉ 1,5 M (MÉDIA MONTANTE E JUSANTE/UMA COMPOSIÇÃO POR TRECHO), ESCAVADEIRA (0,8 M3), LARG. DE 1,5 M A 2,5 M, EM SOLO DE 1A CATEGORIA, LOCAIS COM BAIXO NÍVEL DE INTERFERÊNCIA. AF_02/2021</v>
          </cell>
          <cell r="D344" t="str">
            <v>M3</v>
          </cell>
          <cell r="E344">
            <v>89.52</v>
          </cell>
          <cell r="F344">
            <v>6.24</v>
          </cell>
          <cell r="G344">
            <v>7.71</v>
          </cell>
          <cell r="H344">
            <v>690.2</v>
          </cell>
          <cell r="I344">
            <v>6.48</v>
          </cell>
          <cell r="J344">
            <v>7.62</v>
          </cell>
          <cell r="K344">
            <v>682.14</v>
          </cell>
        </row>
        <row r="345">
          <cell r="A345" t="str">
            <v>1.6.6.3</v>
          </cell>
          <cell r="B345">
            <v>93367</v>
          </cell>
          <cell r="C345" t="str">
            <v>REATERRO MECANIZADO DE VALA COM ESCAVADEIRA HIDRÁULICA (CAPACIDADE DA CAÇAMBA: 0,8 M³ / POTÊNCIA: 111 HP), LARGURA DE 1,5 A 2,5 M, PROFUNDIDADE ATÉ 1,5 M, COM SOLO DE 1ª CATEGORIA EM LOCAIS COM BAIXO NÍVEL DE INTERFERÊNCIA. AF_04/2016</v>
          </cell>
          <cell r="D345" t="str">
            <v>M3</v>
          </cell>
          <cell r="E345">
            <v>33.57</v>
          </cell>
          <cell r="F345">
            <v>22.53</v>
          </cell>
          <cell r="G345">
            <v>27.84</v>
          </cell>
          <cell r="H345">
            <v>934.59</v>
          </cell>
          <cell r="I345">
            <v>23.75</v>
          </cell>
          <cell r="J345">
            <v>27.92</v>
          </cell>
          <cell r="K345">
            <v>937.27</v>
          </cell>
        </row>
        <row r="346">
          <cell r="A346" t="str">
            <v>1.6.6.4</v>
          </cell>
          <cell r="B346" t="str">
            <v>COMP-35145154</v>
          </cell>
          <cell r="C346" t="str">
            <v>CARGA E DESCARGA MECANICA DE SOLO UTILIZANDO CAMINHAO BASCULANTE 14,0M3/36T E PA CARREGADEIRA SOBRE PNEUS 128 HP, CAPACIDADE DA CAÇAMBA 1,7 A 2,8 M3, PESO OPERACIONAL 11632 KH</v>
          </cell>
          <cell r="D346" t="str">
            <v>M3</v>
          </cell>
          <cell r="E346">
            <v>69.94</v>
          </cell>
          <cell r="F346">
            <v>2.83</v>
          </cell>
          <cell r="G346">
            <v>3.5</v>
          </cell>
          <cell r="H346">
            <v>244.79</v>
          </cell>
          <cell r="I346">
            <v>2.9</v>
          </cell>
          <cell r="J346">
            <v>3.41</v>
          </cell>
          <cell r="K346">
            <v>238.5</v>
          </cell>
        </row>
        <row r="347">
          <cell r="A347" t="str">
            <v>1.6.6.5</v>
          </cell>
          <cell r="B347">
            <v>95876</v>
          </cell>
          <cell r="C347" t="str">
            <v>TRANSPORTE COM CAMINHÃO BASCULANTE DE 14 M³, EM VIA URBANA PAVIMENTADA, DMT ATÉ 30 KM (UNIDADE: M3XKM). AF_07/2020</v>
          </cell>
          <cell r="D347" t="str">
            <v>M3XKM</v>
          </cell>
          <cell r="E347">
            <v>1461.75</v>
          </cell>
          <cell r="F347">
            <v>2.2400000000000002</v>
          </cell>
          <cell r="G347">
            <v>2.77</v>
          </cell>
          <cell r="H347">
            <v>4049.05</v>
          </cell>
          <cell r="I347">
            <v>2.27</v>
          </cell>
          <cell r="J347">
            <v>2.67</v>
          </cell>
          <cell r="K347">
            <v>3902.87</v>
          </cell>
        </row>
        <row r="348">
          <cell r="A348" t="str">
            <v>1.6.6.6</v>
          </cell>
          <cell r="B348">
            <v>94971</v>
          </cell>
          <cell r="C348" t="str">
            <v>CONCRETO FCK = 25MPA, TRAÇO 1:2,3:2,7 (EM MASSA SECA DE CIMENTO/ AREIA MÉDIA/ BRITA 1) - PREPARO MECÂNICO COM BETONEIRA 600 L. AF_05/2021</v>
          </cell>
          <cell r="D348" t="str">
            <v>M3</v>
          </cell>
          <cell r="E348">
            <v>45.38</v>
          </cell>
          <cell r="F348">
            <v>464.88</v>
          </cell>
          <cell r="G348">
            <v>574.54999999999995</v>
          </cell>
          <cell r="H348">
            <v>26073.08</v>
          </cell>
          <cell r="I348">
            <v>472.74</v>
          </cell>
          <cell r="J348">
            <v>555.79999999999995</v>
          </cell>
          <cell r="K348">
            <v>25222.2</v>
          </cell>
        </row>
        <row r="349">
          <cell r="A349" t="str">
            <v>1.6.6.7</v>
          </cell>
          <cell r="B349" t="str">
            <v>CP-S03639-45770834</v>
          </cell>
          <cell r="C349" t="str">
            <v>Fornecimento e instalação de tela aço soldada nervurada CA-60, Q-283, malha 10x10cm, ferro 6.02mm (4,48 kg/m2), painel 2,45x6,0m, Telcon ou similar</v>
          </cell>
          <cell r="D349" t="str">
            <v>M2</v>
          </cell>
          <cell r="E349">
            <v>162.16</v>
          </cell>
          <cell r="F349">
            <v>63.95</v>
          </cell>
          <cell r="G349">
            <v>79.040000000000006</v>
          </cell>
          <cell r="H349">
            <v>12817.13</v>
          </cell>
          <cell r="I349">
            <v>65.25</v>
          </cell>
          <cell r="J349">
            <v>76.709999999999994</v>
          </cell>
          <cell r="K349">
            <v>12439.29</v>
          </cell>
        </row>
        <row r="350">
          <cell r="A350" t="str">
            <v>1.6.6.8</v>
          </cell>
          <cell r="B350">
            <v>94974</v>
          </cell>
          <cell r="C350" t="str">
            <v>CONCRETO MAGRO PARA LASTRO, TRAÇO 1:4,5:4,5 (EM MASSA SECA DE CIMENTO/ AREIA MÉDIA/ BRITA 1) - PREPARO MANUAL. AF_05/2021</v>
          </cell>
          <cell r="D350" t="str">
            <v>M3</v>
          </cell>
          <cell r="E350">
            <v>33.54</v>
          </cell>
          <cell r="F350">
            <v>423.75</v>
          </cell>
          <cell r="G350">
            <v>523.71</v>
          </cell>
          <cell r="H350">
            <v>17565.23</v>
          </cell>
          <cell r="I350">
            <v>436.13</v>
          </cell>
          <cell r="J350">
            <v>512.76</v>
          </cell>
          <cell r="K350">
            <v>17197.97</v>
          </cell>
        </row>
        <row r="351">
          <cell r="A351" t="str">
            <v>1.6.6.9</v>
          </cell>
          <cell r="B351">
            <v>92771</v>
          </cell>
          <cell r="C351" t="str">
            <v>ARMAÇÃO DE LAJE DE ESTRUTURA CONVENCIONAL DE CONCRETO ARMADO UTILIZANDO AÇO CA-50 DE 10,0 MM - MONTAGEM. AF_06/2022</v>
          </cell>
          <cell r="D351" t="str">
            <v>KG</v>
          </cell>
          <cell r="E351">
            <v>2108.23</v>
          </cell>
          <cell r="F351">
            <v>15.04</v>
          </cell>
          <cell r="G351">
            <v>18.59</v>
          </cell>
          <cell r="H351">
            <v>39192</v>
          </cell>
          <cell r="I351">
            <v>15.14</v>
          </cell>
          <cell r="J351">
            <v>17.8</v>
          </cell>
          <cell r="K351">
            <v>37526.49</v>
          </cell>
        </row>
        <row r="352">
          <cell r="A352" t="str">
            <v>1.6.6.10</v>
          </cell>
          <cell r="B352" t="str">
            <v>CP-92268-29291149</v>
          </cell>
          <cell r="C352" t="str">
            <v>FABRICAÇÃO DE FÔRMA PARA LAJES, EM CHAPA DE MADEIRA COMPENSADA PLASTIFICADA, E = 18 MM - EXCLUINDO O PAINEL DE MADEIRA COMPENSADA PLASTIFICADA DE 2200 x 1100 MM, E = *17* MM</v>
          </cell>
          <cell r="D352" t="str">
            <v>M2</v>
          </cell>
          <cell r="E352">
            <v>152.59</v>
          </cell>
          <cell r="F352">
            <v>0.98</v>
          </cell>
          <cell r="G352">
            <v>1.21</v>
          </cell>
          <cell r="H352">
            <v>184.63</v>
          </cell>
          <cell r="I352">
            <v>1.1000000000000001</v>
          </cell>
          <cell r="J352">
            <v>1.29</v>
          </cell>
          <cell r="K352">
            <v>196.84</v>
          </cell>
        </row>
        <row r="353">
          <cell r="A353" t="str">
            <v>1.6.6.11</v>
          </cell>
          <cell r="B353">
            <v>103320</v>
          </cell>
          <cell r="C353" t="str">
            <v>ALVENARIA DE VEDAÇÃO DE BLOCOS VAZADOS DE CONCRETO DE 19X19X39 CM (ESPESSURA 19 CM) E ARGAMASSA DE ASSENTAMENTO COM PREPARO EM BETONEIRA. AF_12/2021</v>
          </cell>
          <cell r="D353" t="str">
            <v>M2</v>
          </cell>
          <cell r="E353">
            <v>203.45</v>
          </cell>
          <cell r="F353">
            <v>101.36</v>
          </cell>
          <cell r="G353">
            <v>125.27</v>
          </cell>
          <cell r="H353">
            <v>25486.18</v>
          </cell>
          <cell r="I353">
            <v>105.62</v>
          </cell>
          <cell r="J353">
            <v>124.18</v>
          </cell>
          <cell r="K353">
            <v>25264.42</v>
          </cell>
        </row>
        <row r="354">
          <cell r="A354" t="str">
            <v>1.6.6.12</v>
          </cell>
          <cell r="B354">
            <v>87879</v>
          </cell>
          <cell r="C354" t="str">
            <v>CHAPISCO APLICADO EM ALVENARIAS E ESTRUTURAS DE CONCRETO INTERNAS, COM COLHER DE PEDREIRO.  ARGAMASSA TRAÇO 1:3 COM PREPARO EM BETONEIRA 400L. AF_06/2014</v>
          </cell>
          <cell r="D354" t="str">
            <v>M2</v>
          </cell>
          <cell r="E354">
            <v>203.45</v>
          </cell>
          <cell r="F354">
            <v>3.85</v>
          </cell>
          <cell r="G354">
            <v>4.76</v>
          </cell>
          <cell r="H354">
            <v>968.42</v>
          </cell>
          <cell r="I354">
            <v>4.0999999999999996</v>
          </cell>
          <cell r="J354">
            <v>4.82</v>
          </cell>
          <cell r="K354">
            <v>980.63</v>
          </cell>
        </row>
        <row r="355">
          <cell r="A355" t="str">
            <v>1.6.6.13</v>
          </cell>
          <cell r="B355">
            <v>87547</v>
          </cell>
          <cell r="C355" t="str">
            <v>MASSA ÚNICA, PARA RECEBIMENTO DE PINTURA, EM ARGAMASSA TRAÇO 1:2:8, PREPARO MECÂNICO COM BETONEIRA 400L, APLICADA MANUALMENTE EM FACES INTERNAS DE PAREDES, ESPESSURA DE 10MM, COM EXECUÇÃO DE TALISCAS. AF_06/2014</v>
          </cell>
          <cell r="D355" t="str">
            <v>M2</v>
          </cell>
          <cell r="E355">
            <v>203.45</v>
          </cell>
          <cell r="F355">
            <v>23.35</v>
          </cell>
          <cell r="G355">
            <v>28.86</v>
          </cell>
          <cell r="H355">
            <v>5871.57</v>
          </cell>
          <cell r="I355">
            <v>24.83</v>
          </cell>
          <cell r="J355">
            <v>29.19</v>
          </cell>
          <cell r="K355">
            <v>5938.71</v>
          </cell>
        </row>
        <row r="356">
          <cell r="A356" t="str">
            <v>1.6.6.14</v>
          </cell>
          <cell r="B356">
            <v>94975</v>
          </cell>
          <cell r="C356" t="str">
            <v>CONCRETO FCK = 15MPA, TRAÇO 1:3,4:3,5 (EM MASSA SECA DE CIMENTO/ AREIA MÉDIA/ BRITA 1) - PREPARO MANUAL. AF_05/2021</v>
          </cell>
          <cell r="D356" t="str">
            <v>M3</v>
          </cell>
          <cell r="E356">
            <v>21.64</v>
          </cell>
          <cell r="F356">
            <v>457.19</v>
          </cell>
          <cell r="G356">
            <v>565.04</v>
          </cell>
          <cell r="H356">
            <v>12227.47</v>
          </cell>
          <cell r="I356">
            <v>469.42</v>
          </cell>
          <cell r="J356">
            <v>551.9</v>
          </cell>
          <cell r="K356">
            <v>11943.12</v>
          </cell>
        </row>
        <row r="357">
          <cell r="A357" t="str">
            <v>1.6.6.15</v>
          </cell>
          <cell r="B357" t="str">
            <v>CP-74157/004-48264518</v>
          </cell>
          <cell r="C357" t="str">
            <v>LANCAMENTO/APLICACAO MANUAL DE CONCRETO EM FUNDACOES (concreto magro)</v>
          </cell>
          <cell r="D357" t="str">
            <v>M3</v>
          </cell>
          <cell r="E357">
            <v>100.56</v>
          </cell>
          <cell r="F357">
            <v>116.59</v>
          </cell>
          <cell r="G357">
            <v>144.09</v>
          </cell>
          <cell r="H357">
            <v>14489.69</v>
          </cell>
          <cell r="I357">
            <v>129.79</v>
          </cell>
          <cell r="J357">
            <v>152.59</v>
          </cell>
          <cell r="K357">
            <v>15344.45</v>
          </cell>
        </row>
        <row r="358">
          <cell r="A358" t="str">
            <v>1.6.7</v>
          </cell>
          <cell r="C358" t="str">
            <v>SINALIZAÇÃO</v>
          </cell>
          <cell r="H358">
            <v>4454.66</v>
          </cell>
          <cell r="K358">
            <v>4289.16</v>
          </cell>
        </row>
        <row r="359">
          <cell r="A359" t="str">
            <v>1.6.7.1</v>
          </cell>
          <cell r="B359">
            <v>5213416</v>
          </cell>
          <cell r="C359" t="str">
            <v>Confecção de placa em aço nº 16 galvanizado, com película tipo I + I</v>
          </cell>
          <cell r="D359" t="str">
            <v xml:space="preserve">M2    </v>
          </cell>
          <cell r="E359">
            <v>1.2</v>
          </cell>
          <cell r="F359">
            <v>351.9</v>
          </cell>
          <cell r="G359">
            <v>434.91</v>
          </cell>
          <cell r="H359">
            <v>521.89</v>
          </cell>
          <cell r="I359">
            <v>355.35</v>
          </cell>
          <cell r="J359">
            <v>417.78</v>
          </cell>
          <cell r="K359">
            <v>501.34</v>
          </cell>
        </row>
        <row r="360">
          <cell r="A360" t="str">
            <v>1.6.7.2</v>
          </cell>
          <cell r="B360">
            <v>5213421</v>
          </cell>
          <cell r="C360" t="str">
            <v>Confecção de placa em aço nº 16 galvanizado, com película tipo I + IV</v>
          </cell>
          <cell r="D360" t="str">
            <v xml:space="preserve">M2    </v>
          </cell>
          <cell r="E360">
            <v>3.6</v>
          </cell>
          <cell r="F360">
            <v>343.8</v>
          </cell>
          <cell r="G360">
            <v>424.9</v>
          </cell>
          <cell r="H360">
            <v>1529.64</v>
          </cell>
          <cell r="I360">
            <v>347.25</v>
          </cell>
          <cell r="J360">
            <v>408.26</v>
          </cell>
          <cell r="K360">
            <v>1469.74</v>
          </cell>
        </row>
        <row r="361">
          <cell r="A361" t="str">
            <v>1.6.7.3</v>
          </cell>
          <cell r="B361">
            <v>5216111</v>
          </cell>
          <cell r="C361" t="str">
            <v>FORNECIMENTO E IMPLANTAÇÃO DE SUPORTE E TRAVESSA PARA PLACA DE SINALIZAÇÃO EM MADEIRA DE LEI TRATADA 8 X 8 CM</v>
          </cell>
          <cell r="D361" t="str">
            <v>UND</v>
          </cell>
          <cell r="E361">
            <v>10</v>
          </cell>
          <cell r="F361">
            <v>119.1379</v>
          </cell>
          <cell r="G361">
            <v>147.24</v>
          </cell>
          <cell r="H361">
            <v>1472.4</v>
          </cell>
          <cell r="I361">
            <v>121.48</v>
          </cell>
          <cell r="J361">
            <v>142.82</v>
          </cell>
          <cell r="K361">
            <v>1428.2</v>
          </cell>
        </row>
        <row r="362">
          <cell r="A362" t="str">
            <v>1.6.7.4</v>
          </cell>
          <cell r="B362" t="str">
            <v>COMP-58084869</v>
          </cell>
          <cell r="C362" t="str">
            <v>PLACA ESMALTADA PARA IDENTIFICAÇÃO NR DE RUA, DIMENSÕES 45X25CM</v>
          </cell>
          <cell r="D362" t="str">
            <v>UND</v>
          </cell>
          <cell r="E362">
            <v>4</v>
          </cell>
          <cell r="F362">
            <v>155.54</v>
          </cell>
          <cell r="G362">
            <v>192.23</v>
          </cell>
          <cell r="H362">
            <v>768.92</v>
          </cell>
          <cell r="I362">
            <v>156.33000000000001</v>
          </cell>
          <cell r="J362">
            <v>183.8</v>
          </cell>
          <cell r="K362">
            <v>735.2</v>
          </cell>
        </row>
        <row r="363">
          <cell r="A363" t="str">
            <v>1.6.7.5</v>
          </cell>
          <cell r="B363" t="str">
            <v>CP-72947-21572945</v>
          </cell>
          <cell r="C363" t="str">
            <v>SINALIZACAO HORIZONTAL COM TINTA RETRORREFLETIVA A BASE DE RESINA ACRILICA COM MICROESFERAS DE VIDRO</v>
          </cell>
          <cell r="D363" t="str">
            <v>M2</v>
          </cell>
          <cell r="E363">
            <v>6.48</v>
          </cell>
          <cell r="F363">
            <v>20.2</v>
          </cell>
          <cell r="G363">
            <v>24.97</v>
          </cell>
          <cell r="H363">
            <v>161.81</v>
          </cell>
          <cell r="I363">
            <v>20.3</v>
          </cell>
          <cell r="J363">
            <v>23.87</v>
          </cell>
          <cell r="K363">
            <v>154.68</v>
          </cell>
        </row>
        <row r="364">
          <cell r="A364" t="str">
            <v>1.6.8</v>
          </cell>
          <cell r="C364" t="str">
            <v>MATERIAIS</v>
          </cell>
          <cell r="H364">
            <v>244270.75</v>
          </cell>
          <cell r="K364">
            <v>232848.73</v>
          </cell>
        </row>
        <row r="365">
          <cell r="A365" t="str">
            <v>1.6.8.1</v>
          </cell>
          <cell r="B365">
            <v>10775</v>
          </cell>
          <cell r="C365" t="str">
            <v xml:space="preserve">LOCACAO DE CONTAINER 2,30 X 6,00 M, ALT. 2,50 M, COM 1 SANITARIO, PARA ESCRITORIO, COMPLETO, SEM DIVISORIAS INTERNAS (NAO INCLUI MOBILIZACAO/DESMOBILIZACAO)                                                                                                                                                                                                                                                                                                                                              </v>
          </cell>
          <cell r="D365" t="str">
            <v xml:space="preserve">MES   </v>
          </cell>
          <cell r="E365">
            <v>6</v>
          </cell>
          <cell r="F365">
            <v>830</v>
          </cell>
          <cell r="G365">
            <v>958.32</v>
          </cell>
          <cell r="H365">
            <v>5749.92</v>
          </cell>
          <cell r="I365">
            <v>830</v>
          </cell>
          <cell r="J365">
            <v>913.58</v>
          </cell>
          <cell r="K365">
            <v>5481.48</v>
          </cell>
        </row>
        <row r="366">
          <cell r="A366" t="str">
            <v>1.6.8.2</v>
          </cell>
          <cell r="B366">
            <v>10776</v>
          </cell>
          <cell r="C366" t="str">
            <v xml:space="preserve">LOCACAO DE CONTAINER 2,30 X 6,00 M, ALT. 2,50 M, PARA ESCRITORIO, SEM DIVISORIAS INTERNAS E SEM SANITARIO (NAO INCLUI MOBILIZACAO/DESMOBILIZACAO)                                                                                                                                                                                                                                                                                                                                                         </v>
          </cell>
          <cell r="D366" t="str">
            <v xml:space="preserve">MES   </v>
          </cell>
          <cell r="E366">
            <v>6</v>
          </cell>
          <cell r="F366">
            <v>648.42999999999995</v>
          </cell>
          <cell r="G366">
            <v>748.68</v>
          </cell>
          <cell r="H366">
            <v>4492.08</v>
          </cell>
          <cell r="I366">
            <v>648.42999999999995</v>
          </cell>
          <cell r="J366">
            <v>713.73</v>
          </cell>
          <cell r="K366">
            <v>4282.38</v>
          </cell>
        </row>
        <row r="367">
          <cell r="A367" t="str">
            <v>1.6.8.3</v>
          </cell>
          <cell r="B367">
            <v>36170</v>
          </cell>
          <cell r="C367" t="str">
            <v xml:space="preserve">BLOQUETE/PISO INTERTRAVADO DE CONCRETO - MODELO ONDA/16 FACES/RETANGULAR/TIJOLINHO/PAVER/HOLANDES/PARALELEPIPEDO, *22 CM X 11* CM, E = 8 CM, RESISTENCIA DE 35 MPA (NBR 9781), COR NATURAL                                                                                                                                                                                                                                                                                                                </v>
          </cell>
          <cell r="D367" t="str">
            <v xml:space="preserve">M2    </v>
          </cell>
          <cell r="E367">
            <v>2231.6</v>
          </cell>
          <cell r="F367">
            <v>49</v>
          </cell>
          <cell r="G367">
            <v>56.58</v>
          </cell>
          <cell r="H367">
            <v>126263.93</v>
          </cell>
          <cell r="I367">
            <v>49</v>
          </cell>
          <cell r="J367">
            <v>53.93</v>
          </cell>
          <cell r="K367">
            <v>120350.19</v>
          </cell>
        </row>
        <row r="368">
          <cell r="A368" t="str">
            <v>1.6.8.4</v>
          </cell>
          <cell r="B368">
            <v>36154</v>
          </cell>
          <cell r="C368" t="str">
            <v xml:space="preserve">BLOQUETE/PISO INTERTRAVADO DE CONCRETO - MODELO ONDA/16 FACES/RETANGULAR/TIJOLINHO/PAVER/HOLANDES/PARALELEPIPEDO, 20 CM X 10 CM, E = 8 CM, RESISTENCIA DE 35 MPA (NBR 9781), COLORIDO                                                                                                                                                                                                                                                                                                                     </v>
          </cell>
          <cell r="D368" t="str">
            <v xml:space="preserve">M2    </v>
          </cell>
          <cell r="E368">
            <v>815.39</v>
          </cell>
          <cell r="F368">
            <v>53.92</v>
          </cell>
          <cell r="G368">
            <v>62.26</v>
          </cell>
          <cell r="H368">
            <v>50766.18</v>
          </cell>
          <cell r="I368">
            <v>53.92</v>
          </cell>
          <cell r="J368">
            <v>59.35</v>
          </cell>
          <cell r="K368">
            <v>48393.4</v>
          </cell>
        </row>
        <row r="369">
          <cell r="A369" t="str">
            <v>1.6.8.5</v>
          </cell>
          <cell r="B369" t="str">
            <v>INS-185032</v>
          </cell>
          <cell r="C369" t="str">
            <v>BRITA GRADUADA SIMPLES (BGS)</v>
          </cell>
          <cell r="D369" t="str">
            <v>M3</v>
          </cell>
          <cell r="E369">
            <v>610.41</v>
          </cell>
          <cell r="F369">
            <v>56.099999999999994</v>
          </cell>
          <cell r="G369">
            <v>64.77</v>
          </cell>
          <cell r="H369">
            <v>39536.26</v>
          </cell>
          <cell r="I369">
            <v>56.099999999999994</v>
          </cell>
          <cell r="J369">
            <v>61.75</v>
          </cell>
          <cell r="K369">
            <v>37692.82</v>
          </cell>
        </row>
        <row r="370">
          <cell r="A370" t="str">
            <v>1.6.8.6</v>
          </cell>
          <cell r="B370">
            <v>1345</v>
          </cell>
          <cell r="C370" t="str">
            <v xml:space="preserve">CHAPA/PAINEL DE MADEIRA COMPENSADA PLASTIFICADA (MADEIRITE PLASTIFICADO) PARA FORMA DE CONCRETO, DE 2200 x 1100 MM, E = *17* MM                                                                                                                                                                                                                                                                                                                                                                           </v>
          </cell>
          <cell r="D370" t="str">
            <v xml:space="preserve">M2    </v>
          </cell>
          <cell r="E370">
            <v>160.22</v>
          </cell>
          <cell r="F370">
            <v>94.4</v>
          </cell>
          <cell r="G370">
            <v>108.99</v>
          </cell>
          <cell r="H370">
            <v>17462.38</v>
          </cell>
          <cell r="I370">
            <v>94.4</v>
          </cell>
          <cell r="J370">
            <v>103.91</v>
          </cell>
          <cell r="K370">
            <v>16648.46</v>
          </cell>
        </row>
        <row r="371">
          <cell r="A371" t="str">
            <v>1.7</v>
          </cell>
          <cell r="C371" t="str">
            <v>RUA TALCI - DOIS CARNEIROS</v>
          </cell>
          <cell r="H371">
            <v>350925.92</v>
          </cell>
          <cell r="K371">
            <v>340412.3</v>
          </cell>
        </row>
        <row r="372">
          <cell r="A372" t="str">
            <v>1.7.1</v>
          </cell>
          <cell r="C372" t="str">
            <v>INSTALAÇÕES PROVISÓRIAS</v>
          </cell>
          <cell r="H372">
            <v>7250.74</v>
          </cell>
          <cell r="K372">
            <v>6960.06</v>
          </cell>
        </row>
        <row r="373">
          <cell r="A373" t="str">
            <v>1.7.1.1</v>
          </cell>
          <cell r="B373" t="str">
            <v>CP-74209/001-15055090</v>
          </cell>
          <cell r="C373" t="str">
            <v>PLACA DE OBRA EM CHAPA DE ACO GALVANIZADO</v>
          </cell>
          <cell r="D373" t="str">
            <v xml:space="preserve">M2    </v>
          </cell>
          <cell r="E373">
            <v>8</v>
          </cell>
          <cell r="F373">
            <v>558.35</v>
          </cell>
          <cell r="G373">
            <v>690.06</v>
          </cell>
          <cell r="H373">
            <v>5520.48</v>
          </cell>
          <cell r="I373">
            <v>564.99</v>
          </cell>
          <cell r="J373">
            <v>664.26</v>
          </cell>
          <cell r="K373">
            <v>5314.08</v>
          </cell>
        </row>
        <row r="374">
          <cell r="A374" t="str">
            <v>1.7.1.2</v>
          </cell>
          <cell r="B374" t="str">
            <v>COMP-07440249</v>
          </cell>
          <cell r="C374" t="str">
            <v>BANHEIRO QUÍMICO, COM LOCAÇÃO, TRANSPORTE E LIMPEZA</v>
          </cell>
          <cell r="D374" t="str">
            <v>MÊS</v>
          </cell>
          <cell r="E374">
            <v>2</v>
          </cell>
          <cell r="F374">
            <v>700</v>
          </cell>
          <cell r="G374">
            <v>865.13</v>
          </cell>
          <cell r="H374">
            <v>1730.26</v>
          </cell>
          <cell r="I374">
            <v>700</v>
          </cell>
          <cell r="J374">
            <v>822.99</v>
          </cell>
          <cell r="K374">
            <v>1645.98</v>
          </cell>
        </row>
        <row r="375">
          <cell r="A375" t="str">
            <v>1.7.2</v>
          </cell>
          <cell r="C375" t="str">
            <v>ADMINISTRAÇÃO LOCAL</v>
          </cell>
          <cell r="H375">
            <v>11673.7</v>
          </cell>
          <cell r="K375">
            <v>12787.84</v>
          </cell>
        </row>
        <row r="376">
          <cell r="A376" t="str">
            <v>1.7.2.1</v>
          </cell>
          <cell r="B376">
            <v>93565</v>
          </cell>
          <cell r="C376" t="str">
            <v>ENGENHEIRO CIVIL DE OBRA JUNIOR COM ENCARGOS COMPLEMENTARES</v>
          </cell>
          <cell r="D376" t="str">
            <v>MES</v>
          </cell>
          <cell r="E376">
            <v>0.25</v>
          </cell>
          <cell r="F376">
            <v>14549.96</v>
          </cell>
          <cell r="G376">
            <v>17982.3</v>
          </cell>
          <cell r="H376">
            <v>4495.58</v>
          </cell>
          <cell r="I376">
            <v>16819.14</v>
          </cell>
          <cell r="J376">
            <v>19774.259999999998</v>
          </cell>
          <cell r="K376">
            <v>4943.57</v>
          </cell>
        </row>
        <row r="377">
          <cell r="A377" t="str">
            <v>1.7.2.2</v>
          </cell>
          <cell r="B377">
            <v>93572</v>
          </cell>
          <cell r="C377" t="str">
            <v>ENCARREGADO GERAL DE OBRAS COM ENCARGOS COMPLEMENTARES</v>
          </cell>
          <cell r="D377" t="str">
            <v>MES</v>
          </cell>
          <cell r="E377">
            <v>1</v>
          </cell>
          <cell r="F377">
            <v>5808.01</v>
          </cell>
          <cell r="G377">
            <v>7178.12</v>
          </cell>
          <cell r="H377">
            <v>7178.12</v>
          </cell>
          <cell r="I377">
            <v>6672</v>
          </cell>
          <cell r="J377">
            <v>7844.27</v>
          </cell>
          <cell r="K377">
            <v>7844.27</v>
          </cell>
        </row>
        <row r="378">
          <cell r="A378" t="str">
            <v>1.7.3</v>
          </cell>
          <cell r="C378" t="str">
            <v>SERVIÇOS PRELIMINARES</v>
          </cell>
          <cell r="H378">
            <v>4271.34</v>
          </cell>
          <cell r="K378">
            <v>4462.5600000000004</v>
          </cell>
        </row>
        <row r="379">
          <cell r="A379" t="str">
            <v>1.7.3.1</v>
          </cell>
          <cell r="B379">
            <v>99064</v>
          </cell>
          <cell r="C379" t="str">
            <v>LOCAÇÃO DE PAVIMENTAÇÃO. AF_10/2018</v>
          </cell>
          <cell r="D379" t="str">
            <v>M</v>
          </cell>
          <cell r="E379">
            <v>179.37</v>
          </cell>
          <cell r="F379">
            <v>0.43</v>
          </cell>
          <cell r="G379">
            <v>0.53</v>
          </cell>
          <cell r="H379">
            <v>95.07</v>
          </cell>
          <cell r="I379">
            <v>0.49</v>
          </cell>
          <cell r="J379">
            <v>0.57999999999999996</v>
          </cell>
          <cell r="K379">
            <v>104.03</v>
          </cell>
        </row>
        <row r="380">
          <cell r="A380" t="str">
            <v>1.7.3.2</v>
          </cell>
          <cell r="B380" t="str">
            <v>COMP-17562084</v>
          </cell>
          <cell r="C380" t="str">
            <v>DEMOLIÇÃO MANUAL DE CONCRETO SIMPLES</v>
          </cell>
          <cell r="D380" t="str">
            <v>M3</v>
          </cell>
          <cell r="E380">
            <v>15.02</v>
          </cell>
          <cell r="F380">
            <v>190.89</v>
          </cell>
          <cell r="G380">
            <v>235.92</v>
          </cell>
          <cell r="H380">
            <v>3543.52</v>
          </cell>
          <cell r="I380">
            <v>212.24</v>
          </cell>
          <cell r="J380">
            <v>249.53</v>
          </cell>
          <cell r="K380">
            <v>3747.94</v>
          </cell>
        </row>
        <row r="381">
          <cell r="A381" t="str">
            <v>1.7.3.3</v>
          </cell>
          <cell r="B381" t="str">
            <v>COMP-35145154</v>
          </cell>
          <cell r="C381" t="str">
            <v>CARGA E DESCARGA MECANICA DE SOLO UTILIZANDO CAMINHAO BASCULANTE 14,0M3/36T E PA CARREGADEIRA SOBRE PNEUS 128 HP, CAPACIDADE DA CAÇAMBA 1,7 A 2,8 M3, PESO OPERACIONAL 11632 KH</v>
          </cell>
          <cell r="D381" t="str">
            <v>M3</v>
          </cell>
          <cell r="E381">
            <v>18.78</v>
          </cell>
          <cell r="F381">
            <v>2.83</v>
          </cell>
          <cell r="G381">
            <v>3.5</v>
          </cell>
          <cell r="H381">
            <v>65.73</v>
          </cell>
          <cell r="I381">
            <v>2.9</v>
          </cell>
          <cell r="J381">
            <v>3.41</v>
          </cell>
          <cell r="K381">
            <v>64.040000000000006</v>
          </cell>
        </row>
        <row r="382">
          <cell r="A382" t="str">
            <v>1.7.3.4</v>
          </cell>
          <cell r="B382">
            <v>95876</v>
          </cell>
          <cell r="C382" t="str">
            <v>TRANSPORTE COM CAMINHÃO BASCULANTE DE 14 M³, EM VIA URBANA PAVIMENTADA, DMT ATÉ 30 KM (UNIDADE: M3XKM). AF_07/2020</v>
          </cell>
          <cell r="D382" t="str">
            <v>M3XKM</v>
          </cell>
          <cell r="E382">
            <v>204.7</v>
          </cell>
          <cell r="F382">
            <v>2.2400000000000002</v>
          </cell>
          <cell r="G382">
            <v>2.77</v>
          </cell>
          <cell r="H382">
            <v>567.02</v>
          </cell>
          <cell r="I382">
            <v>2.27</v>
          </cell>
          <cell r="J382">
            <v>2.67</v>
          </cell>
          <cell r="K382">
            <v>546.54999999999995</v>
          </cell>
        </row>
        <row r="383">
          <cell r="A383" t="str">
            <v>1.7.4</v>
          </cell>
          <cell r="C383" t="str">
            <v>TERRAPLENAGEM</v>
          </cell>
          <cell r="H383">
            <v>36193.78</v>
          </cell>
          <cell r="K383">
            <v>34942.160000000003</v>
          </cell>
        </row>
        <row r="384">
          <cell r="A384" t="str">
            <v>1.7.4.1</v>
          </cell>
          <cell r="B384" t="str">
            <v>CP-74205/001-17324935</v>
          </cell>
          <cell r="C384" t="str">
            <v>ESCAVAÇÃO MECÂNICA DE MATERIAL 1A. CATEGORIA, PROVENIENTE DE CORTE DE SUBLEITO (C/TRATOR ESTEIRAS  160HP)</v>
          </cell>
          <cell r="D384" t="str">
            <v>M3</v>
          </cell>
          <cell r="E384">
            <v>799.75</v>
          </cell>
          <cell r="F384">
            <v>2.54</v>
          </cell>
          <cell r="G384">
            <v>3.14</v>
          </cell>
          <cell r="H384">
            <v>2511.2199999999998</v>
          </cell>
          <cell r="I384">
            <v>2.59</v>
          </cell>
          <cell r="J384">
            <v>3.05</v>
          </cell>
          <cell r="K384">
            <v>2439.2399999999998</v>
          </cell>
        </row>
        <row r="385">
          <cell r="A385" t="str">
            <v>1.7.4.2</v>
          </cell>
          <cell r="B385" t="str">
            <v>COMP-35145154</v>
          </cell>
          <cell r="C385" t="str">
            <v>CARGA E DESCARGA MECANICA DE SOLO UTILIZANDO CAMINHAO BASCULANTE 14,0M3/36T E PA CARREGADEIRA SOBRE PNEUS 128 HP, CAPACIDADE DA CAÇAMBA 1,7 A 2,8 M3, PESO OPERACIONAL 11632 KH</v>
          </cell>
          <cell r="D385" t="str">
            <v>M3</v>
          </cell>
          <cell r="E385">
            <v>999.69</v>
          </cell>
          <cell r="F385">
            <v>2.83</v>
          </cell>
          <cell r="G385">
            <v>3.5</v>
          </cell>
          <cell r="H385">
            <v>3498.92</v>
          </cell>
          <cell r="I385">
            <v>2.9</v>
          </cell>
          <cell r="J385">
            <v>3.41</v>
          </cell>
          <cell r="K385">
            <v>3408.94</v>
          </cell>
        </row>
        <row r="386">
          <cell r="A386" t="str">
            <v>1.7.4.3</v>
          </cell>
          <cell r="B386">
            <v>95876</v>
          </cell>
          <cell r="C386" t="str">
            <v>TRANSPORTE COM CAMINHÃO BASCULANTE DE 14 M³, EM VIA URBANA PAVIMENTADA, DMT ATÉ 30 KM (UNIDADE: M3XKM). AF_07/2020</v>
          </cell>
          <cell r="D386" t="str">
            <v>M3XKM</v>
          </cell>
          <cell r="E386">
            <v>10896.62</v>
          </cell>
          <cell r="F386">
            <v>2.2400000000000002</v>
          </cell>
          <cell r="G386">
            <v>2.77</v>
          </cell>
          <cell r="H386">
            <v>30183.64</v>
          </cell>
          <cell r="I386">
            <v>2.27</v>
          </cell>
          <cell r="J386">
            <v>2.67</v>
          </cell>
          <cell r="K386">
            <v>29093.98</v>
          </cell>
        </row>
        <row r="387">
          <cell r="A387" t="str">
            <v>1.7.5</v>
          </cell>
          <cell r="C387" t="str">
            <v>PAVIMENTAÇÃO</v>
          </cell>
          <cell r="H387">
            <v>105201.2</v>
          </cell>
          <cell r="K387">
            <v>103277.81</v>
          </cell>
        </row>
        <row r="388">
          <cell r="A388" t="str">
            <v>1.7.5.1</v>
          </cell>
          <cell r="B388">
            <v>100576</v>
          </cell>
          <cell r="C388" t="str">
            <v>REGULARIZAÇÃO E COMPACTAÇÃO DE SUBLEITO DE SOLO  PREDOMINANTEMENTE ARGILOSO. AF_11/2019</v>
          </cell>
          <cell r="D388" t="str">
            <v>M2</v>
          </cell>
          <cell r="E388">
            <v>1255.5899999999999</v>
          </cell>
          <cell r="F388">
            <v>2.64</v>
          </cell>
          <cell r="G388">
            <v>3.26</v>
          </cell>
          <cell r="H388">
            <v>4093.22</v>
          </cell>
          <cell r="I388">
            <v>2.79</v>
          </cell>
          <cell r="J388">
            <v>3.28</v>
          </cell>
          <cell r="K388">
            <v>4118.34</v>
          </cell>
        </row>
        <row r="389">
          <cell r="A389" t="str">
            <v>1.7.5.2</v>
          </cell>
          <cell r="B389" t="str">
            <v>COMP-47176600</v>
          </cell>
          <cell r="C389" t="str">
            <v xml:space="preserve">EXEC. DE ATERRO COM AREIA COM ADENSAMENTO HIDRAULICO </v>
          </cell>
          <cell r="D389" t="str">
            <v xml:space="preserve">M3    </v>
          </cell>
          <cell r="E389">
            <v>188.34</v>
          </cell>
          <cell r="F389">
            <v>103.23</v>
          </cell>
          <cell r="G389">
            <v>127.58</v>
          </cell>
          <cell r="H389">
            <v>24028.42</v>
          </cell>
          <cell r="I389">
            <v>104.33</v>
          </cell>
          <cell r="J389">
            <v>122.66</v>
          </cell>
          <cell r="K389">
            <v>23101.78</v>
          </cell>
        </row>
        <row r="390">
          <cell r="A390" t="str">
            <v>1.7.5.3</v>
          </cell>
          <cell r="B390" t="str">
            <v>COMP-28881239</v>
          </cell>
          <cell r="C390" t="str">
            <v>Base ou sub-base de macadame hidráulico com brita comercial - EXCLUSIVE MATERIAL, CARGA E TRANSPORTE - NÃO DESONERADO</v>
          </cell>
          <cell r="D390" t="str">
            <v>M3</v>
          </cell>
          <cell r="E390">
            <v>188.34</v>
          </cell>
          <cell r="F390">
            <v>11.24</v>
          </cell>
          <cell r="G390">
            <v>13.89</v>
          </cell>
          <cell r="H390">
            <v>2616.04</v>
          </cell>
          <cell r="I390">
            <v>11.4</v>
          </cell>
          <cell r="J390">
            <v>13.4</v>
          </cell>
          <cell r="K390">
            <v>2523.7600000000002</v>
          </cell>
        </row>
        <row r="391">
          <cell r="A391" t="str">
            <v>1.7.5.4</v>
          </cell>
          <cell r="B391" t="str">
            <v>CP-96396-26507981</v>
          </cell>
          <cell r="C391" t="str">
            <v>EXECUÇÃO E COMPACTAÇÃO DE BASE E OU SUB BASE PARA PAVIMENTAÇÃO DE BRITA GRADUADA SIMPLES - EXCLUSIVE MATERIAL, CARGA E TRANSPORTE</v>
          </cell>
          <cell r="D391" t="str">
            <v>M3</v>
          </cell>
          <cell r="E391">
            <v>215.24</v>
          </cell>
          <cell r="F391">
            <v>13.86</v>
          </cell>
          <cell r="G391">
            <v>17.13</v>
          </cell>
          <cell r="H391">
            <v>3687.06</v>
          </cell>
          <cell r="I391">
            <v>14.44</v>
          </cell>
          <cell r="J391">
            <v>16.98</v>
          </cell>
          <cell r="K391">
            <v>3654.78</v>
          </cell>
        </row>
        <row r="392">
          <cell r="A392" t="str">
            <v>1.7.5.5</v>
          </cell>
          <cell r="B392" t="str">
            <v>COMP-35145154</v>
          </cell>
          <cell r="C392" t="str">
            <v>CARGA E DESCARGA MECANICA DE SOLO UTILIZANDO CAMINHAO BASCULANTE 14,0M3/36T E PA CARREGADEIRA SOBRE PNEUS 128 HP, CAPACIDADE DA CAÇAMBA 1,7 A 2,8 M3, PESO OPERACIONAL 11632 KH</v>
          </cell>
          <cell r="D392" t="str">
            <v>M3</v>
          </cell>
          <cell r="E392">
            <v>504.48</v>
          </cell>
          <cell r="F392">
            <v>2.83</v>
          </cell>
          <cell r="G392">
            <v>3.5</v>
          </cell>
          <cell r="H392">
            <v>1765.68</v>
          </cell>
          <cell r="I392">
            <v>2.9</v>
          </cell>
          <cell r="J392">
            <v>3.41</v>
          </cell>
          <cell r="K392">
            <v>1720.28</v>
          </cell>
        </row>
        <row r="393">
          <cell r="A393" t="str">
            <v>1.7.5.6</v>
          </cell>
          <cell r="B393" t="str">
            <v>COMP-83526730</v>
          </cell>
          <cell r="C393" t="str">
            <v>TRANSPORTE COMERCIAL DE BRITA</v>
          </cell>
          <cell r="D393" t="str">
            <v>M3XKM</v>
          </cell>
          <cell r="E393">
            <v>7668.1</v>
          </cell>
          <cell r="F393">
            <v>1.36</v>
          </cell>
          <cell r="G393">
            <v>1.68</v>
          </cell>
          <cell r="H393">
            <v>12882.41</v>
          </cell>
          <cell r="I393">
            <v>1.37</v>
          </cell>
          <cell r="J393">
            <v>1.61</v>
          </cell>
          <cell r="K393">
            <v>12345.64</v>
          </cell>
        </row>
        <row r="394">
          <cell r="A394" t="str">
            <v>1.7.5.7</v>
          </cell>
          <cell r="B394" t="str">
            <v>CP-96401-52745838</v>
          </cell>
          <cell r="C394" t="str">
            <v>EXECUÇÃO DE IMPRIMAÇÃO COM ASFALTO DILUÍDO CM-30, EXCLUSIVE MATERIAL.</v>
          </cell>
          <cell r="D394" t="str">
            <v>M2</v>
          </cell>
          <cell r="E394">
            <v>1196.9100000000001</v>
          </cell>
          <cell r="F394">
            <v>1.18</v>
          </cell>
          <cell r="G394">
            <v>1.46</v>
          </cell>
          <cell r="H394">
            <v>1747.49</v>
          </cell>
          <cell r="I394">
            <v>1.24</v>
          </cell>
          <cell r="J394">
            <v>1.46</v>
          </cell>
          <cell r="K394">
            <v>1747.49</v>
          </cell>
        </row>
        <row r="395">
          <cell r="A395" t="str">
            <v>1.7.5.8</v>
          </cell>
          <cell r="B395" t="str">
            <v>CP-95995-51339760</v>
          </cell>
          <cell r="C395" t="str">
            <v>EXECUÇÃO DE PAVIMENTO COM APLICAÇÃO DE CONCRETO ASFÁLTICO, CAMADA DE ROLAMENTO - EXCLUSIVE CARGA E TRANSPORTE E CONCRETO BETUMINOSO</v>
          </cell>
          <cell r="D395" t="str">
            <v>M3</v>
          </cell>
          <cell r="E395">
            <v>59.85</v>
          </cell>
          <cell r="F395">
            <v>127.58</v>
          </cell>
          <cell r="G395">
            <v>157.68</v>
          </cell>
          <cell r="H395">
            <v>9437.15</v>
          </cell>
          <cell r="I395">
            <v>133.37</v>
          </cell>
          <cell r="J395">
            <v>156.80000000000001</v>
          </cell>
          <cell r="K395">
            <v>9384.48</v>
          </cell>
        </row>
        <row r="396">
          <cell r="A396" t="str">
            <v>1.7.5.9</v>
          </cell>
          <cell r="B396" t="str">
            <v>COMP-10034101</v>
          </cell>
          <cell r="C396" t="str">
            <v>CARGA, MANOBRAS E DESCARGA DE MISTURA BETUMINOSA A QUENTE, COM CAMINHAO BASCULANTE 6 M3, DESCARGA EM VIBRO-ACABADORA</v>
          </cell>
          <cell r="D396" t="str">
            <v>M3</v>
          </cell>
          <cell r="E396">
            <v>59.85</v>
          </cell>
          <cell r="F396">
            <v>7.74</v>
          </cell>
          <cell r="G396">
            <v>9.57</v>
          </cell>
          <cell r="H396">
            <v>572.76</v>
          </cell>
          <cell r="I396">
            <v>7.86</v>
          </cell>
          <cell r="J396">
            <v>9.24</v>
          </cell>
          <cell r="K396">
            <v>553.01</v>
          </cell>
        </row>
        <row r="397">
          <cell r="A397" t="str">
            <v>1.7.5.10</v>
          </cell>
          <cell r="B397" t="str">
            <v>CP-95303-56931542</v>
          </cell>
          <cell r="C397" t="str">
            <v>TRANSPORTE COM CAMINHÃO BASCULANTE 10 M3 DE MASSA ASFALTICA PARA PAVIMENTAÇÃO URBANA</v>
          </cell>
          <cell r="D397" t="str">
            <v>M3XKM</v>
          </cell>
          <cell r="E397">
            <v>389.03</v>
          </cell>
          <cell r="F397">
            <v>1.75</v>
          </cell>
          <cell r="G397">
            <v>2.16</v>
          </cell>
          <cell r="H397">
            <v>840.3</v>
          </cell>
          <cell r="I397">
            <v>1.77</v>
          </cell>
          <cell r="J397">
            <v>2.08</v>
          </cell>
          <cell r="K397">
            <v>809.18</v>
          </cell>
        </row>
        <row r="398">
          <cell r="A398" t="str">
            <v>1.7.5.11</v>
          </cell>
          <cell r="B398" t="str">
            <v>CP-97084-89637704</v>
          </cell>
          <cell r="C398" t="str">
            <v>REGULARIZACAO E COMPACTAÇÃO MANUAL DE TERRENO COM PLACA VIBRATÓRIA</v>
          </cell>
          <cell r="D398" t="str">
            <v>M2</v>
          </cell>
          <cell r="E398">
            <v>727.35</v>
          </cell>
          <cell r="F398">
            <v>0.59</v>
          </cell>
          <cell r="G398">
            <v>0.73</v>
          </cell>
          <cell r="H398">
            <v>530.97</v>
          </cell>
          <cell r="I398">
            <v>0.65</v>
          </cell>
          <cell r="J398">
            <v>0.76</v>
          </cell>
          <cell r="K398">
            <v>552.79</v>
          </cell>
        </row>
        <row r="399">
          <cell r="A399" t="str">
            <v>1.7.5.12</v>
          </cell>
          <cell r="B399" t="str">
            <v>CP-94991-12549457</v>
          </cell>
          <cell r="C399" t="str">
            <v>EXECUÇÃO DE PASSEIO (CALÇADA) OU PISO DE CONCRETO COM CONCRETO MOLDADO IN LOCO, USINADO, ACABAMENTO CONVENCIONAL, NÃO ARMADO - EXCLUINDO O CONCRETO USINADO 20MPA</v>
          </cell>
          <cell r="D399" t="str">
            <v>M3</v>
          </cell>
          <cell r="E399">
            <v>49.14</v>
          </cell>
          <cell r="F399">
            <v>104.6</v>
          </cell>
          <cell r="G399">
            <v>129.28</v>
          </cell>
          <cell r="H399">
            <v>6352.82</v>
          </cell>
          <cell r="I399">
            <v>112.75</v>
          </cell>
          <cell r="J399">
            <v>132.56</v>
          </cell>
          <cell r="K399">
            <v>6514</v>
          </cell>
        </row>
        <row r="400">
          <cell r="A400" t="str">
            <v>1.7.5.13</v>
          </cell>
          <cell r="B400">
            <v>94273</v>
          </cell>
          <cell r="C400" t="str">
            <v>ASSENTAMENTO DE GUIA (MEIO-FIO) EM TRECHO RETO, CONFECCIONADA EM CONCRETO PRÉ-FABRICADO, DIMENSÕES 100X15X13X30 CM (COMPRIMENTO X BASE INFERIOR X BASE SUPERIOR X ALTURA), PARA VIAS URBANAS (USO VIÁRIO). AF_06/2016</v>
          </cell>
          <cell r="D400" t="str">
            <v>M</v>
          </cell>
          <cell r="E400">
            <v>365.51</v>
          </cell>
          <cell r="F400">
            <v>54.61</v>
          </cell>
          <cell r="G400">
            <v>67.489999999999995</v>
          </cell>
          <cell r="H400">
            <v>24668.27</v>
          </cell>
          <cell r="I400">
            <v>56.47</v>
          </cell>
          <cell r="J400">
            <v>66.39</v>
          </cell>
          <cell r="K400">
            <v>24266.21</v>
          </cell>
        </row>
        <row r="401">
          <cell r="A401" t="str">
            <v>1.7.5.14</v>
          </cell>
          <cell r="B401">
            <v>94274</v>
          </cell>
          <cell r="C401" t="str">
            <v>ASSENTAMENTO DE GUIA (MEIO-FIO) EM TRECHO CURVO, CONFECCIONADA EM CONCRETO PRÉ-FABRICADO, DIMENSÕES 100X15X13X30 CM (COMPRIMENTO X BASE INFERIOR X BASE SUPERIOR X ALTURA), PARA VIAS URBANAS (USO VIÁRIO). AF_06/2016</v>
          </cell>
          <cell r="D401" t="str">
            <v>M</v>
          </cell>
          <cell r="E401">
            <v>47.08</v>
          </cell>
          <cell r="F401">
            <v>58.17</v>
          </cell>
          <cell r="G401">
            <v>71.89</v>
          </cell>
          <cell r="H401">
            <v>3384.58</v>
          </cell>
          <cell r="I401">
            <v>60.43</v>
          </cell>
          <cell r="J401">
            <v>71.05</v>
          </cell>
          <cell r="K401">
            <v>3345.03</v>
          </cell>
        </row>
        <row r="402">
          <cell r="A402" t="str">
            <v>1.7.5.15</v>
          </cell>
          <cell r="B402">
            <v>94287</v>
          </cell>
          <cell r="C402" t="str">
            <v>EXECUÇÃO DE SARJETA DE CONCRETO USINADO, MOLDADA  IN LOCO  EM TRECHO RETO, 30 CM BASE X 10 CM ALTURA. AF_06/2016</v>
          </cell>
          <cell r="D402" t="str">
            <v>M</v>
          </cell>
          <cell r="E402">
            <v>158.91</v>
          </cell>
          <cell r="F402">
            <v>37.69</v>
          </cell>
          <cell r="G402">
            <v>46.58</v>
          </cell>
          <cell r="H402">
            <v>7402.03</v>
          </cell>
          <cell r="I402">
            <v>39.770000000000003</v>
          </cell>
          <cell r="J402">
            <v>46.76</v>
          </cell>
          <cell r="K402">
            <v>7430.63</v>
          </cell>
        </row>
        <row r="403">
          <cell r="A403" t="str">
            <v>1.7.5.16</v>
          </cell>
          <cell r="B403">
            <v>94288</v>
          </cell>
          <cell r="C403" t="str">
            <v>EXECUÇÃO DE SARJETA DE CONCRETO USINADO, MOLDADA  IN LOCO  EM TRECHO CURVO, 30 CM BASE X 10 CM ALTURA. AF_06/2016</v>
          </cell>
          <cell r="D403" t="str">
            <v>M</v>
          </cell>
          <cell r="E403">
            <v>20.46</v>
          </cell>
          <cell r="F403">
            <v>47.14</v>
          </cell>
          <cell r="G403">
            <v>58.26</v>
          </cell>
          <cell r="H403">
            <v>1192</v>
          </cell>
          <cell r="I403">
            <v>50.32</v>
          </cell>
          <cell r="J403">
            <v>59.16</v>
          </cell>
          <cell r="K403">
            <v>1210.4100000000001</v>
          </cell>
        </row>
        <row r="404">
          <cell r="A404" t="str">
            <v>1.7.6</v>
          </cell>
          <cell r="C404" t="str">
            <v>SINALIZAÇÃO</v>
          </cell>
          <cell r="H404">
            <v>7869.4</v>
          </cell>
          <cell r="K404">
            <v>7733.95</v>
          </cell>
        </row>
        <row r="405">
          <cell r="A405" t="str">
            <v>1.7.6.1</v>
          </cell>
          <cell r="B405">
            <v>5213416</v>
          </cell>
          <cell r="C405" t="str">
            <v>Confecção de placa em aço nº 16 galvanizado, com película tipo I + I</v>
          </cell>
          <cell r="D405" t="str">
            <v xml:space="preserve">M2    </v>
          </cell>
          <cell r="E405">
            <v>3</v>
          </cell>
          <cell r="F405">
            <v>351.9</v>
          </cell>
          <cell r="G405">
            <v>434.91</v>
          </cell>
          <cell r="H405">
            <v>1304.73</v>
          </cell>
          <cell r="I405">
            <v>355.35</v>
          </cell>
          <cell r="J405">
            <v>417.78</v>
          </cell>
          <cell r="K405">
            <v>1253.3399999999999</v>
          </cell>
        </row>
        <row r="406">
          <cell r="A406" t="str">
            <v>1.7.6.2</v>
          </cell>
          <cell r="B406">
            <v>5213421</v>
          </cell>
          <cell r="C406" t="str">
            <v>Confecção de placa em aço nº 16 galvanizado, com película tipo I + IV</v>
          </cell>
          <cell r="D406" t="str">
            <v xml:space="preserve">M2    </v>
          </cell>
          <cell r="E406">
            <v>1.55</v>
          </cell>
          <cell r="F406">
            <v>343.8</v>
          </cell>
          <cell r="G406">
            <v>424.9</v>
          </cell>
          <cell r="H406">
            <v>658.6</v>
          </cell>
          <cell r="I406">
            <v>347.25</v>
          </cell>
          <cell r="J406">
            <v>408.26</v>
          </cell>
          <cell r="K406">
            <v>632.79999999999995</v>
          </cell>
        </row>
        <row r="407">
          <cell r="A407" t="str">
            <v>1.7.6.3</v>
          </cell>
          <cell r="B407">
            <v>5216111</v>
          </cell>
          <cell r="C407" t="str">
            <v>FORNECIMENTO E IMPLANTAÇÃO DE SUPORTE E TRAVESSA PARA PLACA DE SINALIZAÇÃO EM MADEIRA DE LEI TRATADA 8 X 8 CM</v>
          </cell>
          <cell r="D407" t="str">
            <v>UND</v>
          </cell>
          <cell r="E407">
            <v>9</v>
          </cell>
          <cell r="F407">
            <v>119.1379</v>
          </cell>
          <cell r="G407">
            <v>147.24</v>
          </cell>
          <cell r="H407">
            <v>1325.16</v>
          </cell>
          <cell r="I407">
            <v>121.48</v>
          </cell>
          <cell r="J407">
            <v>142.82</v>
          </cell>
          <cell r="K407">
            <v>1285.3800000000001</v>
          </cell>
        </row>
        <row r="408">
          <cell r="A408" t="str">
            <v>1.7.6.4</v>
          </cell>
          <cell r="B408" t="str">
            <v>COMP-58084869</v>
          </cell>
          <cell r="C408" t="str">
            <v>PLACA ESMALTADA PARA IDENTIFICAÇÃO NR DE RUA, DIMENSÕES 45X25CM</v>
          </cell>
          <cell r="D408" t="str">
            <v>UND</v>
          </cell>
          <cell r="E408">
            <v>2</v>
          </cell>
          <cell r="F408">
            <v>155.54</v>
          </cell>
          <cell r="G408">
            <v>192.23</v>
          </cell>
          <cell r="H408">
            <v>384.46</v>
          </cell>
          <cell r="I408">
            <v>156.33000000000001</v>
          </cell>
          <cell r="J408">
            <v>183.8</v>
          </cell>
          <cell r="K408">
            <v>367.6</v>
          </cell>
        </row>
        <row r="409">
          <cell r="A409" t="str">
            <v>1.7.6.5</v>
          </cell>
          <cell r="B409">
            <v>102512</v>
          </cell>
          <cell r="C409" t="str">
            <v>PINTURA DE EIXO VIÁRIO SOBRE ASFALTO COM TINTA RETRORREFLETIVA A BASE DE RESINA ACRÍLICA COM MICROESFERAS DE VIDRO, APLICAÇÃO MECÂNICA COM DEMARCADORA AUTOPROPELIDA. AF_05/2021</v>
          </cell>
          <cell r="D409" t="str">
            <v>M</v>
          </cell>
          <cell r="E409">
            <v>477.68</v>
          </cell>
          <cell r="F409">
            <v>5.22</v>
          </cell>
          <cell r="G409">
            <v>6.45</v>
          </cell>
          <cell r="H409">
            <v>3081.04</v>
          </cell>
          <cell r="I409">
            <v>5.48</v>
          </cell>
          <cell r="J409">
            <v>6.44</v>
          </cell>
          <cell r="K409">
            <v>3076.26</v>
          </cell>
        </row>
        <row r="410">
          <cell r="A410" t="str">
            <v>1.7.6.6</v>
          </cell>
          <cell r="B410">
            <v>102509</v>
          </cell>
          <cell r="C410" t="str">
            <v>PINTURA DE FAIXA DE PEDESTRE OU ZEBRADA TINTA RETRORREFLETIVA A BASE DE RESINA ACRÍLICA COM MICROESFERAS DE VIDRO, E = 30 CM, APLICAÇÃO MANUAL. AF_05/2021</v>
          </cell>
          <cell r="D410" t="str">
            <v>M2</v>
          </cell>
          <cell r="E410">
            <v>39.4</v>
          </cell>
          <cell r="F410">
            <v>22.91</v>
          </cell>
          <cell r="G410">
            <v>28.31</v>
          </cell>
          <cell r="H410">
            <v>1115.4100000000001</v>
          </cell>
          <cell r="I410">
            <v>24.15</v>
          </cell>
          <cell r="J410">
            <v>28.39</v>
          </cell>
          <cell r="K410">
            <v>1118.57</v>
          </cell>
        </row>
        <row r="411">
          <cell r="A411" t="str">
            <v>1.7.7</v>
          </cell>
          <cell r="C411" t="str">
            <v>ACESSIBILIDADE</v>
          </cell>
          <cell r="H411">
            <v>3395.36</v>
          </cell>
          <cell r="K411">
            <v>3338.98</v>
          </cell>
        </row>
        <row r="412">
          <cell r="A412" t="str">
            <v>1.7.7.1</v>
          </cell>
          <cell r="B412" t="str">
            <v>CP-S12039-81921471</v>
          </cell>
          <cell r="C412" t="str">
            <v>Piso tátil direcional e/ou alerta, de concreto, na cor natural, p/deficientes visuais, dimensões 40x40cm, aplicado com argamassa industrializada ac-ii, rejuntado, exclusive regularização de base</v>
          </cell>
          <cell r="D412" t="str">
            <v>M2</v>
          </cell>
          <cell r="E412">
            <v>25.28</v>
          </cell>
          <cell r="F412">
            <v>108.67</v>
          </cell>
          <cell r="G412">
            <v>134.31</v>
          </cell>
          <cell r="H412">
            <v>3395.36</v>
          </cell>
          <cell r="I412">
            <v>112.34</v>
          </cell>
          <cell r="J412">
            <v>132.08000000000001</v>
          </cell>
          <cell r="K412">
            <v>3338.98</v>
          </cell>
        </row>
        <row r="413">
          <cell r="A413" t="str">
            <v>1.7.8</v>
          </cell>
          <cell r="C413" t="str">
            <v>MATERIAIS</v>
          </cell>
          <cell r="H413">
            <v>175070.4</v>
          </cell>
          <cell r="K413">
            <v>166908.94</v>
          </cell>
        </row>
        <row r="414">
          <cell r="A414" t="str">
            <v>1.7.8.1</v>
          </cell>
          <cell r="B414">
            <v>10775</v>
          </cell>
          <cell r="C414" t="str">
            <v xml:space="preserve">LOCACAO DE CONTAINER 2,30 X 6,00 M, ALT. 2,50 M, COM 1 SANITARIO, PARA ESCRITORIO, COMPLETO, SEM DIVISORIAS INTERNAS (NAO INCLUI MOBILIZACAO/DESMOBILIZACAO)                                                                                                                                                                                                                                                                                                                                              </v>
          </cell>
          <cell r="D414" t="str">
            <v xml:space="preserve">MES   </v>
          </cell>
          <cell r="E414">
            <v>2</v>
          </cell>
          <cell r="F414">
            <v>830</v>
          </cell>
          <cell r="G414">
            <v>958.32</v>
          </cell>
          <cell r="H414">
            <v>1916.64</v>
          </cell>
          <cell r="I414">
            <v>830</v>
          </cell>
          <cell r="J414">
            <v>913.58</v>
          </cell>
          <cell r="K414">
            <v>1827.16</v>
          </cell>
        </row>
        <row r="415">
          <cell r="A415" t="str">
            <v>1.7.8.2</v>
          </cell>
          <cell r="B415">
            <v>10776</v>
          </cell>
          <cell r="C415" t="str">
            <v xml:space="preserve">LOCACAO DE CONTAINER 2,30 X 6,00 M, ALT. 2,50 M, PARA ESCRITORIO, SEM DIVISORIAS INTERNAS E SEM SANITARIO (NAO INCLUI MOBILIZACAO/DESMOBILIZACAO)                                                                                                                                                                                                                                                                                                                                                         </v>
          </cell>
          <cell r="D415" t="str">
            <v xml:space="preserve">MES   </v>
          </cell>
          <cell r="E415">
            <v>2</v>
          </cell>
          <cell r="F415">
            <v>648.42999999999995</v>
          </cell>
          <cell r="G415">
            <v>748.68</v>
          </cell>
          <cell r="H415">
            <v>1497.36</v>
          </cell>
          <cell r="I415">
            <v>648.42999999999995</v>
          </cell>
          <cell r="J415">
            <v>713.73</v>
          </cell>
          <cell r="K415">
            <v>1427.46</v>
          </cell>
        </row>
        <row r="416">
          <cell r="A416" t="str">
            <v>1.7.8.3</v>
          </cell>
          <cell r="B416">
            <v>1518</v>
          </cell>
          <cell r="C416" t="str">
            <v xml:space="preserve">CONCRETO BETUMINOSO USINADO A QUENTE (CBUQ) PARA PAVIMENTACAO ASFALTICA, PADRAO DNIT, FAIXA C, COM CAP 50/70 - AQUISICAO POSTO USINA                                                                                                                                                                                                                                                                                                                                                                      </v>
          </cell>
          <cell r="D416" t="str">
            <v xml:space="preserve">T     </v>
          </cell>
          <cell r="E416">
            <v>152.9</v>
          </cell>
          <cell r="F416">
            <v>522.5</v>
          </cell>
          <cell r="G416">
            <v>603.28</v>
          </cell>
          <cell r="H416">
            <v>92241.51</v>
          </cell>
          <cell r="I416">
            <v>522.5</v>
          </cell>
          <cell r="J416">
            <v>575.12</v>
          </cell>
          <cell r="K416">
            <v>87935.85</v>
          </cell>
        </row>
        <row r="417">
          <cell r="A417" t="str">
            <v>1.7.8.4</v>
          </cell>
          <cell r="B417" t="str">
            <v>INS-185032</v>
          </cell>
          <cell r="C417" t="str">
            <v>BRITA GRADUADA SIMPLES (BGS)</v>
          </cell>
          <cell r="D417" t="str">
            <v>M3</v>
          </cell>
          <cell r="E417">
            <v>215.24</v>
          </cell>
          <cell r="F417">
            <v>56.099999999999994</v>
          </cell>
          <cell r="G417">
            <v>64.77</v>
          </cell>
          <cell r="H417">
            <v>13941.09</v>
          </cell>
          <cell r="I417">
            <v>56.099999999999994</v>
          </cell>
          <cell r="J417">
            <v>61.75</v>
          </cell>
          <cell r="K417">
            <v>13291.07</v>
          </cell>
        </row>
        <row r="418">
          <cell r="A418" t="str">
            <v>1.7.8.5</v>
          </cell>
          <cell r="B418" t="str">
            <v>M0808</v>
          </cell>
          <cell r="C418" t="str">
            <v>Brita 4</v>
          </cell>
          <cell r="D418" t="str">
            <v>M3</v>
          </cell>
          <cell r="E418">
            <v>237.31</v>
          </cell>
          <cell r="F418">
            <v>90.74</v>
          </cell>
          <cell r="G418">
            <v>104.77</v>
          </cell>
          <cell r="H418">
            <v>24862.97</v>
          </cell>
          <cell r="I418">
            <v>90.74</v>
          </cell>
          <cell r="J418">
            <v>99.88</v>
          </cell>
          <cell r="K418">
            <v>23702.52</v>
          </cell>
        </row>
        <row r="419">
          <cell r="A419" t="str">
            <v>1.7.8.6</v>
          </cell>
          <cell r="B419" t="str">
            <v>M1135</v>
          </cell>
          <cell r="C419" t="str">
            <v>Pó de pedra</v>
          </cell>
          <cell r="D419" t="str">
            <v>M3</v>
          </cell>
          <cell r="E419">
            <v>26.37</v>
          </cell>
          <cell r="F419">
            <v>74.53</v>
          </cell>
          <cell r="G419">
            <v>86.05</v>
          </cell>
          <cell r="H419">
            <v>2269.14</v>
          </cell>
          <cell r="I419">
            <v>74.53</v>
          </cell>
          <cell r="J419">
            <v>82.04</v>
          </cell>
          <cell r="K419">
            <v>2163.39</v>
          </cell>
        </row>
        <row r="420">
          <cell r="A420" t="str">
            <v>1.7.8.7</v>
          </cell>
          <cell r="B420" t="str">
            <v>INS-711371</v>
          </cell>
          <cell r="C420" t="str">
            <v>ASFALTO DILUÍDO CM - 30</v>
          </cell>
          <cell r="D420" t="str">
            <v>KG</v>
          </cell>
          <cell r="E420">
            <v>1436.29</v>
          </cell>
          <cell r="F420">
            <v>5.32</v>
          </cell>
          <cell r="G420">
            <v>6.14</v>
          </cell>
          <cell r="H420">
            <v>8818.82</v>
          </cell>
          <cell r="I420">
            <v>5.32</v>
          </cell>
          <cell r="J420">
            <v>5.86</v>
          </cell>
          <cell r="K420">
            <v>8416.66</v>
          </cell>
        </row>
        <row r="421">
          <cell r="A421" t="str">
            <v>1.7.8.8</v>
          </cell>
          <cell r="B421">
            <v>34492</v>
          </cell>
          <cell r="C421" t="str">
            <v xml:space="preserve">CONCRETO USINADO BOMBEAVEL, CLASSE DE RESISTENCIA C20, COM BRITA 0 E 1, SLUMP = 100 +/- 20 MM, EXCLUI SERVICO DE BOMBEAMENTO (NBR 8953)                                                                                                                                                                                                                                                                                                                                                                   </v>
          </cell>
          <cell r="D421" t="str">
            <v xml:space="preserve">M3    </v>
          </cell>
          <cell r="E421">
            <v>60.52</v>
          </cell>
          <cell r="F421">
            <v>422.5</v>
          </cell>
          <cell r="G421">
            <v>487.82</v>
          </cell>
          <cell r="H421">
            <v>29522.87</v>
          </cell>
          <cell r="I421">
            <v>422.5</v>
          </cell>
          <cell r="J421">
            <v>465.05</v>
          </cell>
          <cell r="K421">
            <v>28144.83</v>
          </cell>
        </row>
        <row r="422">
          <cell r="A422" t="str">
            <v>1.8</v>
          </cell>
          <cell r="C422" t="str">
            <v>RUA LEÃO MARINHO - DOIS CARNEIROS</v>
          </cell>
          <cell r="H422">
            <v>242804.39</v>
          </cell>
          <cell r="K422">
            <v>236499.49</v>
          </cell>
        </row>
        <row r="423">
          <cell r="A423" t="str">
            <v>1.8.1</v>
          </cell>
          <cell r="C423" t="str">
            <v>INSTALAÇÕES PROVISÓRIAS</v>
          </cell>
          <cell r="H423">
            <v>7250.74</v>
          </cell>
          <cell r="K423">
            <v>6960.06</v>
          </cell>
        </row>
        <row r="424">
          <cell r="A424" t="str">
            <v>1.8.1.1</v>
          </cell>
          <cell r="B424" t="str">
            <v>CP-74209/001-15055090</v>
          </cell>
          <cell r="C424" t="str">
            <v>PLACA DE OBRA EM CHAPA DE ACO GALVANIZADO</v>
          </cell>
          <cell r="D424" t="str">
            <v xml:space="preserve">M2    </v>
          </cell>
          <cell r="E424">
            <v>8</v>
          </cell>
          <cell r="F424">
            <v>558.35</v>
          </cell>
          <cell r="G424">
            <v>690.06</v>
          </cell>
          <cell r="H424">
            <v>5520.48</v>
          </cell>
          <cell r="I424">
            <v>564.99</v>
          </cell>
          <cell r="J424">
            <v>664.26</v>
          </cell>
          <cell r="K424">
            <v>5314.08</v>
          </cell>
        </row>
        <row r="425">
          <cell r="A425" t="str">
            <v>1.8.1.2</v>
          </cell>
          <cell r="B425" t="str">
            <v>COMP-07440249</v>
          </cell>
          <cell r="C425" t="str">
            <v>BANHEIRO QUÍMICO, COM LOCAÇÃO, TRANSPORTE E LIMPEZA</v>
          </cell>
          <cell r="D425" t="str">
            <v>MÊS</v>
          </cell>
          <cell r="E425">
            <v>2</v>
          </cell>
          <cell r="F425">
            <v>700</v>
          </cell>
          <cell r="G425">
            <v>865.13</v>
          </cell>
          <cell r="H425">
            <v>1730.26</v>
          </cell>
          <cell r="I425">
            <v>700</v>
          </cell>
          <cell r="J425">
            <v>822.99</v>
          </cell>
          <cell r="K425">
            <v>1645.98</v>
          </cell>
        </row>
        <row r="426">
          <cell r="A426" t="str">
            <v>1.8.2</v>
          </cell>
          <cell r="C426" t="str">
            <v>ADMINISTRAÇÃO LOCAL</v>
          </cell>
          <cell r="H426">
            <v>9879.17</v>
          </cell>
          <cell r="K426">
            <v>10826.77</v>
          </cell>
        </row>
        <row r="427">
          <cell r="A427" t="str">
            <v>1.8.2.1</v>
          </cell>
          <cell r="B427">
            <v>93565</v>
          </cell>
          <cell r="C427" t="str">
            <v>ENGENHEIRO CIVIL DE OBRA JUNIOR COM ENCARGOS COMPLEMENTARES</v>
          </cell>
          <cell r="D427" t="str">
            <v>MES</v>
          </cell>
          <cell r="E427">
            <v>0.25</v>
          </cell>
          <cell r="F427">
            <v>14549.96</v>
          </cell>
          <cell r="G427">
            <v>17982.3</v>
          </cell>
          <cell r="H427">
            <v>4495.58</v>
          </cell>
          <cell r="I427">
            <v>16819.14</v>
          </cell>
          <cell r="J427">
            <v>19774.259999999998</v>
          </cell>
          <cell r="K427">
            <v>4943.57</v>
          </cell>
        </row>
        <row r="428">
          <cell r="A428" t="str">
            <v>1.8.2.2</v>
          </cell>
          <cell r="B428">
            <v>93572</v>
          </cell>
          <cell r="C428" t="str">
            <v>ENCARREGADO GERAL DE OBRAS COM ENCARGOS COMPLEMENTARES</v>
          </cell>
          <cell r="D428" t="str">
            <v>MES</v>
          </cell>
          <cell r="E428">
            <v>0.75</v>
          </cell>
          <cell r="F428">
            <v>5808.01</v>
          </cell>
          <cell r="G428">
            <v>7178.12</v>
          </cell>
          <cell r="H428">
            <v>5383.59</v>
          </cell>
          <cell r="I428">
            <v>6672</v>
          </cell>
          <cell r="J428">
            <v>7844.27</v>
          </cell>
          <cell r="K428">
            <v>5883.2</v>
          </cell>
        </row>
        <row r="429">
          <cell r="A429" t="str">
            <v>1.8.3</v>
          </cell>
          <cell r="C429" t="str">
            <v>SERVIÇOS PRELIMINARES</v>
          </cell>
          <cell r="H429">
            <v>2077.3200000000002</v>
          </cell>
          <cell r="K429">
            <v>2181.81</v>
          </cell>
        </row>
        <row r="430">
          <cell r="A430" t="str">
            <v>1.8.3.1</v>
          </cell>
          <cell r="B430">
            <v>99064</v>
          </cell>
          <cell r="C430" t="str">
            <v>LOCAÇÃO DE PAVIMENTAÇÃO. AF_10/2018</v>
          </cell>
          <cell r="D430" t="str">
            <v>M</v>
          </cell>
          <cell r="E430">
            <v>116.97</v>
          </cell>
          <cell r="F430">
            <v>0.43</v>
          </cell>
          <cell r="G430">
            <v>0.53</v>
          </cell>
          <cell r="H430">
            <v>61.99</v>
          </cell>
          <cell r="I430">
            <v>0.49</v>
          </cell>
          <cell r="J430">
            <v>0.57999999999999996</v>
          </cell>
          <cell r="K430">
            <v>67.84</v>
          </cell>
        </row>
        <row r="431">
          <cell r="A431" t="str">
            <v>1.8.3.2</v>
          </cell>
          <cell r="B431" t="str">
            <v>COMP-17562084</v>
          </cell>
          <cell r="C431" t="str">
            <v>DEMOLIÇÃO MANUAL DE CONCRETO SIMPLES</v>
          </cell>
          <cell r="D431" t="str">
            <v>M3</v>
          </cell>
          <cell r="E431">
            <v>7.73</v>
          </cell>
          <cell r="F431">
            <v>190.89</v>
          </cell>
          <cell r="G431">
            <v>235.92</v>
          </cell>
          <cell r="H431">
            <v>1823.66</v>
          </cell>
          <cell r="I431">
            <v>212.24</v>
          </cell>
          <cell r="J431">
            <v>249.53</v>
          </cell>
          <cell r="K431">
            <v>1928.87</v>
          </cell>
        </row>
        <row r="432">
          <cell r="A432" t="str">
            <v>1.8.3.3</v>
          </cell>
          <cell r="B432" t="str">
            <v>COMP-35145154</v>
          </cell>
          <cell r="C432" t="str">
            <v>CARGA E DESCARGA MECANICA DE SOLO UTILIZANDO CAMINHAO BASCULANTE 14,0M3/36T E PA CARREGADEIRA SOBRE PNEUS 128 HP, CAPACIDADE DA CAÇAMBA 1,7 A 2,8 M3, PESO OPERACIONAL 11632 KH</v>
          </cell>
          <cell r="D432" t="str">
            <v>M3</v>
          </cell>
          <cell r="E432">
            <v>9.66</v>
          </cell>
          <cell r="F432">
            <v>2.83</v>
          </cell>
          <cell r="G432">
            <v>3.5</v>
          </cell>
          <cell r="H432">
            <v>33.81</v>
          </cell>
          <cell r="I432">
            <v>2.9</v>
          </cell>
          <cell r="J432">
            <v>3.41</v>
          </cell>
          <cell r="K432">
            <v>32.94</v>
          </cell>
        </row>
        <row r="433">
          <cell r="A433" t="str">
            <v>1.8.3.4</v>
          </cell>
          <cell r="B433">
            <v>95876</v>
          </cell>
          <cell r="C433" t="str">
            <v>TRANSPORTE COM CAMINHÃO BASCULANTE DE 14 M³, EM VIA URBANA PAVIMENTADA, DMT ATÉ 30 KM (UNIDADE: M3XKM). AF_07/2020</v>
          </cell>
          <cell r="D433" t="str">
            <v>M3XKM</v>
          </cell>
          <cell r="E433">
            <v>56.99</v>
          </cell>
          <cell r="F433">
            <v>2.2400000000000002</v>
          </cell>
          <cell r="G433">
            <v>2.77</v>
          </cell>
          <cell r="H433">
            <v>157.86000000000001</v>
          </cell>
          <cell r="I433">
            <v>2.27</v>
          </cell>
          <cell r="J433">
            <v>2.67</v>
          </cell>
          <cell r="K433">
            <v>152.16</v>
          </cell>
        </row>
        <row r="434">
          <cell r="A434" t="str">
            <v>1.8.4</v>
          </cell>
          <cell r="C434" t="str">
            <v>TERRAPLENAGEM</v>
          </cell>
          <cell r="H434">
            <v>15630.27</v>
          </cell>
          <cell r="K434">
            <v>15104.51</v>
          </cell>
        </row>
        <row r="435">
          <cell r="A435" t="str">
            <v>1.8.4.1</v>
          </cell>
          <cell r="B435" t="str">
            <v>CP-74205/001-17324935</v>
          </cell>
          <cell r="C435" t="str">
            <v>ESCAVAÇÃO MECÂNICA DE MATERIAL 1A. CATEGORIA, PROVENIENTE DE CORTE DE SUBLEITO (C/TRATOR ESTEIRAS  160HP)</v>
          </cell>
          <cell r="D435" t="str">
            <v>M3</v>
          </cell>
          <cell r="E435">
            <v>559.36</v>
          </cell>
          <cell r="F435">
            <v>2.54</v>
          </cell>
          <cell r="G435">
            <v>3.14</v>
          </cell>
          <cell r="H435">
            <v>1756.39</v>
          </cell>
          <cell r="I435">
            <v>2.59</v>
          </cell>
          <cell r="J435">
            <v>3.05</v>
          </cell>
          <cell r="K435">
            <v>1706.05</v>
          </cell>
        </row>
        <row r="436">
          <cell r="A436" t="str">
            <v>1.8.4.2</v>
          </cell>
          <cell r="B436" t="str">
            <v>COMP-35145154</v>
          </cell>
          <cell r="C436" t="str">
            <v>CARGA E DESCARGA MECANICA DE SOLO UTILIZANDO CAMINHAO BASCULANTE 14,0M3/36T E PA CARREGADEIRA SOBRE PNEUS 128 HP, CAPACIDADE DA CAÇAMBA 1,7 A 2,8 M3, PESO OPERACIONAL 11632 KH</v>
          </cell>
          <cell r="D436" t="str">
            <v>M3</v>
          </cell>
          <cell r="E436">
            <v>699.16</v>
          </cell>
          <cell r="F436">
            <v>2.83</v>
          </cell>
          <cell r="G436">
            <v>3.5</v>
          </cell>
          <cell r="H436">
            <v>2447.06</v>
          </cell>
          <cell r="I436">
            <v>2.9</v>
          </cell>
          <cell r="J436">
            <v>3.41</v>
          </cell>
          <cell r="K436">
            <v>2384.14</v>
          </cell>
        </row>
        <row r="437">
          <cell r="A437" t="str">
            <v>1.8.4.3</v>
          </cell>
          <cell r="B437">
            <v>95876</v>
          </cell>
          <cell r="C437" t="str">
            <v>TRANSPORTE COM CAMINHÃO BASCULANTE DE 14 M³, EM VIA URBANA PAVIMENTADA, DMT ATÉ 30 KM (UNIDADE: M3XKM). AF_07/2020</v>
          </cell>
          <cell r="D437" t="str">
            <v>M3XKM</v>
          </cell>
          <cell r="E437">
            <v>4125.04</v>
          </cell>
          <cell r="F437">
            <v>2.2400000000000002</v>
          </cell>
          <cell r="G437">
            <v>2.77</v>
          </cell>
          <cell r="H437">
            <v>11426.36</v>
          </cell>
          <cell r="I437">
            <v>2.27</v>
          </cell>
          <cell r="J437">
            <v>2.67</v>
          </cell>
          <cell r="K437">
            <v>11013.86</v>
          </cell>
        </row>
        <row r="438">
          <cell r="A438" t="str">
            <v>1.8.4.4</v>
          </cell>
          <cell r="B438">
            <v>96385</v>
          </cell>
          <cell r="C438" t="str">
            <v>EXECUÇÃO E COMPACTAÇÃO DE ATERRO COM SOLO PREDOMINANTEMENTE ARGILOSO - EXCLUSIVE SOLO, ESCAVAÇÃO, CARGA E TRANSPORTE. AF_11/2019</v>
          </cell>
          <cell r="D438" t="str">
            <v>M3</v>
          </cell>
          <cell r="E438">
            <v>0.03</v>
          </cell>
          <cell r="F438">
            <v>12.41</v>
          </cell>
          <cell r="G438">
            <v>15.34</v>
          </cell>
          <cell r="H438">
            <v>0.46</v>
          </cell>
          <cell r="I438">
            <v>13.02</v>
          </cell>
          <cell r="J438">
            <v>15.31</v>
          </cell>
          <cell r="K438">
            <v>0.46</v>
          </cell>
        </row>
        <row r="439">
          <cell r="A439" t="str">
            <v>1.8.5</v>
          </cell>
          <cell r="C439" t="str">
            <v>PAVIMENTAÇÃO</v>
          </cell>
          <cell r="H439">
            <v>49328.94</v>
          </cell>
          <cell r="K439">
            <v>48350.77</v>
          </cell>
        </row>
        <row r="440">
          <cell r="A440" t="str">
            <v>1.8.5.1</v>
          </cell>
          <cell r="B440">
            <v>100576</v>
          </cell>
          <cell r="C440" t="str">
            <v>REGULARIZAÇÃO E COMPACTAÇÃO DE SUBLEITO DE SOLO  PREDOMINANTEMENTE ARGILOSO. AF_11/2019</v>
          </cell>
          <cell r="D440" t="str">
            <v>M2</v>
          </cell>
          <cell r="E440">
            <v>669.58</v>
          </cell>
          <cell r="F440">
            <v>2.64</v>
          </cell>
          <cell r="G440">
            <v>3.26</v>
          </cell>
          <cell r="H440">
            <v>2182.83</v>
          </cell>
          <cell r="I440">
            <v>2.79</v>
          </cell>
          <cell r="J440">
            <v>3.28</v>
          </cell>
          <cell r="K440">
            <v>2196.2199999999998</v>
          </cell>
        </row>
        <row r="441">
          <cell r="A441" t="str">
            <v>1.8.5.2</v>
          </cell>
          <cell r="B441" t="str">
            <v>COMP-47176600</v>
          </cell>
          <cell r="C441" t="str">
            <v xml:space="preserve">EXEC. DE ATERRO COM AREIA COM ADENSAMENTO HIDRAULICO </v>
          </cell>
          <cell r="D441" t="str">
            <v xml:space="preserve">M3    </v>
          </cell>
          <cell r="E441">
            <v>85.89</v>
          </cell>
          <cell r="F441">
            <v>103.23</v>
          </cell>
          <cell r="G441">
            <v>127.58</v>
          </cell>
          <cell r="H441">
            <v>10957.85</v>
          </cell>
          <cell r="I441">
            <v>104.33</v>
          </cell>
          <cell r="J441">
            <v>122.66</v>
          </cell>
          <cell r="K441">
            <v>10535.27</v>
          </cell>
        </row>
        <row r="442">
          <cell r="A442" t="str">
            <v>1.8.5.3</v>
          </cell>
          <cell r="B442" t="str">
            <v>COMP-28881239</v>
          </cell>
          <cell r="C442" t="str">
            <v>Base ou sub-base de macadame hidráulico com brita comercial - EXCLUSIVE MATERIAL, CARGA E TRANSPORTE - NÃO DESONERADO</v>
          </cell>
          <cell r="D442" t="str">
            <v>M3</v>
          </cell>
          <cell r="E442">
            <v>85.89</v>
          </cell>
          <cell r="F442">
            <v>11.24</v>
          </cell>
          <cell r="G442">
            <v>13.89</v>
          </cell>
          <cell r="H442">
            <v>1193.01</v>
          </cell>
          <cell r="I442">
            <v>11.4</v>
          </cell>
          <cell r="J442">
            <v>13.4</v>
          </cell>
          <cell r="K442">
            <v>1150.93</v>
          </cell>
        </row>
        <row r="443">
          <cell r="A443" t="str">
            <v>1.8.5.4</v>
          </cell>
          <cell r="B443" t="str">
            <v>CP-96396-26507981</v>
          </cell>
          <cell r="C443" t="str">
            <v>EXECUÇÃO E COMPACTAÇÃO DE BASE E OU SUB BASE PARA PAVIMENTAÇÃO DE BRITA GRADUADA SIMPLES - EXCLUSIVE MATERIAL, CARGA E TRANSPORTE</v>
          </cell>
          <cell r="D443" t="str">
            <v>M3</v>
          </cell>
          <cell r="E443">
            <v>114.52</v>
          </cell>
          <cell r="F443">
            <v>13.86</v>
          </cell>
          <cell r="G443">
            <v>17.13</v>
          </cell>
          <cell r="H443">
            <v>1961.73</v>
          </cell>
          <cell r="I443">
            <v>14.44</v>
          </cell>
          <cell r="J443">
            <v>16.98</v>
          </cell>
          <cell r="K443">
            <v>1944.55</v>
          </cell>
        </row>
        <row r="444">
          <cell r="A444" t="str">
            <v>1.8.5.5</v>
          </cell>
          <cell r="B444" t="str">
            <v>COMP-35145154</v>
          </cell>
          <cell r="C444" t="str">
            <v>CARGA E DESCARGA MECANICA DE SOLO UTILIZANDO CAMINHAO BASCULANTE 14,0M3/36T E PA CARREGADEIRA SOBRE PNEUS 128 HP, CAPACIDADE DA CAÇAMBA 1,7 A 2,8 M3, PESO OPERACIONAL 11632 KH</v>
          </cell>
          <cell r="D444" t="str">
            <v>M3</v>
          </cell>
          <cell r="E444">
            <v>250.51</v>
          </cell>
          <cell r="F444">
            <v>2.83</v>
          </cell>
          <cell r="G444">
            <v>3.5</v>
          </cell>
          <cell r="H444">
            <v>876.79</v>
          </cell>
          <cell r="I444">
            <v>2.9</v>
          </cell>
          <cell r="J444">
            <v>3.41</v>
          </cell>
          <cell r="K444">
            <v>854.24</v>
          </cell>
        </row>
        <row r="445">
          <cell r="A445" t="str">
            <v>1.8.5.6</v>
          </cell>
          <cell r="B445" t="str">
            <v>COMP-83526730</v>
          </cell>
          <cell r="C445" t="str">
            <v>TRANSPORTE COMERCIAL DE BRITA</v>
          </cell>
          <cell r="D445" t="str">
            <v>M3XKM</v>
          </cell>
          <cell r="E445">
            <v>3807.75</v>
          </cell>
          <cell r="F445">
            <v>1.36</v>
          </cell>
          <cell r="G445">
            <v>1.68</v>
          </cell>
          <cell r="H445">
            <v>6397.02</v>
          </cell>
          <cell r="I445">
            <v>1.37</v>
          </cell>
          <cell r="J445">
            <v>1.61</v>
          </cell>
          <cell r="K445">
            <v>6130.48</v>
          </cell>
        </row>
        <row r="446">
          <cell r="A446" t="str">
            <v>1.8.5.7</v>
          </cell>
          <cell r="B446" t="str">
            <v>CP-96401-52745838</v>
          </cell>
          <cell r="C446" t="str">
            <v>EXECUÇÃO DE IMPRIMAÇÃO COM ASFALTO DILUÍDO CM-30, EXCLUSIVE MATERIAL.</v>
          </cell>
          <cell r="D446" t="str">
            <v>M2</v>
          </cell>
          <cell r="E446">
            <v>576.73</v>
          </cell>
          <cell r="F446">
            <v>1.18</v>
          </cell>
          <cell r="G446">
            <v>1.46</v>
          </cell>
          <cell r="H446">
            <v>842.03</v>
          </cell>
          <cell r="I446">
            <v>1.24</v>
          </cell>
          <cell r="J446">
            <v>1.46</v>
          </cell>
          <cell r="K446">
            <v>842.03</v>
          </cell>
        </row>
        <row r="447">
          <cell r="A447" t="str">
            <v>1.8.5.8</v>
          </cell>
          <cell r="B447" t="str">
            <v>CP-95995-51339760</v>
          </cell>
          <cell r="C447" t="str">
            <v>EXECUÇÃO DE PAVIMENTO COM APLICAÇÃO DE CONCRETO ASFÁLTICO, CAMADA DE ROLAMENTO - EXCLUSIVE CARGA E TRANSPORTE E CONCRETO BETUMINOSO</v>
          </cell>
          <cell r="D447" t="str">
            <v>M3</v>
          </cell>
          <cell r="E447">
            <v>28.83</v>
          </cell>
          <cell r="F447">
            <v>127.58</v>
          </cell>
          <cell r="G447">
            <v>157.68</v>
          </cell>
          <cell r="H447">
            <v>4545.91</v>
          </cell>
          <cell r="I447">
            <v>133.37</v>
          </cell>
          <cell r="J447">
            <v>156.80000000000001</v>
          </cell>
          <cell r="K447">
            <v>4520.54</v>
          </cell>
        </row>
        <row r="448">
          <cell r="A448" t="str">
            <v>1.8.5.9</v>
          </cell>
          <cell r="B448" t="str">
            <v>COMP-10034101</v>
          </cell>
          <cell r="C448" t="str">
            <v>CARGA, MANOBRAS E DESCARGA DE MISTURA BETUMINOSA A QUENTE, COM CAMINHAO BASCULANTE 6 M3, DESCARGA EM VIBRO-ACABADORA</v>
          </cell>
          <cell r="D448" t="str">
            <v>M3</v>
          </cell>
          <cell r="E448">
            <v>28.83</v>
          </cell>
          <cell r="F448">
            <v>7.74</v>
          </cell>
          <cell r="G448">
            <v>9.57</v>
          </cell>
          <cell r="H448">
            <v>275.89999999999998</v>
          </cell>
          <cell r="I448">
            <v>7.86</v>
          </cell>
          <cell r="J448">
            <v>9.24</v>
          </cell>
          <cell r="K448">
            <v>266.39</v>
          </cell>
        </row>
        <row r="449">
          <cell r="A449" t="str">
            <v>1.8.5.10</v>
          </cell>
          <cell r="B449" t="str">
            <v>CP-95303-56931542</v>
          </cell>
          <cell r="C449" t="str">
            <v>TRANSPORTE COM CAMINHÃO BASCULANTE 10 M3 DE MASSA ASFALTICA PARA PAVIMENTAÇÃO URBANA</v>
          </cell>
          <cell r="D449" t="str">
            <v>M3XKM</v>
          </cell>
          <cell r="E449">
            <v>184.51</v>
          </cell>
          <cell r="F449">
            <v>1.75</v>
          </cell>
          <cell r="G449">
            <v>2.16</v>
          </cell>
          <cell r="H449">
            <v>398.54</v>
          </cell>
          <cell r="I449">
            <v>1.77</v>
          </cell>
          <cell r="J449">
            <v>2.08</v>
          </cell>
          <cell r="K449">
            <v>383.78</v>
          </cell>
        </row>
        <row r="450">
          <cell r="A450" t="str">
            <v>1.8.5.11</v>
          </cell>
          <cell r="B450" t="str">
            <v>CP-97084-89637704</v>
          </cell>
          <cell r="C450" t="str">
            <v>REGULARIZACAO E COMPACTAÇÃO MANUAL DE TERRENO COM PLACA VIBRATÓRIA</v>
          </cell>
          <cell r="D450" t="str">
            <v>M2</v>
          </cell>
          <cell r="E450">
            <v>366.76</v>
          </cell>
          <cell r="F450">
            <v>0.59</v>
          </cell>
          <cell r="G450">
            <v>0.73</v>
          </cell>
          <cell r="H450">
            <v>267.73</v>
          </cell>
          <cell r="I450">
            <v>0.65</v>
          </cell>
          <cell r="J450">
            <v>0.76</v>
          </cell>
          <cell r="K450">
            <v>278.74</v>
          </cell>
        </row>
        <row r="451">
          <cell r="A451" t="str">
            <v>1.8.5.12</v>
          </cell>
          <cell r="B451" t="str">
            <v>CP-94991-12549457</v>
          </cell>
          <cell r="C451" t="str">
            <v>EXECUÇÃO DE PASSEIO (CALÇADA) OU PISO DE CONCRETO COM CONCRETO MOLDADO IN LOCO, USINADO, ACABAMENTO CONVENCIONAL, NÃO ARMADO - EXCLUINDO O CONCRETO USINADO 20MPA</v>
          </cell>
          <cell r="D451" t="str">
            <v>M3</v>
          </cell>
          <cell r="E451">
            <v>25</v>
          </cell>
          <cell r="F451">
            <v>104.6</v>
          </cell>
          <cell r="G451">
            <v>129.28</v>
          </cell>
          <cell r="H451">
            <v>3232</v>
          </cell>
          <cell r="I451">
            <v>112.75</v>
          </cell>
          <cell r="J451">
            <v>132.56</v>
          </cell>
          <cell r="K451">
            <v>3314</v>
          </cell>
        </row>
        <row r="452">
          <cell r="A452" t="str">
            <v>1.8.5.13</v>
          </cell>
          <cell r="B452">
            <v>94273</v>
          </cell>
          <cell r="C452" t="str">
            <v>ASSENTAMENTO DE GUIA (MEIO-FIO) EM TRECHO RETO, CONFECCIONADA EM CONCRETO PRÉ-FABRICADO, DIMENSÕES 100X15X13X30 CM (COMPRIMENTO X BASE INFERIOR X BASE SUPERIOR X ALTURA), PARA VIAS URBANAS (USO VIÁRIO). AF_06/2016</v>
          </cell>
          <cell r="D452" t="str">
            <v>M</v>
          </cell>
          <cell r="E452">
            <v>240</v>
          </cell>
          <cell r="F452">
            <v>54.61</v>
          </cell>
          <cell r="G452">
            <v>67.489999999999995</v>
          </cell>
          <cell r="H452">
            <v>16197.6</v>
          </cell>
          <cell r="I452">
            <v>56.47</v>
          </cell>
          <cell r="J452">
            <v>66.39</v>
          </cell>
          <cell r="K452">
            <v>15933.6</v>
          </cell>
        </row>
        <row r="453">
          <cell r="A453" t="str">
            <v>1.8.6</v>
          </cell>
          <cell r="C453" t="str">
            <v>DRENAGEM</v>
          </cell>
          <cell r="H453">
            <v>58734.61</v>
          </cell>
          <cell r="K453">
            <v>57677.85</v>
          </cell>
        </row>
        <row r="454">
          <cell r="A454" t="str">
            <v>1.8.6.1</v>
          </cell>
          <cell r="B454">
            <v>94971</v>
          </cell>
          <cell r="C454" t="str">
            <v>CONCRETO FCK = 25MPA, TRAÇO 1:2,3:2,7 (EM MASSA SECA DE CIMENTO/ AREIA MÉDIA/ BRITA 1) - PREPARO MECÂNICO COM BETONEIRA 600 L. AF_05/2021</v>
          </cell>
          <cell r="D454" t="str">
            <v>M3</v>
          </cell>
          <cell r="E454">
            <v>14.95</v>
          </cell>
          <cell r="F454">
            <v>464.88</v>
          </cell>
          <cell r="G454">
            <v>574.54999999999995</v>
          </cell>
          <cell r="H454">
            <v>8589.52</v>
          </cell>
          <cell r="I454">
            <v>472.74</v>
          </cell>
          <cell r="J454">
            <v>555.79999999999995</v>
          </cell>
          <cell r="K454">
            <v>8309.2099999999991</v>
          </cell>
        </row>
        <row r="455">
          <cell r="A455" t="str">
            <v>1.8.6.2</v>
          </cell>
          <cell r="B455">
            <v>94974</v>
          </cell>
          <cell r="C455" t="str">
            <v>CONCRETO MAGRO PARA LASTRO, TRAÇO 1:4,5:4,5 (EM MASSA SECA DE CIMENTO/ AREIA MÉDIA/ BRITA 1) - PREPARO MANUAL. AF_05/2021</v>
          </cell>
          <cell r="D455" t="str">
            <v>M3</v>
          </cell>
          <cell r="E455">
            <v>11.73</v>
          </cell>
          <cell r="F455">
            <v>423.75</v>
          </cell>
          <cell r="G455">
            <v>523.71</v>
          </cell>
          <cell r="H455">
            <v>6143.12</v>
          </cell>
          <cell r="I455">
            <v>436.13</v>
          </cell>
          <cell r="J455">
            <v>512.76</v>
          </cell>
          <cell r="K455">
            <v>6014.67</v>
          </cell>
        </row>
        <row r="456">
          <cell r="A456" t="str">
            <v>1.8.6.3</v>
          </cell>
          <cell r="B456">
            <v>92771</v>
          </cell>
          <cell r="C456" t="str">
            <v>ARMAÇÃO DE LAJE DE ESTRUTURA CONVENCIONAL DE CONCRETO ARMADO UTILIZANDO AÇO CA-50 DE 10,0 MM - MONTAGEM. AF_06/2022</v>
          </cell>
          <cell r="D456" t="str">
            <v>KG</v>
          </cell>
          <cell r="E456">
            <v>972.67</v>
          </cell>
          <cell r="F456">
            <v>15.04</v>
          </cell>
          <cell r="G456">
            <v>18.59</v>
          </cell>
          <cell r="H456">
            <v>18081.939999999999</v>
          </cell>
          <cell r="I456">
            <v>15.14</v>
          </cell>
          <cell r="J456">
            <v>17.8</v>
          </cell>
          <cell r="K456">
            <v>17313.53</v>
          </cell>
        </row>
        <row r="457">
          <cell r="A457" t="str">
            <v>1.8.6.4</v>
          </cell>
          <cell r="B457" t="str">
            <v>CP-92268-29291149</v>
          </cell>
          <cell r="C457" t="str">
            <v>FABRICAÇÃO DE FÔRMA PARA LAJES, EM CHAPA DE MADEIRA COMPENSADA PLASTIFICADA, E = 18 MM - EXCLUINDO O PAINEL DE MADEIRA COMPENSADA PLASTIFICADA DE 2200 x 1100 MM, E = *17* MM</v>
          </cell>
          <cell r="D457" t="str">
            <v>M2</v>
          </cell>
          <cell r="E457">
            <v>70.400000000000006</v>
          </cell>
          <cell r="F457">
            <v>0.98</v>
          </cell>
          <cell r="G457">
            <v>1.21</v>
          </cell>
          <cell r="H457">
            <v>85.18</v>
          </cell>
          <cell r="I457">
            <v>1.1000000000000001</v>
          </cell>
          <cell r="J457">
            <v>1.29</v>
          </cell>
          <cell r="K457">
            <v>90.82</v>
          </cell>
        </row>
        <row r="458">
          <cell r="A458" t="str">
            <v>1.8.6.5</v>
          </cell>
          <cell r="B458">
            <v>103320</v>
          </cell>
          <cell r="C458" t="str">
            <v>ALVENARIA DE VEDAÇÃO DE BLOCOS VAZADOS DE CONCRETO DE 19X19X39 CM (ESPESSURA 19 CM) E ARGAMASSA DE ASSENTAMENTO COM PREPARO EM BETONEIRA. AF_12/2021</v>
          </cell>
          <cell r="D458" t="str">
            <v>M2</v>
          </cell>
          <cell r="E458">
            <v>93.86</v>
          </cell>
          <cell r="F458">
            <v>101.36</v>
          </cell>
          <cell r="G458">
            <v>125.27</v>
          </cell>
          <cell r="H458">
            <v>11757.84</v>
          </cell>
          <cell r="I458">
            <v>105.62</v>
          </cell>
          <cell r="J458">
            <v>124.18</v>
          </cell>
          <cell r="K458">
            <v>11655.53</v>
          </cell>
        </row>
        <row r="459">
          <cell r="A459" t="str">
            <v>1.8.6.6</v>
          </cell>
          <cell r="B459">
            <v>87879</v>
          </cell>
          <cell r="C459" t="str">
            <v>CHAPISCO APLICADO EM ALVENARIAS E ESTRUTURAS DE CONCRETO INTERNAS, COM COLHER DE PEDREIRO.  ARGAMASSA TRAÇO 1:3 COM PREPARO EM BETONEIRA 400L. AF_06/2014</v>
          </cell>
          <cell r="D459" t="str">
            <v>M2</v>
          </cell>
          <cell r="E459">
            <v>93.86</v>
          </cell>
          <cell r="F459">
            <v>3.85</v>
          </cell>
          <cell r="G459">
            <v>4.76</v>
          </cell>
          <cell r="H459">
            <v>446.77</v>
          </cell>
          <cell r="I459">
            <v>4.0999999999999996</v>
          </cell>
          <cell r="J459">
            <v>4.82</v>
          </cell>
          <cell r="K459">
            <v>452.41</v>
          </cell>
        </row>
        <row r="460">
          <cell r="A460" t="str">
            <v>1.8.6.7</v>
          </cell>
          <cell r="B460">
            <v>87547</v>
          </cell>
          <cell r="C460" t="str">
            <v>MASSA ÚNICA, PARA RECEBIMENTO DE PINTURA, EM ARGAMASSA TRAÇO 1:2:8, PREPARO MECÂNICO COM BETONEIRA 400L, APLICADA MANUALMENTE EM FACES INTERNAS DE PAREDES, ESPESSURA DE 10MM, COM EXECUÇÃO DE TALISCAS. AF_06/2014</v>
          </cell>
          <cell r="D460" t="str">
            <v>M2</v>
          </cell>
          <cell r="E460">
            <v>93.86</v>
          </cell>
          <cell r="F460">
            <v>23.35</v>
          </cell>
          <cell r="G460">
            <v>28.86</v>
          </cell>
          <cell r="H460">
            <v>2708.8</v>
          </cell>
          <cell r="I460">
            <v>24.83</v>
          </cell>
          <cell r="J460">
            <v>29.19</v>
          </cell>
          <cell r="K460">
            <v>2739.77</v>
          </cell>
        </row>
        <row r="461">
          <cell r="A461" t="str">
            <v>1.8.6.8</v>
          </cell>
          <cell r="B461">
            <v>94975</v>
          </cell>
          <cell r="C461" t="str">
            <v>CONCRETO FCK = 15MPA, TRAÇO 1:3,4:3,5 (EM MASSA SECA DE CIMENTO/ AREIA MÉDIA/ BRITA 1) - PREPARO MANUAL. AF_05/2021</v>
          </cell>
          <cell r="D461" t="str">
            <v>M3</v>
          </cell>
          <cell r="E461">
            <v>9.98</v>
          </cell>
          <cell r="F461">
            <v>457.19</v>
          </cell>
          <cell r="G461">
            <v>565.04</v>
          </cell>
          <cell r="H461">
            <v>5639.1</v>
          </cell>
          <cell r="I461">
            <v>469.42</v>
          </cell>
          <cell r="J461">
            <v>551.9</v>
          </cell>
          <cell r="K461">
            <v>5507.96</v>
          </cell>
        </row>
        <row r="462">
          <cell r="A462" t="str">
            <v>1.8.6.9</v>
          </cell>
          <cell r="B462" t="str">
            <v>CP-74157/004-48264518</v>
          </cell>
          <cell r="C462" t="str">
            <v>LANCAMENTO/APLICACAO MANUAL DE CONCRETO EM FUNDACOES (concreto magro)</v>
          </cell>
          <cell r="D462" t="str">
            <v>M3</v>
          </cell>
          <cell r="E462">
            <v>36.659999999999997</v>
          </cell>
          <cell r="F462">
            <v>116.59</v>
          </cell>
          <cell r="G462">
            <v>144.09</v>
          </cell>
          <cell r="H462">
            <v>5282.34</v>
          </cell>
          <cell r="I462">
            <v>129.79</v>
          </cell>
          <cell r="J462">
            <v>152.59</v>
          </cell>
          <cell r="K462">
            <v>5593.95</v>
          </cell>
        </row>
        <row r="463">
          <cell r="A463" t="str">
            <v>1.8.7</v>
          </cell>
          <cell r="C463" t="str">
            <v>SINALIZAÇÃO</v>
          </cell>
          <cell r="H463">
            <v>3652.51</v>
          </cell>
          <cell r="K463">
            <v>3595.29</v>
          </cell>
        </row>
        <row r="464">
          <cell r="A464" t="str">
            <v>1.8.7.1</v>
          </cell>
          <cell r="B464">
            <v>5213416</v>
          </cell>
          <cell r="C464" t="str">
            <v>Confecção de placa em aço nº 16 galvanizado, com película tipo I + I</v>
          </cell>
          <cell r="D464" t="str">
            <v xml:space="preserve">M2    </v>
          </cell>
          <cell r="E464">
            <v>0.6</v>
          </cell>
          <cell r="F464">
            <v>351.9</v>
          </cell>
          <cell r="G464">
            <v>434.91</v>
          </cell>
          <cell r="H464">
            <v>260.95</v>
          </cell>
          <cell r="I464">
            <v>355.35</v>
          </cell>
          <cell r="J464">
            <v>417.78</v>
          </cell>
          <cell r="K464">
            <v>250.67</v>
          </cell>
        </row>
        <row r="465">
          <cell r="A465" t="str">
            <v>1.8.7.2</v>
          </cell>
          <cell r="B465">
            <v>5213421</v>
          </cell>
          <cell r="C465" t="str">
            <v>Confecção de placa em aço nº 16 galvanizado, com película tipo I + IV</v>
          </cell>
          <cell r="D465" t="str">
            <v xml:space="preserve">M2    </v>
          </cell>
          <cell r="E465">
            <v>0.9</v>
          </cell>
          <cell r="F465">
            <v>343.8</v>
          </cell>
          <cell r="G465">
            <v>424.9</v>
          </cell>
          <cell r="H465">
            <v>382.41</v>
          </cell>
          <cell r="I465">
            <v>347.25</v>
          </cell>
          <cell r="J465">
            <v>408.26</v>
          </cell>
          <cell r="K465">
            <v>367.43</v>
          </cell>
        </row>
        <row r="466">
          <cell r="A466" t="str">
            <v>1.8.7.3</v>
          </cell>
          <cell r="B466">
            <v>5216111</v>
          </cell>
          <cell r="C466" t="str">
            <v>FORNECIMENTO E IMPLANTAÇÃO DE SUPORTE E TRAVESSA PARA PLACA DE SINALIZAÇÃO EM MADEIRA DE LEI TRATADA 8 X 8 CM</v>
          </cell>
          <cell r="D466" t="str">
            <v>UND</v>
          </cell>
          <cell r="E466">
            <v>3</v>
          </cell>
          <cell r="F466">
            <v>119.1379</v>
          </cell>
          <cell r="G466">
            <v>147.24</v>
          </cell>
          <cell r="H466">
            <v>441.72</v>
          </cell>
          <cell r="I466">
            <v>121.48</v>
          </cell>
          <cell r="J466">
            <v>142.82</v>
          </cell>
          <cell r="K466">
            <v>428.46</v>
          </cell>
        </row>
        <row r="467">
          <cell r="A467" t="str">
            <v>1.8.7.4</v>
          </cell>
          <cell r="B467" t="str">
            <v>COMP-58084869</v>
          </cell>
          <cell r="C467" t="str">
            <v>PLACA ESMALTADA PARA IDENTIFICAÇÃO NR DE RUA, DIMENSÕES 45X25CM</v>
          </cell>
          <cell r="D467" t="str">
            <v>UND</v>
          </cell>
          <cell r="E467">
            <v>2</v>
          </cell>
          <cell r="F467">
            <v>155.54</v>
          </cell>
          <cell r="G467">
            <v>192.23</v>
          </cell>
          <cell r="H467">
            <v>384.46</v>
          </cell>
          <cell r="I467">
            <v>156.33000000000001</v>
          </cell>
          <cell r="J467">
            <v>183.8</v>
          </cell>
          <cell r="K467">
            <v>367.6</v>
          </cell>
        </row>
        <row r="468">
          <cell r="A468" t="str">
            <v>1.8.7.5</v>
          </cell>
          <cell r="B468">
            <v>102512</v>
          </cell>
          <cell r="C468" t="str">
            <v>PINTURA DE EIXO VIÁRIO SOBRE ASFALTO COM TINTA RETRORREFLETIVA A BASE DE RESINA ACRÍLICA COM MICROESFERAS DE VIDRO, APLICAÇÃO MECÂNICA COM DEMARCADORA AUTOPROPELIDA. AF_05/2021</v>
          </cell>
          <cell r="D468" t="str">
            <v>M</v>
          </cell>
          <cell r="E468">
            <v>284.02</v>
          </cell>
          <cell r="F468">
            <v>5.22</v>
          </cell>
          <cell r="G468">
            <v>6.45</v>
          </cell>
          <cell r="H468">
            <v>1831.93</v>
          </cell>
          <cell r="I468">
            <v>5.48</v>
          </cell>
          <cell r="J468">
            <v>6.44</v>
          </cell>
          <cell r="K468">
            <v>1829.09</v>
          </cell>
        </row>
        <row r="469">
          <cell r="A469" t="str">
            <v>1.8.7.6</v>
          </cell>
          <cell r="B469">
            <v>102509</v>
          </cell>
          <cell r="C469" t="str">
            <v>PINTURA DE FAIXA DE PEDESTRE OU ZEBRADA TINTA RETRORREFLETIVA A BASE DE RESINA ACRÍLICA COM MICROESFERAS DE VIDRO, E = 30 CM, APLICAÇÃO MANUAL. AF_05/2021</v>
          </cell>
          <cell r="D469" t="str">
            <v>M2</v>
          </cell>
          <cell r="E469">
            <v>12.4</v>
          </cell>
          <cell r="F469">
            <v>22.91</v>
          </cell>
          <cell r="G469">
            <v>28.31</v>
          </cell>
          <cell r="H469">
            <v>351.04</v>
          </cell>
          <cell r="I469">
            <v>24.15</v>
          </cell>
          <cell r="J469">
            <v>28.39</v>
          </cell>
          <cell r="K469">
            <v>352.04</v>
          </cell>
        </row>
        <row r="470">
          <cell r="A470" t="str">
            <v>1.8.8</v>
          </cell>
          <cell r="C470" t="str">
            <v>ACESSIBILIDADE</v>
          </cell>
          <cell r="H470">
            <v>1289.3800000000001</v>
          </cell>
          <cell r="K470">
            <v>1267.97</v>
          </cell>
        </row>
        <row r="471">
          <cell r="A471" t="str">
            <v>1.8.8.1</v>
          </cell>
          <cell r="B471" t="str">
            <v>CP-S12039-81921471</v>
          </cell>
          <cell r="C471" t="str">
            <v>Piso tátil direcional e/ou alerta, de concreto, na cor natural, p/deficientes visuais, dimensões 40x40cm, aplicado com argamassa industrializada ac-ii, rejuntado, exclusive regularização de base</v>
          </cell>
          <cell r="D471" t="str">
            <v>M2</v>
          </cell>
          <cell r="E471">
            <v>9.6</v>
          </cell>
          <cell r="F471">
            <v>108.67</v>
          </cell>
          <cell r="G471">
            <v>134.31</v>
          </cell>
          <cell r="H471">
            <v>1289.3800000000001</v>
          </cell>
          <cell r="I471">
            <v>112.34</v>
          </cell>
          <cell r="J471">
            <v>132.08000000000001</v>
          </cell>
          <cell r="K471">
            <v>1267.97</v>
          </cell>
        </row>
        <row r="472">
          <cell r="A472" t="str">
            <v>1.8.9</v>
          </cell>
          <cell r="C472" t="str">
            <v>MATERIAIS</v>
          </cell>
          <cell r="H472">
            <v>94961.45</v>
          </cell>
          <cell r="K472">
            <v>90534.46</v>
          </cell>
        </row>
        <row r="473">
          <cell r="A473" t="str">
            <v>1.8.9.1</v>
          </cell>
          <cell r="B473">
            <v>10775</v>
          </cell>
          <cell r="C473" t="str">
            <v xml:space="preserve">LOCACAO DE CONTAINER 2,30 X 6,00 M, ALT. 2,50 M, COM 1 SANITARIO, PARA ESCRITORIO, COMPLETO, SEM DIVISORIAS INTERNAS (NAO INCLUI MOBILIZACAO/DESMOBILIZACAO)                                                                                                                                                                                                                                                                                                                                              </v>
          </cell>
          <cell r="D473" t="str">
            <v xml:space="preserve">MES   </v>
          </cell>
          <cell r="E473">
            <v>2</v>
          </cell>
          <cell r="F473">
            <v>830</v>
          </cell>
          <cell r="G473">
            <v>958.32</v>
          </cell>
          <cell r="H473">
            <v>1916.64</v>
          </cell>
          <cell r="I473">
            <v>830</v>
          </cell>
          <cell r="J473">
            <v>913.58</v>
          </cell>
          <cell r="K473">
            <v>1827.16</v>
          </cell>
        </row>
        <row r="474">
          <cell r="A474" t="str">
            <v>1.8.9.2</v>
          </cell>
          <cell r="B474">
            <v>10776</v>
          </cell>
          <cell r="C474" t="str">
            <v xml:space="preserve">LOCACAO DE CONTAINER 2,30 X 6,00 M, ALT. 2,50 M, PARA ESCRITORIO, SEM DIVISORIAS INTERNAS E SEM SANITARIO (NAO INCLUI MOBILIZACAO/DESMOBILIZACAO)                                                                                                                                                                                                                                                                                                                                                         </v>
          </cell>
          <cell r="D474" t="str">
            <v xml:space="preserve">MES   </v>
          </cell>
          <cell r="E474">
            <v>2</v>
          </cell>
          <cell r="F474">
            <v>648.42999999999995</v>
          </cell>
          <cell r="G474">
            <v>748.68</v>
          </cell>
          <cell r="H474">
            <v>1497.36</v>
          </cell>
          <cell r="I474">
            <v>648.42999999999995</v>
          </cell>
          <cell r="J474">
            <v>713.73</v>
          </cell>
          <cell r="K474">
            <v>1427.46</v>
          </cell>
        </row>
        <row r="475">
          <cell r="A475" t="str">
            <v>1.8.9.3</v>
          </cell>
          <cell r="B475">
            <v>1518</v>
          </cell>
          <cell r="C475" t="str">
            <v xml:space="preserve">CONCRETO BETUMINOSO USINADO A QUENTE (CBUQ) PARA PAVIMENTACAO ASFALTICA, PADRAO DNIT, FAIXA C, COM CAP 50/70 - AQUISICAO POSTO USINA                                                                                                                                                                                                                                                                                                                                                                      </v>
          </cell>
          <cell r="D475" t="str">
            <v xml:space="preserve">T     </v>
          </cell>
          <cell r="E475">
            <v>73.650000000000006</v>
          </cell>
          <cell r="F475">
            <v>522.5</v>
          </cell>
          <cell r="G475">
            <v>603.28</v>
          </cell>
          <cell r="H475">
            <v>44431.57</v>
          </cell>
          <cell r="I475">
            <v>522.5</v>
          </cell>
          <cell r="J475">
            <v>575.12</v>
          </cell>
          <cell r="K475">
            <v>42357.59</v>
          </cell>
        </row>
        <row r="476">
          <cell r="A476" t="str">
            <v>1.8.9.4</v>
          </cell>
          <cell r="B476" t="str">
            <v>INS-185032</v>
          </cell>
          <cell r="C476" t="str">
            <v>BRITA GRADUADA SIMPLES (BGS)</v>
          </cell>
          <cell r="D476" t="str">
            <v>M3</v>
          </cell>
          <cell r="E476">
            <v>114.52</v>
          </cell>
          <cell r="F476">
            <v>56.099999999999994</v>
          </cell>
          <cell r="G476">
            <v>64.77</v>
          </cell>
          <cell r="H476">
            <v>7417.46</v>
          </cell>
          <cell r="I476">
            <v>56.099999999999994</v>
          </cell>
          <cell r="J476">
            <v>61.75</v>
          </cell>
          <cell r="K476">
            <v>7071.61</v>
          </cell>
        </row>
        <row r="477">
          <cell r="A477" t="str">
            <v>1.8.9.5</v>
          </cell>
          <cell r="B477" t="str">
            <v>M0808</v>
          </cell>
          <cell r="C477" t="str">
            <v>Brita 4</v>
          </cell>
          <cell r="D477" t="str">
            <v>M3</v>
          </cell>
          <cell r="E477">
            <v>108.22</v>
          </cell>
          <cell r="F477">
            <v>90.74</v>
          </cell>
          <cell r="G477">
            <v>104.77</v>
          </cell>
          <cell r="H477">
            <v>11338.21</v>
          </cell>
          <cell r="I477">
            <v>90.74</v>
          </cell>
          <cell r="J477">
            <v>99.88</v>
          </cell>
          <cell r="K477">
            <v>10809.01</v>
          </cell>
        </row>
        <row r="478">
          <cell r="A478" t="str">
            <v>1.8.9.6</v>
          </cell>
          <cell r="B478" t="str">
            <v>M1135</v>
          </cell>
          <cell r="C478" t="str">
            <v>Pó de pedra</v>
          </cell>
          <cell r="D478" t="str">
            <v>M3</v>
          </cell>
          <cell r="E478">
            <v>12.02</v>
          </cell>
          <cell r="F478">
            <v>74.53</v>
          </cell>
          <cell r="G478">
            <v>86.05</v>
          </cell>
          <cell r="H478">
            <v>1034.32</v>
          </cell>
          <cell r="I478">
            <v>74.53</v>
          </cell>
          <cell r="J478">
            <v>82.04</v>
          </cell>
          <cell r="K478">
            <v>986.12</v>
          </cell>
        </row>
        <row r="479">
          <cell r="A479" t="str">
            <v>1.8.9.7</v>
          </cell>
          <cell r="B479" t="str">
            <v>INS-711371</v>
          </cell>
          <cell r="C479" t="str">
            <v>ASFALTO DILUÍDO CM - 30</v>
          </cell>
          <cell r="D479" t="str">
            <v>KG</v>
          </cell>
          <cell r="E479">
            <v>692.08</v>
          </cell>
          <cell r="F479">
            <v>5.32</v>
          </cell>
          <cell r="G479">
            <v>6.14</v>
          </cell>
          <cell r="H479">
            <v>4249.37</v>
          </cell>
          <cell r="I479">
            <v>5.32</v>
          </cell>
          <cell r="J479">
            <v>5.86</v>
          </cell>
          <cell r="K479">
            <v>4055.59</v>
          </cell>
        </row>
        <row r="480">
          <cell r="A480" t="str">
            <v>1.8.9.8</v>
          </cell>
          <cell r="B480">
            <v>34492</v>
          </cell>
          <cell r="C480" t="str">
            <v xml:space="preserve">CONCRETO USINADO BOMBEAVEL, CLASSE DE RESISTENCIA C20, COM BRITA 0 E 1, SLUMP = 100 +/- 20 MM, EXCLUI SERVICO DE BOMBEAMENTO (NBR 8953)                                                                                                                                                                                                                                                                                                                                                                   </v>
          </cell>
          <cell r="D480" t="str">
            <v xml:space="preserve">M3    </v>
          </cell>
          <cell r="E480">
            <v>30.79</v>
          </cell>
          <cell r="F480">
            <v>422.5</v>
          </cell>
          <cell r="G480">
            <v>487.82</v>
          </cell>
          <cell r="H480">
            <v>15019.98</v>
          </cell>
          <cell r="I480">
            <v>422.5</v>
          </cell>
          <cell r="J480">
            <v>465.05</v>
          </cell>
          <cell r="K480">
            <v>14318.89</v>
          </cell>
        </row>
        <row r="481">
          <cell r="A481" t="str">
            <v>1.8.9.9</v>
          </cell>
          <cell r="B481">
            <v>1345</v>
          </cell>
          <cell r="C481" t="str">
            <v xml:space="preserve">CHAPA/PAINEL DE MADEIRA COMPENSADA PLASTIFICADA (MADEIRITE PLASTIFICADO) PARA FORMA DE CONCRETO, DE 2200 x 1100 MM, E = *17* MM                                                                                                                                                                                                                                                                                                                                                                           </v>
          </cell>
          <cell r="D481" t="str">
            <v xml:space="preserve">M2    </v>
          </cell>
          <cell r="E481">
            <v>73.92</v>
          </cell>
          <cell r="F481">
            <v>94.4</v>
          </cell>
          <cell r="G481">
            <v>108.99</v>
          </cell>
          <cell r="H481">
            <v>8056.54</v>
          </cell>
          <cell r="I481">
            <v>94.4</v>
          </cell>
          <cell r="J481">
            <v>103.91</v>
          </cell>
          <cell r="K481">
            <v>7681.03</v>
          </cell>
        </row>
        <row r="482">
          <cell r="A482" t="str">
            <v>1.9</v>
          </cell>
          <cell r="C482" t="str">
            <v>RUA DO FOGO - CURCURANA</v>
          </cell>
          <cell r="H482">
            <v>329282.23</v>
          </cell>
          <cell r="K482">
            <v>320789.61</v>
          </cell>
        </row>
        <row r="483">
          <cell r="A483" t="str">
            <v>1.9.1</v>
          </cell>
          <cell r="C483" t="str">
            <v>INSTALAÇÕES PROVISÓRIAS</v>
          </cell>
          <cell r="H483">
            <v>7250.74</v>
          </cell>
          <cell r="K483">
            <v>6960.06</v>
          </cell>
        </row>
        <row r="484">
          <cell r="A484" t="str">
            <v>1.9.1.1</v>
          </cell>
          <cell r="B484" t="str">
            <v>CP-74209/001-15055090</v>
          </cell>
          <cell r="C484" t="str">
            <v>PLACA DE OBRA EM CHAPA DE ACO GALVANIZADO</v>
          </cell>
          <cell r="D484" t="str">
            <v xml:space="preserve">M2    </v>
          </cell>
          <cell r="E484">
            <v>8</v>
          </cell>
          <cell r="F484">
            <v>558.35</v>
          </cell>
          <cell r="G484">
            <v>690.06</v>
          </cell>
          <cell r="H484">
            <v>5520.48</v>
          </cell>
          <cell r="I484">
            <v>564.99</v>
          </cell>
          <cell r="J484">
            <v>664.26</v>
          </cell>
          <cell r="K484">
            <v>5314.08</v>
          </cell>
        </row>
        <row r="485">
          <cell r="A485" t="str">
            <v>1.9.1.2</v>
          </cell>
          <cell r="B485" t="str">
            <v>COMP-07440249</v>
          </cell>
          <cell r="C485" t="str">
            <v>BANHEIRO QUÍMICO, COM LOCAÇÃO, TRANSPORTE E LIMPEZA</v>
          </cell>
          <cell r="D485" t="str">
            <v>MÊS</v>
          </cell>
          <cell r="E485">
            <v>2</v>
          </cell>
          <cell r="F485">
            <v>700</v>
          </cell>
          <cell r="G485">
            <v>865.13</v>
          </cell>
          <cell r="H485">
            <v>1730.26</v>
          </cell>
          <cell r="I485">
            <v>700</v>
          </cell>
          <cell r="J485">
            <v>822.99</v>
          </cell>
          <cell r="K485">
            <v>1645.98</v>
          </cell>
        </row>
        <row r="486">
          <cell r="A486" t="str">
            <v>1.9.2</v>
          </cell>
          <cell r="C486" t="str">
            <v>ADMINISTRAÇÃO LOCAL</v>
          </cell>
          <cell r="H486">
            <v>11673.7</v>
          </cell>
          <cell r="K486">
            <v>12787.84</v>
          </cell>
        </row>
        <row r="487">
          <cell r="A487" t="str">
            <v>1.9.2.1</v>
          </cell>
          <cell r="B487">
            <v>93565</v>
          </cell>
          <cell r="C487" t="str">
            <v>ENGENHEIRO CIVIL DE OBRA JUNIOR COM ENCARGOS COMPLEMENTARES</v>
          </cell>
          <cell r="D487" t="str">
            <v>MES</v>
          </cell>
          <cell r="E487">
            <v>0.25</v>
          </cell>
          <cell r="F487">
            <v>14549.96</v>
          </cell>
          <cell r="G487">
            <v>17982.3</v>
          </cell>
          <cell r="H487">
            <v>4495.58</v>
          </cell>
          <cell r="I487">
            <v>16819.14</v>
          </cell>
          <cell r="J487">
            <v>19774.259999999998</v>
          </cell>
          <cell r="K487">
            <v>4943.57</v>
          </cell>
        </row>
        <row r="488">
          <cell r="A488" t="str">
            <v>1.9.2.2</v>
          </cell>
          <cell r="B488">
            <v>93572</v>
          </cell>
          <cell r="C488" t="str">
            <v>ENCARREGADO GERAL DE OBRAS COM ENCARGOS COMPLEMENTARES</v>
          </cell>
          <cell r="D488" t="str">
            <v>MES</v>
          </cell>
          <cell r="E488">
            <v>1</v>
          </cell>
          <cell r="F488">
            <v>5808.01</v>
          </cell>
          <cell r="G488">
            <v>7178.12</v>
          </cell>
          <cell r="H488">
            <v>7178.12</v>
          </cell>
          <cell r="I488">
            <v>6672</v>
          </cell>
          <cell r="J488">
            <v>7844.27</v>
          </cell>
          <cell r="K488">
            <v>7844.27</v>
          </cell>
        </row>
        <row r="489">
          <cell r="A489" t="str">
            <v>1.9.3</v>
          </cell>
          <cell r="C489" t="str">
            <v>SERVIÇOS PRELIMINARES</v>
          </cell>
          <cell r="H489">
            <v>2662.11</v>
          </cell>
          <cell r="K489">
            <v>2782.39</v>
          </cell>
        </row>
        <row r="490">
          <cell r="A490" t="str">
            <v>1.9.3.1</v>
          </cell>
          <cell r="B490">
            <v>99064</v>
          </cell>
          <cell r="C490" t="str">
            <v>LOCAÇÃO DE PAVIMENTAÇÃO. AF_10/2018</v>
          </cell>
          <cell r="D490" t="str">
            <v>M</v>
          </cell>
          <cell r="E490">
            <v>118.58</v>
          </cell>
          <cell r="F490">
            <v>0.43</v>
          </cell>
          <cell r="G490">
            <v>0.53</v>
          </cell>
          <cell r="H490">
            <v>62.85</v>
          </cell>
          <cell r="I490">
            <v>0.49</v>
          </cell>
          <cell r="J490">
            <v>0.57999999999999996</v>
          </cell>
          <cell r="K490">
            <v>68.78</v>
          </cell>
        </row>
        <row r="491">
          <cell r="A491" t="str">
            <v>1.9.3.2</v>
          </cell>
          <cell r="B491" t="str">
            <v>COMP-17562084</v>
          </cell>
          <cell r="C491" t="str">
            <v>DEMOLIÇÃO MANUAL DE CONCRETO SIMPLES</v>
          </cell>
          <cell r="D491" t="str">
            <v>M3</v>
          </cell>
          <cell r="E491">
            <v>8.36</v>
          </cell>
          <cell r="F491">
            <v>190.89</v>
          </cell>
          <cell r="G491">
            <v>235.92</v>
          </cell>
          <cell r="H491">
            <v>1972.29</v>
          </cell>
          <cell r="I491">
            <v>212.24</v>
          </cell>
          <cell r="J491">
            <v>249.53</v>
          </cell>
          <cell r="K491">
            <v>2086.0700000000002</v>
          </cell>
        </row>
        <row r="492">
          <cell r="A492" t="str">
            <v>1.9.3.3</v>
          </cell>
          <cell r="B492" t="str">
            <v>COMP-01471766</v>
          </cell>
          <cell r="C492" t="str">
            <v>DEMOLIÇÃO DE MEIO-FIO</v>
          </cell>
          <cell r="D492" t="str">
            <v>M</v>
          </cell>
          <cell r="E492">
            <v>19.7</v>
          </cell>
          <cell r="F492">
            <v>10.02</v>
          </cell>
          <cell r="G492">
            <v>12.38</v>
          </cell>
          <cell r="H492">
            <v>243.89</v>
          </cell>
          <cell r="I492">
            <v>11.13</v>
          </cell>
          <cell r="J492">
            <v>13.09</v>
          </cell>
          <cell r="K492">
            <v>257.87</v>
          </cell>
        </row>
        <row r="493">
          <cell r="A493" t="str">
            <v>1.9.3.4</v>
          </cell>
          <cell r="B493" t="str">
            <v>COMP-35145154</v>
          </cell>
          <cell r="C493" t="str">
            <v>CARGA E DESCARGA MECANICA DE SOLO UTILIZANDO CAMINHAO BASCULANTE 14,0M3/36T E PA CARREGADEIRA SOBRE PNEUS 128 HP, CAPACIDADE DA CAÇAMBA 1,7 A 2,8 M3, PESO OPERACIONAL 11632 KH</v>
          </cell>
          <cell r="D493" t="str">
            <v>M3</v>
          </cell>
          <cell r="E493">
            <v>11.56</v>
          </cell>
          <cell r="F493">
            <v>2.83</v>
          </cell>
          <cell r="G493">
            <v>3.5</v>
          </cell>
          <cell r="H493">
            <v>40.46</v>
          </cell>
          <cell r="I493">
            <v>2.9</v>
          </cell>
          <cell r="J493">
            <v>3.41</v>
          </cell>
          <cell r="K493">
            <v>39.42</v>
          </cell>
        </row>
        <row r="494">
          <cell r="A494" t="str">
            <v>1.9.3.5</v>
          </cell>
          <cell r="B494">
            <v>95876</v>
          </cell>
          <cell r="C494" t="str">
            <v>TRANSPORTE COM CAMINHÃO BASCULANTE DE 14 M³, EM VIA URBANA PAVIMENTADA, DMT ATÉ 30 KM (UNIDADE: M3XKM). AF_07/2020</v>
          </cell>
          <cell r="D494" t="str">
            <v>M3XKM</v>
          </cell>
          <cell r="E494">
            <v>123.69</v>
          </cell>
          <cell r="F494">
            <v>2.2400000000000002</v>
          </cell>
          <cell r="G494">
            <v>2.77</v>
          </cell>
          <cell r="H494">
            <v>342.62</v>
          </cell>
          <cell r="I494">
            <v>2.27</v>
          </cell>
          <cell r="J494">
            <v>2.67</v>
          </cell>
          <cell r="K494">
            <v>330.25</v>
          </cell>
        </row>
        <row r="495">
          <cell r="A495" t="str">
            <v>1.9.4</v>
          </cell>
          <cell r="C495" t="str">
            <v>TERRAPLENAGEM</v>
          </cell>
          <cell r="H495">
            <v>26676.22</v>
          </cell>
          <cell r="K495">
            <v>25754.36</v>
          </cell>
        </row>
        <row r="496">
          <cell r="A496" t="str">
            <v>1.9.4.1</v>
          </cell>
          <cell r="B496" t="str">
            <v>CP-74205/001-17324935</v>
          </cell>
          <cell r="C496" t="str">
            <v>ESCAVAÇÃO MECÂNICA DE MATERIAL 1A. CATEGORIA, PROVENIENTE DE CORTE DE SUBLEITO (C/TRATOR ESTEIRAS  160HP)</v>
          </cell>
          <cell r="D496" t="str">
            <v>M3</v>
          </cell>
          <cell r="E496">
            <v>598.61</v>
          </cell>
          <cell r="F496">
            <v>2.54</v>
          </cell>
          <cell r="G496">
            <v>3.14</v>
          </cell>
          <cell r="H496">
            <v>1879.64</v>
          </cell>
          <cell r="I496">
            <v>2.59</v>
          </cell>
          <cell r="J496">
            <v>3.05</v>
          </cell>
          <cell r="K496">
            <v>1825.76</v>
          </cell>
        </row>
        <row r="497">
          <cell r="A497" t="str">
            <v>1.9.4.2</v>
          </cell>
          <cell r="B497" t="str">
            <v>COMP-35145154</v>
          </cell>
          <cell r="C497" t="str">
            <v>CARGA E DESCARGA MECANICA DE SOLO UTILIZANDO CAMINHAO BASCULANTE 14,0M3/36T E PA CARREGADEIRA SOBRE PNEUS 128 HP, CAPACIDADE DA CAÇAMBA 1,7 A 2,8 M3, PESO OPERACIONAL 11632 KH</v>
          </cell>
          <cell r="D497" t="str">
            <v>M3</v>
          </cell>
          <cell r="E497">
            <v>748.26</v>
          </cell>
          <cell r="F497">
            <v>2.83</v>
          </cell>
          <cell r="G497">
            <v>3.5</v>
          </cell>
          <cell r="H497">
            <v>2618.91</v>
          </cell>
          <cell r="I497">
            <v>2.9</v>
          </cell>
          <cell r="J497">
            <v>3.41</v>
          </cell>
          <cell r="K497">
            <v>2551.5700000000002</v>
          </cell>
        </row>
        <row r="498">
          <cell r="A498" t="str">
            <v>1.9.4.3</v>
          </cell>
          <cell r="B498">
            <v>95876</v>
          </cell>
          <cell r="C498" t="str">
            <v>TRANSPORTE COM CAMINHÃO BASCULANTE DE 14 M³, EM VIA URBANA PAVIMENTADA, DMT ATÉ 30 KM (UNIDADE: M3XKM). AF_07/2020</v>
          </cell>
          <cell r="D498" t="str">
            <v>M3XKM</v>
          </cell>
          <cell r="E498">
            <v>8006.38</v>
          </cell>
          <cell r="F498">
            <v>2.2400000000000002</v>
          </cell>
          <cell r="G498">
            <v>2.77</v>
          </cell>
          <cell r="H498">
            <v>22177.67</v>
          </cell>
          <cell r="I498">
            <v>2.27</v>
          </cell>
          <cell r="J498">
            <v>2.67</v>
          </cell>
          <cell r="K498">
            <v>21377.03</v>
          </cell>
        </row>
        <row r="499">
          <cell r="A499" t="str">
            <v>1.9.5</v>
          </cell>
          <cell r="C499" t="str">
            <v>PAVIMENTAÇÃO</v>
          </cell>
          <cell r="H499">
            <v>76605.710000000006</v>
          </cell>
          <cell r="K499">
            <v>75049.03</v>
          </cell>
        </row>
        <row r="500">
          <cell r="A500" t="str">
            <v>1.9.5.1</v>
          </cell>
          <cell r="B500">
            <v>100576</v>
          </cell>
          <cell r="C500" t="str">
            <v>REGULARIZAÇÃO E COMPACTAÇÃO DE SUBLEITO DE SOLO  PREDOMINANTEMENTE ARGILOSO. AF_11/2019</v>
          </cell>
          <cell r="D500" t="str">
            <v>M2</v>
          </cell>
          <cell r="E500">
            <v>948.64</v>
          </cell>
          <cell r="F500">
            <v>2.64</v>
          </cell>
          <cell r="G500">
            <v>3.26</v>
          </cell>
          <cell r="H500">
            <v>3092.57</v>
          </cell>
          <cell r="I500">
            <v>2.79</v>
          </cell>
          <cell r="J500">
            <v>3.28</v>
          </cell>
          <cell r="K500">
            <v>3111.54</v>
          </cell>
        </row>
        <row r="501">
          <cell r="A501" t="str">
            <v>1.9.5.2</v>
          </cell>
          <cell r="B501" t="str">
            <v>COMP-47176600</v>
          </cell>
          <cell r="C501" t="str">
            <v xml:space="preserve">EXEC. DE ATERRO COM AREIA COM ADENSAMENTO HIDRAULICO </v>
          </cell>
          <cell r="D501" t="str">
            <v xml:space="preserve">M3    </v>
          </cell>
          <cell r="E501">
            <v>124.51</v>
          </cell>
          <cell r="F501">
            <v>103.23</v>
          </cell>
          <cell r="G501">
            <v>127.58</v>
          </cell>
          <cell r="H501">
            <v>15884.99</v>
          </cell>
          <cell r="I501">
            <v>104.33</v>
          </cell>
          <cell r="J501">
            <v>122.66</v>
          </cell>
          <cell r="K501">
            <v>15272.4</v>
          </cell>
        </row>
        <row r="502">
          <cell r="A502" t="str">
            <v>1.9.5.3</v>
          </cell>
          <cell r="B502" t="str">
            <v>COMP-28881239</v>
          </cell>
          <cell r="C502" t="str">
            <v>Base ou sub-base de macadame hidráulico com brita comercial - EXCLUSIVE MATERIAL, CARGA E TRANSPORTE - NÃO DESONERADO</v>
          </cell>
          <cell r="D502" t="str">
            <v>M3</v>
          </cell>
          <cell r="E502">
            <v>124.51</v>
          </cell>
          <cell r="F502">
            <v>11.24</v>
          </cell>
          <cell r="G502">
            <v>13.89</v>
          </cell>
          <cell r="H502">
            <v>1729.44</v>
          </cell>
          <cell r="I502">
            <v>11.4</v>
          </cell>
          <cell r="J502">
            <v>13.4</v>
          </cell>
          <cell r="K502">
            <v>1668.43</v>
          </cell>
        </row>
        <row r="503">
          <cell r="A503" t="str">
            <v>1.9.5.4</v>
          </cell>
          <cell r="B503" t="str">
            <v>CP-96396-26507981</v>
          </cell>
          <cell r="C503" t="str">
            <v>EXECUÇÃO E COMPACTAÇÃO DE BASE E OU SUB BASE PARA PAVIMENTAÇÃO DE BRITA GRADUADA SIMPLES - EXCLUSIVE MATERIAL, CARGA E TRANSPORTE</v>
          </cell>
          <cell r="D503" t="str">
            <v>M3</v>
          </cell>
          <cell r="E503">
            <v>142.30000000000001</v>
          </cell>
          <cell r="F503">
            <v>13.86</v>
          </cell>
          <cell r="G503">
            <v>17.13</v>
          </cell>
          <cell r="H503">
            <v>2437.6</v>
          </cell>
          <cell r="I503">
            <v>14.44</v>
          </cell>
          <cell r="J503">
            <v>16.98</v>
          </cell>
          <cell r="K503">
            <v>2416.25</v>
          </cell>
        </row>
        <row r="504">
          <cell r="A504" t="str">
            <v>1.9.5.5</v>
          </cell>
          <cell r="B504" t="str">
            <v>COMP-35145154</v>
          </cell>
          <cell r="C504" t="str">
            <v>CARGA E DESCARGA MECANICA DE SOLO UTILIZANDO CAMINHAO BASCULANTE 14,0M3/36T E PA CARREGADEIRA SOBRE PNEUS 128 HP, CAPACIDADE DA CAÇAMBA 1,7 A 2,8 M3, PESO OPERACIONAL 11632 KH</v>
          </cell>
          <cell r="D504" t="str">
            <v>M3</v>
          </cell>
          <cell r="E504">
            <v>333.51</v>
          </cell>
          <cell r="F504">
            <v>2.83</v>
          </cell>
          <cell r="G504">
            <v>3.5</v>
          </cell>
          <cell r="H504">
            <v>1167.29</v>
          </cell>
          <cell r="I504">
            <v>2.9</v>
          </cell>
          <cell r="J504">
            <v>3.41</v>
          </cell>
          <cell r="K504">
            <v>1137.27</v>
          </cell>
        </row>
        <row r="505">
          <cell r="A505" t="str">
            <v>1.9.5.6</v>
          </cell>
          <cell r="B505" t="str">
            <v>COMP-83526730</v>
          </cell>
          <cell r="C505" t="str">
            <v>TRANSPORTE COMERCIAL DE BRITA</v>
          </cell>
          <cell r="D505" t="str">
            <v>M3XKM</v>
          </cell>
          <cell r="E505">
            <v>4235.58</v>
          </cell>
          <cell r="F505">
            <v>1.36</v>
          </cell>
          <cell r="G505">
            <v>1.68</v>
          </cell>
          <cell r="H505">
            <v>7115.77</v>
          </cell>
          <cell r="I505">
            <v>1.37</v>
          </cell>
          <cell r="J505">
            <v>1.61</v>
          </cell>
          <cell r="K505">
            <v>6819.28</v>
          </cell>
        </row>
        <row r="506">
          <cell r="A506" t="str">
            <v>1.9.5.7</v>
          </cell>
          <cell r="B506" t="str">
            <v>CP-96401-52745838</v>
          </cell>
          <cell r="C506" t="str">
            <v>EXECUÇÃO DE IMPRIMAÇÃO COM ASFALTO DILUÍDO CM-30, EXCLUSIVE MATERIAL.</v>
          </cell>
          <cell r="D506" t="str">
            <v>M2</v>
          </cell>
          <cell r="E506">
            <v>668.67</v>
          </cell>
          <cell r="F506">
            <v>1.18</v>
          </cell>
          <cell r="G506">
            <v>1.46</v>
          </cell>
          <cell r="H506">
            <v>976.26</v>
          </cell>
          <cell r="I506">
            <v>1.24</v>
          </cell>
          <cell r="J506">
            <v>1.46</v>
          </cell>
          <cell r="K506">
            <v>976.26</v>
          </cell>
        </row>
        <row r="507">
          <cell r="A507" t="str">
            <v>1.9.5.8</v>
          </cell>
          <cell r="B507" t="str">
            <v>CP-95995-51339760</v>
          </cell>
          <cell r="C507" t="str">
            <v>EXECUÇÃO DE PAVIMENTO COM APLICAÇÃO DE CONCRETO ASFÁLTICO, CAMADA DE ROLAMENTO - EXCLUSIVE CARGA E TRANSPORTE E CONCRETO BETUMINOSO</v>
          </cell>
          <cell r="D507" t="str">
            <v>M3</v>
          </cell>
          <cell r="E507">
            <v>33.44</v>
          </cell>
          <cell r="F507">
            <v>127.58</v>
          </cell>
          <cell r="G507">
            <v>157.68</v>
          </cell>
          <cell r="H507">
            <v>5272.82</v>
          </cell>
          <cell r="I507">
            <v>133.37</v>
          </cell>
          <cell r="J507">
            <v>156.80000000000001</v>
          </cell>
          <cell r="K507">
            <v>5243.39</v>
          </cell>
        </row>
        <row r="508">
          <cell r="A508" t="str">
            <v>1.9.5.9</v>
          </cell>
          <cell r="B508" t="str">
            <v>COMP-10034101</v>
          </cell>
          <cell r="C508" t="str">
            <v>CARGA, MANOBRAS E DESCARGA DE MISTURA BETUMINOSA A QUENTE, COM CAMINHAO BASCULANTE 6 M3, DESCARGA EM VIBRO-ACABADORA</v>
          </cell>
          <cell r="D508" t="str">
            <v>M3</v>
          </cell>
          <cell r="E508">
            <v>33.44</v>
          </cell>
          <cell r="F508">
            <v>7.74</v>
          </cell>
          <cell r="G508">
            <v>9.57</v>
          </cell>
          <cell r="H508">
            <v>320.02</v>
          </cell>
          <cell r="I508">
            <v>7.86</v>
          </cell>
          <cell r="J508">
            <v>9.24</v>
          </cell>
          <cell r="K508">
            <v>308.99</v>
          </cell>
        </row>
        <row r="509">
          <cell r="A509" t="str">
            <v>1.9.5.10</v>
          </cell>
          <cell r="B509" t="str">
            <v>CP-95303-56931542</v>
          </cell>
          <cell r="C509" t="str">
            <v>TRANSPORTE COM CAMINHÃO BASCULANTE 10 M3 DE MASSA ASFALTICA PARA PAVIMENTAÇÃO URBANA</v>
          </cell>
          <cell r="D509" t="str">
            <v>M3XKM</v>
          </cell>
          <cell r="E509">
            <v>759.09</v>
          </cell>
          <cell r="F509">
            <v>1.75</v>
          </cell>
          <cell r="G509">
            <v>2.16</v>
          </cell>
          <cell r="H509">
            <v>1639.63</v>
          </cell>
          <cell r="I509">
            <v>1.77</v>
          </cell>
          <cell r="J509">
            <v>2.08</v>
          </cell>
          <cell r="K509">
            <v>1578.91</v>
          </cell>
        </row>
        <row r="510">
          <cell r="A510" t="str">
            <v>1.9.5.11</v>
          </cell>
          <cell r="B510" t="str">
            <v>CP-97084-89637704</v>
          </cell>
          <cell r="C510" t="str">
            <v>REGULARIZACAO E COMPACTAÇÃO MANUAL DE TERRENO COM PLACA VIBRATÓRIA</v>
          </cell>
          <cell r="D510" t="str">
            <v>M2</v>
          </cell>
          <cell r="E510">
            <v>564.66999999999996</v>
          </cell>
          <cell r="F510">
            <v>0.59</v>
          </cell>
          <cell r="G510">
            <v>0.73</v>
          </cell>
          <cell r="H510">
            <v>412.21</v>
          </cell>
          <cell r="I510">
            <v>0.65</v>
          </cell>
          <cell r="J510">
            <v>0.76</v>
          </cell>
          <cell r="K510">
            <v>429.15</v>
          </cell>
        </row>
        <row r="511">
          <cell r="A511" t="str">
            <v>1.9.5.12</v>
          </cell>
          <cell r="B511" t="str">
            <v>CP-94991-12549457</v>
          </cell>
          <cell r="C511" t="str">
            <v>EXECUÇÃO DE PASSEIO (CALÇADA) OU PISO DE CONCRETO COM CONCRETO MOLDADO IN LOCO, USINADO, ACABAMENTO CONVENCIONAL, NÃO ARMADO - EXCLUINDO O CONCRETO USINADO 20MPA</v>
          </cell>
          <cell r="D511" t="str">
            <v>M3</v>
          </cell>
          <cell r="E511">
            <v>36.14</v>
          </cell>
          <cell r="F511">
            <v>104.6</v>
          </cell>
          <cell r="G511">
            <v>129.28</v>
          </cell>
          <cell r="H511">
            <v>4672.18</v>
          </cell>
          <cell r="I511">
            <v>112.75</v>
          </cell>
          <cell r="J511">
            <v>132.56</v>
          </cell>
          <cell r="K511">
            <v>4790.72</v>
          </cell>
        </row>
        <row r="512">
          <cell r="A512" t="str">
            <v>1.9.5.13</v>
          </cell>
          <cell r="B512">
            <v>94273</v>
          </cell>
          <cell r="C512" t="str">
            <v>ASSENTAMENTO DE GUIA (MEIO-FIO) EM TRECHO RETO, CONFECCIONADA EM CONCRETO PRÉ-FABRICADO, DIMENSÕES 100X15X13X30 CM (COMPRIMENTO X BASE INFERIOR X BASE SUPERIOR X ALTURA), PARA VIAS URBANAS (USO VIÁRIO). AF_06/2016</v>
          </cell>
          <cell r="D512" t="str">
            <v>M</v>
          </cell>
          <cell r="E512">
            <v>270.06</v>
          </cell>
          <cell r="F512">
            <v>54.61</v>
          </cell>
          <cell r="G512">
            <v>67.489999999999995</v>
          </cell>
          <cell r="H512">
            <v>18226.349999999999</v>
          </cell>
          <cell r="I512">
            <v>56.47</v>
          </cell>
          <cell r="J512">
            <v>66.39</v>
          </cell>
          <cell r="K512">
            <v>17929.28</v>
          </cell>
        </row>
        <row r="513">
          <cell r="A513" t="str">
            <v>1.9.5.14</v>
          </cell>
          <cell r="B513">
            <v>94274</v>
          </cell>
          <cell r="C513" t="str">
            <v>ASSENTAMENTO DE GUIA (MEIO-FIO) EM TRECHO CURVO, CONFECCIONADA EM CONCRETO PRÉ-FABRICADO, DIMENSÕES 100X15X13X30 CM (COMPRIMENTO X BASE INFERIOR X BASE SUPERIOR X ALTURA), PARA VIAS URBANAS (USO VIÁRIO). AF_06/2016</v>
          </cell>
          <cell r="D513" t="str">
            <v>M</v>
          </cell>
          <cell r="E513">
            <v>18.07</v>
          </cell>
          <cell r="F513">
            <v>58.17</v>
          </cell>
          <cell r="G513">
            <v>71.89</v>
          </cell>
          <cell r="H513">
            <v>1299.05</v>
          </cell>
          <cell r="I513">
            <v>60.43</v>
          </cell>
          <cell r="J513">
            <v>71.05</v>
          </cell>
          <cell r="K513">
            <v>1283.8699999999999</v>
          </cell>
        </row>
        <row r="514">
          <cell r="A514" t="str">
            <v>1.9.5.15</v>
          </cell>
          <cell r="B514">
            <v>94275</v>
          </cell>
          <cell r="C514" t="str">
            <v>ASSENTAMENTO DE GUIA (MEIO-FIO) EM TRECHO RETO, CONFECCIONADA EM CONCRETO PRÉ-FABRICADO, DIMENSÕES 100X15X13X20 CM (COMPRIMENTO X BASE INFERIOR X BASE SUPERIOR X ALTURA), PARA URBANIZAÇÃO INTERNA DE EMPREENDIMENTOS. AF_06/2016_P</v>
          </cell>
          <cell r="D514" t="str">
            <v>M</v>
          </cell>
          <cell r="E514">
            <v>98</v>
          </cell>
          <cell r="F514">
            <v>52.64</v>
          </cell>
          <cell r="G514">
            <v>65.06</v>
          </cell>
          <cell r="H514">
            <v>6375.88</v>
          </cell>
          <cell r="I514">
            <v>54.31</v>
          </cell>
          <cell r="J514">
            <v>63.85</v>
          </cell>
          <cell r="K514">
            <v>6257.3</v>
          </cell>
        </row>
        <row r="515">
          <cell r="A515" t="str">
            <v>1.9.5.16</v>
          </cell>
          <cell r="B515">
            <v>94287</v>
          </cell>
          <cell r="C515" t="str">
            <v>EXECUÇÃO DE SARJETA DE CONCRETO USINADO, MOLDADA  IN LOCO  EM TRECHO RETO, 30 CM BASE X 10 CM ALTURA. AF_06/2016</v>
          </cell>
          <cell r="D515" t="str">
            <v>M</v>
          </cell>
          <cell r="E515">
            <v>1.1499999999999999</v>
          </cell>
          <cell r="F515">
            <v>37.69</v>
          </cell>
          <cell r="G515">
            <v>46.58</v>
          </cell>
          <cell r="H515">
            <v>53.57</v>
          </cell>
          <cell r="I515">
            <v>39.770000000000003</v>
          </cell>
          <cell r="J515">
            <v>46.76</v>
          </cell>
          <cell r="K515">
            <v>53.77</v>
          </cell>
        </row>
        <row r="516">
          <cell r="A516" t="str">
            <v>1.9.5.17</v>
          </cell>
          <cell r="B516">
            <v>94288</v>
          </cell>
          <cell r="C516" t="str">
            <v>EXECUÇÃO DE SARJETA DE CONCRETO USINADO, MOLDADA  IN LOCO  EM TRECHO CURVO, 30 CM BASE X 10 CM ALTURA. AF_06/2016</v>
          </cell>
          <cell r="D516" t="str">
            <v>M</v>
          </cell>
          <cell r="E516">
            <v>11.75</v>
          </cell>
          <cell r="F516">
            <v>47.14</v>
          </cell>
          <cell r="G516">
            <v>58.26</v>
          </cell>
          <cell r="H516">
            <v>684.56</v>
          </cell>
          <cell r="I516">
            <v>50.32</v>
          </cell>
          <cell r="J516">
            <v>59.16</v>
          </cell>
          <cell r="K516">
            <v>695.13</v>
          </cell>
        </row>
        <row r="517">
          <cell r="A517" t="str">
            <v>1.9.5.18</v>
          </cell>
          <cell r="B517">
            <v>98511</v>
          </cell>
          <cell r="C517" t="str">
            <v>PLANTIO DE ÁRVORE ORNAMENTAL COM ALTURA DE MUDA MAIOR QUE 2,00 M E MENOR OU IGUAL A 4,00 M. AF_05/2018</v>
          </cell>
          <cell r="D517" t="str">
            <v>UN</v>
          </cell>
          <cell r="E517">
            <v>16</v>
          </cell>
          <cell r="F517">
            <v>198.4</v>
          </cell>
          <cell r="G517">
            <v>245.2</v>
          </cell>
          <cell r="H517">
            <v>3923.2</v>
          </cell>
          <cell r="I517">
            <v>201.05</v>
          </cell>
          <cell r="J517">
            <v>236.37</v>
          </cell>
          <cell r="K517">
            <v>3781.92</v>
          </cell>
        </row>
        <row r="518">
          <cell r="A518" t="str">
            <v>1.9.5.19</v>
          </cell>
          <cell r="B518">
            <v>98504</v>
          </cell>
          <cell r="C518" t="str">
            <v>PLANTIO DE GRAMA BATATAIS EM PLACAS. AF_05/2018</v>
          </cell>
          <cell r="D518" t="str">
            <v>M2</v>
          </cell>
          <cell r="E518">
            <v>79.849999999999994</v>
          </cell>
          <cell r="F518">
            <v>13.4</v>
          </cell>
          <cell r="G518">
            <v>16.559999999999999</v>
          </cell>
          <cell r="H518">
            <v>1322.32</v>
          </cell>
          <cell r="I518">
            <v>13.8</v>
          </cell>
          <cell r="J518">
            <v>16.22</v>
          </cell>
          <cell r="K518">
            <v>1295.17</v>
          </cell>
        </row>
        <row r="519">
          <cell r="A519" t="str">
            <v>1.9.6</v>
          </cell>
          <cell r="C519" t="str">
            <v>DRENAGEM</v>
          </cell>
          <cell r="H519">
            <v>74306.62</v>
          </cell>
          <cell r="K519">
            <v>73052.97</v>
          </cell>
        </row>
        <row r="520">
          <cell r="A520" t="str">
            <v>1.9.6.1</v>
          </cell>
          <cell r="B520">
            <v>90091</v>
          </cell>
          <cell r="C520" t="str">
            <v>ESCAVAÇÃO MECANIZADA DE VALA COM PROF. ATÉ 1,5 M (MÉDIA MONTANTE E JUSANTE/UMA COMPOSIÇÃO POR TRECHO), ESCAVADEIRA (0,8 M3), LARG. DE 1,5 M A 2,5 M, EM SOLO DE 1A CATEGORIA, LOCAIS COM BAIXO NÍVEL DE INTERFERÊNCIA. AF_02/2021</v>
          </cell>
          <cell r="D520" t="str">
            <v>M3</v>
          </cell>
          <cell r="E520">
            <v>21.32</v>
          </cell>
          <cell r="F520">
            <v>6.24</v>
          </cell>
          <cell r="G520">
            <v>7.71</v>
          </cell>
          <cell r="H520">
            <v>164.38</v>
          </cell>
          <cell r="I520">
            <v>6.48</v>
          </cell>
          <cell r="J520">
            <v>7.62</v>
          </cell>
          <cell r="K520">
            <v>162.46</v>
          </cell>
        </row>
        <row r="521">
          <cell r="A521" t="str">
            <v>1.9.6.2</v>
          </cell>
          <cell r="B521">
            <v>93367</v>
          </cell>
          <cell r="C521" t="str">
            <v>REATERRO MECANIZADO DE VALA COM ESCAVADEIRA HIDRÁULICA (CAPACIDADE DA CAÇAMBA: 0,8 M³ / POTÊNCIA: 111 HP), LARGURA DE 1,5 A 2,5 M, PROFUNDIDADE ATÉ 1,5 M, COM SOLO DE 1ª CATEGORIA EM LOCAIS COM BAIXO NÍVEL DE INTERFERÊNCIA. AF_04/2016</v>
          </cell>
          <cell r="D521" t="str">
            <v>M3</v>
          </cell>
          <cell r="E521">
            <v>7.99</v>
          </cell>
          <cell r="F521">
            <v>22.53</v>
          </cell>
          <cell r="G521">
            <v>27.84</v>
          </cell>
          <cell r="H521">
            <v>222.44</v>
          </cell>
          <cell r="I521">
            <v>23.75</v>
          </cell>
          <cell r="J521">
            <v>27.92</v>
          </cell>
          <cell r="K521">
            <v>223.08</v>
          </cell>
        </row>
        <row r="522">
          <cell r="A522" t="str">
            <v>1.9.6.3</v>
          </cell>
          <cell r="B522" t="str">
            <v>COMP-35145154</v>
          </cell>
          <cell r="C522" t="str">
            <v>CARGA E DESCARGA MECANICA DE SOLO UTILIZANDO CAMINHAO BASCULANTE 14,0M3/36T E PA CARREGADEIRA SOBRE PNEUS 128 HP, CAPACIDADE DA CAÇAMBA 1,7 A 2,8 M3, PESO OPERACIONAL 11632 KH</v>
          </cell>
          <cell r="D522" t="str">
            <v>M3</v>
          </cell>
          <cell r="E522">
            <v>16.66</v>
          </cell>
          <cell r="F522">
            <v>2.83</v>
          </cell>
          <cell r="G522">
            <v>3.5</v>
          </cell>
          <cell r="H522">
            <v>58.31</v>
          </cell>
          <cell r="I522">
            <v>2.9</v>
          </cell>
          <cell r="J522">
            <v>3.41</v>
          </cell>
          <cell r="K522">
            <v>56.81</v>
          </cell>
        </row>
        <row r="523">
          <cell r="A523" t="str">
            <v>1.9.6.4</v>
          </cell>
          <cell r="B523">
            <v>95876</v>
          </cell>
          <cell r="C523" t="str">
            <v>TRANSPORTE COM CAMINHÃO BASCULANTE DE 14 M³, EM VIA URBANA PAVIMENTADA, DMT ATÉ 30 KM (UNIDADE: M3XKM). AF_07/2020</v>
          </cell>
          <cell r="D523" t="str">
            <v>M3XKM</v>
          </cell>
          <cell r="E523">
            <v>178.26</v>
          </cell>
          <cell r="F523">
            <v>2.2400000000000002</v>
          </cell>
          <cell r="G523">
            <v>2.77</v>
          </cell>
          <cell r="H523">
            <v>493.78</v>
          </cell>
          <cell r="I523">
            <v>2.27</v>
          </cell>
          <cell r="J523">
            <v>2.67</v>
          </cell>
          <cell r="K523">
            <v>475.95</v>
          </cell>
        </row>
        <row r="524">
          <cell r="A524" t="str">
            <v>1.9.6.5</v>
          </cell>
          <cell r="B524">
            <v>94971</v>
          </cell>
          <cell r="C524" t="str">
            <v>CONCRETO FCK = 25MPA, TRAÇO 1:2,3:2,7 (EM MASSA SECA DE CIMENTO/ AREIA MÉDIA/ BRITA 1) - PREPARO MECÂNICO COM BETONEIRA 600 L. AF_05/2021</v>
          </cell>
          <cell r="D524" t="str">
            <v>M3</v>
          </cell>
          <cell r="E524">
            <v>16.98</v>
          </cell>
          <cell r="F524">
            <v>464.88</v>
          </cell>
          <cell r="G524">
            <v>574.54999999999995</v>
          </cell>
          <cell r="H524">
            <v>9755.86</v>
          </cell>
          <cell r="I524">
            <v>472.74</v>
          </cell>
          <cell r="J524">
            <v>555.79999999999995</v>
          </cell>
          <cell r="K524">
            <v>9437.48</v>
          </cell>
        </row>
        <row r="525">
          <cell r="A525" t="str">
            <v>1.9.6.6</v>
          </cell>
          <cell r="B525">
            <v>94974</v>
          </cell>
          <cell r="C525" t="str">
            <v>CONCRETO MAGRO PARA LASTRO, TRAÇO 1:4,5:4,5 (EM MASSA SECA DE CIMENTO/ AREIA MÉDIA/ BRITA 1) - PREPARO MANUAL. AF_05/2021</v>
          </cell>
          <cell r="D525" t="str">
            <v>M3</v>
          </cell>
          <cell r="E525">
            <v>13.33</v>
          </cell>
          <cell r="F525">
            <v>423.75</v>
          </cell>
          <cell r="G525">
            <v>523.71</v>
          </cell>
          <cell r="H525">
            <v>6981.05</v>
          </cell>
          <cell r="I525">
            <v>436.13</v>
          </cell>
          <cell r="J525">
            <v>512.76</v>
          </cell>
          <cell r="K525">
            <v>6835.09</v>
          </cell>
        </row>
        <row r="526">
          <cell r="A526" t="str">
            <v>1.9.6.7</v>
          </cell>
          <cell r="B526">
            <v>92771</v>
          </cell>
          <cell r="C526" t="str">
            <v>ARMAÇÃO DE LAJE DE ESTRUTURA CONVENCIONAL DE CONCRETO ARMADO UTILIZANDO AÇO CA-50 DE 10,0 MM - MONTAGEM. AF_06/2022</v>
          </cell>
          <cell r="D526" t="str">
            <v>KG</v>
          </cell>
          <cell r="E526">
            <v>1104.6400000000001</v>
          </cell>
          <cell r="F526">
            <v>15.04</v>
          </cell>
          <cell r="G526">
            <v>18.59</v>
          </cell>
          <cell r="H526">
            <v>20535.259999999998</v>
          </cell>
          <cell r="I526">
            <v>15.14</v>
          </cell>
          <cell r="J526">
            <v>17.8</v>
          </cell>
          <cell r="K526">
            <v>19662.59</v>
          </cell>
        </row>
        <row r="527">
          <cell r="A527" t="str">
            <v>1.9.6.8</v>
          </cell>
          <cell r="B527" t="str">
            <v>CP-92268-29291149</v>
          </cell>
          <cell r="C527" t="str">
            <v>FABRICAÇÃO DE FÔRMA PARA LAJES, EM CHAPA DE MADEIRA COMPENSADA PLASTIFICADA, E = 18 MM - EXCLUINDO O PAINEL DE MADEIRA COMPENSADA PLASTIFICADA DE 2200 x 1100 MM, E = *17* MM</v>
          </cell>
          <cell r="D527" t="str">
            <v>M2</v>
          </cell>
          <cell r="E527">
            <v>79.95</v>
          </cell>
          <cell r="F527">
            <v>0.98</v>
          </cell>
          <cell r="G527">
            <v>1.21</v>
          </cell>
          <cell r="H527">
            <v>96.74</v>
          </cell>
          <cell r="I527">
            <v>1.1000000000000001</v>
          </cell>
          <cell r="J527">
            <v>1.29</v>
          </cell>
          <cell r="K527">
            <v>103.14</v>
          </cell>
        </row>
        <row r="528">
          <cell r="A528" t="str">
            <v>1.9.6.9</v>
          </cell>
          <cell r="B528">
            <v>103320</v>
          </cell>
          <cell r="C528" t="str">
            <v>ALVENARIA DE VEDAÇÃO DE BLOCOS VAZADOS DE CONCRETO DE 19X19X39 CM (ESPESSURA 19 CM) E ARGAMASSA DE ASSENTAMENTO COM PREPARO EM BETONEIRA. AF_12/2021</v>
          </cell>
          <cell r="D528" t="str">
            <v>M2</v>
          </cell>
          <cell r="E528">
            <v>133.25</v>
          </cell>
          <cell r="F528">
            <v>101.36</v>
          </cell>
          <cell r="G528">
            <v>125.27</v>
          </cell>
          <cell r="H528">
            <v>16692.23</v>
          </cell>
          <cell r="I528">
            <v>105.62</v>
          </cell>
          <cell r="J528">
            <v>124.18</v>
          </cell>
          <cell r="K528">
            <v>16546.990000000002</v>
          </cell>
        </row>
        <row r="529">
          <cell r="A529" t="str">
            <v>1.9.6.10</v>
          </cell>
          <cell r="B529">
            <v>87879</v>
          </cell>
          <cell r="C529" t="str">
            <v>CHAPISCO APLICADO EM ALVENARIAS E ESTRUTURAS DE CONCRETO INTERNAS, COM COLHER DE PEDREIRO.  ARGAMASSA TRAÇO 1:3 COM PREPARO EM BETONEIRA 400L. AF_06/2014</v>
          </cell>
          <cell r="D529" t="str">
            <v>M2</v>
          </cell>
          <cell r="E529">
            <v>133.25</v>
          </cell>
          <cell r="F529">
            <v>3.85</v>
          </cell>
          <cell r="G529">
            <v>4.76</v>
          </cell>
          <cell r="H529">
            <v>634.27</v>
          </cell>
          <cell r="I529">
            <v>4.0999999999999996</v>
          </cell>
          <cell r="J529">
            <v>4.82</v>
          </cell>
          <cell r="K529">
            <v>642.27</v>
          </cell>
        </row>
        <row r="530">
          <cell r="A530" t="str">
            <v>1.9.6.11</v>
          </cell>
          <cell r="B530">
            <v>87547</v>
          </cell>
          <cell r="C530" t="str">
            <v>MASSA ÚNICA, PARA RECEBIMENTO DE PINTURA, EM ARGAMASSA TRAÇO 1:2:8, PREPARO MECÂNICO COM BETONEIRA 400L, APLICADA MANUALMENTE EM FACES INTERNAS DE PAREDES, ESPESSURA DE 10MM, COM EXECUÇÃO DE TALISCAS. AF_06/2014</v>
          </cell>
          <cell r="D530" t="str">
            <v>M2</v>
          </cell>
          <cell r="E530">
            <v>133.25</v>
          </cell>
          <cell r="F530">
            <v>23.35</v>
          </cell>
          <cell r="G530">
            <v>28.86</v>
          </cell>
          <cell r="H530">
            <v>3845.6</v>
          </cell>
          <cell r="I530">
            <v>24.83</v>
          </cell>
          <cell r="J530">
            <v>29.19</v>
          </cell>
          <cell r="K530">
            <v>3889.57</v>
          </cell>
        </row>
        <row r="531">
          <cell r="A531" t="str">
            <v>1.9.6.12</v>
          </cell>
          <cell r="B531">
            <v>94975</v>
          </cell>
          <cell r="C531" t="str">
            <v>CONCRETO FCK = 15MPA, TRAÇO 1:3,4:3,5 (EM MASSA SECA DE CIMENTO/ AREIA MÉDIA/ BRITA 1) - PREPARO MANUAL. AF_05/2021</v>
          </cell>
          <cell r="D531" t="str">
            <v>M3</v>
          </cell>
          <cell r="E531">
            <v>14.17</v>
          </cell>
          <cell r="F531">
            <v>457.19</v>
          </cell>
          <cell r="G531">
            <v>565.04</v>
          </cell>
          <cell r="H531">
            <v>8006.62</v>
          </cell>
          <cell r="I531">
            <v>469.42</v>
          </cell>
          <cell r="J531">
            <v>551.9</v>
          </cell>
          <cell r="K531">
            <v>7820.42</v>
          </cell>
        </row>
        <row r="532">
          <cell r="A532" t="str">
            <v>1.9.6.13</v>
          </cell>
          <cell r="B532" t="str">
            <v>CP-74157/004-48264518</v>
          </cell>
          <cell r="C532" t="str">
            <v>LANCAMENTO/APLICACAO MANUAL DE CONCRETO EM FUNDACOES (concreto magro)</v>
          </cell>
          <cell r="D532" t="str">
            <v>M3</v>
          </cell>
          <cell r="E532">
            <v>44.48</v>
          </cell>
          <cell r="F532">
            <v>116.59</v>
          </cell>
          <cell r="G532">
            <v>144.09</v>
          </cell>
          <cell r="H532">
            <v>6409.12</v>
          </cell>
          <cell r="I532">
            <v>129.79</v>
          </cell>
          <cell r="J532">
            <v>152.59</v>
          </cell>
          <cell r="K532">
            <v>6787.2</v>
          </cell>
        </row>
        <row r="533">
          <cell r="A533" t="str">
            <v>1.9.6.14</v>
          </cell>
          <cell r="B533">
            <v>2003450</v>
          </cell>
          <cell r="C533" t="str">
            <v>Dissipador de energia - DEB 02 - areia extraída e brita e pedra de mão produzidas</v>
          </cell>
          <cell r="D533" t="str">
            <v>UN</v>
          </cell>
          <cell r="E533">
            <v>1</v>
          </cell>
          <cell r="F533">
            <v>332.52</v>
          </cell>
          <cell r="G533">
            <v>410.96</v>
          </cell>
          <cell r="H533">
            <v>410.96</v>
          </cell>
          <cell r="I533">
            <v>348.66</v>
          </cell>
          <cell r="J533">
            <v>409.92</v>
          </cell>
          <cell r="K533">
            <v>409.92</v>
          </cell>
        </row>
        <row r="534">
          <cell r="A534" t="str">
            <v>1.9.7</v>
          </cell>
          <cell r="C534" t="str">
            <v>SINALIZAÇÃO</v>
          </cell>
          <cell r="H534">
            <v>5717.43</v>
          </cell>
          <cell r="K534">
            <v>5617.61</v>
          </cell>
        </row>
        <row r="535">
          <cell r="A535" t="str">
            <v>1.9.7.1</v>
          </cell>
          <cell r="B535">
            <v>5213421</v>
          </cell>
          <cell r="C535" t="str">
            <v>Confecção de placa em aço nº 16 galvanizado, com película tipo I + IV</v>
          </cell>
          <cell r="D535" t="str">
            <v xml:space="preserve">M2    </v>
          </cell>
          <cell r="E535">
            <v>2.58</v>
          </cell>
          <cell r="F535">
            <v>343.8</v>
          </cell>
          <cell r="G535">
            <v>424.9</v>
          </cell>
          <cell r="H535">
            <v>1096.24</v>
          </cell>
          <cell r="I535">
            <v>347.25</v>
          </cell>
          <cell r="J535">
            <v>408.26</v>
          </cell>
          <cell r="K535">
            <v>1053.31</v>
          </cell>
        </row>
        <row r="536">
          <cell r="A536" t="str">
            <v>1.9.7.2</v>
          </cell>
          <cell r="B536">
            <v>5216111</v>
          </cell>
          <cell r="C536" t="str">
            <v>FORNECIMENTO E IMPLANTAÇÃO DE SUPORTE E TRAVESSA PARA PLACA DE SINALIZAÇÃO EM MADEIRA DE LEI TRATADA 8 X 8 CM</v>
          </cell>
          <cell r="D536" t="str">
            <v>UND</v>
          </cell>
          <cell r="E536">
            <v>9</v>
          </cell>
          <cell r="F536">
            <v>119.1379</v>
          </cell>
          <cell r="G536">
            <v>147.24</v>
          </cell>
          <cell r="H536">
            <v>1325.16</v>
          </cell>
          <cell r="I536">
            <v>121.48</v>
          </cell>
          <cell r="J536">
            <v>142.82</v>
          </cell>
          <cell r="K536">
            <v>1285.3800000000001</v>
          </cell>
        </row>
        <row r="537">
          <cell r="A537" t="str">
            <v>1.9.7.3</v>
          </cell>
          <cell r="B537" t="str">
            <v>COMP-58084869</v>
          </cell>
          <cell r="C537" t="str">
            <v>PLACA ESMALTADA PARA IDENTIFICAÇÃO NR DE RUA, DIMENSÕES 45X25CM</v>
          </cell>
          <cell r="D537" t="str">
            <v>UND</v>
          </cell>
          <cell r="E537">
            <v>2</v>
          </cell>
          <cell r="F537">
            <v>155.54</v>
          </cell>
          <cell r="G537">
            <v>192.23</v>
          </cell>
          <cell r="H537">
            <v>384.46</v>
          </cell>
          <cell r="I537">
            <v>156.33000000000001</v>
          </cell>
          <cell r="J537">
            <v>183.8</v>
          </cell>
          <cell r="K537">
            <v>367.6</v>
          </cell>
        </row>
        <row r="538">
          <cell r="A538" t="str">
            <v>1.9.7.4</v>
          </cell>
          <cell r="B538">
            <v>102512</v>
          </cell>
          <cell r="C538" t="str">
            <v>PINTURA DE EIXO VIÁRIO SOBRE ASFALTO COM TINTA RETRORREFLETIVA A BASE DE RESINA ACRÍLICA COM MICROESFERAS DE VIDRO, APLICAÇÃO MECÂNICA COM DEMARCADORA AUTOPROPELIDA. AF_05/2021</v>
          </cell>
          <cell r="D538" t="str">
            <v>M</v>
          </cell>
          <cell r="E538">
            <v>300.42</v>
          </cell>
          <cell r="F538">
            <v>5.22</v>
          </cell>
          <cell r="G538">
            <v>6.45</v>
          </cell>
          <cell r="H538">
            <v>1937.71</v>
          </cell>
          <cell r="I538">
            <v>5.48</v>
          </cell>
          <cell r="J538">
            <v>6.44</v>
          </cell>
          <cell r="K538">
            <v>1934.7</v>
          </cell>
        </row>
        <row r="539">
          <cell r="A539" t="str">
            <v>1.9.7.5</v>
          </cell>
          <cell r="B539">
            <v>102509</v>
          </cell>
          <cell r="C539" t="str">
            <v>PINTURA DE FAIXA DE PEDESTRE OU ZEBRADA TINTA RETRORREFLETIVA A BASE DE RESINA ACRÍLICA COM MICROESFERAS DE VIDRO, E = 30 CM, APLICAÇÃO MANUAL. AF_05/2021</v>
          </cell>
          <cell r="D539" t="str">
            <v>M2</v>
          </cell>
          <cell r="E539">
            <v>34.4</v>
          </cell>
          <cell r="F539">
            <v>22.91</v>
          </cell>
          <cell r="G539">
            <v>28.31</v>
          </cell>
          <cell r="H539">
            <v>973.86</v>
          </cell>
          <cell r="I539">
            <v>24.15</v>
          </cell>
          <cell r="J539">
            <v>28.39</v>
          </cell>
          <cell r="K539">
            <v>976.62</v>
          </cell>
        </row>
        <row r="540">
          <cell r="A540" t="str">
            <v>1.9.8</v>
          </cell>
          <cell r="C540" t="str">
            <v>ACESSIBILIDADE</v>
          </cell>
          <cell r="H540">
            <v>6495.23</v>
          </cell>
          <cell r="K540">
            <v>6387.39</v>
          </cell>
        </row>
        <row r="541">
          <cell r="A541" t="str">
            <v>1.9.8.1</v>
          </cell>
          <cell r="B541" t="str">
            <v>CP-S12039-81921471</v>
          </cell>
          <cell r="C541" t="str">
            <v>Piso tátil direcional e/ou alerta, de concreto, na cor natural, p/deficientes visuais, dimensões 40x40cm, aplicado com argamassa industrializada ac-ii, rejuntado, exclusive regularização de base</v>
          </cell>
          <cell r="D541" t="str">
            <v>M2</v>
          </cell>
          <cell r="E541">
            <v>48.36</v>
          </cell>
          <cell r="F541">
            <v>108.67</v>
          </cell>
          <cell r="G541">
            <v>134.31</v>
          </cell>
          <cell r="H541">
            <v>6495.23</v>
          </cell>
          <cell r="I541">
            <v>112.34</v>
          </cell>
          <cell r="J541">
            <v>132.08000000000001</v>
          </cell>
          <cell r="K541">
            <v>6387.39</v>
          </cell>
        </row>
        <row r="542">
          <cell r="A542" t="str">
            <v>1.9.9</v>
          </cell>
          <cell r="C542" t="str">
            <v>MATERIAIS</v>
          </cell>
          <cell r="H542">
            <v>117894.47</v>
          </cell>
          <cell r="K542">
            <v>112397.96</v>
          </cell>
        </row>
        <row r="543">
          <cell r="A543" t="str">
            <v>1.9.9.1</v>
          </cell>
          <cell r="B543">
            <v>10775</v>
          </cell>
          <cell r="C543" t="str">
            <v xml:space="preserve">LOCACAO DE CONTAINER 2,30 X 6,00 M, ALT. 2,50 M, COM 1 SANITARIO, PARA ESCRITORIO, COMPLETO, SEM DIVISORIAS INTERNAS (NAO INCLUI MOBILIZACAO/DESMOBILIZACAO)                                                                                                                                                                                                                                                                                                                                              </v>
          </cell>
          <cell r="D543" t="str">
            <v xml:space="preserve">MES   </v>
          </cell>
          <cell r="E543">
            <v>2</v>
          </cell>
          <cell r="F543">
            <v>830</v>
          </cell>
          <cell r="G543">
            <v>958.32</v>
          </cell>
          <cell r="H543">
            <v>1916.64</v>
          </cell>
          <cell r="I543">
            <v>830</v>
          </cell>
          <cell r="J543">
            <v>913.58</v>
          </cell>
          <cell r="K543">
            <v>1827.16</v>
          </cell>
        </row>
        <row r="544">
          <cell r="A544" t="str">
            <v>1.9.9.2</v>
          </cell>
          <cell r="B544">
            <v>10776</v>
          </cell>
          <cell r="C544" t="str">
            <v xml:space="preserve">LOCACAO DE CONTAINER 2,30 X 6,00 M, ALT. 2,50 M, PARA ESCRITORIO, SEM DIVISORIAS INTERNAS E SEM SANITARIO (NAO INCLUI MOBILIZACAO/DESMOBILIZACAO)                                                                                                                                                                                                                                                                                                                                                         </v>
          </cell>
          <cell r="D544" t="str">
            <v xml:space="preserve">MES   </v>
          </cell>
          <cell r="E544">
            <v>2</v>
          </cell>
          <cell r="F544">
            <v>648.42999999999995</v>
          </cell>
          <cell r="G544">
            <v>748.68</v>
          </cell>
          <cell r="H544">
            <v>1497.36</v>
          </cell>
          <cell r="I544">
            <v>648.42999999999995</v>
          </cell>
          <cell r="J544">
            <v>713.73</v>
          </cell>
          <cell r="K544">
            <v>1427.46</v>
          </cell>
        </row>
        <row r="545">
          <cell r="A545" t="str">
            <v>1.9.9.3</v>
          </cell>
          <cell r="B545">
            <v>1518</v>
          </cell>
          <cell r="C545" t="str">
            <v xml:space="preserve">CONCRETO BETUMINOSO USINADO A QUENTE (CBUQ) PARA PAVIMENTACAO ASFALTICA, PADRAO DNIT, FAIXA C, COM CAP 50/70 - AQUISICAO POSTO USINA                                                                                                                                                                                                                                                                                                                                                                      </v>
          </cell>
          <cell r="D545" t="str">
            <v xml:space="preserve">T     </v>
          </cell>
          <cell r="E545">
            <v>85.43</v>
          </cell>
          <cell r="F545">
            <v>522.5</v>
          </cell>
          <cell r="G545">
            <v>603.28</v>
          </cell>
          <cell r="H545">
            <v>51538.21</v>
          </cell>
          <cell r="I545">
            <v>522.5</v>
          </cell>
          <cell r="J545">
            <v>575.12</v>
          </cell>
          <cell r="K545">
            <v>49132.5</v>
          </cell>
        </row>
        <row r="546">
          <cell r="A546" t="str">
            <v>1.9.9.4</v>
          </cell>
          <cell r="B546" t="str">
            <v>INS-185032</v>
          </cell>
          <cell r="C546" t="str">
            <v>BRITA GRADUADA SIMPLES (BGS)</v>
          </cell>
          <cell r="D546" t="str">
            <v>M3</v>
          </cell>
          <cell r="E546">
            <v>142.30000000000001</v>
          </cell>
          <cell r="F546">
            <v>56.099999999999994</v>
          </cell>
          <cell r="G546">
            <v>64.77</v>
          </cell>
          <cell r="H546">
            <v>9216.77</v>
          </cell>
          <cell r="I546">
            <v>56.099999999999994</v>
          </cell>
          <cell r="J546">
            <v>61.75</v>
          </cell>
          <cell r="K546">
            <v>8787.0300000000007</v>
          </cell>
        </row>
        <row r="547">
          <cell r="A547" t="str">
            <v>1.9.9.5</v>
          </cell>
          <cell r="B547" t="str">
            <v>M0808</v>
          </cell>
          <cell r="C547" t="str">
            <v>Brita 4</v>
          </cell>
          <cell r="D547" t="str">
            <v>M3</v>
          </cell>
          <cell r="E547">
            <v>156.88</v>
          </cell>
          <cell r="F547">
            <v>90.74</v>
          </cell>
          <cell r="G547">
            <v>104.77</v>
          </cell>
          <cell r="H547">
            <v>16436.32</v>
          </cell>
          <cell r="I547">
            <v>90.74</v>
          </cell>
          <cell r="J547">
            <v>99.88</v>
          </cell>
          <cell r="K547">
            <v>15669.17</v>
          </cell>
        </row>
        <row r="548">
          <cell r="A548" t="str">
            <v>1.9.9.6</v>
          </cell>
          <cell r="B548" t="str">
            <v>M1135</v>
          </cell>
          <cell r="C548" t="str">
            <v>Pó de pedra</v>
          </cell>
          <cell r="D548" t="str">
            <v>M3</v>
          </cell>
          <cell r="E548">
            <v>17.43</v>
          </cell>
          <cell r="F548">
            <v>74.53</v>
          </cell>
          <cell r="G548">
            <v>86.05</v>
          </cell>
          <cell r="H548">
            <v>1499.85</v>
          </cell>
          <cell r="I548">
            <v>74.53</v>
          </cell>
          <cell r="J548">
            <v>82.04</v>
          </cell>
          <cell r="K548">
            <v>1429.96</v>
          </cell>
        </row>
        <row r="549">
          <cell r="A549" t="str">
            <v>1.9.9.7</v>
          </cell>
          <cell r="B549" t="str">
            <v>INS-711371</v>
          </cell>
          <cell r="C549" t="str">
            <v>ASFALTO DILUÍDO CM - 30</v>
          </cell>
          <cell r="D549" t="str">
            <v>KG</v>
          </cell>
          <cell r="E549">
            <v>802.4</v>
          </cell>
          <cell r="F549">
            <v>5.32</v>
          </cell>
          <cell r="G549">
            <v>6.14</v>
          </cell>
          <cell r="H549">
            <v>4926.74</v>
          </cell>
          <cell r="I549">
            <v>5.32</v>
          </cell>
          <cell r="J549">
            <v>5.86</v>
          </cell>
          <cell r="K549">
            <v>4702.0600000000004</v>
          </cell>
        </row>
        <row r="550">
          <cell r="A550" t="str">
            <v>1.9.9.8</v>
          </cell>
          <cell r="B550">
            <v>34492</v>
          </cell>
          <cell r="C550" t="str">
            <v xml:space="preserve">CONCRETO USINADO BOMBEAVEL, CLASSE DE RESISTENCIA C20, COM BRITA 0 E 1, SLUMP = 100 +/- 20 MM, EXCLUI SERVICO DE BOMBEAMENTO (NBR 8953)                                                                                                                                                                                                                                                                                                                                                                   </v>
          </cell>
          <cell r="D550" t="str">
            <v xml:space="preserve">M3    </v>
          </cell>
          <cell r="E550">
            <v>44.51</v>
          </cell>
          <cell r="F550">
            <v>422.5</v>
          </cell>
          <cell r="G550">
            <v>487.82</v>
          </cell>
          <cell r="H550">
            <v>21712.87</v>
          </cell>
          <cell r="I550">
            <v>422.5</v>
          </cell>
          <cell r="J550">
            <v>465.05</v>
          </cell>
          <cell r="K550">
            <v>20699.38</v>
          </cell>
        </row>
        <row r="551">
          <cell r="A551" t="str">
            <v>1.9.9.9</v>
          </cell>
          <cell r="B551">
            <v>1345</v>
          </cell>
          <cell r="C551" t="str">
            <v xml:space="preserve">CHAPA/PAINEL DE MADEIRA COMPENSADA PLASTIFICADA (MADEIRITE PLASTIFICADO) PARA FORMA DE CONCRETO, DE 2200 x 1100 MM, E = *17* MM                                                                                                                                                                                                                                                                                                                                                                           </v>
          </cell>
          <cell r="D551" t="str">
            <v xml:space="preserve">M2    </v>
          </cell>
          <cell r="E551">
            <v>83.95</v>
          </cell>
          <cell r="F551">
            <v>94.4</v>
          </cell>
          <cell r="G551">
            <v>108.99</v>
          </cell>
          <cell r="H551">
            <v>9149.7099999999991</v>
          </cell>
          <cell r="I551">
            <v>94.4</v>
          </cell>
          <cell r="J551">
            <v>103.91</v>
          </cell>
          <cell r="K551">
            <v>8723.24</v>
          </cell>
        </row>
        <row r="552">
          <cell r="A552" t="str">
            <v>1.10</v>
          </cell>
          <cell r="C552" t="str">
            <v>RUA 11 - CURCURANA</v>
          </cell>
          <cell r="H552">
            <v>565619.77</v>
          </cell>
          <cell r="K552">
            <v>551224.46</v>
          </cell>
        </row>
        <row r="553">
          <cell r="A553" t="str">
            <v>1.10.1</v>
          </cell>
          <cell r="C553" t="str">
            <v>INSTALAÇÕES PROVISÓRIAS</v>
          </cell>
          <cell r="H553">
            <v>8115.87</v>
          </cell>
          <cell r="K553">
            <v>7783.05</v>
          </cell>
        </row>
        <row r="554">
          <cell r="A554" t="str">
            <v>1.10.1.1</v>
          </cell>
          <cell r="B554" t="str">
            <v>CP-74209/001-15055090</v>
          </cell>
          <cell r="C554" t="str">
            <v>PLACA DE OBRA EM CHAPA DE ACO GALVANIZADO</v>
          </cell>
          <cell r="D554" t="str">
            <v xml:space="preserve">M2    </v>
          </cell>
          <cell r="E554">
            <v>8</v>
          </cell>
          <cell r="F554">
            <v>558.35</v>
          </cell>
          <cell r="G554">
            <v>690.06</v>
          </cell>
          <cell r="H554">
            <v>5520.48</v>
          </cell>
          <cell r="I554">
            <v>564.99</v>
          </cell>
          <cell r="J554">
            <v>664.26</v>
          </cell>
          <cell r="K554">
            <v>5314.08</v>
          </cell>
        </row>
        <row r="555">
          <cell r="A555" t="str">
            <v>1.10.1.2</v>
          </cell>
          <cell r="B555" t="str">
            <v>COMP-07440249</v>
          </cell>
          <cell r="C555" t="str">
            <v>BANHEIRO QUÍMICO, COM LOCAÇÃO, TRANSPORTE E LIMPEZA</v>
          </cell>
          <cell r="D555" t="str">
            <v>MÊS</v>
          </cell>
          <cell r="E555">
            <v>3</v>
          </cell>
          <cell r="F555">
            <v>700</v>
          </cell>
          <cell r="G555">
            <v>865.13</v>
          </cell>
          <cell r="H555">
            <v>2595.39</v>
          </cell>
          <cell r="I555">
            <v>700</v>
          </cell>
          <cell r="J555">
            <v>822.99</v>
          </cell>
          <cell r="K555">
            <v>2468.9699999999998</v>
          </cell>
        </row>
        <row r="556">
          <cell r="A556" t="str">
            <v>1.10.2</v>
          </cell>
          <cell r="C556" t="str">
            <v>ADMINISTRAÇÃO LOCAL</v>
          </cell>
          <cell r="H556">
            <v>17600.45</v>
          </cell>
          <cell r="K556">
            <v>19280.63</v>
          </cell>
        </row>
        <row r="557">
          <cell r="A557" t="str">
            <v>1.10.2.1</v>
          </cell>
          <cell r="B557">
            <v>93565</v>
          </cell>
          <cell r="C557" t="str">
            <v>ENGENHEIRO CIVIL DE OBRA JUNIOR COM ENCARGOS COMPLEMENTARES</v>
          </cell>
          <cell r="D557" t="str">
            <v>MES</v>
          </cell>
          <cell r="E557">
            <v>0.38</v>
          </cell>
          <cell r="F557">
            <v>14549.96</v>
          </cell>
          <cell r="G557">
            <v>17982.3</v>
          </cell>
          <cell r="H557">
            <v>6833.27</v>
          </cell>
          <cell r="I557">
            <v>16819.14</v>
          </cell>
          <cell r="J557">
            <v>19774.259999999998</v>
          </cell>
          <cell r="K557">
            <v>7514.22</v>
          </cell>
        </row>
        <row r="558">
          <cell r="A558" t="str">
            <v>1.10.2.2</v>
          </cell>
          <cell r="B558">
            <v>93572</v>
          </cell>
          <cell r="C558" t="str">
            <v>ENCARREGADO GERAL DE OBRAS COM ENCARGOS COMPLEMENTARES</v>
          </cell>
          <cell r="D558" t="str">
            <v>MES</v>
          </cell>
          <cell r="E558">
            <v>1.5</v>
          </cell>
          <cell r="F558">
            <v>5808.01</v>
          </cell>
          <cell r="G558">
            <v>7178.12</v>
          </cell>
          <cell r="H558">
            <v>10767.18</v>
          </cell>
          <cell r="I558">
            <v>6672</v>
          </cell>
          <cell r="J558">
            <v>7844.27</v>
          </cell>
          <cell r="K558">
            <v>11766.41</v>
          </cell>
        </row>
        <row r="559">
          <cell r="A559" t="str">
            <v>1.10.3</v>
          </cell>
          <cell r="C559" t="str">
            <v>SERVIÇOS PRELIMINARES</v>
          </cell>
          <cell r="H559">
            <v>165.82</v>
          </cell>
          <cell r="K559">
            <v>181.46</v>
          </cell>
        </row>
        <row r="560">
          <cell r="A560" t="str">
            <v>1.10.3.1</v>
          </cell>
          <cell r="B560">
            <v>99064</v>
          </cell>
          <cell r="C560" t="str">
            <v>LOCAÇÃO DE PAVIMENTAÇÃO. AF_10/2018</v>
          </cell>
          <cell r="D560" t="str">
            <v>M</v>
          </cell>
          <cell r="E560">
            <v>312.86</v>
          </cell>
          <cell r="F560">
            <v>0.43</v>
          </cell>
          <cell r="G560">
            <v>0.53</v>
          </cell>
          <cell r="H560">
            <v>165.82</v>
          </cell>
          <cell r="I560">
            <v>0.49</v>
          </cell>
          <cell r="J560">
            <v>0.57999999999999996</v>
          </cell>
          <cell r="K560">
            <v>181.46</v>
          </cell>
        </row>
        <row r="561">
          <cell r="A561" t="str">
            <v>1.10.4</v>
          </cell>
          <cell r="C561" t="str">
            <v>TERRAPLENAGEM</v>
          </cell>
          <cell r="H561">
            <v>33343.379999999997</v>
          </cell>
          <cell r="K561">
            <v>32194.54</v>
          </cell>
        </row>
        <row r="562">
          <cell r="A562" t="str">
            <v>1.10.4.1</v>
          </cell>
          <cell r="B562" t="str">
            <v>CP-74205/001-17324935</v>
          </cell>
          <cell r="C562" t="str">
            <v>ESCAVAÇÃO MECÂNICA DE MATERIAL 1A. CATEGORIA, PROVENIENTE DE CORTE DE SUBLEITO (C/TRATOR ESTEIRAS  160HP)</v>
          </cell>
          <cell r="D562" t="str">
            <v>M3</v>
          </cell>
          <cell r="E562">
            <v>797.81</v>
          </cell>
          <cell r="F562">
            <v>2.54</v>
          </cell>
          <cell r="G562">
            <v>3.14</v>
          </cell>
          <cell r="H562">
            <v>2505.12</v>
          </cell>
          <cell r="I562">
            <v>2.59</v>
          </cell>
          <cell r="J562">
            <v>3.05</v>
          </cell>
          <cell r="K562">
            <v>2433.3200000000002</v>
          </cell>
        </row>
        <row r="563">
          <cell r="A563" t="str">
            <v>1.10.4.2</v>
          </cell>
          <cell r="B563" t="str">
            <v>COMP-35145154</v>
          </cell>
          <cell r="C563" t="str">
            <v>CARGA E DESCARGA MECANICA DE SOLO UTILIZANDO CAMINHAO BASCULANTE 14,0M3/36T E PA CARREGADEIRA SOBRE PNEUS 128 HP, CAPACIDADE DA CAÇAMBA 1,7 A 2,8 M3, PESO OPERACIONAL 11632 KH</v>
          </cell>
          <cell r="D563" t="str">
            <v>M3</v>
          </cell>
          <cell r="E563">
            <v>997.26</v>
          </cell>
          <cell r="F563">
            <v>2.83</v>
          </cell>
          <cell r="G563">
            <v>3.5</v>
          </cell>
          <cell r="H563">
            <v>3490.41</v>
          </cell>
          <cell r="I563">
            <v>2.9</v>
          </cell>
          <cell r="J563">
            <v>3.41</v>
          </cell>
          <cell r="K563">
            <v>3400.66</v>
          </cell>
        </row>
        <row r="564">
          <cell r="A564" t="str">
            <v>1.10.4.3</v>
          </cell>
          <cell r="B564">
            <v>95876</v>
          </cell>
          <cell r="C564" t="str">
            <v>TRANSPORTE COM CAMINHÃO BASCULANTE DE 14 M³, EM VIA URBANA PAVIMENTADA, DMT ATÉ 30 KM (UNIDADE: M3XKM). AF_07/2020</v>
          </cell>
          <cell r="D564" t="str">
            <v>M3XKM</v>
          </cell>
          <cell r="E564">
            <v>9872.8700000000008</v>
          </cell>
          <cell r="F564">
            <v>2.2400000000000002</v>
          </cell>
          <cell r="G564">
            <v>2.77</v>
          </cell>
          <cell r="H564">
            <v>27347.85</v>
          </cell>
          <cell r="I564">
            <v>2.27</v>
          </cell>
          <cell r="J564">
            <v>2.67</v>
          </cell>
          <cell r="K564">
            <v>26360.560000000001</v>
          </cell>
        </row>
        <row r="565">
          <cell r="A565" t="str">
            <v>1.10.5</v>
          </cell>
          <cell r="C565" t="str">
            <v>PAVIMENTAÇÃO</v>
          </cell>
          <cell r="H565">
            <v>97045.65</v>
          </cell>
          <cell r="K565">
            <v>95935.51</v>
          </cell>
        </row>
        <row r="566">
          <cell r="A566" t="str">
            <v>1.10.5.1</v>
          </cell>
          <cell r="B566">
            <v>100576</v>
          </cell>
          <cell r="C566" t="str">
            <v>REGULARIZAÇÃO E COMPACTAÇÃO DE SUBLEITO DE SOLO  PREDOMINANTEMENTE ARGILOSO. AF_11/2019</v>
          </cell>
          <cell r="D566" t="str">
            <v>M2</v>
          </cell>
          <cell r="E566">
            <v>1720.73</v>
          </cell>
          <cell r="F566">
            <v>2.64</v>
          </cell>
          <cell r="G566">
            <v>3.26</v>
          </cell>
          <cell r="H566">
            <v>5609.58</v>
          </cell>
          <cell r="I566">
            <v>2.79</v>
          </cell>
          <cell r="J566">
            <v>3.28</v>
          </cell>
          <cell r="K566">
            <v>5643.99</v>
          </cell>
        </row>
        <row r="567">
          <cell r="A567" t="str">
            <v>1.10.5.2</v>
          </cell>
          <cell r="B567" t="str">
            <v>COMP-28881239</v>
          </cell>
          <cell r="C567" t="str">
            <v>Base ou sub-base de macadame hidráulico com brita comercial - EXCLUSIVE MATERIAL, CARGA E TRANSPORTE - NÃO DESONERADO</v>
          </cell>
          <cell r="D567" t="str">
            <v>M3</v>
          </cell>
          <cell r="E567">
            <v>211.18</v>
          </cell>
          <cell r="F567">
            <v>11.24</v>
          </cell>
          <cell r="G567">
            <v>13.89</v>
          </cell>
          <cell r="H567">
            <v>2933.29</v>
          </cell>
          <cell r="I567">
            <v>11.4</v>
          </cell>
          <cell r="J567">
            <v>13.4</v>
          </cell>
          <cell r="K567">
            <v>2829.81</v>
          </cell>
        </row>
        <row r="568">
          <cell r="A568" t="str">
            <v>1.10.5.3</v>
          </cell>
          <cell r="B568" t="str">
            <v>CP-96396-26507981</v>
          </cell>
          <cell r="C568" t="str">
            <v>EXECUÇÃO E COMPACTAÇÃO DE BASE E OU SUB BASE PARA PAVIMENTAÇÃO DE BRITA GRADUADA SIMPLES - EXCLUSIVE MATERIAL, CARGA E TRANSPORTE</v>
          </cell>
          <cell r="D568" t="str">
            <v>M3</v>
          </cell>
          <cell r="E568">
            <v>219</v>
          </cell>
          <cell r="F568">
            <v>13.86</v>
          </cell>
          <cell r="G568">
            <v>17.13</v>
          </cell>
          <cell r="H568">
            <v>3751.47</v>
          </cell>
          <cell r="I568">
            <v>14.44</v>
          </cell>
          <cell r="J568">
            <v>16.98</v>
          </cell>
          <cell r="K568">
            <v>3718.62</v>
          </cell>
        </row>
        <row r="569">
          <cell r="A569" t="str">
            <v>1.10.5.4</v>
          </cell>
          <cell r="B569" t="str">
            <v>COMP-35145154</v>
          </cell>
          <cell r="C569" t="str">
            <v>CARGA E DESCARGA MECANICA DE SOLO UTILIZANDO CAMINHAO BASCULANTE 14,0M3/36T E PA CARREGADEIRA SOBRE PNEUS 128 HP, CAPACIDADE DA CAÇAMBA 1,7 A 2,8 M3, PESO OPERACIONAL 11632 KH</v>
          </cell>
          <cell r="D569" t="str">
            <v>M3</v>
          </cell>
          <cell r="E569">
            <v>537.73</v>
          </cell>
          <cell r="F569">
            <v>2.83</v>
          </cell>
          <cell r="G569">
            <v>3.5</v>
          </cell>
          <cell r="H569">
            <v>1882.06</v>
          </cell>
          <cell r="I569">
            <v>2.9</v>
          </cell>
          <cell r="J569">
            <v>3.41</v>
          </cell>
          <cell r="K569">
            <v>1833.66</v>
          </cell>
        </row>
        <row r="570">
          <cell r="A570" t="str">
            <v>1.10.5.5</v>
          </cell>
          <cell r="B570" t="str">
            <v>COMP-83526730</v>
          </cell>
          <cell r="C570" t="str">
            <v>TRANSPORTE COMERCIAL DE BRITA</v>
          </cell>
          <cell r="D570" t="str">
            <v>M3XKM</v>
          </cell>
          <cell r="E570">
            <v>6614.08</v>
          </cell>
          <cell r="F570">
            <v>1.36</v>
          </cell>
          <cell r="G570">
            <v>1.68</v>
          </cell>
          <cell r="H570">
            <v>11111.65</v>
          </cell>
          <cell r="I570">
            <v>1.37</v>
          </cell>
          <cell r="J570">
            <v>1.61</v>
          </cell>
          <cell r="K570">
            <v>10648.67</v>
          </cell>
        </row>
        <row r="571">
          <cell r="A571" t="str">
            <v>1.10.5.6</v>
          </cell>
          <cell r="B571" t="str">
            <v>CP-96401-52745838</v>
          </cell>
          <cell r="C571" t="str">
            <v>EXECUÇÃO DE IMPRIMAÇÃO COM ASFALTO DILUÍDO CM-30, EXCLUSIVE MATERIAL.</v>
          </cell>
          <cell r="D571" t="str">
            <v>M2</v>
          </cell>
          <cell r="E571">
            <v>1071.1400000000001</v>
          </cell>
          <cell r="F571">
            <v>1.18</v>
          </cell>
          <cell r="G571">
            <v>1.46</v>
          </cell>
          <cell r="H571">
            <v>1563.86</v>
          </cell>
          <cell r="I571">
            <v>1.24</v>
          </cell>
          <cell r="J571">
            <v>1.46</v>
          </cell>
          <cell r="K571">
            <v>1563.86</v>
          </cell>
        </row>
        <row r="572">
          <cell r="A572" t="str">
            <v>1.10.5.7</v>
          </cell>
          <cell r="B572" t="str">
            <v>CP-95995-51339760</v>
          </cell>
          <cell r="C572" t="str">
            <v>EXECUÇÃO DE PAVIMENTO COM APLICAÇÃO DE CONCRETO ASFÁLTICO, CAMADA DE ROLAMENTO - EXCLUSIVE CARGA E TRANSPORTE E CONCRETO BETUMINOSO</v>
          </cell>
          <cell r="D572" t="str">
            <v>M3</v>
          </cell>
          <cell r="E572">
            <v>53.56</v>
          </cell>
          <cell r="F572">
            <v>127.58</v>
          </cell>
          <cell r="G572">
            <v>157.68</v>
          </cell>
          <cell r="H572">
            <v>8445.34</v>
          </cell>
          <cell r="I572">
            <v>133.37</v>
          </cell>
          <cell r="J572">
            <v>156.80000000000001</v>
          </cell>
          <cell r="K572">
            <v>8398.2099999999991</v>
          </cell>
        </row>
        <row r="573">
          <cell r="A573" t="str">
            <v>1.10.5.8</v>
          </cell>
          <cell r="B573" t="str">
            <v>COMP-10034101</v>
          </cell>
          <cell r="C573" t="str">
            <v>CARGA, MANOBRAS E DESCARGA DE MISTURA BETUMINOSA A QUENTE, COM CAMINHAO BASCULANTE 6 M3, DESCARGA EM VIBRO-ACABADORA</v>
          </cell>
          <cell r="D573" t="str">
            <v>M3</v>
          </cell>
          <cell r="E573">
            <v>53.56</v>
          </cell>
          <cell r="F573">
            <v>7.74</v>
          </cell>
          <cell r="G573">
            <v>9.57</v>
          </cell>
          <cell r="H573">
            <v>512.57000000000005</v>
          </cell>
          <cell r="I573">
            <v>7.86</v>
          </cell>
          <cell r="J573">
            <v>9.24</v>
          </cell>
          <cell r="K573">
            <v>494.89</v>
          </cell>
        </row>
        <row r="574">
          <cell r="A574" t="str">
            <v>1.10.5.9</v>
          </cell>
          <cell r="B574" t="str">
            <v>CP-95303-56931542</v>
          </cell>
          <cell r="C574" t="str">
            <v>TRANSPORTE COM CAMINHÃO BASCULANTE 10 M3 DE MASSA ASFALTICA PARA PAVIMENTAÇÃO URBANA</v>
          </cell>
          <cell r="D574" t="str">
            <v>M3XKM</v>
          </cell>
          <cell r="E574">
            <v>1215.81</v>
          </cell>
          <cell r="F574">
            <v>1.75</v>
          </cell>
          <cell r="G574">
            <v>2.16</v>
          </cell>
          <cell r="H574">
            <v>2626.15</v>
          </cell>
          <cell r="I574">
            <v>1.77</v>
          </cell>
          <cell r="J574">
            <v>2.08</v>
          </cell>
          <cell r="K574">
            <v>2528.88</v>
          </cell>
        </row>
        <row r="575">
          <cell r="A575" t="str">
            <v>1.10.5.10</v>
          </cell>
          <cell r="B575" t="str">
            <v>CP-97084-89637704</v>
          </cell>
          <cell r="C575" t="str">
            <v>REGULARIZACAO E COMPACTAÇÃO MANUAL DE TERRENO COM PLACA VIBRATÓRIA</v>
          </cell>
          <cell r="D575" t="str">
            <v>M2</v>
          </cell>
          <cell r="E575">
            <v>1440.41</v>
          </cell>
          <cell r="F575">
            <v>0.59</v>
          </cell>
          <cell r="G575">
            <v>0.73</v>
          </cell>
          <cell r="H575">
            <v>1051.5</v>
          </cell>
          <cell r="I575">
            <v>0.65</v>
          </cell>
          <cell r="J575">
            <v>0.76</v>
          </cell>
          <cell r="K575">
            <v>1094.71</v>
          </cell>
        </row>
        <row r="576">
          <cell r="A576" t="str">
            <v>1.10.5.11</v>
          </cell>
          <cell r="B576" t="str">
            <v>CP-94991-12549457</v>
          </cell>
          <cell r="C576" t="str">
            <v>EXECUÇÃO DE PASSEIO (CALÇADA) OU PISO DE CONCRETO COM CONCRETO MOLDADO IN LOCO, USINADO, ACABAMENTO CONVENCIONAL, NÃO ARMADO - EXCLUINDO O CONCRETO USINADO 20MPA</v>
          </cell>
          <cell r="D576" t="str">
            <v>M3</v>
          </cell>
          <cell r="E576">
            <v>99.81</v>
          </cell>
          <cell r="F576">
            <v>104.6</v>
          </cell>
          <cell r="G576">
            <v>129.28</v>
          </cell>
          <cell r="H576">
            <v>12903.44</v>
          </cell>
          <cell r="I576">
            <v>112.75</v>
          </cell>
          <cell r="J576">
            <v>132.56</v>
          </cell>
          <cell r="K576">
            <v>13230.81</v>
          </cell>
        </row>
        <row r="577">
          <cell r="A577" t="str">
            <v>1.10.5.12</v>
          </cell>
          <cell r="B577">
            <v>94273</v>
          </cell>
          <cell r="C577" t="str">
            <v>ASSENTAMENTO DE GUIA (MEIO-FIO) EM TRECHO RETO, CONFECCIONADA EM CONCRETO PRÉ-FABRICADO, DIMENSÕES 100X15X13X30 CM (COMPRIMENTO X BASE INFERIOR X BASE SUPERIOR X ALTURA), PARA VIAS URBANAS (USO VIÁRIO). AF_06/2016</v>
          </cell>
          <cell r="D577" t="str">
            <v>M</v>
          </cell>
          <cell r="E577">
            <v>632.92999999999995</v>
          </cell>
          <cell r="F577">
            <v>54.61</v>
          </cell>
          <cell r="G577">
            <v>67.489999999999995</v>
          </cell>
          <cell r="H577">
            <v>42716.45</v>
          </cell>
          <cell r="I577">
            <v>56.47</v>
          </cell>
          <cell r="J577">
            <v>66.39</v>
          </cell>
          <cell r="K577">
            <v>42020.22</v>
          </cell>
        </row>
        <row r="578">
          <cell r="A578" t="str">
            <v>1.10.5.13</v>
          </cell>
          <cell r="B578">
            <v>94274</v>
          </cell>
          <cell r="C578" t="str">
            <v>ASSENTAMENTO DE GUIA (MEIO-FIO) EM TRECHO CURVO, CONFECCIONADA EM CONCRETO PRÉ-FABRICADO, DIMENSÕES 100X15X13X30 CM (COMPRIMENTO X BASE INFERIOR X BASE SUPERIOR X ALTURA), PARA VIAS URBANAS (USO VIÁRIO). AF_06/2016</v>
          </cell>
          <cell r="D578" t="str">
            <v>M</v>
          </cell>
          <cell r="E578">
            <v>18.510000000000002</v>
          </cell>
          <cell r="F578">
            <v>58.17</v>
          </cell>
          <cell r="G578">
            <v>71.89</v>
          </cell>
          <cell r="H578">
            <v>1330.68</v>
          </cell>
          <cell r="I578">
            <v>60.43</v>
          </cell>
          <cell r="J578">
            <v>71.05</v>
          </cell>
          <cell r="K578">
            <v>1315.14</v>
          </cell>
        </row>
        <row r="579">
          <cell r="A579" t="str">
            <v>1.10.5.14</v>
          </cell>
          <cell r="B579">
            <v>94287</v>
          </cell>
          <cell r="C579" t="str">
            <v>EXECUÇÃO DE SARJETA DE CONCRETO USINADO, MOLDADA  IN LOCO  EM TRECHO RETO, 30 CM BASE X 10 CM ALTURA. AF_06/2016</v>
          </cell>
          <cell r="D579" t="str">
            <v>M</v>
          </cell>
          <cell r="E579">
            <v>5.49</v>
          </cell>
          <cell r="F579">
            <v>37.69</v>
          </cell>
          <cell r="G579">
            <v>46.58</v>
          </cell>
          <cell r="H579">
            <v>255.72</v>
          </cell>
          <cell r="I579">
            <v>39.770000000000003</v>
          </cell>
          <cell r="J579">
            <v>46.76</v>
          </cell>
          <cell r="K579">
            <v>256.70999999999998</v>
          </cell>
        </row>
        <row r="580">
          <cell r="A580" t="str">
            <v>1.10.5.15</v>
          </cell>
          <cell r="B580">
            <v>94288</v>
          </cell>
          <cell r="C580" t="str">
            <v>EXECUÇÃO DE SARJETA DE CONCRETO USINADO, MOLDADA  IN LOCO  EM TRECHO CURVO, 30 CM BASE X 10 CM ALTURA. AF_06/2016</v>
          </cell>
          <cell r="D580" t="str">
            <v>M</v>
          </cell>
          <cell r="E580">
            <v>6.04</v>
          </cell>
          <cell r="F580">
            <v>47.14</v>
          </cell>
          <cell r="G580">
            <v>58.26</v>
          </cell>
          <cell r="H580">
            <v>351.89</v>
          </cell>
          <cell r="I580">
            <v>50.32</v>
          </cell>
          <cell r="J580">
            <v>59.16</v>
          </cell>
          <cell r="K580">
            <v>357.33</v>
          </cell>
        </row>
        <row r="581">
          <cell r="A581" t="str">
            <v>1.10.6</v>
          </cell>
          <cell r="C581" t="str">
            <v>DRENAGEM</v>
          </cell>
          <cell r="H581">
            <v>176151.46</v>
          </cell>
          <cell r="K581">
            <v>173153.12</v>
          </cell>
        </row>
        <row r="582">
          <cell r="A582" t="str">
            <v>1.10.6.1</v>
          </cell>
          <cell r="B582">
            <v>90091</v>
          </cell>
          <cell r="C582" t="str">
            <v>ESCAVAÇÃO MECANIZADA DE VALA COM PROF. ATÉ 1,5 M (MÉDIA MONTANTE E JUSANTE/UMA COMPOSIÇÃO POR TRECHO), ESCAVADEIRA (0,8 M3), LARG. DE 1,5 M A 2,5 M, EM SOLO DE 1A CATEGORIA, LOCAIS COM BAIXO NÍVEL DE INTERFERÊNCIA. AF_02/2021</v>
          </cell>
          <cell r="D582" t="str">
            <v>M3</v>
          </cell>
          <cell r="E582">
            <v>124.84</v>
          </cell>
          <cell r="F582">
            <v>6.24</v>
          </cell>
          <cell r="G582">
            <v>7.71</v>
          </cell>
          <cell r="H582">
            <v>962.52</v>
          </cell>
          <cell r="I582">
            <v>6.48</v>
          </cell>
          <cell r="J582">
            <v>7.62</v>
          </cell>
          <cell r="K582">
            <v>951.28</v>
          </cell>
        </row>
        <row r="583">
          <cell r="A583" t="str">
            <v>1.10.6.2</v>
          </cell>
          <cell r="B583">
            <v>93367</v>
          </cell>
          <cell r="C583" t="str">
            <v>REATERRO MECANIZADO DE VALA COM ESCAVADEIRA HIDRÁULICA (CAPACIDADE DA CAÇAMBA: 0,8 M³ / POTÊNCIA: 111 HP), LARGURA DE 1,5 A 2,5 M, PROFUNDIDADE ATÉ 1,5 M, COM SOLO DE 1ª CATEGORIA EM LOCAIS COM BAIXO NÍVEL DE INTERFERÊNCIA. AF_04/2016</v>
          </cell>
          <cell r="D583" t="str">
            <v>M3</v>
          </cell>
          <cell r="E583">
            <v>46.82</v>
          </cell>
          <cell r="F583">
            <v>22.53</v>
          </cell>
          <cell r="G583">
            <v>27.84</v>
          </cell>
          <cell r="H583">
            <v>1303.47</v>
          </cell>
          <cell r="I583">
            <v>23.75</v>
          </cell>
          <cell r="J583">
            <v>27.92</v>
          </cell>
          <cell r="K583">
            <v>1307.21</v>
          </cell>
        </row>
        <row r="584">
          <cell r="A584" t="str">
            <v>1.10.6.3</v>
          </cell>
          <cell r="B584" t="str">
            <v>COMP-35145154</v>
          </cell>
          <cell r="C584" t="str">
            <v>CARGA E DESCARGA MECANICA DE SOLO UTILIZANDO CAMINHAO BASCULANTE 14,0M3/36T E PA CARREGADEIRA SOBRE PNEUS 128 HP, CAPACIDADE DA CAÇAMBA 1,7 A 2,8 M3, PESO OPERACIONAL 11632 KH</v>
          </cell>
          <cell r="D584" t="str">
            <v>M3</v>
          </cell>
          <cell r="E584">
            <v>97.53</v>
          </cell>
          <cell r="F584">
            <v>2.83</v>
          </cell>
          <cell r="G584">
            <v>3.5</v>
          </cell>
          <cell r="H584">
            <v>341.36</v>
          </cell>
          <cell r="I584">
            <v>2.9</v>
          </cell>
          <cell r="J584">
            <v>3.41</v>
          </cell>
          <cell r="K584">
            <v>332.58</v>
          </cell>
        </row>
        <row r="585">
          <cell r="A585" t="str">
            <v>1.10.6.4</v>
          </cell>
          <cell r="B585">
            <v>95876</v>
          </cell>
          <cell r="C585" t="str">
            <v>TRANSPORTE COM CAMINHÃO BASCULANTE DE 14 M³, EM VIA URBANA PAVIMENTADA, DMT ATÉ 30 KM (UNIDADE: M3XKM). AF_07/2020</v>
          </cell>
          <cell r="D585" t="str">
            <v>M3XKM</v>
          </cell>
          <cell r="E585">
            <v>965.55</v>
          </cell>
          <cell r="F585">
            <v>2.2400000000000002</v>
          </cell>
          <cell r="G585">
            <v>2.77</v>
          </cell>
          <cell r="H585">
            <v>2674.57</v>
          </cell>
          <cell r="I585">
            <v>2.27</v>
          </cell>
          <cell r="J585">
            <v>2.67</v>
          </cell>
          <cell r="K585">
            <v>2578.02</v>
          </cell>
        </row>
        <row r="586">
          <cell r="A586" t="str">
            <v>1.10.6.5</v>
          </cell>
          <cell r="B586">
            <v>94971</v>
          </cell>
          <cell r="C586" t="str">
            <v>CONCRETO FCK = 25MPA, TRAÇO 1:2,3:2,7 (EM MASSA SECA DE CIMENTO/ AREIA MÉDIA/ BRITA 1) - PREPARO MECÂNICO COM BETONEIRA 600 L. AF_05/2021</v>
          </cell>
          <cell r="D586" t="str">
            <v>M3</v>
          </cell>
          <cell r="E586">
            <v>39.770000000000003</v>
          </cell>
          <cell r="F586">
            <v>464.88</v>
          </cell>
          <cell r="G586">
            <v>574.54999999999995</v>
          </cell>
          <cell r="H586">
            <v>22849.85</v>
          </cell>
          <cell r="I586">
            <v>472.74</v>
          </cell>
          <cell r="J586">
            <v>555.79999999999995</v>
          </cell>
          <cell r="K586">
            <v>22104.17</v>
          </cell>
        </row>
        <row r="587">
          <cell r="A587" t="str">
            <v>1.10.6.6</v>
          </cell>
          <cell r="B587">
            <v>94974</v>
          </cell>
          <cell r="C587" t="str">
            <v>CONCRETO MAGRO PARA LASTRO, TRAÇO 1:4,5:4,5 (EM MASSA SECA DE CIMENTO/ AREIA MÉDIA/ BRITA 1) - PREPARO MANUAL. AF_05/2021</v>
          </cell>
          <cell r="D587" t="str">
            <v>M3</v>
          </cell>
          <cell r="E587">
            <v>31.21</v>
          </cell>
          <cell r="F587">
            <v>423.75</v>
          </cell>
          <cell r="G587">
            <v>523.71</v>
          </cell>
          <cell r="H587">
            <v>16344.99</v>
          </cell>
          <cell r="I587">
            <v>436.13</v>
          </cell>
          <cell r="J587">
            <v>512.76</v>
          </cell>
          <cell r="K587">
            <v>16003.24</v>
          </cell>
        </row>
        <row r="588">
          <cell r="A588" t="str">
            <v>1.10.6.7</v>
          </cell>
          <cell r="B588">
            <v>92771</v>
          </cell>
          <cell r="C588" t="str">
            <v>ARMAÇÃO DE LAJE DE ESTRUTURA CONVENCIONAL DE CONCRETO ARMADO UTILIZANDO AÇO CA-50 DE 10,0 MM - MONTAGEM. AF_06/2022</v>
          </cell>
          <cell r="D588" t="str">
            <v>KG</v>
          </cell>
          <cell r="E588">
            <v>2587.23</v>
          </cell>
          <cell r="F588">
            <v>15.04</v>
          </cell>
          <cell r="G588">
            <v>18.59</v>
          </cell>
          <cell r="H588">
            <v>48096.61</v>
          </cell>
          <cell r="I588">
            <v>15.14</v>
          </cell>
          <cell r="J588">
            <v>17.8</v>
          </cell>
          <cell r="K588">
            <v>46052.69</v>
          </cell>
        </row>
        <row r="589">
          <cell r="A589" t="str">
            <v>1.10.6.8</v>
          </cell>
          <cell r="B589" t="str">
            <v>CP-92268-29291149</v>
          </cell>
          <cell r="C589" t="str">
            <v>FABRICAÇÃO DE FÔRMA PARA LAJES, EM CHAPA DE MADEIRA COMPENSADA PLASTIFICADA, E = 18 MM - EXCLUINDO O PAINEL DE MADEIRA COMPENSADA PLASTIFICADA DE 2200 x 1100 MM, E = *17* MM</v>
          </cell>
          <cell r="D589" t="str">
            <v>M2</v>
          </cell>
          <cell r="E589">
            <v>187.25</v>
          </cell>
          <cell r="F589">
            <v>0.98</v>
          </cell>
          <cell r="G589">
            <v>1.21</v>
          </cell>
          <cell r="H589">
            <v>226.57</v>
          </cell>
          <cell r="I589">
            <v>1.1000000000000001</v>
          </cell>
          <cell r="J589">
            <v>1.29</v>
          </cell>
          <cell r="K589">
            <v>241.55</v>
          </cell>
        </row>
        <row r="590">
          <cell r="A590" t="str">
            <v>1.10.6.9</v>
          </cell>
          <cell r="B590">
            <v>103320</v>
          </cell>
          <cell r="C590" t="str">
            <v>ALVENARIA DE VEDAÇÃO DE BLOCOS VAZADOS DE CONCRETO DE 19X19X39 CM (ESPESSURA 19 CM) E ARGAMASSA DE ASSENTAMENTO COM PREPARO EM BETONEIRA. AF_12/2021</v>
          </cell>
          <cell r="D590" t="str">
            <v>M2</v>
          </cell>
          <cell r="E590">
            <v>312.08999999999997</v>
          </cell>
          <cell r="F590">
            <v>101.36</v>
          </cell>
          <cell r="G590">
            <v>125.27</v>
          </cell>
          <cell r="H590">
            <v>39095.51</v>
          </cell>
          <cell r="I590">
            <v>105.62</v>
          </cell>
          <cell r="J590">
            <v>124.18</v>
          </cell>
          <cell r="K590">
            <v>38755.339999999997</v>
          </cell>
        </row>
        <row r="591">
          <cell r="A591" t="str">
            <v>1.10.6.10</v>
          </cell>
          <cell r="B591">
            <v>87879</v>
          </cell>
          <cell r="C591" t="str">
            <v>CHAPISCO APLICADO EM ALVENARIAS E ESTRUTURAS DE CONCRETO INTERNAS, COM COLHER DE PEDREIRO.  ARGAMASSA TRAÇO 1:3 COM PREPARO EM BETONEIRA 400L. AF_06/2014</v>
          </cell>
          <cell r="D591" t="str">
            <v>M2</v>
          </cell>
          <cell r="E591">
            <v>312.08999999999997</v>
          </cell>
          <cell r="F591">
            <v>3.85</v>
          </cell>
          <cell r="G591">
            <v>4.76</v>
          </cell>
          <cell r="H591">
            <v>1485.55</v>
          </cell>
          <cell r="I591">
            <v>4.0999999999999996</v>
          </cell>
          <cell r="J591">
            <v>4.82</v>
          </cell>
          <cell r="K591">
            <v>1504.27</v>
          </cell>
        </row>
        <row r="592">
          <cell r="A592" t="str">
            <v>1.10.6.11</v>
          </cell>
          <cell r="B592">
            <v>87547</v>
          </cell>
          <cell r="C592" t="str">
            <v>MASSA ÚNICA, PARA RECEBIMENTO DE PINTURA, EM ARGAMASSA TRAÇO 1:2:8, PREPARO MECÂNICO COM BETONEIRA 400L, APLICADA MANUALMENTE EM FACES INTERNAS DE PAREDES, ESPESSURA DE 10MM, COM EXECUÇÃO DE TALISCAS. AF_06/2014</v>
          </cell>
          <cell r="D592" t="str">
            <v>M2</v>
          </cell>
          <cell r="E592">
            <v>312.08999999999997</v>
          </cell>
          <cell r="F592">
            <v>23.35</v>
          </cell>
          <cell r="G592">
            <v>28.86</v>
          </cell>
          <cell r="H592">
            <v>9006.92</v>
          </cell>
          <cell r="I592">
            <v>24.83</v>
          </cell>
          <cell r="J592">
            <v>29.19</v>
          </cell>
          <cell r="K592">
            <v>9109.91</v>
          </cell>
        </row>
        <row r="593">
          <cell r="A593" t="str">
            <v>1.10.6.12</v>
          </cell>
          <cell r="B593">
            <v>94975</v>
          </cell>
          <cell r="C593" t="str">
            <v>CONCRETO FCK = 15MPA, TRAÇO 1:3,4:3,5 (EM MASSA SECA DE CIMENTO/ AREIA MÉDIA/ BRITA 1) - PREPARO MANUAL. AF_05/2021</v>
          </cell>
          <cell r="D593" t="str">
            <v>M3</v>
          </cell>
          <cell r="E593">
            <v>33.19</v>
          </cell>
          <cell r="F593">
            <v>457.19</v>
          </cell>
          <cell r="G593">
            <v>565.04</v>
          </cell>
          <cell r="H593">
            <v>18753.68</v>
          </cell>
          <cell r="I593">
            <v>469.42</v>
          </cell>
          <cell r="J593">
            <v>551.9</v>
          </cell>
          <cell r="K593">
            <v>18317.560000000001</v>
          </cell>
        </row>
        <row r="594">
          <cell r="A594" t="str">
            <v>1.10.6.13</v>
          </cell>
          <cell r="B594" t="str">
            <v>CP-74157/004-48264518</v>
          </cell>
          <cell r="C594" t="str">
            <v>LANCAMENTO/APLICACAO MANUAL DE CONCRETO EM FUNDACOES (concreto magro)</v>
          </cell>
          <cell r="D594" t="str">
            <v>M3</v>
          </cell>
          <cell r="E594">
            <v>104.17</v>
          </cell>
          <cell r="F594">
            <v>116.59</v>
          </cell>
          <cell r="G594">
            <v>144.09</v>
          </cell>
          <cell r="H594">
            <v>15009.86</v>
          </cell>
          <cell r="I594">
            <v>129.79</v>
          </cell>
          <cell r="J594">
            <v>152.59</v>
          </cell>
          <cell r="K594">
            <v>15895.3</v>
          </cell>
        </row>
        <row r="595">
          <cell r="A595" t="str">
            <v>1.10.7</v>
          </cell>
          <cell r="C595" t="str">
            <v>SINALIZAÇÃO</v>
          </cell>
          <cell r="H595">
            <v>9676.85</v>
          </cell>
          <cell r="K595">
            <v>9539.51</v>
          </cell>
        </row>
        <row r="596">
          <cell r="A596" t="str">
            <v>1.10.7.1</v>
          </cell>
          <cell r="B596">
            <v>5213421</v>
          </cell>
          <cell r="C596" t="str">
            <v>Confecção de placa em aço nº 16 galvanizado, com película tipo I + IV</v>
          </cell>
          <cell r="D596" t="str">
            <v xml:space="preserve">M2    </v>
          </cell>
          <cell r="E596">
            <v>2.87</v>
          </cell>
          <cell r="F596">
            <v>343.8</v>
          </cell>
          <cell r="G596">
            <v>424.9</v>
          </cell>
          <cell r="H596">
            <v>1219.46</v>
          </cell>
          <cell r="I596">
            <v>347.25</v>
          </cell>
          <cell r="J596">
            <v>408.26</v>
          </cell>
          <cell r="K596">
            <v>1171.71</v>
          </cell>
        </row>
        <row r="597">
          <cell r="A597" t="str">
            <v>1.10.7.2</v>
          </cell>
          <cell r="B597">
            <v>5216111</v>
          </cell>
          <cell r="C597" t="str">
            <v>FORNECIMENTO E IMPLANTAÇÃO DE SUPORTE E TRAVESSA PARA PLACA DE SINALIZAÇÃO EM MADEIRA DE LEI TRATADA 8 X 8 CM</v>
          </cell>
          <cell r="D597" t="str">
            <v>UND</v>
          </cell>
          <cell r="E597">
            <v>13</v>
          </cell>
          <cell r="F597">
            <v>119.1379</v>
          </cell>
          <cell r="G597">
            <v>147.24</v>
          </cell>
          <cell r="H597">
            <v>1914.12</v>
          </cell>
          <cell r="I597">
            <v>121.48</v>
          </cell>
          <cell r="J597">
            <v>142.82</v>
          </cell>
          <cell r="K597">
            <v>1856.66</v>
          </cell>
        </row>
        <row r="598">
          <cell r="A598" t="str">
            <v>1.10.7.3</v>
          </cell>
          <cell r="B598" t="str">
            <v>COMP-58084869</v>
          </cell>
          <cell r="C598" t="str">
            <v>PLACA ESMALTADA PARA IDENTIFICAÇÃO NR DE RUA, DIMENSÕES 45X25CM</v>
          </cell>
          <cell r="D598" t="str">
            <v>UND</v>
          </cell>
          <cell r="E598">
            <v>3</v>
          </cell>
          <cell r="F598">
            <v>155.54</v>
          </cell>
          <cell r="G598">
            <v>192.23</v>
          </cell>
          <cell r="H598">
            <v>576.69000000000005</v>
          </cell>
          <cell r="I598">
            <v>156.33000000000001</v>
          </cell>
          <cell r="J598">
            <v>183.8</v>
          </cell>
          <cell r="K598">
            <v>551.4</v>
          </cell>
        </row>
        <row r="599">
          <cell r="A599" t="str">
            <v>1.10.7.4</v>
          </cell>
          <cell r="B599">
            <v>102512</v>
          </cell>
          <cell r="C599" t="str">
            <v>PINTURA DE EIXO VIÁRIO SOBRE ASFALTO COM TINTA RETRORREFLETIVA A BASE DE RESINA ACRÍLICA COM MICROESFERAS DE VIDRO, APLICAÇÃO MECÂNICA COM DEMARCADORA AUTOPROPELIDA. AF_05/2021</v>
          </cell>
          <cell r="D599" t="str">
            <v>M</v>
          </cell>
          <cell r="E599">
            <v>839.55</v>
          </cell>
          <cell r="F599">
            <v>5.22</v>
          </cell>
          <cell r="G599">
            <v>6.45</v>
          </cell>
          <cell r="H599">
            <v>5415.1</v>
          </cell>
          <cell r="I599">
            <v>5.48</v>
          </cell>
          <cell r="J599">
            <v>6.44</v>
          </cell>
          <cell r="K599">
            <v>5406.7</v>
          </cell>
        </row>
        <row r="600">
          <cell r="A600" t="str">
            <v>1.10.7.5</v>
          </cell>
          <cell r="B600">
            <v>102509</v>
          </cell>
          <cell r="C600" t="str">
            <v>PINTURA DE FAIXA DE PEDESTRE OU ZEBRADA TINTA RETRORREFLETIVA A BASE DE RESINA ACRÍLICA COM MICROESFERAS DE VIDRO, E = 30 CM, APLICAÇÃO MANUAL. AF_05/2021</v>
          </cell>
          <cell r="D600" t="str">
            <v>M2</v>
          </cell>
          <cell r="E600">
            <v>19.48</v>
          </cell>
          <cell r="F600">
            <v>22.91</v>
          </cell>
          <cell r="G600">
            <v>28.31</v>
          </cell>
          <cell r="H600">
            <v>551.48</v>
          </cell>
          <cell r="I600">
            <v>24.15</v>
          </cell>
          <cell r="J600">
            <v>28.39</v>
          </cell>
          <cell r="K600">
            <v>553.04</v>
          </cell>
        </row>
        <row r="601">
          <cell r="A601" t="str">
            <v>1.10.8</v>
          </cell>
          <cell r="C601" t="str">
            <v>ACESSIBILIDADE</v>
          </cell>
          <cell r="H601">
            <v>1955.55</v>
          </cell>
          <cell r="K601">
            <v>1923.08</v>
          </cell>
        </row>
        <row r="602">
          <cell r="A602" t="str">
            <v>1.10.8.1</v>
          </cell>
          <cell r="B602" t="str">
            <v>CP-S12039-81921471</v>
          </cell>
          <cell r="C602" t="str">
            <v>Piso tátil direcional e/ou alerta, de concreto, na cor natural, p/deficientes visuais, dimensões 40x40cm, aplicado com argamassa industrializada ac-ii, rejuntado, exclusive regularização de base</v>
          </cell>
          <cell r="D602" t="str">
            <v>M2</v>
          </cell>
          <cell r="E602">
            <v>14.56</v>
          </cell>
          <cell r="F602">
            <v>108.67</v>
          </cell>
          <cell r="G602">
            <v>134.31</v>
          </cell>
          <cell r="H602">
            <v>1955.55</v>
          </cell>
          <cell r="I602">
            <v>112.34</v>
          </cell>
          <cell r="J602">
            <v>132.08000000000001</v>
          </cell>
          <cell r="K602">
            <v>1923.08</v>
          </cell>
        </row>
        <row r="603">
          <cell r="A603" t="str">
            <v>1.10.9</v>
          </cell>
          <cell r="C603" t="str">
            <v>MATERIAIS</v>
          </cell>
          <cell r="H603">
            <v>221564.74</v>
          </cell>
          <cell r="K603">
            <v>211233.56</v>
          </cell>
        </row>
        <row r="604">
          <cell r="A604" t="str">
            <v>1.10.9.1</v>
          </cell>
          <cell r="B604">
            <v>10775</v>
          </cell>
          <cell r="C604" t="str">
            <v xml:space="preserve">LOCACAO DE CONTAINER 2,30 X 6,00 M, ALT. 2,50 M, COM 1 SANITARIO, PARA ESCRITORIO, COMPLETO, SEM DIVISORIAS INTERNAS (NAO INCLUI MOBILIZACAO/DESMOBILIZACAO)                                                                                                                                                                                                                                                                                                                                              </v>
          </cell>
          <cell r="D604" t="str">
            <v xml:space="preserve">MES   </v>
          </cell>
          <cell r="E604">
            <v>3</v>
          </cell>
          <cell r="F604">
            <v>830</v>
          </cell>
          <cell r="G604">
            <v>958.32</v>
          </cell>
          <cell r="H604">
            <v>2874.96</v>
          </cell>
          <cell r="I604">
            <v>830</v>
          </cell>
          <cell r="J604">
            <v>913.58</v>
          </cell>
          <cell r="K604">
            <v>2740.74</v>
          </cell>
        </row>
        <row r="605">
          <cell r="A605" t="str">
            <v>1.10.9.2</v>
          </cell>
          <cell r="B605">
            <v>10776</v>
          </cell>
          <cell r="C605" t="str">
            <v xml:space="preserve">LOCACAO DE CONTAINER 2,30 X 6,00 M, ALT. 2,50 M, PARA ESCRITORIO, SEM DIVISORIAS INTERNAS E SEM SANITARIO (NAO INCLUI MOBILIZACAO/DESMOBILIZACAO)                                                                                                                                                                                                                                                                                                                                                         </v>
          </cell>
          <cell r="D605" t="str">
            <v xml:space="preserve">MES   </v>
          </cell>
          <cell r="E605">
            <v>3</v>
          </cell>
          <cell r="F605">
            <v>648.42999999999995</v>
          </cell>
          <cell r="G605">
            <v>748.68</v>
          </cell>
          <cell r="H605">
            <v>2246.04</v>
          </cell>
          <cell r="I605">
            <v>648.42999999999995</v>
          </cell>
          <cell r="J605">
            <v>713.73</v>
          </cell>
          <cell r="K605">
            <v>2141.19</v>
          </cell>
        </row>
        <row r="606">
          <cell r="A606" t="str">
            <v>1.10.9.3</v>
          </cell>
          <cell r="B606">
            <v>1518</v>
          </cell>
          <cell r="C606" t="str">
            <v xml:space="preserve">CONCRETO BETUMINOSO USINADO A QUENTE (CBUQ) PARA PAVIMENTACAO ASFALTICA, PADRAO DNIT, FAIXA C, COM CAP 50/70 - AQUISICAO POSTO USINA                                                                                                                                                                                                                                                                                                                                                                      </v>
          </cell>
          <cell r="D606" t="str">
            <v xml:space="preserve">T     </v>
          </cell>
          <cell r="E606">
            <v>136.84</v>
          </cell>
          <cell r="F606">
            <v>522.5</v>
          </cell>
          <cell r="G606">
            <v>603.28</v>
          </cell>
          <cell r="H606">
            <v>82552.84</v>
          </cell>
          <cell r="I606">
            <v>522.5</v>
          </cell>
          <cell r="J606">
            <v>575.12</v>
          </cell>
          <cell r="K606">
            <v>78699.42</v>
          </cell>
        </row>
        <row r="607">
          <cell r="A607" t="str">
            <v>1.10.9.4</v>
          </cell>
          <cell r="B607" t="str">
            <v>INS-185032</v>
          </cell>
          <cell r="C607" t="str">
            <v>BRITA GRADUADA SIMPLES (BGS)</v>
          </cell>
          <cell r="D607" t="str">
            <v>M3</v>
          </cell>
          <cell r="E607">
            <v>219</v>
          </cell>
          <cell r="F607">
            <v>56.099999999999994</v>
          </cell>
          <cell r="G607">
            <v>64.77</v>
          </cell>
          <cell r="H607">
            <v>14184.63</v>
          </cell>
          <cell r="I607">
            <v>56.099999999999994</v>
          </cell>
          <cell r="J607">
            <v>61.75</v>
          </cell>
          <cell r="K607">
            <v>13523.25</v>
          </cell>
        </row>
        <row r="608">
          <cell r="A608" t="str">
            <v>1.10.9.5</v>
          </cell>
          <cell r="B608" t="str">
            <v>M0808</v>
          </cell>
          <cell r="C608" t="str">
            <v>Brita 4</v>
          </cell>
          <cell r="D608" t="str">
            <v>M3</v>
          </cell>
          <cell r="E608">
            <v>266.08999999999997</v>
          </cell>
          <cell r="F608">
            <v>90.74</v>
          </cell>
          <cell r="G608">
            <v>104.77</v>
          </cell>
          <cell r="H608">
            <v>27878.25</v>
          </cell>
          <cell r="I608">
            <v>90.74</v>
          </cell>
          <cell r="J608">
            <v>99.88</v>
          </cell>
          <cell r="K608">
            <v>26577.07</v>
          </cell>
        </row>
        <row r="609">
          <cell r="A609" t="str">
            <v>1.10.9.6</v>
          </cell>
          <cell r="B609" t="str">
            <v>M1135</v>
          </cell>
          <cell r="C609" t="str">
            <v>Pó de pedra</v>
          </cell>
          <cell r="D609" t="str">
            <v>M3</v>
          </cell>
          <cell r="E609">
            <v>29.57</v>
          </cell>
          <cell r="F609">
            <v>74.53</v>
          </cell>
          <cell r="G609">
            <v>86.05</v>
          </cell>
          <cell r="H609">
            <v>2544.5</v>
          </cell>
          <cell r="I609">
            <v>74.53</v>
          </cell>
          <cell r="J609">
            <v>82.04</v>
          </cell>
          <cell r="K609">
            <v>2425.92</v>
          </cell>
        </row>
        <row r="610">
          <cell r="A610" t="str">
            <v>1.10.9.7</v>
          </cell>
          <cell r="B610" t="str">
            <v>INS-711371</v>
          </cell>
          <cell r="C610" t="str">
            <v>ASFALTO DILUÍDO CM - 30</v>
          </cell>
          <cell r="D610" t="str">
            <v>KG</v>
          </cell>
          <cell r="E610">
            <v>1285.3699999999999</v>
          </cell>
          <cell r="F610">
            <v>5.32</v>
          </cell>
          <cell r="G610">
            <v>6.14</v>
          </cell>
          <cell r="H610">
            <v>7892.17</v>
          </cell>
          <cell r="I610">
            <v>5.32</v>
          </cell>
          <cell r="J610">
            <v>5.86</v>
          </cell>
          <cell r="K610">
            <v>7532.27</v>
          </cell>
        </row>
        <row r="611">
          <cell r="A611" t="str">
            <v>1.10.9.8</v>
          </cell>
          <cell r="B611">
            <v>34492</v>
          </cell>
          <cell r="C611" t="str">
            <v xml:space="preserve">CONCRETO USINADO BOMBEAVEL, CLASSE DE RESISTENCIA C20, COM BRITA 0 E 1, SLUMP = 100 +/- 20 MM, EXCLUI SERVICO DE BOMBEAMENTO (NBR 8953)                                                                                                                                                                                                                                                                                                                                                                   </v>
          </cell>
          <cell r="D611" t="str">
            <v xml:space="preserve">M3    </v>
          </cell>
          <cell r="E611">
            <v>122.92</v>
          </cell>
          <cell r="F611">
            <v>422.5</v>
          </cell>
          <cell r="G611">
            <v>487.82</v>
          </cell>
          <cell r="H611">
            <v>59962.83</v>
          </cell>
          <cell r="I611">
            <v>422.5</v>
          </cell>
          <cell r="J611">
            <v>465.05</v>
          </cell>
          <cell r="K611">
            <v>57163.95</v>
          </cell>
        </row>
        <row r="612">
          <cell r="A612" t="str">
            <v>1.10.9.9</v>
          </cell>
          <cell r="B612">
            <v>1345</v>
          </cell>
          <cell r="C612" t="str">
            <v xml:space="preserve">CHAPA/PAINEL DE MADEIRA COMPENSADA PLASTIFICADA (MADEIRITE PLASTIFICADO) PARA FORMA DE CONCRETO, DE 2200 x 1100 MM, E = *17* MM                                                                                                                                                                                                                                                                                                                                                                           </v>
          </cell>
          <cell r="D612" t="str">
            <v xml:space="preserve">M2    </v>
          </cell>
          <cell r="E612">
            <v>196.61</v>
          </cell>
          <cell r="F612">
            <v>94.4</v>
          </cell>
          <cell r="G612">
            <v>108.99</v>
          </cell>
          <cell r="H612">
            <v>21428.52</v>
          </cell>
          <cell r="I612">
            <v>94.4</v>
          </cell>
          <cell r="J612">
            <v>103.91</v>
          </cell>
          <cell r="K612">
            <v>20429.75</v>
          </cell>
        </row>
        <row r="613">
          <cell r="A613" t="str">
            <v>1.11</v>
          </cell>
          <cell r="C613" t="str">
            <v>RUA PETROLÂNDIA - PIEDADE</v>
          </cell>
          <cell r="H613">
            <v>347319.01</v>
          </cell>
          <cell r="K613">
            <v>338768.11</v>
          </cell>
        </row>
        <row r="614">
          <cell r="A614" t="str">
            <v>1.11.1</v>
          </cell>
          <cell r="C614" t="str">
            <v>INSTALAÇÕES PROVISÓRIAS</v>
          </cell>
          <cell r="H614">
            <v>7250.74</v>
          </cell>
          <cell r="K614">
            <v>6960.06</v>
          </cell>
        </row>
        <row r="615">
          <cell r="A615" t="str">
            <v>1.11.1.1</v>
          </cell>
          <cell r="B615" t="str">
            <v>CP-74209/001-15055090</v>
          </cell>
          <cell r="C615" t="str">
            <v>PLACA DE OBRA EM CHAPA DE ACO GALVANIZADO</v>
          </cell>
          <cell r="D615" t="str">
            <v xml:space="preserve">M2    </v>
          </cell>
          <cell r="E615">
            <v>8</v>
          </cell>
          <cell r="F615">
            <v>558.35</v>
          </cell>
          <cell r="G615">
            <v>690.06</v>
          </cell>
          <cell r="H615">
            <v>5520.48</v>
          </cell>
          <cell r="I615">
            <v>564.99</v>
          </cell>
          <cell r="J615">
            <v>664.26</v>
          </cell>
          <cell r="K615">
            <v>5314.08</v>
          </cell>
        </row>
        <row r="616">
          <cell r="A616" t="str">
            <v>1.11.1.2</v>
          </cell>
          <cell r="B616" t="str">
            <v>COMP-07440249</v>
          </cell>
          <cell r="C616" t="str">
            <v>BANHEIRO QUÍMICO, COM LOCAÇÃO, TRANSPORTE E LIMPEZA</v>
          </cell>
          <cell r="D616" t="str">
            <v>MÊS</v>
          </cell>
          <cell r="E616">
            <v>2</v>
          </cell>
          <cell r="F616">
            <v>700</v>
          </cell>
          <cell r="G616">
            <v>865.13</v>
          </cell>
          <cell r="H616">
            <v>1730.26</v>
          </cell>
          <cell r="I616">
            <v>700</v>
          </cell>
          <cell r="J616">
            <v>822.99</v>
          </cell>
          <cell r="K616">
            <v>1645.98</v>
          </cell>
        </row>
        <row r="617">
          <cell r="A617" t="str">
            <v>1.11.2</v>
          </cell>
          <cell r="C617" t="str">
            <v>ADMINISTRAÇÃO LOCAL</v>
          </cell>
          <cell r="H617">
            <v>11673.7</v>
          </cell>
          <cell r="K617">
            <v>12787.84</v>
          </cell>
        </row>
        <row r="618">
          <cell r="A618" t="str">
            <v>1.11.2.1</v>
          </cell>
          <cell r="B618">
            <v>93565</v>
          </cell>
          <cell r="C618" t="str">
            <v>ENGENHEIRO CIVIL DE OBRA JUNIOR COM ENCARGOS COMPLEMENTARES</v>
          </cell>
          <cell r="D618" t="str">
            <v>MES</v>
          </cell>
          <cell r="E618">
            <v>0.25</v>
          </cell>
          <cell r="F618">
            <v>14549.96</v>
          </cell>
          <cell r="G618">
            <v>17982.3</v>
          </cell>
          <cell r="H618">
            <v>4495.58</v>
          </cell>
          <cell r="I618">
            <v>16819.14</v>
          </cell>
          <cell r="J618">
            <v>19774.259999999998</v>
          </cell>
          <cell r="K618">
            <v>4943.57</v>
          </cell>
        </row>
        <row r="619">
          <cell r="A619" t="str">
            <v>1.11.2.2</v>
          </cell>
          <cell r="B619">
            <v>93572</v>
          </cell>
          <cell r="C619" t="str">
            <v>ENCARREGADO GERAL DE OBRAS COM ENCARGOS COMPLEMENTARES</v>
          </cell>
          <cell r="D619" t="str">
            <v>MES</v>
          </cell>
          <cell r="E619">
            <v>1</v>
          </cell>
          <cell r="F619">
            <v>5808.01</v>
          </cell>
          <cell r="G619">
            <v>7178.12</v>
          </cell>
          <cell r="H619">
            <v>7178.12</v>
          </cell>
          <cell r="I619">
            <v>6672</v>
          </cell>
          <cell r="J619">
            <v>7844.27</v>
          </cell>
          <cell r="K619">
            <v>7844.27</v>
          </cell>
        </row>
        <row r="620">
          <cell r="A620" t="str">
            <v>1.11.3</v>
          </cell>
          <cell r="C620" t="str">
            <v>SERVIÇOS PRELIMINARES</v>
          </cell>
          <cell r="H620">
            <v>9196.7199999999993</v>
          </cell>
          <cell r="K620">
            <v>9674.26</v>
          </cell>
        </row>
        <row r="621">
          <cell r="A621" t="str">
            <v>1.11.3.1</v>
          </cell>
          <cell r="B621">
            <v>99064</v>
          </cell>
          <cell r="C621" t="str">
            <v>LOCAÇÃO DE PAVIMENTAÇÃO. AF_10/2018</v>
          </cell>
          <cell r="D621" t="str">
            <v>M</v>
          </cell>
          <cell r="E621">
            <v>212.48</v>
          </cell>
          <cell r="F621">
            <v>0.43</v>
          </cell>
          <cell r="G621">
            <v>0.53</v>
          </cell>
          <cell r="H621">
            <v>112.61</v>
          </cell>
          <cell r="I621">
            <v>0.49</v>
          </cell>
          <cell r="J621">
            <v>0.57999999999999996</v>
          </cell>
          <cell r="K621">
            <v>123.24</v>
          </cell>
        </row>
        <row r="622">
          <cell r="A622" t="str">
            <v>1.11.3.2</v>
          </cell>
          <cell r="B622" t="str">
            <v>COMP-17562084</v>
          </cell>
          <cell r="C622" t="str">
            <v>DEMOLIÇÃO MANUAL DE CONCRETO SIMPLES</v>
          </cell>
          <cell r="D622" t="str">
            <v>M3</v>
          </cell>
          <cell r="E622">
            <v>24.92</v>
          </cell>
          <cell r="F622">
            <v>190.89</v>
          </cell>
          <cell r="G622">
            <v>235.92</v>
          </cell>
          <cell r="H622">
            <v>5879.13</v>
          </cell>
          <cell r="I622">
            <v>212.24</v>
          </cell>
          <cell r="J622">
            <v>249.53</v>
          </cell>
          <cell r="K622">
            <v>6218.29</v>
          </cell>
        </row>
        <row r="623">
          <cell r="A623" t="str">
            <v>1.11.3.3</v>
          </cell>
          <cell r="B623" t="str">
            <v>COMP-01471766</v>
          </cell>
          <cell r="C623" t="str">
            <v>DEMOLIÇÃO DE MEIO-FIO</v>
          </cell>
          <cell r="D623" t="str">
            <v>M</v>
          </cell>
          <cell r="E623">
            <v>179.69</v>
          </cell>
          <cell r="F623">
            <v>10.02</v>
          </cell>
          <cell r="G623">
            <v>12.38</v>
          </cell>
          <cell r="H623">
            <v>2224.56</v>
          </cell>
          <cell r="I623">
            <v>11.13</v>
          </cell>
          <cell r="J623">
            <v>13.09</v>
          </cell>
          <cell r="K623">
            <v>2352.14</v>
          </cell>
        </row>
        <row r="624">
          <cell r="A624" t="str">
            <v>1.11.3.4</v>
          </cell>
          <cell r="B624">
            <v>98529</v>
          </cell>
          <cell r="C624" t="str">
            <v>CORTE RASO E RECORTE DE ÁRVORE COM DIÂMETRO DE TRONCO MAIOR OU IGUAL A 0,20 M E MENOR QUE 0,40 M.AF_05/2018</v>
          </cell>
          <cell r="D624" t="str">
            <v>UN</v>
          </cell>
          <cell r="E624">
            <v>5</v>
          </cell>
          <cell r="F624">
            <v>58.17</v>
          </cell>
          <cell r="G624">
            <v>71.89</v>
          </cell>
          <cell r="H624">
            <v>359.45</v>
          </cell>
          <cell r="I624">
            <v>64.73</v>
          </cell>
          <cell r="J624">
            <v>76.099999999999994</v>
          </cell>
          <cell r="K624">
            <v>380.5</v>
          </cell>
        </row>
        <row r="625">
          <cell r="A625" t="str">
            <v>1.11.3.5</v>
          </cell>
          <cell r="B625" t="str">
            <v>COMP-35145154</v>
          </cell>
          <cell r="C625" t="str">
            <v>CARGA E DESCARGA MECANICA DE SOLO UTILIZANDO CAMINHAO BASCULANTE 14,0M3/36T E PA CARREGADEIRA SOBRE PNEUS 128 HP, CAPACIDADE DA CAÇAMBA 1,7 A 2,8 M3, PESO OPERACIONAL 11632 KH</v>
          </cell>
          <cell r="D625" t="str">
            <v>M3</v>
          </cell>
          <cell r="E625">
            <v>42.59</v>
          </cell>
          <cell r="F625">
            <v>2.83</v>
          </cell>
          <cell r="G625">
            <v>3.5</v>
          </cell>
          <cell r="H625">
            <v>149.07</v>
          </cell>
          <cell r="I625">
            <v>2.9</v>
          </cell>
          <cell r="J625">
            <v>3.41</v>
          </cell>
          <cell r="K625">
            <v>145.22999999999999</v>
          </cell>
        </row>
        <row r="626">
          <cell r="A626" t="str">
            <v>1.11.3.6</v>
          </cell>
          <cell r="B626">
            <v>95876</v>
          </cell>
          <cell r="C626" t="str">
            <v>TRANSPORTE COM CAMINHÃO BASCULANTE DE 14 M³, EM VIA URBANA PAVIMENTADA, DMT ATÉ 30 KM (UNIDADE: M3XKM). AF_07/2020</v>
          </cell>
          <cell r="D626" t="str">
            <v>M3XKM</v>
          </cell>
          <cell r="E626">
            <v>170.36</v>
          </cell>
          <cell r="F626">
            <v>2.2400000000000002</v>
          </cell>
          <cell r="G626">
            <v>2.77</v>
          </cell>
          <cell r="H626">
            <v>471.9</v>
          </cell>
          <cell r="I626">
            <v>2.27</v>
          </cell>
          <cell r="J626">
            <v>2.67</v>
          </cell>
          <cell r="K626">
            <v>454.86</v>
          </cell>
        </row>
        <row r="627">
          <cell r="A627" t="str">
            <v>1.11.4</v>
          </cell>
          <cell r="C627" t="str">
            <v>TERRAPLENAGEM</v>
          </cell>
          <cell r="H627">
            <v>14131.78</v>
          </cell>
          <cell r="K627">
            <v>13667.19</v>
          </cell>
        </row>
        <row r="628">
          <cell r="A628" t="str">
            <v>1.11.4.1</v>
          </cell>
          <cell r="B628" t="str">
            <v>CP-74205/001-17324935</v>
          </cell>
          <cell r="C628" t="str">
            <v>ESCAVAÇÃO MECÂNICA DE MATERIAL 1A. CATEGORIA, PROVENIENTE DE CORTE DE SUBLEITO (C/TRATOR ESTEIRAS  160HP)</v>
          </cell>
          <cell r="D628" t="str">
            <v>M3</v>
          </cell>
          <cell r="E628">
            <v>661.47</v>
          </cell>
          <cell r="F628">
            <v>2.54</v>
          </cell>
          <cell r="G628">
            <v>3.14</v>
          </cell>
          <cell r="H628">
            <v>2077.02</v>
          </cell>
          <cell r="I628">
            <v>2.59</v>
          </cell>
          <cell r="J628">
            <v>3.05</v>
          </cell>
          <cell r="K628">
            <v>2017.48</v>
          </cell>
        </row>
        <row r="629">
          <cell r="A629" t="str">
            <v>1.11.4.2</v>
          </cell>
          <cell r="B629" t="str">
            <v>COMP-35145154</v>
          </cell>
          <cell r="C629" t="str">
            <v>CARGA E DESCARGA MECANICA DE SOLO UTILIZANDO CAMINHAO BASCULANTE 14,0M3/36T E PA CARREGADEIRA SOBRE PNEUS 128 HP, CAPACIDADE DA CAÇAMBA 1,7 A 2,8 M3, PESO OPERACIONAL 11632 KH</v>
          </cell>
          <cell r="D629" t="str">
            <v>M3</v>
          </cell>
          <cell r="E629">
            <v>826.59</v>
          </cell>
          <cell r="F629">
            <v>2.83</v>
          </cell>
          <cell r="G629">
            <v>3.5</v>
          </cell>
          <cell r="H629">
            <v>2893.07</v>
          </cell>
          <cell r="I629">
            <v>2.9</v>
          </cell>
          <cell r="J629">
            <v>3.41</v>
          </cell>
          <cell r="K629">
            <v>2818.67</v>
          </cell>
        </row>
        <row r="630">
          <cell r="A630" t="str">
            <v>1.11.4.3</v>
          </cell>
          <cell r="B630">
            <v>95876</v>
          </cell>
          <cell r="C630" t="str">
            <v>TRANSPORTE COM CAMINHÃO BASCULANTE DE 14 M³, EM VIA URBANA PAVIMENTADA, DMT ATÉ 30 KM (UNIDADE: M3XKM). AF_07/2020</v>
          </cell>
          <cell r="D630" t="str">
            <v>M3XKM</v>
          </cell>
          <cell r="E630">
            <v>3306.36</v>
          </cell>
          <cell r="F630">
            <v>2.2400000000000002</v>
          </cell>
          <cell r="G630">
            <v>2.77</v>
          </cell>
          <cell r="H630">
            <v>9158.6200000000008</v>
          </cell>
          <cell r="I630">
            <v>2.27</v>
          </cell>
          <cell r="J630">
            <v>2.67</v>
          </cell>
          <cell r="K630">
            <v>8827.98</v>
          </cell>
        </row>
        <row r="631">
          <cell r="A631" t="str">
            <v>1.11.4.4</v>
          </cell>
          <cell r="B631">
            <v>96385</v>
          </cell>
          <cell r="C631" t="str">
            <v>EXECUÇÃO E COMPACTAÇÃO DE ATERRO COM SOLO PREDOMINANTEMENTE ARGILOSO - EXCLUSIVE SOLO, ESCAVAÇÃO, CARGA E TRANSPORTE. AF_11/2019</v>
          </cell>
          <cell r="D631" t="str">
            <v>M3</v>
          </cell>
          <cell r="E631">
            <v>0.2</v>
          </cell>
          <cell r="F631">
            <v>12.41</v>
          </cell>
          <cell r="G631">
            <v>15.34</v>
          </cell>
          <cell r="H631">
            <v>3.07</v>
          </cell>
          <cell r="I631">
            <v>13.02</v>
          </cell>
          <cell r="J631">
            <v>15.31</v>
          </cell>
          <cell r="K631">
            <v>3.06</v>
          </cell>
        </row>
        <row r="632">
          <cell r="A632" t="str">
            <v>1.11.5</v>
          </cell>
          <cell r="C632" t="str">
            <v>PAVIMENTAÇÃO</v>
          </cell>
          <cell r="H632">
            <v>73743.39</v>
          </cell>
          <cell r="K632">
            <v>72934.17</v>
          </cell>
        </row>
        <row r="633">
          <cell r="A633" t="str">
            <v>1.11.5.1</v>
          </cell>
          <cell r="B633">
            <v>100576</v>
          </cell>
          <cell r="C633" t="str">
            <v>REGULARIZAÇÃO E COMPACTAÇÃO DE SUBLEITO DE SOLO  PREDOMINANTEMENTE ARGILOSO. AF_11/2019</v>
          </cell>
          <cell r="D633" t="str">
            <v>M2</v>
          </cell>
          <cell r="E633">
            <v>1274.8800000000001</v>
          </cell>
          <cell r="F633">
            <v>2.64</v>
          </cell>
          <cell r="G633">
            <v>3.26</v>
          </cell>
          <cell r="H633">
            <v>4156.1099999999997</v>
          </cell>
          <cell r="I633">
            <v>2.79</v>
          </cell>
          <cell r="J633">
            <v>3.28</v>
          </cell>
          <cell r="K633">
            <v>4181.6099999999997</v>
          </cell>
        </row>
        <row r="634">
          <cell r="A634" t="str">
            <v>1.11.5.2</v>
          </cell>
          <cell r="B634" t="str">
            <v>COMP-28881239</v>
          </cell>
          <cell r="C634" t="str">
            <v>Base ou sub-base de macadame hidráulico com brita comercial - EXCLUSIVE MATERIAL, CARGA E TRANSPORTE - NÃO DESONERADO</v>
          </cell>
          <cell r="D634" t="str">
            <v>M3</v>
          </cell>
          <cell r="E634">
            <v>159.36000000000001</v>
          </cell>
          <cell r="F634">
            <v>11.24</v>
          </cell>
          <cell r="G634">
            <v>13.89</v>
          </cell>
          <cell r="H634">
            <v>2213.5100000000002</v>
          </cell>
          <cell r="I634">
            <v>11.4</v>
          </cell>
          <cell r="J634">
            <v>13.4</v>
          </cell>
          <cell r="K634">
            <v>2135.42</v>
          </cell>
        </row>
        <row r="635">
          <cell r="A635" t="str">
            <v>1.11.5.3</v>
          </cell>
          <cell r="B635" t="str">
            <v>CP-96396-26507981</v>
          </cell>
          <cell r="C635" t="str">
            <v>EXECUÇÃO E COMPACTAÇÃO DE BASE E OU SUB BASE PARA PAVIMENTAÇÃO DE BRITA GRADUADA SIMPLES - EXCLUSIVE MATERIAL, CARGA E TRANSPORTE</v>
          </cell>
          <cell r="D635" t="str">
            <v>M3</v>
          </cell>
          <cell r="E635">
            <v>169.98</v>
          </cell>
          <cell r="F635">
            <v>13.86</v>
          </cell>
          <cell r="G635">
            <v>17.13</v>
          </cell>
          <cell r="H635">
            <v>2911.76</v>
          </cell>
          <cell r="I635">
            <v>14.44</v>
          </cell>
          <cell r="J635">
            <v>16.98</v>
          </cell>
          <cell r="K635">
            <v>2886.26</v>
          </cell>
        </row>
        <row r="636">
          <cell r="A636" t="str">
            <v>1.11.5.4</v>
          </cell>
          <cell r="B636" t="str">
            <v>COMP-35145154</v>
          </cell>
          <cell r="C636" t="str">
            <v>CARGA E DESCARGA MECANICA DE SOLO UTILIZANDO CAMINHAO BASCULANTE 14,0M3/36T E PA CARREGADEIRA SOBRE PNEUS 128 HP, CAPACIDADE DA CAÇAMBA 1,7 A 2,8 M3, PESO OPERACIONAL 11632 KH</v>
          </cell>
          <cell r="D636" t="str">
            <v>M3</v>
          </cell>
          <cell r="E636">
            <v>411.68</v>
          </cell>
          <cell r="F636">
            <v>2.83</v>
          </cell>
          <cell r="G636">
            <v>3.5</v>
          </cell>
          <cell r="H636">
            <v>1440.88</v>
          </cell>
          <cell r="I636">
            <v>2.9</v>
          </cell>
          <cell r="J636">
            <v>3.41</v>
          </cell>
          <cell r="K636">
            <v>1403.83</v>
          </cell>
        </row>
        <row r="637">
          <cell r="A637" t="str">
            <v>1.11.5.5</v>
          </cell>
          <cell r="B637" t="str">
            <v>COMP-83526730</v>
          </cell>
          <cell r="C637" t="str">
            <v>TRANSPORTE COMERCIAL DE BRITA</v>
          </cell>
          <cell r="D637" t="str">
            <v>M3XKM</v>
          </cell>
          <cell r="E637">
            <v>4404.9799999999996</v>
          </cell>
          <cell r="F637">
            <v>1.36</v>
          </cell>
          <cell r="G637">
            <v>1.68</v>
          </cell>
          <cell r="H637">
            <v>7400.37</v>
          </cell>
          <cell r="I637">
            <v>1.37</v>
          </cell>
          <cell r="J637">
            <v>1.61</v>
          </cell>
          <cell r="K637">
            <v>7092.02</v>
          </cell>
        </row>
        <row r="638">
          <cell r="A638" t="str">
            <v>1.11.5.6</v>
          </cell>
          <cell r="B638" t="str">
            <v>CP-96401-52745838</v>
          </cell>
          <cell r="C638" t="str">
            <v>EXECUÇÃO DE IMPRIMAÇÃO COM ASFALTO DILUÍDO CM-30, EXCLUSIVE MATERIAL.</v>
          </cell>
          <cell r="D638" t="str">
            <v>M2</v>
          </cell>
          <cell r="E638">
            <v>883.16</v>
          </cell>
          <cell r="F638">
            <v>1.18</v>
          </cell>
          <cell r="G638">
            <v>1.46</v>
          </cell>
          <cell r="H638">
            <v>1289.4100000000001</v>
          </cell>
          <cell r="I638">
            <v>1.24</v>
          </cell>
          <cell r="J638">
            <v>1.46</v>
          </cell>
          <cell r="K638">
            <v>1289.4100000000001</v>
          </cell>
        </row>
        <row r="639">
          <cell r="A639" t="str">
            <v>1.11.5.7</v>
          </cell>
          <cell r="B639" t="str">
            <v>CP-95995-51339760</v>
          </cell>
          <cell r="C639" t="str">
            <v>EXECUÇÃO DE PAVIMENTO COM APLICAÇÃO DE CONCRETO ASFÁLTICO, CAMADA DE ROLAMENTO - EXCLUSIVE CARGA E TRANSPORTE E CONCRETO BETUMINOSO</v>
          </cell>
          <cell r="D639" t="str">
            <v>M3</v>
          </cell>
          <cell r="E639">
            <v>44.16</v>
          </cell>
          <cell r="F639">
            <v>127.58</v>
          </cell>
          <cell r="G639">
            <v>157.68</v>
          </cell>
          <cell r="H639">
            <v>6963.15</v>
          </cell>
          <cell r="I639">
            <v>133.37</v>
          </cell>
          <cell r="J639">
            <v>156.80000000000001</v>
          </cell>
          <cell r="K639">
            <v>6924.29</v>
          </cell>
        </row>
        <row r="640">
          <cell r="A640" t="str">
            <v>1.11.5.8</v>
          </cell>
          <cell r="B640" t="str">
            <v>COMP-10034101</v>
          </cell>
          <cell r="C640" t="str">
            <v>CARGA, MANOBRAS E DESCARGA DE MISTURA BETUMINOSA A QUENTE, COM CAMINHAO BASCULANTE 6 M3, DESCARGA EM VIBRO-ACABADORA</v>
          </cell>
          <cell r="D640" t="str">
            <v>M3</v>
          </cell>
          <cell r="E640">
            <v>44.16</v>
          </cell>
          <cell r="F640">
            <v>7.74</v>
          </cell>
          <cell r="G640">
            <v>9.57</v>
          </cell>
          <cell r="H640">
            <v>422.61</v>
          </cell>
          <cell r="I640">
            <v>7.86</v>
          </cell>
          <cell r="J640">
            <v>9.24</v>
          </cell>
          <cell r="K640">
            <v>408.04</v>
          </cell>
        </row>
        <row r="641">
          <cell r="A641" t="str">
            <v>1.11.5.9</v>
          </cell>
          <cell r="B641" t="str">
            <v>CP-95303-56931542</v>
          </cell>
          <cell r="C641" t="str">
            <v>TRANSPORTE COM CAMINHÃO BASCULANTE 10 M3 DE MASSA ASFALTICA PARA PAVIMENTAÇÃO URBANA</v>
          </cell>
          <cell r="D641" t="str">
            <v>M3XKM</v>
          </cell>
          <cell r="E641">
            <v>755.14</v>
          </cell>
          <cell r="F641">
            <v>1.75</v>
          </cell>
          <cell r="G641">
            <v>2.16</v>
          </cell>
          <cell r="H641">
            <v>1631.1</v>
          </cell>
          <cell r="I641">
            <v>1.77</v>
          </cell>
          <cell r="J641">
            <v>2.08</v>
          </cell>
          <cell r="K641">
            <v>1570.69</v>
          </cell>
        </row>
        <row r="642">
          <cell r="A642" t="str">
            <v>1.11.5.10</v>
          </cell>
          <cell r="B642" t="str">
            <v>CP-97084-89637704</v>
          </cell>
          <cell r="C642" t="str">
            <v>REGULARIZACAO E COMPACTAÇÃO MANUAL DE TERRENO COM PLACA VIBRATÓRIA</v>
          </cell>
          <cell r="D642" t="str">
            <v>M2</v>
          </cell>
          <cell r="E642">
            <v>808.97</v>
          </cell>
          <cell r="F642">
            <v>0.59</v>
          </cell>
          <cell r="G642">
            <v>0.73</v>
          </cell>
          <cell r="H642">
            <v>590.54999999999995</v>
          </cell>
          <cell r="I642">
            <v>0.65</v>
          </cell>
          <cell r="J642">
            <v>0.76</v>
          </cell>
          <cell r="K642">
            <v>614.82000000000005</v>
          </cell>
        </row>
        <row r="643">
          <cell r="A643" t="str">
            <v>1.11.5.11</v>
          </cell>
          <cell r="B643" t="str">
            <v>CP-94991-12549457</v>
          </cell>
          <cell r="C643" t="str">
            <v>EXECUÇÃO DE PASSEIO (CALÇADA) OU PISO DE CONCRETO COM CONCRETO MOLDADO IN LOCO, USINADO, ACABAMENTO CONVENCIONAL, NÃO ARMADO - EXCLUINDO O CONCRETO USINADO 20MPA</v>
          </cell>
          <cell r="D643" t="str">
            <v>M3</v>
          </cell>
          <cell r="E643">
            <v>55.82</v>
          </cell>
          <cell r="F643">
            <v>104.6</v>
          </cell>
          <cell r="G643">
            <v>129.28</v>
          </cell>
          <cell r="H643">
            <v>7216.41</v>
          </cell>
          <cell r="I643">
            <v>112.75</v>
          </cell>
          <cell r="J643">
            <v>132.56</v>
          </cell>
          <cell r="K643">
            <v>7399.5</v>
          </cell>
        </row>
        <row r="644">
          <cell r="A644" t="str">
            <v>1.11.5.12</v>
          </cell>
          <cell r="B644">
            <v>94273</v>
          </cell>
          <cell r="C644" t="str">
            <v>ASSENTAMENTO DE GUIA (MEIO-FIO) EM TRECHO RETO, CONFECCIONADA EM CONCRETO PRÉ-FABRICADO, DIMENSÕES 100X15X13X30 CM (COMPRIMENTO X BASE INFERIOR X BASE SUPERIOR X ALTURA), PARA VIAS URBANAS (USO VIÁRIO). AF_06/2016</v>
          </cell>
          <cell r="D644" t="str">
            <v>M</v>
          </cell>
          <cell r="E644">
            <v>409.7</v>
          </cell>
          <cell r="F644">
            <v>54.61</v>
          </cell>
          <cell r="G644">
            <v>67.489999999999995</v>
          </cell>
          <cell r="H644">
            <v>27650.65</v>
          </cell>
          <cell r="I644">
            <v>56.47</v>
          </cell>
          <cell r="J644">
            <v>66.39</v>
          </cell>
          <cell r="K644">
            <v>27199.98</v>
          </cell>
        </row>
        <row r="645">
          <cell r="A645" t="str">
            <v>1.11.5.13</v>
          </cell>
          <cell r="B645">
            <v>94274</v>
          </cell>
          <cell r="C645" t="str">
            <v>ASSENTAMENTO DE GUIA (MEIO-FIO) EM TRECHO CURVO, CONFECCIONADA EM CONCRETO PRÉ-FABRICADO, DIMENSÕES 100X15X13X30 CM (COMPRIMENTO X BASE INFERIOR X BASE SUPERIOR X ALTURA), PARA VIAS URBANAS (USO VIÁRIO). AF_06/2016</v>
          </cell>
          <cell r="D645" t="str">
            <v>M</v>
          </cell>
          <cell r="E645">
            <v>53.07</v>
          </cell>
          <cell r="F645">
            <v>58.17</v>
          </cell>
          <cell r="G645">
            <v>71.89</v>
          </cell>
          <cell r="H645">
            <v>3815.2</v>
          </cell>
          <cell r="I645">
            <v>60.43</v>
          </cell>
          <cell r="J645">
            <v>71.05</v>
          </cell>
          <cell r="K645">
            <v>3770.62</v>
          </cell>
        </row>
        <row r="646">
          <cell r="A646" t="str">
            <v>1.11.5.14</v>
          </cell>
          <cell r="B646">
            <v>94275</v>
          </cell>
          <cell r="C646" t="str">
            <v>ASSENTAMENTO DE GUIA (MEIO-FIO) EM TRECHO RETO, CONFECCIONADA EM CONCRETO PRÉ-FABRICADO, DIMENSÕES 100X15X13X20 CM (COMPRIMENTO X BASE INFERIOR X BASE SUPERIOR X ALTURA), PARA URBANIZAÇÃO INTERNA DE EMPREENDIMENTOS. AF_06/2016_P</v>
          </cell>
          <cell r="D646" t="str">
            <v>M</v>
          </cell>
          <cell r="E646">
            <v>16</v>
          </cell>
          <cell r="F646">
            <v>52.64</v>
          </cell>
          <cell r="G646">
            <v>65.06</v>
          </cell>
          <cell r="H646">
            <v>1040.96</v>
          </cell>
          <cell r="I646">
            <v>54.31</v>
          </cell>
          <cell r="J646">
            <v>63.85</v>
          </cell>
          <cell r="K646">
            <v>1021.6</v>
          </cell>
        </row>
        <row r="647">
          <cell r="A647" t="str">
            <v>1.11.5.15</v>
          </cell>
          <cell r="B647">
            <v>94287</v>
          </cell>
          <cell r="C647" t="str">
            <v>EXECUÇÃO DE SARJETA DE CONCRETO USINADO, MOLDADA  IN LOCO  EM TRECHO RETO, 30 CM BASE X 10 CM ALTURA. AF_06/2016</v>
          </cell>
          <cell r="D647" t="str">
            <v>M</v>
          </cell>
          <cell r="E647">
            <v>72.11</v>
          </cell>
          <cell r="F647">
            <v>37.69</v>
          </cell>
          <cell r="G647">
            <v>46.58</v>
          </cell>
          <cell r="H647">
            <v>3358.88</v>
          </cell>
          <cell r="I647">
            <v>39.770000000000003</v>
          </cell>
          <cell r="J647">
            <v>46.76</v>
          </cell>
          <cell r="K647">
            <v>3371.86</v>
          </cell>
        </row>
        <row r="648">
          <cell r="A648" t="str">
            <v>1.11.5.16</v>
          </cell>
          <cell r="B648">
            <v>94288</v>
          </cell>
          <cell r="C648" t="str">
            <v>EXECUÇÃO DE SARJETA DE CONCRETO USINADO, MOLDADA  IN LOCO  EM TRECHO CURVO, 30 CM BASE X 10 CM ALTURA. AF_06/2016</v>
          </cell>
          <cell r="D648" t="str">
            <v>M</v>
          </cell>
          <cell r="E648">
            <v>26.76</v>
          </cell>
          <cell r="F648">
            <v>47.14</v>
          </cell>
          <cell r="G648">
            <v>58.26</v>
          </cell>
          <cell r="H648">
            <v>1559.04</v>
          </cell>
          <cell r="I648">
            <v>50.32</v>
          </cell>
          <cell r="J648">
            <v>59.16</v>
          </cell>
          <cell r="K648">
            <v>1583.12</v>
          </cell>
        </row>
        <row r="649">
          <cell r="A649" t="str">
            <v>1.11.5.17</v>
          </cell>
          <cell r="B649">
            <v>98504</v>
          </cell>
          <cell r="C649" t="str">
            <v>PLANTIO DE GRAMA BATATAIS EM PLACAS. AF_05/2018</v>
          </cell>
          <cell r="D649" t="str">
            <v>M2</v>
          </cell>
          <cell r="E649">
            <v>5</v>
          </cell>
          <cell r="F649">
            <v>13.4</v>
          </cell>
          <cell r="G649">
            <v>16.559999999999999</v>
          </cell>
          <cell r="H649">
            <v>82.8</v>
          </cell>
          <cell r="I649">
            <v>13.8</v>
          </cell>
          <cell r="J649">
            <v>16.22</v>
          </cell>
          <cell r="K649">
            <v>81.099999999999994</v>
          </cell>
        </row>
        <row r="650">
          <cell r="A650" t="str">
            <v>1.11.6</v>
          </cell>
          <cell r="C650" t="str">
            <v>DRENAGEM</v>
          </cell>
          <cell r="H650">
            <v>67053.95</v>
          </cell>
          <cell r="K650">
            <v>65847.570000000007</v>
          </cell>
        </row>
        <row r="651">
          <cell r="A651" t="str">
            <v>1.11.6.1</v>
          </cell>
          <cell r="B651">
            <v>94971</v>
          </cell>
          <cell r="C651" t="str">
            <v>CONCRETO FCK = 25MPA, TRAÇO 1:2,3:2,7 (EM MASSA SECA DE CIMENTO/ AREIA MÉDIA/ BRITA 1) - PREPARO MECÂNICO COM BETONEIRA 600 L. AF_05/2021</v>
          </cell>
          <cell r="D651" t="str">
            <v>M3</v>
          </cell>
          <cell r="E651">
            <v>17.07</v>
          </cell>
          <cell r="F651">
            <v>464.88</v>
          </cell>
          <cell r="G651">
            <v>574.54999999999995</v>
          </cell>
          <cell r="H651">
            <v>9807.57</v>
          </cell>
          <cell r="I651">
            <v>472.74</v>
          </cell>
          <cell r="J651">
            <v>555.79999999999995</v>
          </cell>
          <cell r="K651">
            <v>9487.51</v>
          </cell>
        </row>
        <row r="652">
          <cell r="A652" t="str">
            <v>1.11.6.2</v>
          </cell>
          <cell r="B652">
            <v>94974</v>
          </cell>
          <cell r="C652" t="str">
            <v>CONCRETO MAGRO PARA LASTRO, TRAÇO 1:4,5:4,5 (EM MASSA SECA DE CIMENTO/ AREIA MÉDIA/ BRITA 1) - PREPARO MANUAL. AF_05/2021</v>
          </cell>
          <cell r="D652" t="str">
            <v>M3</v>
          </cell>
          <cell r="E652">
            <v>13.39</v>
          </cell>
          <cell r="F652">
            <v>423.75</v>
          </cell>
          <cell r="G652">
            <v>523.71</v>
          </cell>
          <cell r="H652">
            <v>7012.48</v>
          </cell>
          <cell r="I652">
            <v>436.13</v>
          </cell>
          <cell r="J652">
            <v>512.76</v>
          </cell>
          <cell r="K652">
            <v>6865.86</v>
          </cell>
        </row>
        <row r="653">
          <cell r="A653" t="str">
            <v>1.11.6.3</v>
          </cell>
          <cell r="B653">
            <v>92771</v>
          </cell>
          <cell r="C653" t="str">
            <v>ARMAÇÃO DE LAJE DE ESTRUTURA CONVENCIONAL DE CONCRETO ARMADO UTILIZANDO AÇO CA-50 DE 10,0 MM - MONTAGEM. AF_06/2022</v>
          </cell>
          <cell r="D653" t="str">
            <v>KG</v>
          </cell>
          <cell r="E653">
            <v>1110.28</v>
          </cell>
          <cell r="F653">
            <v>15.04</v>
          </cell>
          <cell r="G653">
            <v>18.59</v>
          </cell>
          <cell r="H653">
            <v>20640.11</v>
          </cell>
          <cell r="I653">
            <v>15.14</v>
          </cell>
          <cell r="J653">
            <v>17.8</v>
          </cell>
          <cell r="K653">
            <v>19762.98</v>
          </cell>
        </row>
        <row r="654">
          <cell r="A654" t="str">
            <v>1.11.6.4</v>
          </cell>
          <cell r="B654" t="str">
            <v>CP-92268-29291149</v>
          </cell>
          <cell r="C654" t="str">
            <v>FABRICAÇÃO DE FÔRMA PARA LAJES, EM CHAPA DE MADEIRA COMPENSADA PLASTIFICADA, E = 18 MM - EXCLUINDO O PAINEL DE MADEIRA COMPENSADA PLASTIFICADA DE 2200 x 1100 MM, E = *17* MM</v>
          </cell>
          <cell r="D654" t="str">
            <v>M2</v>
          </cell>
          <cell r="E654">
            <v>80.36</v>
          </cell>
          <cell r="F654">
            <v>0.98</v>
          </cell>
          <cell r="G654">
            <v>1.21</v>
          </cell>
          <cell r="H654">
            <v>97.24</v>
          </cell>
          <cell r="I654">
            <v>1.1000000000000001</v>
          </cell>
          <cell r="J654">
            <v>1.29</v>
          </cell>
          <cell r="K654">
            <v>103.66</v>
          </cell>
        </row>
        <row r="655">
          <cell r="A655" t="str">
            <v>1.11.6.5</v>
          </cell>
          <cell r="B655">
            <v>103320</v>
          </cell>
          <cell r="C655" t="str">
            <v>ALVENARIA DE VEDAÇÃO DE BLOCOS VAZADOS DE CONCRETO DE 19X19X39 CM (ESPESSURA 19 CM) E ARGAMASSA DE ASSENTAMENTO COM PREPARO EM BETONEIRA. AF_12/2021</v>
          </cell>
          <cell r="D655" t="str">
            <v>M2</v>
          </cell>
          <cell r="E655">
            <v>107.14</v>
          </cell>
          <cell r="F655">
            <v>101.36</v>
          </cell>
          <cell r="G655">
            <v>125.27</v>
          </cell>
          <cell r="H655">
            <v>13421.43</v>
          </cell>
          <cell r="I655">
            <v>105.62</v>
          </cell>
          <cell r="J655">
            <v>124.18</v>
          </cell>
          <cell r="K655">
            <v>13304.65</v>
          </cell>
        </row>
        <row r="656">
          <cell r="A656" t="str">
            <v>1.11.6.6</v>
          </cell>
          <cell r="B656">
            <v>87879</v>
          </cell>
          <cell r="C656" t="str">
            <v>CHAPISCO APLICADO EM ALVENARIAS E ESTRUTURAS DE CONCRETO INTERNAS, COM COLHER DE PEDREIRO.  ARGAMASSA TRAÇO 1:3 COM PREPARO EM BETONEIRA 400L. AF_06/2014</v>
          </cell>
          <cell r="D656" t="str">
            <v>M2</v>
          </cell>
          <cell r="E656">
            <v>107.14</v>
          </cell>
          <cell r="F656">
            <v>3.85</v>
          </cell>
          <cell r="G656">
            <v>4.76</v>
          </cell>
          <cell r="H656">
            <v>509.99</v>
          </cell>
          <cell r="I656">
            <v>4.0999999999999996</v>
          </cell>
          <cell r="J656">
            <v>4.82</v>
          </cell>
          <cell r="K656">
            <v>516.41</v>
          </cell>
        </row>
        <row r="657">
          <cell r="A657" t="str">
            <v>1.11.6.7</v>
          </cell>
          <cell r="B657">
            <v>87547</v>
          </cell>
          <cell r="C657" t="str">
            <v>MASSA ÚNICA, PARA RECEBIMENTO DE PINTURA, EM ARGAMASSA TRAÇO 1:2:8, PREPARO MECÂNICO COM BETONEIRA 400L, APLICADA MANUALMENTE EM FACES INTERNAS DE PAREDES, ESPESSURA DE 10MM, COM EXECUÇÃO DE TALISCAS. AF_06/2014</v>
          </cell>
          <cell r="D657" t="str">
            <v>M2</v>
          </cell>
          <cell r="E657">
            <v>107.14</v>
          </cell>
          <cell r="F657">
            <v>23.35</v>
          </cell>
          <cell r="G657">
            <v>28.86</v>
          </cell>
          <cell r="H657">
            <v>3092.06</v>
          </cell>
          <cell r="I657">
            <v>24.83</v>
          </cell>
          <cell r="J657">
            <v>29.19</v>
          </cell>
          <cell r="K657">
            <v>3127.42</v>
          </cell>
        </row>
        <row r="658">
          <cell r="A658" t="str">
            <v>1.11.6.8</v>
          </cell>
          <cell r="B658">
            <v>94975</v>
          </cell>
          <cell r="C658" t="str">
            <v>CONCRETO FCK = 15MPA, TRAÇO 1:3,4:3,5 (EM MASSA SECA DE CIMENTO/ AREIA MÉDIA/ BRITA 1) - PREPARO MANUAL. AF_05/2021</v>
          </cell>
          <cell r="D658" t="str">
            <v>M3</v>
          </cell>
          <cell r="E658">
            <v>11.4</v>
          </cell>
          <cell r="F658">
            <v>457.19</v>
          </cell>
          <cell r="G658">
            <v>565.04</v>
          </cell>
          <cell r="H658">
            <v>6441.46</v>
          </cell>
          <cell r="I658">
            <v>469.42</v>
          </cell>
          <cell r="J658">
            <v>551.9</v>
          </cell>
          <cell r="K658">
            <v>6291.66</v>
          </cell>
        </row>
        <row r="659">
          <cell r="A659" t="str">
            <v>1.11.6.9</v>
          </cell>
          <cell r="B659" t="str">
            <v>CP-74157/004-48264518</v>
          </cell>
          <cell r="C659" t="str">
            <v>LANCAMENTO/APLICACAO MANUAL DE CONCRETO EM FUNDACOES (concreto magro)</v>
          </cell>
          <cell r="D659" t="str">
            <v>M3</v>
          </cell>
          <cell r="E659">
            <v>41.86</v>
          </cell>
          <cell r="F659">
            <v>116.59</v>
          </cell>
          <cell r="G659">
            <v>144.09</v>
          </cell>
          <cell r="H659">
            <v>6031.61</v>
          </cell>
          <cell r="I659">
            <v>129.79</v>
          </cell>
          <cell r="J659">
            <v>152.59</v>
          </cell>
          <cell r="K659">
            <v>6387.42</v>
          </cell>
        </row>
        <row r="660">
          <cell r="A660" t="str">
            <v>1.11.7</v>
          </cell>
          <cell r="C660" t="str">
            <v>SINALIZAÇÃO</v>
          </cell>
          <cell r="H660">
            <v>8034.78</v>
          </cell>
          <cell r="K660">
            <v>7900.54</v>
          </cell>
        </row>
        <row r="661">
          <cell r="A661" t="str">
            <v>1.11.7.1</v>
          </cell>
          <cell r="B661">
            <v>5213421</v>
          </cell>
          <cell r="C661" t="str">
            <v>Confecção de placa em aço nº 16 galvanizado, com película tipo I + IV</v>
          </cell>
          <cell r="D661" t="str">
            <v xml:space="preserve">M2    </v>
          </cell>
          <cell r="E661">
            <v>2.98</v>
          </cell>
          <cell r="F661">
            <v>343.8</v>
          </cell>
          <cell r="G661">
            <v>424.9</v>
          </cell>
          <cell r="H661">
            <v>1266.2</v>
          </cell>
          <cell r="I661">
            <v>347.25</v>
          </cell>
          <cell r="J661">
            <v>408.26</v>
          </cell>
          <cell r="K661">
            <v>1216.6099999999999</v>
          </cell>
        </row>
        <row r="662">
          <cell r="A662" t="str">
            <v>1.11.7.2</v>
          </cell>
          <cell r="B662">
            <v>5216111</v>
          </cell>
          <cell r="C662" t="str">
            <v>FORNECIMENTO E IMPLANTAÇÃO DE SUPORTE E TRAVESSA PARA PLACA DE SINALIZAÇÃO EM MADEIRA DE LEI TRATADA 8 X 8 CM</v>
          </cell>
          <cell r="D662" t="str">
            <v>UND</v>
          </cell>
          <cell r="E662">
            <v>7</v>
          </cell>
          <cell r="F662">
            <v>119.1379</v>
          </cell>
          <cell r="G662">
            <v>147.24</v>
          </cell>
          <cell r="H662">
            <v>1030.68</v>
          </cell>
          <cell r="I662">
            <v>121.48</v>
          </cell>
          <cell r="J662">
            <v>142.82</v>
          </cell>
          <cell r="K662">
            <v>999.74</v>
          </cell>
        </row>
        <row r="663">
          <cell r="A663" t="str">
            <v>1.11.7.3</v>
          </cell>
          <cell r="B663" t="str">
            <v>COMP-58084869</v>
          </cell>
          <cell r="C663" t="str">
            <v>PLACA ESMALTADA PARA IDENTIFICAÇÃO NR DE RUA, DIMENSÕES 45X25CM</v>
          </cell>
          <cell r="D663" t="str">
            <v>UND</v>
          </cell>
          <cell r="E663">
            <v>6</v>
          </cell>
          <cell r="F663">
            <v>155.54</v>
          </cell>
          <cell r="G663">
            <v>192.23</v>
          </cell>
          <cell r="H663">
            <v>1153.3800000000001</v>
          </cell>
          <cell r="I663">
            <v>156.33000000000001</v>
          </cell>
          <cell r="J663">
            <v>183.8</v>
          </cell>
          <cell r="K663">
            <v>1102.8</v>
          </cell>
        </row>
        <row r="664">
          <cell r="A664" t="str">
            <v>1.11.7.4</v>
          </cell>
          <cell r="B664">
            <v>102512</v>
          </cell>
          <cell r="C664" t="str">
            <v>PINTURA DE EIXO VIÁRIO SOBRE ASFALTO COM TINTA RETRORREFLETIVA A BASE DE RESINA ACRÍLICA COM MICROESFERAS DE VIDRO, APLICAÇÃO MECÂNICA COM DEMARCADORA AUTOPROPELIDA. AF_05/2021</v>
          </cell>
          <cell r="D664" t="str">
            <v>M</v>
          </cell>
          <cell r="E664">
            <v>570.15</v>
          </cell>
          <cell r="F664">
            <v>5.22</v>
          </cell>
          <cell r="G664">
            <v>6.45</v>
          </cell>
          <cell r="H664">
            <v>3677.47</v>
          </cell>
          <cell r="I664">
            <v>5.48</v>
          </cell>
          <cell r="J664">
            <v>6.44</v>
          </cell>
          <cell r="K664">
            <v>3671.77</v>
          </cell>
        </row>
        <row r="665">
          <cell r="A665" t="str">
            <v>1.11.7.5</v>
          </cell>
          <cell r="B665">
            <v>102509</v>
          </cell>
          <cell r="C665" t="str">
            <v>PINTURA DE FAIXA DE PEDESTRE OU ZEBRADA TINTA RETRORREFLETIVA A BASE DE RESINA ACRÍLICA COM MICROESFERAS DE VIDRO, E = 30 CM, APLICAÇÃO MANUAL. AF_05/2021</v>
          </cell>
          <cell r="D665" t="str">
            <v>M2</v>
          </cell>
          <cell r="E665">
            <v>32.04</v>
          </cell>
          <cell r="F665">
            <v>22.91</v>
          </cell>
          <cell r="G665">
            <v>28.31</v>
          </cell>
          <cell r="H665">
            <v>907.05</v>
          </cell>
          <cell r="I665">
            <v>24.15</v>
          </cell>
          <cell r="J665">
            <v>28.39</v>
          </cell>
          <cell r="K665">
            <v>909.62</v>
          </cell>
        </row>
        <row r="666">
          <cell r="A666" t="str">
            <v>1.11.8</v>
          </cell>
          <cell r="C666" t="str">
            <v>ACESSIBILIDADE</v>
          </cell>
          <cell r="H666">
            <v>1555.31</v>
          </cell>
          <cell r="K666">
            <v>1529.49</v>
          </cell>
        </row>
        <row r="667">
          <cell r="A667" t="str">
            <v>1.11.8.1</v>
          </cell>
          <cell r="B667" t="str">
            <v>CP-S12039-81921471</v>
          </cell>
          <cell r="C667" t="str">
            <v>Piso tátil direcional e/ou alerta, de concreto, na cor natural, p/deficientes visuais, dimensões 40x40cm, aplicado com argamassa industrializada ac-ii, rejuntado, exclusive regularização de base</v>
          </cell>
          <cell r="D667" t="str">
            <v>M2</v>
          </cell>
          <cell r="E667">
            <v>11.58</v>
          </cell>
          <cell r="F667">
            <v>108.67</v>
          </cell>
          <cell r="G667">
            <v>134.31</v>
          </cell>
          <cell r="H667">
            <v>1555.31</v>
          </cell>
          <cell r="I667">
            <v>112.34</v>
          </cell>
          <cell r="J667">
            <v>132.08000000000001</v>
          </cell>
          <cell r="K667">
            <v>1529.49</v>
          </cell>
        </row>
        <row r="668">
          <cell r="A668" t="str">
            <v>1.11.9</v>
          </cell>
          <cell r="C668" t="str">
            <v>MATERIAIS</v>
          </cell>
          <cell r="H668">
            <v>154678.64000000001</v>
          </cell>
          <cell r="K668">
            <v>147466.99</v>
          </cell>
        </row>
        <row r="669">
          <cell r="A669" t="str">
            <v>1.11.9.1</v>
          </cell>
          <cell r="B669">
            <v>10775</v>
          </cell>
          <cell r="C669" t="str">
            <v xml:space="preserve">LOCACAO DE CONTAINER 2,30 X 6,00 M, ALT. 2,50 M, COM 1 SANITARIO, PARA ESCRITORIO, COMPLETO, SEM DIVISORIAS INTERNAS (NAO INCLUI MOBILIZACAO/DESMOBILIZACAO)                                                                                                                                                                                                                                                                                                                                              </v>
          </cell>
          <cell r="D669" t="str">
            <v xml:space="preserve">MES   </v>
          </cell>
          <cell r="E669">
            <v>2</v>
          </cell>
          <cell r="F669">
            <v>830</v>
          </cell>
          <cell r="G669">
            <v>958.32</v>
          </cell>
          <cell r="H669">
            <v>1916.64</v>
          </cell>
          <cell r="I669">
            <v>830</v>
          </cell>
          <cell r="J669">
            <v>913.58</v>
          </cell>
          <cell r="K669">
            <v>1827.16</v>
          </cell>
        </row>
        <row r="670">
          <cell r="A670" t="str">
            <v>1.11.9.2</v>
          </cell>
          <cell r="B670">
            <v>10776</v>
          </cell>
          <cell r="C670" t="str">
            <v xml:space="preserve">LOCACAO DE CONTAINER 2,30 X 6,00 M, ALT. 2,50 M, PARA ESCRITORIO, SEM DIVISORIAS INTERNAS E SEM SANITARIO (NAO INCLUI MOBILIZACAO/DESMOBILIZACAO)                                                                                                                                                                                                                                                                                                                                                         </v>
          </cell>
          <cell r="D670" t="str">
            <v xml:space="preserve">MES   </v>
          </cell>
          <cell r="E670">
            <v>2</v>
          </cell>
          <cell r="F670">
            <v>648.42999999999995</v>
          </cell>
          <cell r="G670">
            <v>748.68</v>
          </cell>
          <cell r="H670">
            <v>1497.36</v>
          </cell>
          <cell r="I670">
            <v>648.42999999999995</v>
          </cell>
          <cell r="J670">
            <v>713.73</v>
          </cell>
          <cell r="K670">
            <v>1427.46</v>
          </cell>
        </row>
        <row r="671">
          <cell r="A671" t="str">
            <v>1.11.9.3</v>
          </cell>
          <cell r="B671">
            <v>1518</v>
          </cell>
          <cell r="C671" t="str">
            <v xml:space="preserve">CONCRETO BETUMINOSO USINADO A QUENTE (CBUQ) PARA PAVIMENTACAO ASFALTICA, PADRAO DNIT, FAIXA C, COM CAP 50/70 - AQUISICAO POSTO USINA                                                                                                                                                                                                                                                                                                                                                                      </v>
          </cell>
          <cell r="D671" t="str">
            <v xml:space="preserve">T     </v>
          </cell>
          <cell r="E671">
            <v>112.82</v>
          </cell>
          <cell r="F671">
            <v>522.5</v>
          </cell>
          <cell r="G671">
            <v>603.28</v>
          </cell>
          <cell r="H671">
            <v>68062.05</v>
          </cell>
          <cell r="I671">
            <v>522.5</v>
          </cell>
          <cell r="J671">
            <v>575.12</v>
          </cell>
          <cell r="K671">
            <v>64885.04</v>
          </cell>
        </row>
        <row r="672">
          <cell r="A672" t="str">
            <v>1.11.9.4</v>
          </cell>
          <cell r="B672" t="str">
            <v>INS-185032</v>
          </cell>
          <cell r="C672" t="str">
            <v>BRITA GRADUADA SIMPLES (BGS)</v>
          </cell>
          <cell r="D672" t="str">
            <v>M3</v>
          </cell>
          <cell r="E672">
            <v>169.98</v>
          </cell>
          <cell r="F672">
            <v>56.099999999999994</v>
          </cell>
          <cell r="G672">
            <v>64.77</v>
          </cell>
          <cell r="H672">
            <v>11009.6</v>
          </cell>
          <cell r="I672">
            <v>56.099999999999994</v>
          </cell>
          <cell r="J672">
            <v>61.75</v>
          </cell>
          <cell r="K672">
            <v>10496.27</v>
          </cell>
        </row>
        <row r="673">
          <cell r="A673" t="str">
            <v>1.11.9.5</v>
          </cell>
          <cell r="B673" t="str">
            <v>M0808</v>
          </cell>
          <cell r="C673" t="str">
            <v>Brita 4</v>
          </cell>
          <cell r="D673" t="str">
            <v>M3</v>
          </cell>
          <cell r="E673">
            <v>200.79</v>
          </cell>
          <cell r="F673">
            <v>90.74</v>
          </cell>
          <cell r="G673">
            <v>104.77</v>
          </cell>
          <cell r="H673">
            <v>21036.77</v>
          </cell>
          <cell r="I673">
            <v>90.74</v>
          </cell>
          <cell r="J673">
            <v>99.88</v>
          </cell>
          <cell r="K673">
            <v>20054.91</v>
          </cell>
        </row>
        <row r="674">
          <cell r="A674" t="str">
            <v>1.11.9.6</v>
          </cell>
          <cell r="B674" t="str">
            <v>M1135</v>
          </cell>
          <cell r="C674" t="str">
            <v>Pó de pedra</v>
          </cell>
          <cell r="D674" t="str">
            <v>M3</v>
          </cell>
          <cell r="E674">
            <v>22.31</v>
          </cell>
          <cell r="F674">
            <v>74.53</v>
          </cell>
          <cell r="G674">
            <v>86.05</v>
          </cell>
          <cell r="H674">
            <v>1919.78</v>
          </cell>
          <cell r="I674">
            <v>74.53</v>
          </cell>
          <cell r="J674">
            <v>82.04</v>
          </cell>
          <cell r="K674">
            <v>1830.31</v>
          </cell>
        </row>
        <row r="675">
          <cell r="A675" t="str">
            <v>1.11.9.7</v>
          </cell>
          <cell r="B675" t="str">
            <v>INS-711371</v>
          </cell>
          <cell r="C675" t="str">
            <v>ASFALTO DILUÍDO CM - 30</v>
          </cell>
          <cell r="D675" t="str">
            <v>KG</v>
          </cell>
          <cell r="E675">
            <v>1059.79</v>
          </cell>
          <cell r="F675">
            <v>5.32</v>
          </cell>
          <cell r="G675">
            <v>6.14</v>
          </cell>
          <cell r="H675">
            <v>6507.11</v>
          </cell>
          <cell r="I675">
            <v>5.32</v>
          </cell>
          <cell r="J675">
            <v>5.86</v>
          </cell>
          <cell r="K675">
            <v>6210.37</v>
          </cell>
        </row>
        <row r="676">
          <cell r="A676" t="str">
            <v>1.11.9.8</v>
          </cell>
          <cell r="B676">
            <v>34492</v>
          </cell>
          <cell r="C676" t="str">
            <v xml:space="preserve">CONCRETO USINADO BOMBEAVEL, CLASSE DE RESISTENCIA C20, COM BRITA 0 E 1, SLUMP = 100 +/- 20 MM, EXCLUI SERVICO DE BOMBEAMENTO (NBR 8953)                                                                                                                                                                                                                                                                                                                                                                   </v>
          </cell>
          <cell r="D676" t="str">
            <v xml:space="preserve">M3    </v>
          </cell>
          <cell r="E676">
            <v>68.739999999999995</v>
          </cell>
          <cell r="F676">
            <v>422.5</v>
          </cell>
          <cell r="G676">
            <v>487.82</v>
          </cell>
          <cell r="H676">
            <v>33532.75</v>
          </cell>
          <cell r="I676">
            <v>422.5</v>
          </cell>
          <cell r="J676">
            <v>465.05</v>
          </cell>
          <cell r="K676">
            <v>31967.54</v>
          </cell>
        </row>
        <row r="677">
          <cell r="A677" t="str">
            <v>1.11.9.9</v>
          </cell>
          <cell r="B677">
            <v>1345</v>
          </cell>
          <cell r="C677" t="str">
            <v xml:space="preserve">CHAPA/PAINEL DE MADEIRA COMPENSADA PLASTIFICADA (MADEIRITE PLASTIFICADO) PARA FORMA DE CONCRETO, DE 2200 x 1100 MM, E = *17* MM                                                                                                                                                                                                                                                                                                                                                                           </v>
          </cell>
          <cell r="D677" t="str">
            <v xml:space="preserve">M2    </v>
          </cell>
          <cell r="E677">
            <v>84.38</v>
          </cell>
          <cell r="F677">
            <v>94.4</v>
          </cell>
          <cell r="G677">
            <v>108.99</v>
          </cell>
          <cell r="H677">
            <v>9196.58</v>
          </cell>
          <cell r="I677">
            <v>94.4</v>
          </cell>
          <cell r="J677">
            <v>103.91</v>
          </cell>
          <cell r="K677">
            <v>8767.93</v>
          </cell>
        </row>
        <row r="678">
          <cell r="A678" t="str">
            <v>1.12</v>
          </cell>
          <cell r="C678" t="str">
            <v>RUA CATANDUVA - CURCURANA</v>
          </cell>
          <cell r="H678">
            <v>3186896.16</v>
          </cell>
          <cell r="K678">
            <v>3104109.39</v>
          </cell>
        </row>
        <row r="679">
          <cell r="A679" t="str">
            <v>1.12.1</v>
          </cell>
          <cell r="C679" t="str">
            <v>INSTALAÇÕES PROVISÓRIAS</v>
          </cell>
          <cell r="H679">
            <v>15902.04</v>
          </cell>
          <cell r="K679">
            <v>15189.96</v>
          </cell>
        </row>
        <row r="680">
          <cell r="A680" t="str">
            <v>1.12.1.1</v>
          </cell>
          <cell r="B680" t="str">
            <v>CP-74209/001-15055090</v>
          </cell>
          <cell r="C680" t="str">
            <v>PLACA DE OBRA EM CHAPA DE ACO GALVANIZADO</v>
          </cell>
          <cell r="D680" t="str">
            <v xml:space="preserve">M2    </v>
          </cell>
          <cell r="E680">
            <v>8</v>
          </cell>
          <cell r="F680">
            <v>558.35</v>
          </cell>
          <cell r="G680">
            <v>690.06</v>
          </cell>
          <cell r="H680">
            <v>5520.48</v>
          </cell>
          <cell r="I680">
            <v>564.99</v>
          </cell>
          <cell r="J680">
            <v>664.26</v>
          </cell>
          <cell r="K680">
            <v>5314.08</v>
          </cell>
        </row>
        <row r="681">
          <cell r="A681" t="str">
            <v>1.12.1.2</v>
          </cell>
          <cell r="B681" t="str">
            <v>COMP-07440249</v>
          </cell>
          <cell r="C681" t="str">
            <v>BANHEIRO QUÍMICO, COM LOCAÇÃO, TRANSPORTE E LIMPEZA</v>
          </cell>
          <cell r="D681" t="str">
            <v>MÊS</v>
          </cell>
          <cell r="E681">
            <v>12</v>
          </cell>
          <cell r="F681">
            <v>700</v>
          </cell>
          <cell r="G681">
            <v>865.13</v>
          </cell>
          <cell r="H681">
            <v>10381.56</v>
          </cell>
          <cell r="I681">
            <v>700</v>
          </cell>
          <cell r="J681">
            <v>822.99</v>
          </cell>
          <cell r="K681">
            <v>9875.8799999999992</v>
          </cell>
        </row>
        <row r="682">
          <cell r="A682" t="str">
            <v>1.12.2</v>
          </cell>
          <cell r="C682" t="str">
            <v>ADMINISTRAÇÃO LOCAL</v>
          </cell>
          <cell r="H682">
            <v>97015.62</v>
          </cell>
          <cell r="K682">
            <v>106388.4</v>
          </cell>
        </row>
        <row r="683">
          <cell r="A683" t="str">
            <v>1.12.2.1</v>
          </cell>
          <cell r="B683">
            <v>93565</v>
          </cell>
          <cell r="C683" t="str">
            <v>ENGENHEIRO CIVIL DE OBRA JUNIOR COM ENCARGOS COMPLEMENTARES</v>
          </cell>
          <cell r="D683" t="str">
            <v>MES</v>
          </cell>
          <cell r="E683">
            <v>3</v>
          </cell>
          <cell r="F683">
            <v>14549.96</v>
          </cell>
          <cell r="G683">
            <v>17982.3</v>
          </cell>
          <cell r="H683">
            <v>53946.9</v>
          </cell>
          <cell r="I683">
            <v>16819.14</v>
          </cell>
          <cell r="J683">
            <v>19774.259999999998</v>
          </cell>
          <cell r="K683">
            <v>59322.78</v>
          </cell>
        </row>
        <row r="684">
          <cell r="A684" t="str">
            <v>1.12.2.2</v>
          </cell>
          <cell r="B684">
            <v>93572</v>
          </cell>
          <cell r="C684" t="str">
            <v>ENCARREGADO GERAL DE OBRAS COM ENCARGOS COMPLEMENTARES</v>
          </cell>
          <cell r="D684" t="str">
            <v>MES</v>
          </cell>
          <cell r="E684">
            <v>6</v>
          </cell>
          <cell r="F684">
            <v>5808.01</v>
          </cell>
          <cell r="G684">
            <v>7178.12</v>
          </cell>
          <cell r="H684">
            <v>43068.72</v>
          </cell>
          <cell r="I684">
            <v>6672</v>
          </cell>
          <cell r="J684">
            <v>7844.27</v>
          </cell>
          <cell r="K684">
            <v>47065.62</v>
          </cell>
        </row>
        <row r="685">
          <cell r="A685" t="str">
            <v>1.12.3</v>
          </cell>
          <cell r="C685" t="str">
            <v>SERVIÇOS PRELIMINARES</v>
          </cell>
          <cell r="H685">
            <v>5375.86</v>
          </cell>
          <cell r="K685">
            <v>5638.68</v>
          </cell>
        </row>
        <row r="686">
          <cell r="A686" t="str">
            <v>1.12.3.1</v>
          </cell>
          <cell r="B686">
            <v>99064</v>
          </cell>
          <cell r="C686" t="str">
            <v>LOCAÇÃO DE PAVIMENTAÇÃO. AF_10/2018</v>
          </cell>
          <cell r="D686" t="str">
            <v>M</v>
          </cell>
          <cell r="E686">
            <v>1204.78</v>
          </cell>
          <cell r="F686">
            <v>0.43</v>
          </cell>
          <cell r="G686">
            <v>0.53</v>
          </cell>
          <cell r="H686">
            <v>638.53</v>
          </cell>
          <cell r="I686">
            <v>0.49</v>
          </cell>
          <cell r="J686">
            <v>0.57999999999999996</v>
          </cell>
          <cell r="K686">
            <v>698.77</v>
          </cell>
        </row>
        <row r="687">
          <cell r="A687" t="str">
            <v>1.12.3.2</v>
          </cell>
          <cell r="B687" t="str">
            <v>COMP-17562084</v>
          </cell>
          <cell r="C687" t="str">
            <v>DEMOLIÇÃO MANUAL DE CONCRETO SIMPLES</v>
          </cell>
          <cell r="D687" t="str">
            <v>M3</v>
          </cell>
          <cell r="E687">
            <v>16.850000000000001</v>
          </cell>
          <cell r="F687">
            <v>190.89</v>
          </cell>
          <cell r="G687">
            <v>235.92</v>
          </cell>
          <cell r="H687">
            <v>3975.25</v>
          </cell>
          <cell r="I687">
            <v>212.24</v>
          </cell>
          <cell r="J687">
            <v>249.53</v>
          </cell>
          <cell r="K687">
            <v>4204.58</v>
          </cell>
        </row>
        <row r="688">
          <cell r="A688" t="str">
            <v>1.12.3.3</v>
          </cell>
          <cell r="B688" t="str">
            <v>COMP-35145154</v>
          </cell>
          <cell r="C688" t="str">
            <v>CARGA E DESCARGA MECANICA DE SOLO UTILIZANDO CAMINHAO BASCULANTE 14,0M3/36T E PA CARREGADEIRA SOBRE PNEUS 128 HP, CAPACIDADE DA CAÇAMBA 1,7 A 2,8 M3, PESO OPERACIONAL 11632 KH</v>
          </cell>
          <cell r="D688" t="str">
            <v>M3</v>
          </cell>
          <cell r="E688">
            <v>21.06</v>
          </cell>
          <cell r="F688">
            <v>2.83</v>
          </cell>
          <cell r="G688">
            <v>3.5</v>
          </cell>
          <cell r="H688">
            <v>73.709999999999994</v>
          </cell>
          <cell r="I688">
            <v>2.9</v>
          </cell>
          <cell r="J688">
            <v>3.41</v>
          </cell>
          <cell r="K688">
            <v>71.81</v>
          </cell>
        </row>
        <row r="689">
          <cell r="A689" t="str">
            <v>1.12.3.4</v>
          </cell>
          <cell r="B689">
            <v>95876</v>
          </cell>
          <cell r="C689" t="str">
            <v>TRANSPORTE COM CAMINHÃO BASCULANTE DE 14 M³, EM VIA URBANA PAVIMENTADA, DMT ATÉ 30 KM (UNIDADE: M3XKM). AF_07/2020</v>
          </cell>
          <cell r="D689" t="str">
            <v>M3XKM</v>
          </cell>
          <cell r="E689">
            <v>248.51</v>
          </cell>
          <cell r="F689">
            <v>2.2400000000000002</v>
          </cell>
          <cell r="G689">
            <v>2.77</v>
          </cell>
          <cell r="H689">
            <v>688.37</v>
          </cell>
          <cell r="I689">
            <v>2.27</v>
          </cell>
          <cell r="J689">
            <v>2.67</v>
          </cell>
          <cell r="K689">
            <v>663.52</v>
          </cell>
        </row>
        <row r="690">
          <cell r="A690" t="str">
            <v>1.12.4</v>
          </cell>
          <cell r="C690" t="str">
            <v>TERRAPLENAGEM</v>
          </cell>
          <cell r="H690">
            <v>270093.75</v>
          </cell>
          <cell r="K690">
            <v>260731.12</v>
          </cell>
        </row>
        <row r="691">
          <cell r="A691" t="str">
            <v>1.12.4.1</v>
          </cell>
          <cell r="B691" t="str">
            <v>CP-74205/001-17324935</v>
          </cell>
          <cell r="C691" t="str">
            <v>ESCAVAÇÃO MECÂNICA DE MATERIAL 1A. CATEGORIA, PROVENIENTE DE CORTE DE SUBLEITO (C/TRATOR ESTEIRAS  160HP)</v>
          </cell>
          <cell r="D691" t="str">
            <v>M3</v>
          </cell>
          <cell r="E691">
            <v>5588.24</v>
          </cell>
          <cell r="F691">
            <v>2.54</v>
          </cell>
          <cell r="G691">
            <v>3.14</v>
          </cell>
          <cell r="H691">
            <v>17547.07</v>
          </cell>
          <cell r="I691">
            <v>2.59</v>
          </cell>
          <cell r="J691">
            <v>3.05</v>
          </cell>
          <cell r="K691">
            <v>17044.13</v>
          </cell>
        </row>
        <row r="692">
          <cell r="A692" t="str">
            <v>1.12.4.2</v>
          </cell>
          <cell r="B692" t="str">
            <v>COMP-35145154</v>
          </cell>
          <cell r="C692" t="str">
            <v>CARGA E DESCARGA MECANICA DE SOLO UTILIZANDO CAMINHAO BASCULANTE 14,0M3/36T E PA CARREGADEIRA SOBRE PNEUS 128 HP, CAPACIDADE DA CAÇAMBA 1,7 A 2,8 M3, PESO OPERACIONAL 11632 KH</v>
          </cell>
          <cell r="D692" t="str">
            <v>M3</v>
          </cell>
          <cell r="E692">
            <v>6975.96</v>
          </cell>
          <cell r="F692">
            <v>2.83</v>
          </cell>
          <cell r="G692">
            <v>3.5</v>
          </cell>
          <cell r="H692">
            <v>24415.86</v>
          </cell>
          <cell r="I692">
            <v>2.9</v>
          </cell>
          <cell r="J692">
            <v>3.41</v>
          </cell>
          <cell r="K692">
            <v>23788.02</v>
          </cell>
        </row>
        <row r="693">
          <cell r="A693" t="str">
            <v>1.12.4.3</v>
          </cell>
          <cell r="B693">
            <v>95876</v>
          </cell>
          <cell r="C693" t="str">
            <v>TRANSPORTE COM CAMINHÃO BASCULANTE DE 14 M³, EM VIA URBANA PAVIMENTADA, DMT ATÉ 30 KM (UNIDADE: M3XKM). AF_07/2020</v>
          </cell>
          <cell r="D693" t="str">
            <v>M3XKM</v>
          </cell>
          <cell r="E693">
            <v>82316.33</v>
          </cell>
          <cell r="F693">
            <v>2.2400000000000002</v>
          </cell>
          <cell r="G693">
            <v>2.77</v>
          </cell>
          <cell r="H693">
            <v>228016.23</v>
          </cell>
          <cell r="I693">
            <v>2.27</v>
          </cell>
          <cell r="J693">
            <v>2.67</v>
          </cell>
          <cell r="K693">
            <v>219784.6</v>
          </cell>
        </row>
        <row r="694">
          <cell r="A694" t="str">
            <v>1.12.4.4</v>
          </cell>
          <cell r="B694">
            <v>96385</v>
          </cell>
          <cell r="C694" t="str">
            <v>EXECUÇÃO E COMPACTAÇÃO DE ATERRO COM SOLO PREDOMINANTEMENTE ARGILOSO - EXCLUSIVE SOLO, ESCAVAÇÃO, CARGA E TRANSPORTE. AF_11/2019</v>
          </cell>
          <cell r="D694" t="str">
            <v>M3</v>
          </cell>
          <cell r="E694">
            <v>7.47</v>
          </cell>
          <cell r="F694">
            <v>12.41</v>
          </cell>
          <cell r="G694">
            <v>15.34</v>
          </cell>
          <cell r="H694">
            <v>114.59</v>
          </cell>
          <cell r="I694">
            <v>13.02</v>
          </cell>
          <cell r="J694">
            <v>15.31</v>
          </cell>
          <cell r="K694">
            <v>114.37</v>
          </cell>
        </row>
        <row r="695">
          <cell r="A695" t="str">
            <v>1.12.5</v>
          </cell>
          <cell r="C695" t="str">
            <v>PAVIMENTAÇÃO</v>
          </cell>
          <cell r="H695">
            <v>866292.47</v>
          </cell>
          <cell r="K695">
            <v>843446.56</v>
          </cell>
        </row>
        <row r="696">
          <cell r="A696" t="str">
            <v>1.12.5.1</v>
          </cell>
          <cell r="B696">
            <v>100576</v>
          </cell>
          <cell r="C696" t="str">
            <v>REGULARIZAÇÃO E COMPACTAÇÃO DE SUBLEITO DE SOLO  PREDOMINANTEMENTE ARGILOSO. AF_11/2019</v>
          </cell>
          <cell r="D696" t="str">
            <v>M2</v>
          </cell>
          <cell r="E696">
            <v>8433.4599999999991</v>
          </cell>
          <cell r="F696">
            <v>2.64</v>
          </cell>
          <cell r="G696">
            <v>3.26</v>
          </cell>
          <cell r="H696">
            <v>27493.08</v>
          </cell>
          <cell r="I696">
            <v>2.79</v>
          </cell>
          <cell r="J696">
            <v>3.28</v>
          </cell>
          <cell r="K696">
            <v>27661.75</v>
          </cell>
        </row>
        <row r="697">
          <cell r="A697" t="str">
            <v>1.12.5.2</v>
          </cell>
          <cell r="B697" t="str">
            <v>COMP-47176600</v>
          </cell>
          <cell r="C697" t="str">
            <v xml:space="preserve">EXEC. DE ATERRO COM AREIA COM ADENSAMENTO HIDRAULICO </v>
          </cell>
          <cell r="D697" t="str">
            <v xml:space="preserve">M3    </v>
          </cell>
          <cell r="E697">
            <v>3493.86</v>
          </cell>
          <cell r="F697">
            <v>103.23</v>
          </cell>
          <cell r="G697">
            <v>127.58</v>
          </cell>
          <cell r="H697">
            <v>445746.66</v>
          </cell>
          <cell r="I697">
            <v>104.33</v>
          </cell>
          <cell r="J697">
            <v>122.66</v>
          </cell>
          <cell r="K697">
            <v>428556.87</v>
          </cell>
        </row>
        <row r="698">
          <cell r="A698" t="str">
            <v>1.12.5.3</v>
          </cell>
          <cell r="B698" t="str">
            <v>COMP-28881239</v>
          </cell>
          <cell r="C698" t="str">
            <v>Base ou sub-base de macadame hidráulico com brita comercial - EXCLUSIVE MATERIAL, CARGA E TRANSPORTE - NÃO DESONERADO</v>
          </cell>
          <cell r="D698" t="str">
            <v>M3</v>
          </cell>
          <cell r="E698">
            <v>1048.1600000000001</v>
          </cell>
          <cell r="F698">
            <v>11.24</v>
          </cell>
          <cell r="G698">
            <v>13.89</v>
          </cell>
          <cell r="H698">
            <v>14558.94</v>
          </cell>
          <cell r="I698">
            <v>11.4</v>
          </cell>
          <cell r="J698">
            <v>13.4</v>
          </cell>
          <cell r="K698">
            <v>14045.34</v>
          </cell>
        </row>
        <row r="699">
          <cell r="A699" t="str">
            <v>1.12.5.4</v>
          </cell>
          <cell r="B699" t="str">
            <v>CP-96396-26507981</v>
          </cell>
          <cell r="C699" t="str">
            <v>EXECUÇÃO E COMPACTAÇÃO DE BASE E OU SUB BASE PARA PAVIMENTAÇÃO DE BRITA GRADUADA SIMPLES - EXCLUSIVE MATERIAL, CARGA E TRANSPORTE</v>
          </cell>
          <cell r="D699" t="str">
            <v>M3</v>
          </cell>
          <cell r="E699">
            <v>1156.5899999999999</v>
          </cell>
          <cell r="F699">
            <v>13.86</v>
          </cell>
          <cell r="G699">
            <v>17.13</v>
          </cell>
          <cell r="H699">
            <v>19812.39</v>
          </cell>
          <cell r="I699">
            <v>14.44</v>
          </cell>
          <cell r="J699">
            <v>16.98</v>
          </cell>
          <cell r="K699">
            <v>19638.900000000001</v>
          </cell>
        </row>
        <row r="700">
          <cell r="A700" t="str">
            <v>1.12.5.5</v>
          </cell>
          <cell r="B700" t="str">
            <v>COMP-35145154</v>
          </cell>
          <cell r="C700" t="str">
            <v>CARGA E DESCARGA MECANICA DE SOLO UTILIZANDO CAMINHAO BASCULANTE 14,0M3/36T E PA CARREGADEIRA SOBRE PNEUS 128 HP, CAPACIDADE DA CAÇAMBA 1,7 A 2,8 M3, PESO OPERACIONAL 11632 KH</v>
          </cell>
          <cell r="D700" t="str">
            <v>M3</v>
          </cell>
          <cell r="E700">
            <v>2755.94</v>
          </cell>
          <cell r="F700">
            <v>2.83</v>
          </cell>
          <cell r="G700">
            <v>3.5</v>
          </cell>
          <cell r="H700">
            <v>9645.7900000000009</v>
          </cell>
          <cell r="I700">
            <v>2.9</v>
          </cell>
          <cell r="J700">
            <v>3.41</v>
          </cell>
          <cell r="K700">
            <v>9397.76</v>
          </cell>
        </row>
        <row r="701">
          <cell r="A701" t="str">
            <v>1.12.5.6</v>
          </cell>
          <cell r="B701" t="str">
            <v>COMP-83526730</v>
          </cell>
          <cell r="C701" t="str">
            <v>TRANSPORTE COMERCIAL DE BRITA</v>
          </cell>
          <cell r="D701" t="str">
            <v>M3XKM</v>
          </cell>
          <cell r="E701">
            <v>33071.279999999999</v>
          </cell>
          <cell r="F701">
            <v>1.36</v>
          </cell>
          <cell r="G701">
            <v>1.68</v>
          </cell>
          <cell r="H701">
            <v>55559.75</v>
          </cell>
          <cell r="I701">
            <v>1.37</v>
          </cell>
          <cell r="J701">
            <v>1.61</v>
          </cell>
          <cell r="K701">
            <v>53244.76</v>
          </cell>
        </row>
        <row r="702">
          <cell r="A702" t="str">
            <v>1.12.5.7</v>
          </cell>
          <cell r="B702" t="str">
            <v>CP-96401-52745838</v>
          </cell>
          <cell r="C702" t="str">
            <v>EXECUÇÃO DE IMPRIMAÇÃO COM ASFALTO DILUÍDO CM-30, EXCLUSIVE MATERIAL.</v>
          </cell>
          <cell r="D702" t="str">
            <v>M2</v>
          </cell>
          <cell r="E702">
            <v>6098.05</v>
          </cell>
          <cell r="F702">
            <v>1.18</v>
          </cell>
          <cell r="G702">
            <v>1.46</v>
          </cell>
          <cell r="H702">
            <v>8903.15</v>
          </cell>
          <cell r="I702">
            <v>1.24</v>
          </cell>
          <cell r="J702">
            <v>1.46</v>
          </cell>
          <cell r="K702">
            <v>8903.15</v>
          </cell>
        </row>
        <row r="703">
          <cell r="A703" t="str">
            <v>1.12.5.8</v>
          </cell>
          <cell r="B703" t="str">
            <v>CP-95995-51339760</v>
          </cell>
          <cell r="C703" t="str">
            <v>EXECUÇÃO DE PAVIMENTO COM APLICAÇÃO DE CONCRETO ASFÁLTICO, CAMADA DE ROLAMENTO - EXCLUSIVE CARGA E TRANSPORTE E CONCRETO BETUMINOSO</v>
          </cell>
          <cell r="D703" t="str">
            <v>M3</v>
          </cell>
          <cell r="E703">
            <v>304.91000000000003</v>
          </cell>
          <cell r="F703">
            <v>127.58</v>
          </cell>
          <cell r="G703">
            <v>157.68</v>
          </cell>
          <cell r="H703">
            <v>48078.21</v>
          </cell>
          <cell r="I703">
            <v>133.37</v>
          </cell>
          <cell r="J703">
            <v>156.80000000000001</v>
          </cell>
          <cell r="K703">
            <v>47809.89</v>
          </cell>
        </row>
        <row r="704">
          <cell r="A704" t="str">
            <v>1.12.5.9</v>
          </cell>
          <cell r="B704" t="str">
            <v>COMP-10034101</v>
          </cell>
          <cell r="C704" t="str">
            <v>CARGA, MANOBRAS E DESCARGA DE MISTURA BETUMINOSA A QUENTE, COM CAMINHAO BASCULANTE 6 M3, DESCARGA EM VIBRO-ACABADORA</v>
          </cell>
          <cell r="D704" t="str">
            <v>M3</v>
          </cell>
          <cell r="E704">
            <v>304.91000000000003</v>
          </cell>
          <cell r="F704">
            <v>7.74</v>
          </cell>
          <cell r="G704">
            <v>9.57</v>
          </cell>
          <cell r="H704">
            <v>2917.99</v>
          </cell>
          <cell r="I704">
            <v>7.86</v>
          </cell>
          <cell r="J704">
            <v>9.24</v>
          </cell>
          <cell r="K704">
            <v>2817.37</v>
          </cell>
        </row>
        <row r="705">
          <cell r="A705" t="str">
            <v>1.12.5.10</v>
          </cell>
          <cell r="B705" t="str">
            <v>CP-95303-56931542</v>
          </cell>
          <cell r="C705" t="str">
            <v>TRANSPORTE COM CAMINHÃO BASCULANTE 10 M3 DE MASSA ASFALTICA PARA PAVIMENTAÇÃO URBANA</v>
          </cell>
          <cell r="D705" t="str">
            <v>M3XKM</v>
          </cell>
          <cell r="E705">
            <v>6860.48</v>
          </cell>
          <cell r="F705">
            <v>1.75</v>
          </cell>
          <cell r="G705">
            <v>2.16</v>
          </cell>
          <cell r="H705">
            <v>14818.64</v>
          </cell>
          <cell r="I705">
            <v>1.77</v>
          </cell>
          <cell r="J705">
            <v>2.08</v>
          </cell>
          <cell r="K705">
            <v>14269.8</v>
          </cell>
        </row>
        <row r="706">
          <cell r="A706" t="str">
            <v>1.12.5.11</v>
          </cell>
          <cell r="B706" t="str">
            <v>CP-97084-89637704</v>
          </cell>
          <cell r="C706" t="str">
            <v>REGULARIZACAO E COMPACTAÇÃO MANUAL DE TERRENO COM PLACA VIBRATÓRIA</v>
          </cell>
          <cell r="D706" t="str">
            <v>M2</v>
          </cell>
          <cell r="E706">
            <v>3850.61</v>
          </cell>
          <cell r="F706">
            <v>0.59</v>
          </cell>
          <cell r="G706">
            <v>0.73</v>
          </cell>
          <cell r="H706">
            <v>2810.95</v>
          </cell>
          <cell r="I706">
            <v>0.65</v>
          </cell>
          <cell r="J706">
            <v>0.76</v>
          </cell>
          <cell r="K706">
            <v>2926.46</v>
          </cell>
        </row>
        <row r="707">
          <cell r="A707" t="str">
            <v>1.12.5.12</v>
          </cell>
          <cell r="B707" t="str">
            <v>CP-94991-12549457</v>
          </cell>
          <cell r="C707" t="str">
            <v>EXECUÇÃO DE PASSEIO (CALÇADA) OU PISO DE CONCRETO COM CONCRETO MOLDADO IN LOCO, USINADO, ACABAMENTO CONVENCIONAL, NÃO ARMADO - EXCLUINDO O CONCRETO USINADO 20MPA</v>
          </cell>
          <cell r="D707" t="str">
            <v>M3</v>
          </cell>
          <cell r="E707">
            <v>268.2</v>
          </cell>
          <cell r="F707">
            <v>104.6</v>
          </cell>
          <cell r="G707">
            <v>129.28</v>
          </cell>
          <cell r="H707">
            <v>34672.9</v>
          </cell>
          <cell r="I707">
            <v>112.75</v>
          </cell>
          <cell r="J707">
            <v>132.56</v>
          </cell>
          <cell r="K707">
            <v>35552.589999999997</v>
          </cell>
        </row>
        <row r="708">
          <cell r="A708" t="str">
            <v>1.12.5.13</v>
          </cell>
          <cell r="B708">
            <v>94273</v>
          </cell>
          <cell r="C708" t="str">
            <v>ASSENTAMENTO DE GUIA (MEIO-FIO) EM TRECHO RETO, CONFECCIONADA EM CONCRETO PRÉ-FABRICADO, DIMENSÕES 100X15X13X30 CM (COMPRIMENTO X BASE INFERIOR X BASE SUPERIOR X ALTURA), PARA VIAS URBANAS (USO VIÁRIO). AF_06/2016</v>
          </cell>
          <cell r="D708" t="str">
            <v>M</v>
          </cell>
          <cell r="E708">
            <v>2433.85</v>
          </cell>
          <cell r="F708">
            <v>54.61</v>
          </cell>
          <cell r="G708">
            <v>67.489999999999995</v>
          </cell>
          <cell r="H708">
            <v>164260.54</v>
          </cell>
          <cell r="I708">
            <v>56.47</v>
          </cell>
          <cell r="J708">
            <v>66.39</v>
          </cell>
          <cell r="K708">
            <v>161583.29999999999</v>
          </cell>
        </row>
        <row r="709">
          <cell r="A709" t="str">
            <v>1.12.5.14</v>
          </cell>
          <cell r="B709">
            <v>94274</v>
          </cell>
          <cell r="C709" t="str">
            <v>ASSENTAMENTO DE GUIA (MEIO-FIO) EM TRECHO CURVO, CONFECCIONADA EM CONCRETO PRÉ-FABRICADO, DIMENSÕES 100X15X13X30 CM (COMPRIMENTO X BASE INFERIOR X BASE SUPERIOR X ALTURA), PARA VIAS URBANAS (USO VIÁRIO). AF_06/2016</v>
          </cell>
          <cell r="D709" t="str">
            <v>M</v>
          </cell>
          <cell r="E709">
            <v>58.8</v>
          </cell>
          <cell r="F709">
            <v>58.17</v>
          </cell>
          <cell r="G709">
            <v>71.89</v>
          </cell>
          <cell r="H709">
            <v>4227.13</v>
          </cell>
          <cell r="I709">
            <v>60.43</v>
          </cell>
          <cell r="J709">
            <v>71.05</v>
          </cell>
          <cell r="K709">
            <v>4177.74</v>
          </cell>
        </row>
        <row r="710">
          <cell r="A710" t="str">
            <v>1.12.5.15</v>
          </cell>
          <cell r="B710">
            <v>94287</v>
          </cell>
          <cell r="C710" t="str">
            <v>EXECUÇÃO DE SARJETA DE CONCRETO USINADO, MOLDADA  IN LOCO  EM TRECHO RETO, 30 CM BASE X 10 CM ALTURA. AF_06/2016</v>
          </cell>
          <cell r="D710" t="str">
            <v>M</v>
          </cell>
          <cell r="E710">
            <v>227.95</v>
          </cell>
          <cell r="F710">
            <v>37.69</v>
          </cell>
          <cell r="G710">
            <v>46.58</v>
          </cell>
          <cell r="H710">
            <v>10617.91</v>
          </cell>
          <cell r="I710">
            <v>39.770000000000003</v>
          </cell>
          <cell r="J710">
            <v>46.76</v>
          </cell>
          <cell r="K710">
            <v>10658.94</v>
          </cell>
        </row>
        <row r="711">
          <cell r="A711" t="str">
            <v>1.12.5.16</v>
          </cell>
          <cell r="B711">
            <v>94288</v>
          </cell>
          <cell r="C711" t="str">
            <v>EXECUÇÃO DE SARJETA DE CONCRETO USINADO, MOLDADA  IN LOCO  EM TRECHO CURVO, 30 CM BASE X 10 CM ALTURA. AF_06/2016</v>
          </cell>
          <cell r="D711" t="str">
            <v>M</v>
          </cell>
          <cell r="E711">
            <v>37.22</v>
          </cell>
          <cell r="F711">
            <v>47.14</v>
          </cell>
          <cell r="G711">
            <v>58.26</v>
          </cell>
          <cell r="H711">
            <v>2168.44</v>
          </cell>
          <cell r="I711">
            <v>50.32</v>
          </cell>
          <cell r="J711">
            <v>59.16</v>
          </cell>
          <cell r="K711">
            <v>2201.94</v>
          </cell>
        </row>
        <row r="712">
          <cell r="A712" t="str">
            <v>1.12.6</v>
          </cell>
          <cell r="C712" t="str">
            <v>DRENAGEM</v>
          </cell>
          <cell r="H712">
            <v>894542.78</v>
          </cell>
          <cell r="K712">
            <v>882140.4</v>
          </cell>
        </row>
        <row r="713">
          <cell r="A713" t="str">
            <v>1.12.6.1</v>
          </cell>
          <cell r="B713">
            <v>90091</v>
          </cell>
          <cell r="C713" t="str">
            <v>ESCAVAÇÃO MECANIZADA DE VALA COM PROF. ATÉ 1,5 M (MÉDIA MONTANTE E JUSANTE/UMA COMPOSIÇÃO POR TRECHO), ESCAVADEIRA (0,8 M3), LARG. DE 1,5 M A 2,5 M, EM SOLO DE 1A CATEGORIA, LOCAIS COM BAIXO NÍVEL DE INTERFERÊNCIA. AF_02/2021</v>
          </cell>
          <cell r="D713" t="str">
            <v>M3</v>
          </cell>
          <cell r="E713">
            <v>482.35</v>
          </cell>
          <cell r="F713">
            <v>6.24</v>
          </cell>
          <cell r="G713">
            <v>7.71</v>
          </cell>
          <cell r="H713">
            <v>3718.92</v>
          </cell>
          <cell r="I713">
            <v>6.48</v>
          </cell>
          <cell r="J713">
            <v>7.62</v>
          </cell>
          <cell r="K713">
            <v>3675.51</v>
          </cell>
        </row>
        <row r="714">
          <cell r="A714" t="str">
            <v>1.12.6.2</v>
          </cell>
          <cell r="B714">
            <v>93367</v>
          </cell>
          <cell r="C714" t="str">
            <v>REATERRO MECANIZADO DE VALA COM ESCAVADEIRA HIDRÁULICA (CAPACIDADE DA CAÇAMBA: 0,8 M³ / POTÊNCIA: 111 HP), LARGURA DE 1,5 A 2,5 M, PROFUNDIDADE ATÉ 1,5 M, COM SOLO DE 1ª CATEGORIA EM LOCAIS COM BAIXO NÍVEL DE INTERFERÊNCIA. AF_04/2016</v>
          </cell>
          <cell r="D714" t="str">
            <v>M3</v>
          </cell>
          <cell r="E714">
            <v>214.38</v>
          </cell>
          <cell r="F714">
            <v>22.53</v>
          </cell>
          <cell r="G714">
            <v>27.84</v>
          </cell>
          <cell r="H714">
            <v>5968.34</v>
          </cell>
          <cell r="I714">
            <v>23.75</v>
          </cell>
          <cell r="J714">
            <v>27.92</v>
          </cell>
          <cell r="K714">
            <v>5985.49</v>
          </cell>
        </row>
        <row r="715">
          <cell r="A715" t="str">
            <v>1.12.6.3</v>
          </cell>
          <cell r="B715" t="str">
            <v>COMP-35145154</v>
          </cell>
          <cell r="C715" t="str">
            <v>CARGA E DESCARGA MECANICA DE SOLO UTILIZANDO CAMINHAO BASCULANTE 14,0M3/36T E PA CARREGADEIRA SOBRE PNEUS 128 HP, CAPACIDADE DA CAÇAMBA 1,7 A 2,8 M3, PESO OPERACIONAL 11632 KH</v>
          </cell>
          <cell r="D715" t="str">
            <v>M3</v>
          </cell>
          <cell r="E715">
            <v>334.96</v>
          </cell>
          <cell r="F715">
            <v>2.83</v>
          </cell>
          <cell r="G715">
            <v>3.5</v>
          </cell>
          <cell r="H715">
            <v>1172.3599999999999</v>
          </cell>
          <cell r="I715">
            <v>2.9</v>
          </cell>
          <cell r="J715">
            <v>3.41</v>
          </cell>
          <cell r="K715">
            <v>1142.21</v>
          </cell>
        </row>
        <row r="716">
          <cell r="A716" t="str">
            <v>1.12.6.4</v>
          </cell>
          <cell r="B716">
            <v>95876</v>
          </cell>
          <cell r="C716" t="str">
            <v>TRANSPORTE COM CAMINHÃO BASCULANTE DE 14 M³, EM VIA URBANA PAVIMENTADA, DMT ATÉ 30 KM (UNIDADE: M3XKM). AF_07/2020</v>
          </cell>
          <cell r="D716" t="str">
            <v>M3XKM</v>
          </cell>
          <cell r="E716">
            <v>3952.53</v>
          </cell>
          <cell r="F716">
            <v>2.2400000000000002</v>
          </cell>
          <cell r="G716">
            <v>2.77</v>
          </cell>
          <cell r="H716">
            <v>10948.51</v>
          </cell>
          <cell r="I716">
            <v>2.27</v>
          </cell>
          <cell r="J716">
            <v>2.67</v>
          </cell>
          <cell r="K716">
            <v>10553.26</v>
          </cell>
        </row>
        <row r="717">
          <cell r="A717" t="str">
            <v>1.12.6.5</v>
          </cell>
          <cell r="B717">
            <v>94971</v>
          </cell>
          <cell r="C717" t="str">
            <v>CONCRETO FCK = 25MPA, TRAÇO 1:2,3:2,7 (EM MASSA SECA DE CIMENTO/ AREIA MÉDIA/ BRITA 1) - PREPARO MECÂNICO COM BETONEIRA 600 L. AF_05/2021</v>
          </cell>
          <cell r="D717" t="str">
            <v>M3</v>
          </cell>
          <cell r="E717">
            <v>150.68</v>
          </cell>
          <cell r="F717">
            <v>464.88</v>
          </cell>
          <cell r="G717">
            <v>574.54999999999995</v>
          </cell>
          <cell r="H717">
            <v>86573.19</v>
          </cell>
          <cell r="I717">
            <v>472.74</v>
          </cell>
          <cell r="J717">
            <v>555.79999999999995</v>
          </cell>
          <cell r="K717">
            <v>83747.94</v>
          </cell>
        </row>
        <row r="718">
          <cell r="A718" t="str">
            <v>1.12.6.6</v>
          </cell>
          <cell r="B718">
            <v>94974</v>
          </cell>
          <cell r="C718" t="str">
            <v>CONCRETO MAGRO PARA LASTRO, TRAÇO 1:4,5:4,5 (EM MASSA SECA DE CIMENTO/ AREIA MÉDIA/ BRITA 1) - PREPARO MANUAL. AF_05/2021</v>
          </cell>
          <cell r="D718" t="str">
            <v>M3</v>
          </cell>
          <cell r="E718">
            <v>114.85</v>
          </cell>
          <cell r="F718">
            <v>423.75</v>
          </cell>
          <cell r="G718">
            <v>523.71</v>
          </cell>
          <cell r="H718">
            <v>60148.09</v>
          </cell>
          <cell r="I718">
            <v>436.13</v>
          </cell>
          <cell r="J718">
            <v>512.76</v>
          </cell>
          <cell r="K718">
            <v>58890.49</v>
          </cell>
        </row>
        <row r="719">
          <cell r="A719" t="str">
            <v>1.12.6.7</v>
          </cell>
          <cell r="B719">
            <v>92771</v>
          </cell>
          <cell r="C719" t="str">
            <v>ARMAÇÃO DE LAJE DE ESTRUTURA CONVENCIONAL DE CONCRETO ARMADO UTILIZANDO AÇO CA-50 DE 10,0 MM - MONTAGEM. AF_06/2022</v>
          </cell>
          <cell r="D719" t="str">
            <v>KG</v>
          </cell>
          <cell r="E719">
            <v>9608.7800000000007</v>
          </cell>
          <cell r="F719">
            <v>15.04</v>
          </cell>
          <cell r="G719">
            <v>18.59</v>
          </cell>
          <cell r="H719">
            <v>178627.22</v>
          </cell>
          <cell r="I719">
            <v>15.14</v>
          </cell>
          <cell r="J719">
            <v>17.8</v>
          </cell>
          <cell r="K719">
            <v>171036.28</v>
          </cell>
        </row>
        <row r="720">
          <cell r="A720" t="str">
            <v>1.12.6.8</v>
          </cell>
          <cell r="B720" t="str">
            <v>CP-92268-29291149</v>
          </cell>
          <cell r="C720" t="str">
            <v>FABRICAÇÃO DE FÔRMA PARA LAJES, EM CHAPA DE MADEIRA COMPENSADA PLASTIFICADA, E = 18 MM - EXCLUINDO O PAINEL DE MADEIRA COMPENSADA PLASTIFICADA DE 2200 x 1100 MM, E = *17* MM</v>
          </cell>
          <cell r="D720" t="str">
            <v>M2</v>
          </cell>
          <cell r="E720">
            <v>689.08</v>
          </cell>
          <cell r="F720">
            <v>0.98</v>
          </cell>
          <cell r="G720">
            <v>1.21</v>
          </cell>
          <cell r="H720">
            <v>833.79</v>
          </cell>
          <cell r="I720">
            <v>1.1000000000000001</v>
          </cell>
          <cell r="J720">
            <v>1.29</v>
          </cell>
          <cell r="K720">
            <v>888.91</v>
          </cell>
        </row>
        <row r="721">
          <cell r="A721" t="str">
            <v>1.12.6.9</v>
          </cell>
          <cell r="B721">
            <v>103320</v>
          </cell>
          <cell r="C721" t="str">
            <v>ALVENARIA DE VEDAÇÃO DE BLOCOS VAZADOS DE CONCRETO DE 19X19X39 CM (ESPESSURA 19 CM) E ARGAMASSA DE ASSENTAMENTO COM PREPARO EM BETONEIRA. AF_12/2021</v>
          </cell>
          <cell r="D721" t="str">
            <v>M2</v>
          </cell>
          <cell r="E721">
            <v>2169.31</v>
          </cell>
          <cell r="F721">
            <v>101.36</v>
          </cell>
          <cell r="G721">
            <v>125.27</v>
          </cell>
          <cell r="H721">
            <v>271749.46000000002</v>
          </cell>
          <cell r="I721">
            <v>105.62</v>
          </cell>
          <cell r="J721">
            <v>124.18</v>
          </cell>
          <cell r="K721">
            <v>269384.92</v>
          </cell>
        </row>
        <row r="722">
          <cell r="A722" t="str">
            <v>1.12.6.10</v>
          </cell>
          <cell r="B722">
            <v>87879</v>
          </cell>
          <cell r="C722" t="str">
            <v>CHAPISCO APLICADO EM ALVENARIAS E ESTRUTURAS DE CONCRETO INTERNAS, COM COLHER DE PEDREIRO.  ARGAMASSA TRAÇO 1:3 COM PREPARO EM BETONEIRA 400L. AF_06/2014</v>
          </cell>
          <cell r="D722" t="str">
            <v>M2</v>
          </cell>
          <cell r="E722">
            <v>2169.31</v>
          </cell>
          <cell r="F722">
            <v>3.85</v>
          </cell>
          <cell r="G722">
            <v>4.76</v>
          </cell>
          <cell r="H722">
            <v>10325.92</v>
          </cell>
          <cell r="I722">
            <v>4.0999999999999996</v>
          </cell>
          <cell r="J722">
            <v>4.82</v>
          </cell>
          <cell r="K722">
            <v>10456.07</v>
          </cell>
        </row>
        <row r="723">
          <cell r="A723" t="str">
            <v>1.12.6.11</v>
          </cell>
          <cell r="B723">
            <v>87547</v>
          </cell>
          <cell r="C723" t="str">
            <v>MASSA ÚNICA, PARA RECEBIMENTO DE PINTURA, EM ARGAMASSA TRAÇO 1:2:8, PREPARO MECÂNICO COM BETONEIRA 400L, APLICADA MANUALMENTE EM FACES INTERNAS DE PAREDES, ESPESSURA DE 10MM, COM EXECUÇÃO DE TALISCAS. AF_06/2014</v>
          </cell>
          <cell r="D723" t="str">
            <v>M2</v>
          </cell>
          <cell r="E723">
            <v>2169.31</v>
          </cell>
          <cell r="F723">
            <v>23.35</v>
          </cell>
          <cell r="G723">
            <v>28.86</v>
          </cell>
          <cell r="H723">
            <v>62606.29</v>
          </cell>
          <cell r="I723">
            <v>24.83</v>
          </cell>
          <cell r="J723">
            <v>29.19</v>
          </cell>
          <cell r="K723">
            <v>63322.16</v>
          </cell>
        </row>
        <row r="724">
          <cell r="A724" t="str">
            <v>1.12.6.12</v>
          </cell>
          <cell r="B724">
            <v>94975</v>
          </cell>
          <cell r="C724" t="str">
            <v>CONCRETO FCK = 15MPA, TRAÇO 1:3,4:3,5 (EM MASSA SECA DE CIMENTO/ AREIA MÉDIA/ BRITA 1) - PREPARO MANUAL. AF_05/2021</v>
          </cell>
          <cell r="D724" t="str">
            <v>M3</v>
          </cell>
          <cell r="E724">
            <v>230.72</v>
          </cell>
          <cell r="F724">
            <v>457.19</v>
          </cell>
          <cell r="G724">
            <v>565.04</v>
          </cell>
          <cell r="H724">
            <v>130366.03</v>
          </cell>
          <cell r="I724">
            <v>469.42</v>
          </cell>
          <cell r="J724">
            <v>551.9</v>
          </cell>
          <cell r="K724">
            <v>127334.37</v>
          </cell>
        </row>
        <row r="725">
          <cell r="A725" t="str">
            <v>1.12.6.13</v>
          </cell>
          <cell r="B725" t="str">
            <v>CP-74157/004-48264518</v>
          </cell>
          <cell r="C725" t="str">
            <v>LANCAMENTO/APLICACAO MANUAL DE CONCRETO EM FUNDACOES (concreto magro)</v>
          </cell>
          <cell r="D725" t="str">
            <v>M3</v>
          </cell>
          <cell r="E725">
            <v>496.25</v>
          </cell>
          <cell r="F725">
            <v>116.59</v>
          </cell>
          <cell r="G725">
            <v>144.09</v>
          </cell>
          <cell r="H725">
            <v>71504.66</v>
          </cell>
          <cell r="I725">
            <v>129.79</v>
          </cell>
          <cell r="J725">
            <v>152.59</v>
          </cell>
          <cell r="K725">
            <v>75722.789999999994</v>
          </cell>
        </row>
        <row r="726">
          <cell r="A726" t="str">
            <v>1.12.7</v>
          </cell>
          <cell r="C726" t="str">
            <v>SINALIZAÇÃO</v>
          </cell>
          <cell r="H726">
            <v>33850.86</v>
          </cell>
          <cell r="K726">
            <v>33471.279999999999</v>
          </cell>
        </row>
        <row r="727">
          <cell r="A727" t="str">
            <v>1.12.7.1</v>
          </cell>
          <cell r="B727">
            <v>5213421</v>
          </cell>
          <cell r="C727" t="str">
            <v>Confecção de placa em aço nº 16 galvanizado, com película tipo I + IV</v>
          </cell>
          <cell r="D727" t="str">
            <v xml:space="preserve">M2    </v>
          </cell>
          <cell r="E727">
            <v>7.93</v>
          </cell>
          <cell r="F727">
            <v>343.8</v>
          </cell>
          <cell r="G727">
            <v>424.9</v>
          </cell>
          <cell r="H727">
            <v>3369.46</v>
          </cell>
          <cell r="I727">
            <v>347.25</v>
          </cell>
          <cell r="J727">
            <v>408.26</v>
          </cell>
          <cell r="K727">
            <v>3237.5</v>
          </cell>
        </row>
        <row r="728">
          <cell r="A728" t="str">
            <v>1.12.7.2</v>
          </cell>
          <cell r="B728">
            <v>5216111</v>
          </cell>
          <cell r="C728" t="str">
            <v>FORNECIMENTO E IMPLANTAÇÃO DE SUPORTE E TRAVESSA PARA PLACA DE SINALIZAÇÃO EM MADEIRA DE LEI TRATADA 8 X 8 CM</v>
          </cell>
          <cell r="D728" t="str">
            <v>UND</v>
          </cell>
          <cell r="E728">
            <v>30</v>
          </cell>
          <cell r="F728">
            <v>119.1379</v>
          </cell>
          <cell r="G728">
            <v>147.24</v>
          </cell>
          <cell r="H728">
            <v>4417.2</v>
          </cell>
          <cell r="I728">
            <v>121.48</v>
          </cell>
          <cell r="J728">
            <v>142.82</v>
          </cell>
          <cell r="K728">
            <v>4284.6000000000004</v>
          </cell>
        </row>
        <row r="729">
          <cell r="A729" t="str">
            <v>1.12.7.3</v>
          </cell>
          <cell r="B729" t="str">
            <v>COMP-58084869</v>
          </cell>
          <cell r="C729" t="str">
            <v>PLACA ESMALTADA PARA IDENTIFICAÇÃO NR DE RUA, DIMENSÕES 45X25CM</v>
          </cell>
          <cell r="D729" t="str">
            <v>UND</v>
          </cell>
          <cell r="E729">
            <v>10</v>
          </cell>
          <cell r="F729">
            <v>155.54</v>
          </cell>
          <cell r="G729">
            <v>192.23</v>
          </cell>
          <cell r="H729">
            <v>1922.3</v>
          </cell>
          <cell r="I729">
            <v>156.33000000000001</v>
          </cell>
          <cell r="J729">
            <v>183.8</v>
          </cell>
          <cell r="K729">
            <v>1838</v>
          </cell>
        </row>
        <row r="730">
          <cell r="A730" t="str">
            <v>1.12.7.4</v>
          </cell>
          <cell r="B730">
            <v>102509</v>
          </cell>
          <cell r="C730" t="str">
            <v>PINTURA DE FAIXA DE PEDESTRE OU ZEBRADA TINTA RETRORREFLETIVA A BASE DE RESINA ACRÍLICA COM MICROESFERAS DE VIDRO, E = 30 CM, APLICAÇÃO MANUAL. AF_05/2021</v>
          </cell>
          <cell r="D730" t="str">
            <v>M2</v>
          </cell>
          <cell r="E730">
            <v>54.17</v>
          </cell>
          <cell r="F730">
            <v>22.91</v>
          </cell>
          <cell r="G730">
            <v>28.31</v>
          </cell>
          <cell r="H730">
            <v>1533.55</v>
          </cell>
          <cell r="I730">
            <v>24.15</v>
          </cell>
          <cell r="J730">
            <v>28.39</v>
          </cell>
          <cell r="K730">
            <v>1537.89</v>
          </cell>
        </row>
        <row r="731">
          <cell r="A731" t="str">
            <v>1.12.7.5</v>
          </cell>
          <cell r="B731">
            <v>102512</v>
          </cell>
          <cell r="C731" t="str">
            <v>PINTURA DE EIXO VIÁRIO SOBRE ASFALTO COM TINTA RETRORREFLETIVA A BASE DE RESINA ACRÍLICA COM MICROESFERAS DE VIDRO, APLICAÇÃO MECÂNICA COM DEMARCADORA AUTOPROPELIDA. AF_05/2021</v>
          </cell>
          <cell r="D731" t="str">
            <v>M</v>
          </cell>
          <cell r="E731">
            <v>3505.17</v>
          </cell>
          <cell r="F731">
            <v>5.22</v>
          </cell>
          <cell r="G731">
            <v>6.45</v>
          </cell>
          <cell r="H731">
            <v>22608.35</v>
          </cell>
          <cell r="I731">
            <v>5.48</v>
          </cell>
          <cell r="J731">
            <v>6.44</v>
          </cell>
          <cell r="K731">
            <v>22573.29</v>
          </cell>
        </row>
        <row r="732">
          <cell r="A732" t="str">
            <v>1.12.8</v>
          </cell>
          <cell r="C732" t="str">
            <v>ACESSIBILIDADE</v>
          </cell>
          <cell r="H732">
            <v>2578.75</v>
          </cell>
          <cell r="K732">
            <v>2535.94</v>
          </cell>
        </row>
        <row r="733">
          <cell r="A733" t="str">
            <v>1.12.8.1</v>
          </cell>
          <cell r="B733" t="str">
            <v>CP-S12039-81921471</v>
          </cell>
          <cell r="C733" t="str">
            <v>Piso tátil direcional e/ou alerta, de concreto, na cor natural, p/deficientes visuais, dimensões 40x40cm, aplicado com argamassa industrializada ac-ii, rejuntado, exclusive regularização de base</v>
          </cell>
          <cell r="D733" t="str">
            <v>M2</v>
          </cell>
          <cell r="E733">
            <v>19.2</v>
          </cell>
          <cell r="F733">
            <v>108.67</v>
          </cell>
          <cell r="G733">
            <v>134.31</v>
          </cell>
          <cell r="H733">
            <v>2578.75</v>
          </cell>
          <cell r="I733">
            <v>112.34</v>
          </cell>
          <cell r="J733">
            <v>132.08000000000001</v>
          </cell>
          <cell r="K733">
            <v>2535.94</v>
          </cell>
        </row>
        <row r="734">
          <cell r="A734" t="str">
            <v>1.12.9</v>
          </cell>
          <cell r="C734" t="str">
            <v>MATERIAIS</v>
          </cell>
          <cell r="H734">
            <v>1001244.03</v>
          </cell>
          <cell r="K734">
            <v>954567.05</v>
          </cell>
        </row>
        <row r="735">
          <cell r="A735" t="str">
            <v>1.12.9.1</v>
          </cell>
          <cell r="B735">
            <v>10775</v>
          </cell>
          <cell r="C735" t="str">
            <v xml:space="preserve">LOCACAO DE CONTAINER 2,30 X 6,00 M, ALT. 2,50 M, COM 1 SANITARIO, PARA ESCRITORIO, COMPLETO, SEM DIVISORIAS INTERNAS (NAO INCLUI MOBILIZACAO/DESMOBILIZACAO)                                                                                                                                                                                                                                                                                                                                              </v>
          </cell>
          <cell r="D735" t="str">
            <v xml:space="preserve">MES   </v>
          </cell>
          <cell r="E735">
            <v>12</v>
          </cell>
          <cell r="F735">
            <v>830</v>
          </cell>
          <cell r="G735">
            <v>958.32</v>
          </cell>
          <cell r="H735">
            <v>11499.84</v>
          </cell>
          <cell r="I735">
            <v>830</v>
          </cell>
          <cell r="J735">
            <v>913.58</v>
          </cell>
          <cell r="K735">
            <v>10962.96</v>
          </cell>
        </row>
        <row r="736">
          <cell r="A736" t="str">
            <v>1.12.9.2</v>
          </cell>
          <cell r="B736">
            <v>10776</v>
          </cell>
          <cell r="C736" t="str">
            <v xml:space="preserve">LOCACAO DE CONTAINER 2,30 X 6,00 M, ALT. 2,50 M, PARA ESCRITORIO, SEM DIVISORIAS INTERNAS E SEM SANITARIO (NAO INCLUI MOBILIZACAO/DESMOBILIZACAO)                                                                                                                                                                                                                                                                                                                                                         </v>
          </cell>
          <cell r="D736" t="str">
            <v xml:space="preserve">MES   </v>
          </cell>
          <cell r="E736">
            <v>12</v>
          </cell>
          <cell r="F736">
            <v>648.42999999999995</v>
          </cell>
          <cell r="G736">
            <v>748.68</v>
          </cell>
          <cell r="H736">
            <v>8984.16</v>
          </cell>
          <cell r="I736">
            <v>648.42999999999995</v>
          </cell>
          <cell r="J736">
            <v>713.73</v>
          </cell>
          <cell r="K736">
            <v>8564.76</v>
          </cell>
        </row>
        <row r="737">
          <cell r="A737" t="str">
            <v>1.12.9.3</v>
          </cell>
          <cell r="B737">
            <v>1518</v>
          </cell>
          <cell r="C737" t="str">
            <v xml:space="preserve">CONCRETO BETUMINOSO USINADO A QUENTE (CBUQ) PARA PAVIMENTACAO ASFALTICA, PADRAO DNIT, FAIXA C, COM CAP 50/70 - AQUISICAO POSTO USINA                                                                                                                                                                                                                                                                                                                                                                      </v>
          </cell>
          <cell r="D737" t="str">
            <v xml:space="preserve">T     </v>
          </cell>
          <cell r="E737">
            <v>778.98</v>
          </cell>
          <cell r="F737">
            <v>522.5</v>
          </cell>
          <cell r="G737">
            <v>603.28</v>
          </cell>
          <cell r="H737">
            <v>469943.05</v>
          </cell>
          <cell r="I737">
            <v>522.5</v>
          </cell>
          <cell r="J737">
            <v>575.12</v>
          </cell>
          <cell r="K737">
            <v>448006.98</v>
          </cell>
        </row>
        <row r="738">
          <cell r="A738" t="str">
            <v>1.12.9.4</v>
          </cell>
          <cell r="B738" t="str">
            <v>INS-185032</v>
          </cell>
          <cell r="C738" t="str">
            <v>BRITA GRADUADA SIMPLES (BGS)</v>
          </cell>
          <cell r="D738" t="str">
            <v>M3</v>
          </cell>
          <cell r="E738">
            <v>1156.5899999999999</v>
          </cell>
          <cell r="F738">
            <v>56.099999999999994</v>
          </cell>
          <cell r="G738">
            <v>64.77</v>
          </cell>
          <cell r="H738">
            <v>74912.33</v>
          </cell>
          <cell r="I738">
            <v>56.099999999999994</v>
          </cell>
          <cell r="J738">
            <v>61.75</v>
          </cell>
          <cell r="K738">
            <v>71419.429999999993</v>
          </cell>
        </row>
        <row r="739">
          <cell r="A739" t="str">
            <v>1.12.9.5</v>
          </cell>
          <cell r="B739" t="str">
            <v>M0808</v>
          </cell>
          <cell r="C739" t="str">
            <v>Brita 4</v>
          </cell>
          <cell r="D739" t="str">
            <v>M3</v>
          </cell>
          <cell r="E739">
            <v>1320.68</v>
          </cell>
          <cell r="F739">
            <v>90.74</v>
          </cell>
          <cell r="G739">
            <v>104.77</v>
          </cell>
          <cell r="H739">
            <v>138367.64000000001</v>
          </cell>
          <cell r="I739">
            <v>90.74</v>
          </cell>
          <cell r="J739">
            <v>99.88</v>
          </cell>
          <cell r="K739">
            <v>131909.51999999999</v>
          </cell>
        </row>
        <row r="740">
          <cell r="A740" t="str">
            <v>1.12.9.6</v>
          </cell>
          <cell r="B740" t="str">
            <v>M1135</v>
          </cell>
          <cell r="C740" t="str">
            <v>Pó de pedra</v>
          </cell>
          <cell r="D740" t="str">
            <v>M3</v>
          </cell>
          <cell r="E740">
            <v>146.74</v>
          </cell>
          <cell r="F740">
            <v>74.53</v>
          </cell>
          <cell r="G740">
            <v>86.05</v>
          </cell>
          <cell r="H740">
            <v>12626.98</v>
          </cell>
          <cell r="I740">
            <v>74.53</v>
          </cell>
          <cell r="J740">
            <v>82.04</v>
          </cell>
          <cell r="K740">
            <v>12038.55</v>
          </cell>
        </row>
        <row r="741">
          <cell r="A741" t="str">
            <v>1.12.9.7</v>
          </cell>
          <cell r="B741" t="str">
            <v>INS-711371</v>
          </cell>
          <cell r="C741" t="str">
            <v>ASFALTO DILUÍDO CM - 30</v>
          </cell>
          <cell r="D741" t="str">
            <v>KG</v>
          </cell>
          <cell r="E741">
            <v>7317.66</v>
          </cell>
          <cell r="F741">
            <v>5.32</v>
          </cell>
          <cell r="G741">
            <v>6.14</v>
          </cell>
          <cell r="H741">
            <v>44930.43</v>
          </cell>
          <cell r="I741">
            <v>5.32</v>
          </cell>
          <cell r="J741">
            <v>5.86</v>
          </cell>
          <cell r="K741">
            <v>42881.49</v>
          </cell>
        </row>
        <row r="742">
          <cell r="A742" t="str">
            <v>1.12.9.8</v>
          </cell>
          <cell r="B742">
            <v>34492</v>
          </cell>
          <cell r="C742" t="str">
            <v xml:space="preserve">CONCRETO USINADO BOMBEAVEL, CLASSE DE RESISTENCIA C20, COM BRITA 0 E 1, SLUMP = 100 +/- 20 MM, EXCLUI SERVICO DE BOMBEAMENTO (NBR 8953)                                                                                                                                                                                                                                                                                                                                                                   </v>
          </cell>
          <cell r="D742" t="str">
            <v xml:space="preserve">M3    </v>
          </cell>
          <cell r="E742">
            <v>330.29</v>
          </cell>
          <cell r="F742">
            <v>422.5</v>
          </cell>
          <cell r="G742">
            <v>487.82</v>
          </cell>
          <cell r="H742">
            <v>161122.07</v>
          </cell>
          <cell r="I742">
            <v>422.5</v>
          </cell>
          <cell r="J742">
            <v>465.05</v>
          </cell>
          <cell r="K742">
            <v>153601.35999999999</v>
          </cell>
        </row>
        <row r="743">
          <cell r="A743" t="str">
            <v>1.12.9.9</v>
          </cell>
          <cell r="B743">
            <v>1345</v>
          </cell>
          <cell r="C743" t="str">
            <v xml:space="preserve">CHAPA/PAINEL DE MADEIRA COMPENSADA PLASTIFICADA (MADEIRITE PLASTIFICADO) PARA FORMA DE CONCRETO, DE 2200 x 1100 MM, E = *17* MM                                                                                                                                                                                                                                                                                                                                                                           </v>
          </cell>
          <cell r="D743" t="str">
            <v xml:space="preserve">M2    </v>
          </cell>
          <cell r="E743">
            <v>723.53</v>
          </cell>
          <cell r="F743">
            <v>94.4</v>
          </cell>
          <cell r="G743">
            <v>108.99</v>
          </cell>
          <cell r="H743">
            <v>78857.53</v>
          </cell>
          <cell r="I743">
            <v>94.4</v>
          </cell>
          <cell r="J743">
            <v>103.91</v>
          </cell>
          <cell r="K743">
            <v>75182</v>
          </cell>
        </row>
        <row r="744">
          <cell r="A744" t="str">
            <v>1.13</v>
          </cell>
          <cell r="C744" t="str">
            <v>RUA JORNALISTA HERCÍLIO CELSO - CANDEIAS</v>
          </cell>
          <cell r="H744">
            <v>3288103.13</v>
          </cell>
          <cell r="K744">
            <v>3193138.09</v>
          </cell>
        </row>
        <row r="745">
          <cell r="A745" t="str">
            <v>1.13.1</v>
          </cell>
          <cell r="C745" t="str">
            <v>INSTALAÇÕES PROVISÓRIAS</v>
          </cell>
          <cell r="H745">
            <v>15902.04</v>
          </cell>
          <cell r="K745">
            <v>15189.96</v>
          </cell>
        </row>
        <row r="746">
          <cell r="A746" t="str">
            <v>1.13.1.1</v>
          </cell>
          <cell r="B746" t="str">
            <v>CP-74209/001-15055090</v>
          </cell>
          <cell r="C746" t="str">
            <v>PLACA DE OBRA EM CHAPA DE ACO GALVANIZADO</v>
          </cell>
          <cell r="D746" t="str">
            <v xml:space="preserve">M2    </v>
          </cell>
          <cell r="E746">
            <v>8</v>
          </cell>
          <cell r="F746">
            <v>558.35</v>
          </cell>
          <cell r="G746">
            <v>690.06</v>
          </cell>
          <cell r="H746">
            <v>5520.48</v>
          </cell>
          <cell r="I746">
            <v>564.99</v>
          </cell>
          <cell r="J746">
            <v>664.26</v>
          </cell>
          <cell r="K746">
            <v>5314.08</v>
          </cell>
        </row>
        <row r="747">
          <cell r="A747" t="str">
            <v>1.13.1.2</v>
          </cell>
          <cell r="B747" t="str">
            <v>COMP-07440249</v>
          </cell>
          <cell r="C747" t="str">
            <v>BANHEIRO QUÍMICO, COM LOCAÇÃO, TRANSPORTE E LIMPEZA</v>
          </cell>
          <cell r="D747" t="str">
            <v>MÊS</v>
          </cell>
          <cell r="E747">
            <v>12</v>
          </cell>
          <cell r="F747">
            <v>700</v>
          </cell>
          <cell r="G747">
            <v>865.13</v>
          </cell>
          <cell r="H747">
            <v>10381.56</v>
          </cell>
          <cell r="I747">
            <v>700</v>
          </cell>
          <cell r="J747">
            <v>822.99</v>
          </cell>
          <cell r="K747">
            <v>9875.8799999999992</v>
          </cell>
        </row>
        <row r="748">
          <cell r="A748" t="str">
            <v>1.13.2</v>
          </cell>
          <cell r="C748" t="str">
            <v>ADMINISTRAÇÃO LOCAL</v>
          </cell>
          <cell r="H748">
            <v>97015.62</v>
          </cell>
          <cell r="K748">
            <v>106388.4</v>
          </cell>
        </row>
        <row r="749">
          <cell r="A749" t="str">
            <v>1.13.2.1</v>
          </cell>
          <cell r="B749">
            <v>93565</v>
          </cell>
          <cell r="C749" t="str">
            <v>ENGENHEIRO CIVIL DE OBRA JUNIOR COM ENCARGOS COMPLEMENTARES</v>
          </cell>
          <cell r="D749" t="str">
            <v>MES</v>
          </cell>
          <cell r="E749">
            <v>3</v>
          </cell>
          <cell r="F749">
            <v>14549.96</v>
          </cell>
          <cell r="G749">
            <v>17982.3</v>
          </cell>
          <cell r="H749">
            <v>53946.9</v>
          </cell>
          <cell r="I749">
            <v>16819.14</v>
          </cell>
          <cell r="J749">
            <v>19774.259999999998</v>
          </cell>
          <cell r="K749">
            <v>59322.78</v>
          </cell>
        </row>
        <row r="750">
          <cell r="A750" t="str">
            <v>1.13.2.2</v>
          </cell>
          <cell r="B750">
            <v>93572</v>
          </cell>
          <cell r="C750" t="str">
            <v>ENCARREGADO GERAL DE OBRAS COM ENCARGOS COMPLEMENTARES</v>
          </cell>
          <cell r="D750" t="str">
            <v>MES</v>
          </cell>
          <cell r="E750">
            <v>6</v>
          </cell>
          <cell r="F750">
            <v>5808.01</v>
          </cell>
          <cell r="G750">
            <v>7178.12</v>
          </cell>
          <cell r="H750">
            <v>43068.72</v>
          </cell>
          <cell r="I750">
            <v>6672</v>
          </cell>
          <cell r="J750">
            <v>7844.27</v>
          </cell>
          <cell r="K750">
            <v>47065.62</v>
          </cell>
        </row>
        <row r="751">
          <cell r="A751" t="str">
            <v>1.13.3</v>
          </cell>
          <cell r="C751" t="str">
            <v>SERVIÇOS PRELIMINARES</v>
          </cell>
          <cell r="H751">
            <v>20520.37</v>
          </cell>
          <cell r="K751">
            <v>21547.15</v>
          </cell>
        </row>
        <row r="752">
          <cell r="A752" t="str">
            <v>1.13.3.1</v>
          </cell>
          <cell r="B752">
            <v>99064</v>
          </cell>
          <cell r="C752" t="str">
            <v>LOCAÇÃO DE PAVIMENTAÇÃO. AF_10/2018</v>
          </cell>
          <cell r="D752" t="str">
            <v>M</v>
          </cell>
          <cell r="E752">
            <v>1664.61</v>
          </cell>
          <cell r="F752">
            <v>0.43</v>
          </cell>
          <cell r="G752">
            <v>0.53</v>
          </cell>
          <cell r="H752">
            <v>882.24</v>
          </cell>
          <cell r="I752">
            <v>0.49</v>
          </cell>
          <cell r="J752">
            <v>0.57999999999999996</v>
          </cell>
          <cell r="K752">
            <v>965.47</v>
          </cell>
        </row>
        <row r="753">
          <cell r="A753" t="str">
            <v>1.13.3.2</v>
          </cell>
          <cell r="B753" t="str">
            <v>COMP-17562084</v>
          </cell>
          <cell r="C753" t="str">
            <v>DEMOLIÇÃO MANUAL DE CONCRETO SIMPLES</v>
          </cell>
          <cell r="D753" t="str">
            <v>M3</v>
          </cell>
          <cell r="E753">
            <v>74.53</v>
          </cell>
          <cell r="F753">
            <v>190.89</v>
          </cell>
          <cell r="G753">
            <v>235.92</v>
          </cell>
          <cell r="H753">
            <v>17583.12</v>
          </cell>
          <cell r="I753">
            <v>212.24</v>
          </cell>
          <cell r="J753">
            <v>249.53</v>
          </cell>
          <cell r="K753">
            <v>18597.47</v>
          </cell>
        </row>
        <row r="754">
          <cell r="A754" t="str">
            <v>1.13.3.3</v>
          </cell>
          <cell r="B754" t="str">
            <v>COMP-35145154</v>
          </cell>
          <cell r="C754" t="str">
            <v>CARGA E DESCARGA MECANICA DE SOLO UTILIZANDO CAMINHAO BASCULANTE 14,0M3/36T E PA CARREGADEIRA SOBRE PNEUS 128 HP, CAPACIDADE DA CAÇAMBA 1,7 A 2,8 M3, PESO OPERACIONAL 11632 KH</v>
          </cell>
          <cell r="D754" t="str">
            <v>M3</v>
          </cell>
          <cell r="E754">
            <v>93.16</v>
          </cell>
          <cell r="F754">
            <v>2.83</v>
          </cell>
          <cell r="G754">
            <v>3.5</v>
          </cell>
          <cell r="H754">
            <v>326.06</v>
          </cell>
          <cell r="I754">
            <v>2.9</v>
          </cell>
          <cell r="J754">
            <v>3.41</v>
          </cell>
          <cell r="K754">
            <v>317.68</v>
          </cell>
        </row>
        <row r="755">
          <cell r="A755" t="str">
            <v>1.13.3.4</v>
          </cell>
          <cell r="B755">
            <v>95876</v>
          </cell>
          <cell r="C755" t="str">
            <v>TRANSPORTE COM CAMINHÃO BASCULANTE DE 14 M³, EM VIA URBANA PAVIMENTADA, DMT ATÉ 30 KM (UNIDADE: M3XKM). AF_07/2020</v>
          </cell>
          <cell r="D755" t="str">
            <v>M3XKM</v>
          </cell>
          <cell r="E755">
            <v>624.16999999999996</v>
          </cell>
          <cell r="F755">
            <v>2.2400000000000002</v>
          </cell>
          <cell r="G755">
            <v>2.77</v>
          </cell>
          <cell r="H755">
            <v>1728.95</v>
          </cell>
          <cell r="I755">
            <v>2.27</v>
          </cell>
          <cell r="J755">
            <v>2.67</v>
          </cell>
          <cell r="K755">
            <v>1666.53</v>
          </cell>
        </row>
        <row r="756">
          <cell r="A756" t="str">
            <v>1.13.4</v>
          </cell>
          <cell r="C756" t="str">
            <v>TERRAPLENAGEM</v>
          </cell>
          <cell r="H756">
            <v>218448.9</v>
          </cell>
          <cell r="K756">
            <v>211053.07</v>
          </cell>
        </row>
        <row r="757">
          <cell r="A757" t="str">
            <v>1.13.4.1</v>
          </cell>
          <cell r="B757" t="str">
            <v>CP-74205/001-17324935</v>
          </cell>
          <cell r="C757" t="str">
            <v>ESCAVAÇÃO MECÂNICA DE MATERIAL 1A. CATEGORIA, PROVENIENTE DE CORTE DE SUBLEITO (C/TRATOR ESTEIRAS  160HP)</v>
          </cell>
          <cell r="D757" t="str">
            <v>M3</v>
          </cell>
          <cell r="E757">
            <v>7113.27</v>
          </cell>
          <cell r="F757">
            <v>2.54</v>
          </cell>
          <cell r="G757">
            <v>3.14</v>
          </cell>
          <cell r="H757">
            <v>22335.67</v>
          </cell>
          <cell r="I757">
            <v>2.59</v>
          </cell>
          <cell r="J757">
            <v>3.05</v>
          </cell>
          <cell r="K757">
            <v>21695.47</v>
          </cell>
        </row>
        <row r="758">
          <cell r="A758" t="str">
            <v>1.13.4.2</v>
          </cell>
          <cell r="B758" t="str">
            <v>COMP-35145154</v>
          </cell>
          <cell r="C758" t="str">
            <v>CARGA E DESCARGA MECANICA DE SOLO UTILIZANDO CAMINHAO BASCULANTE 14,0M3/36T E PA CARREGADEIRA SOBRE PNEUS 128 HP, CAPACIDADE DA CAÇAMBA 1,7 A 2,8 M3, PESO OPERACIONAL 11632 KH</v>
          </cell>
          <cell r="D758" t="str">
            <v>M3</v>
          </cell>
          <cell r="E758">
            <v>8888.9</v>
          </cell>
          <cell r="F758">
            <v>2.83</v>
          </cell>
          <cell r="G758">
            <v>3.5</v>
          </cell>
          <cell r="H758">
            <v>31111.15</v>
          </cell>
          <cell r="I758">
            <v>2.9</v>
          </cell>
          <cell r="J758">
            <v>3.41</v>
          </cell>
          <cell r="K758">
            <v>30311.15</v>
          </cell>
        </row>
        <row r="759">
          <cell r="A759" t="str">
            <v>1.13.4.3</v>
          </cell>
          <cell r="B759">
            <v>95876</v>
          </cell>
          <cell r="C759" t="str">
            <v>TRANSPORTE COM CAMINHÃO BASCULANTE DE 14 M³, EM VIA URBANA PAVIMENTADA, DMT ATÉ 30 KM (UNIDADE: M3XKM). AF_07/2020</v>
          </cell>
          <cell r="D759" t="str">
            <v>M3XKM</v>
          </cell>
          <cell r="E759">
            <v>59555.63</v>
          </cell>
          <cell r="F759">
            <v>2.2400000000000002</v>
          </cell>
          <cell r="G759">
            <v>2.77</v>
          </cell>
          <cell r="H759">
            <v>164969.1</v>
          </cell>
          <cell r="I759">
            <v>2.27</v>
          </cell>
          <cell r="J759">
            <v>2.67</v>
          </cell>
          <cell r="K759">
            <v>159013.53</v>
          </cell>
        </row>
        <row r="760">
          <cell r="A760" t="str">
            <v>1.13.4.4</v>
          </cell>
          <cell r="B760">
            <v>96385</v>
          </cell>
          <cell r="C760" t="str">
            <v>EXECUÇÃO E COMPACTAÇÃO DE ATERRO COM SOLO PREDOMINANTEMENTE ARGILOSO - EXCLUSIVE SOLO, ESCAVAÇÃO, CARGA E TRANSPORTE. AF_11/2019</v>
          </cell>
          <cell r="D760" t="str">
            <v>M3</v>
          </cell>
          <cell r="E760">
            <v>2.15</v>
          </cell>
          <cell r="F760">
            <v>12.41</v>
          </cell>
          <cell r="G760">
            <v>15.34</v>
          </cell>
          <cell r="H760">
            <v>32.979999999999997</v>
          </cell>
          <cell r="I760">
            <v>13.02</v>
          </cell>
          <cell r="J760">
            <v>15.31</v>
          </cell>
          <cell r="K760">
            <v>32.92</v>
          </cell>
        </row>
        <row r="761">
          <cell r="A761" t="str">
            <v>1.13.5</v>
          </cell>
          <cell r="C761" t="str">
            <v>PAVIMENTAÇÃO</v>
          </cell>
          <cell r="H761">
            <v>691413.19</v>
          </cell>
          <cell r="K761">
            <v>682070.64</v>
          </cell>
        </row>
        <row r="762">
          <cell r="A762" t="str">
            <v>1.13.5.1</v>
          </cell>
          <cell r="B762">
            <v>96001</v>
          </cell>
          <cell r="C762" t="str">
            <v>FRESAGEM DE PAVIMENTO ASFÁLTICO (PROFUNDIDADE ATÉ 5,0 CM) - EXCLUSIVE TRANSPORTE. AF_11/2019</v>
          </cell>
          <cell r="D762" t="str">
            <v>M2</v>
          </cell>
          <cell r="E762">
            <v>243.32</v>
          </cell>
          <cell r="F762">
            <v>8.16</v>
          </cell>
          <cell r="G762">
            <v>10.08</v>
          </cell>
          <cell r="H762">
            <v>2452.67</v>
          </cell>
          <cell r="I762">
            <v>8.2899999999999991</v>
          </cell>
          <cell r="J762">
            <v>9.75</v>
          </cell>
          <cell r="K762">
            <v>2372.37</v>
          </cell>
        </row>
        <row r="763">
          <cell r="A763" t="str">
            <v>1.13.5.2</v>
          </cell>
          <cell r="B763">
            <v>100983</v>
          </cell>
          <cell r="C763" t="str">
            <v>CARGA, MANOBRA E DESCARGA DE ENTULHO EM CAMINHÃO BASCULANTE 14 M³ - CARGA COM ESCAVADEIRA HIDRÁULICA  (CAÇAMBA DE 0,80 M³ / 111 HP) E DESCARGA LIVRE (UNIDADE: M3). AF_07/2020</v>
          </cell>
          <cell r="D763" t="str">
            <v>M3</v>
          </cell>
          <cell r="E763">
            <v>12.17</v>
          </cell>
          <cell r="F763">
            <v>9.31</v>
          </cell>
          <cell r="G763">
            <v>11.51</v>
          </cell>
          <cell r="H763">
            <v>140.08000000000001</v>
          </cell>
          <cell r="I763">
            <v>9.49</v>
          </cell>
          <cell r="J763">
            <v>11.16</v>
          </cell>
          <cell r="K763">
            <v>135.82</v>
          </cell>
        </row>
        <row r="764">
          <cell r="A764" t="str">
            <v>1.13.5.3</v>
          </cell>
          <cell r="B764">
            <v>95876</v>
          </cell>
          <cell r="C764" t="str">
            <v>TRANSPORTE COM CAMINHÃO BASCULANTE DE 14 M³, EM VIA URBANA PAVIMENTADA, DMT ATÉ 30 KM (UNIDADE: M3XKM). AF_07/2020</v>
          </cell>
          <cell r="D764" t="str">
            <v>M3XKM</v>
          </cell>
          <cell r="E764">
            <v>81.540000000000006</v>
          </cell>
          <cell r="F764">
            <v>2.2400000000000002</v>
          </cell>
          <cell r="G764">
            <v>2.77</v>
          </cell>
          <cell r="H764">
            <v>225.87</v>
          </cell>
          <cell r="I764">
            <v>2.27</v>
          </cell>
          <cell r="J764">
            <v>2.67</v>
          </cell>
          <cell r="K764">
            <v>217.71</v>
          </cell>
        </row>
        <row r="765">
          <cell r="A765" t="str">
            <v>1.13.5.4</v>
          </cell>
          <cell r="B765">
            <v>96402</v>
          </cell>
          <cell r="C765" t="str">
            <v>EXECUÇÃO DE PINTURA DE LIGAÇÃO COM EMULSÃO ASFÁLTICA RR-2C. AF_11/2019</v>
          </cell>
          <cell r="D765" t="str">
            <v>M2</v>
          </cell>
          <cell r="E765">
            <v>2936.84</v>
          </cell>
          <cell r="F765">
            <v>2.88</v>
          </cell>
          <cell r="G765">
            <v>3.56</v>
          </cell>
          <cell r="H765">
            <v>10455.15</v>
          </cell>
          <cell r="I765">
            <v>2.93</v>
          </cell>
          <cell r="J765">
            <v>3.44</v>
          </cell>
          <cell r="K765">
            <v>10102.73</v>
          </cell>
        </row>
        <row r="766">
          <cell r="A766" t="str">
            <v>1.13.5.5</v>
          </cell>
          <cell r="B766" t="str">
            <v>CP-96401-52745838</v>
          </cell>
          <cell r="C766" t="str">
            <v>EXECUÇÃO DE IMPRIMAÇÃO COM ASFALTO DILUÍDO CM-30, EXCLUSIVE MATERIAL.</v>
          </cell>
          <cell r="D766" t="str">
            <v>M2</v>
          </cell>
          <cell r="E766">
            <v>8527.9599999999991</v>
          </cell>
          <cell r="F766">
            <v>1.18</v>
          </cell>
          <cell r="G766">
            <v>1.46</v>
          </cell>
          <cell r="H766">
            <v>12450.82</v>
          </cell>
          <cell r="I766">
            <v>1.24</v>
          </cell>
          <cell r="J766">
            <v>1.46</v>
          </cell>
          <cell r="K766">
            <v>12450.82</v>
          </cell>
        </row>
        <row r="767">
          <cell r="A767" t="str">
            <v>1.13.5.6</v>
          </cell>
          <cell r="B767" t="str">
            <v>CP-95995-51339760</v>
          </cell>
          <cell r="C767" t="str">
            <v>EXECUÇÃO DE PAVIMENTO COM APLICAÇÃO DE CONCRETO ASFÁLTICO, CAMADA DE ROLAMENTO - EXCLUSIVE CARGA E TRANSPORTE E CONCRETO BETUMINOSO</v>
          </cell>
          <cell r="D767" t="str">
            <v>M3</v>
          </cell>
          <cell r="E767">
            <v>573.25</v>
          </cell>
          <cell r="F767">
            <v>127.58</v>
          </cell>
          <cell r="G767">
            <v>157.68</v>
          </cell>
          <cell r="H767">
            <v>90390.06</v>
          </cell>
          <cell r="I767">
            <v>133.37</v>
          </cell>
          <cell r="J767">
            <v>156.80000000000001</v>
          </cell>
          <cell r="K767">
            <v>89885.6</v>
          </cell>
        </row>
        <row r="768">
          <cell r="A768" t="str">
            <v>1.13.5.7</v>
          </cell>
          <cell r="B768" t="str">
            <v>COMP-10034101</v>
          </cell>
          <cell r="C768" t="str">
            <v>CARGA, MANOBRAS E DESCARGA DE MISTURA BETUMINOSA A QUENTE, COM CAMINHAO BASCULANTE 6 M3, DESCARGA EM VIBRO-ACABADORA</v>
          </cell>
          <cell r="D768" t="str">
            <v>M3</v>
          </cell>
          <cell r="E768">
            <v>573.25</v>
          </cell>
          <cell r="F768">
            <v>7.74</v>
          </cell>
          <cell r="G768">
            <v>9.57</v>
          </cell>
          <cell r="H768">
            <v>5486</v>
          </cell>
          <cell r="I768">
            <v>7.86</v>
          </cell>
          <cell r="J768">
            <v>9.24</v>
          </cell>
          <cell r="K768">
            <v>5296.83</v>
          </cell>
        </row>
        <row r="769">
          <cell r="A769" t="str">
            <v>1.13.5.8</v>
          </cell>
          <cell r="B769" t="str">
            <v>CP-95303-56931542</v>
          </cell>
          <cell r="C769" t="str">
            <v>TRANSPORTE COM CAMINHÃO BASCULANTE 10 M3 DE MASSA ASFALTICA PARA PAVIMENTAÇÃO URBANA</v>
          </cell>
          <cell r="D769" t="str">
            <v>M3XKM</v>
          </cell>
          <cell r="E769">
            <v>11235.7</v>
          </cell>
          <cell r="F769">
            <v>1.75</v>
          </cell>
          <cell r="G769">
            <v>2.16</v>
          </cell>
          <cell r="H769">
            <v>24269.11</v>
          </cell>
          <cell r="I769">
            <v>1.77</v>
          </cell>
          <cell r="J769">
            <v>2.08</v>
          </cell>
          <cell r="K769">
            <v>23370.26</v>
          </cell>
        </row>
        <row r="770">
          <cell r="A770" t="str">
            <v>1.13.5.9</v>
          </cell>
          <cell r="B770">
            <v>100576</v>
          </cell>
          <cell r="C770" t="str">
            <v>REGULARIZAÇÃO E COMPACTAÇÃO DE SUBLEITO DE SOLO  PREDOMINANTEMENTE ARGILOSO. AF_11/2019</v>
          </cell>
          <cell r="D770" t="str">
            <v>M2</v>
          </cell>
          <cell r="E770">
            <v>13316.88</v>
          </cell>
          <cell r="F770">
            <v>2.64</v>
          </cell>
          <cell r="G770">
            <v>3.26</v>
          </cell>
          <cell r="H770">
            <v>43413.03</v>
          </cell>
          <cell r="I770">
            <v>2.79</v>
          </cell>
          <cell r="J770">
            <v>3.28</v>
          </cell>
          <cell r="K770">
            <v>43679.37</v>
          </cell>
        </row>
        <row r="771">
          <cell r="A771" t="str">
            <v>1.13.5.10</v>
          </cell>
          <cell r="B771" t="str">
            <v>COMP-28881239</v>
          </cell>
          <cell r="C771" t="str">
            <v>Base ou sub-base de macadame hidráulico com brita comercial - EXCLUSIVE MATERIAL, CARGA E TRANSPORTE - NÃO DESONERADO</v>
          </cell>
          <cell r="D771" t="str">
            <v>M3</v>
          </cell>
          <cell r="E771">
            <v>2197.29</v>
          </cell>
          <cell r="F771">
            <v>11.24</v>
          </cell>
          <cell r="G771">
            <v>13.89</v>
          </cell>
          <cell r="H771">
            <v>30520.36</v>
          </cell>
          <cell r="I771">
            <v>11.4</v>
          </cell>
          <cell r="J771">
            <v>13.4</v>
          </cell>
          <cell r="K771">
            <v>29443.69</v>
          </cell>
        </row>
        <row r="772">
          <cell r="A772" t="str">
            <v>1.13.5.11</v>
          </cell>
          <cell r="B772" t="str">
            <v>CP-96396-26507981</v>
          </cell>
          <cell r="C772" t="str">
            <v>EXECUÇÃO E COMPACTAÇÃO DE BASE E OU SUB BASE PARA PAVIMENTAÇÃO DE BRITA GRADUADA SIMPLES - EXCLUSIVE MATERIAL, CARGA E TRANSPORTE</v>
          </cell>
          <cell r="D772" t="str">
            <v>M3</v>
          </cell>
          <cell r="E772">
            <v>1864.36</v>
          </cell>
          <cell r="F772">
            <v>13.86</v>
          </cell>
          <cell r="G772">
            <v>17.13</v>
          </cell>
          <cell r="H772">
            <v>31936.49</v>
          </cell>
          <cell r="I772">
            <v>14.44</v>
          </cell>
          <cell r="J772">
            <v>16.98</v>
          </cell>
          <cell r="K772">
            <v>31656.83</v>
          </cell>
        </row>
        <row r="773">
          <cell r="A773" t="str">
            <v>1.13.5.12</v>
          </cell>
          <cell r="B773" t="str">
            <v>COMP-35145154</v>
          </cell>
          <cell r="C773" t="str">
            <v>CARGA E DESCARGA MECANICA DE SOLO UTILIZANDO CAMINHAO BASCULANTE 14,0M3/36T E PA CARREGADEIRA SOBRE PNEUS 128 HP, CAPACIDADE DA CAÇAMBA 1,7 A 2,8 M3, PESO OPERACIONAL 11632 KH</v>
          </cell>
          <cell r="D773" t="str">
            <v>M3</v>
          </cell>
          <cell r="E773">
            <v>5077.0600000000004</v>
          </cell>
          <cell r="F773">
            <v>2.83</v>
          </cell>
          <cell r="G773">
            <v>3.5</v>
          </cell>
          <cell r="H773">
            <v>17769.71</v>
          </cell>
          <cell r="I773">
            <v>2.9</v>
          </cell>
          <cell r="J773">
            <v>3.41</v>
          </cell>
          <cell r="K773">
            <v>17312.77</v>
          </cell>
        </row>
        <row r="774">
          <cell r="A774" t="str">
            <v>1.13.5.13</v>
          </cell>
          <cell r="B774" t="str">
            <v>COMP-83526730</v>
          </cell>
          <cell r="C774" t="str">
            <v>TRANSPORTE COMERCIAL DE BRITA</v>
          </cell>
          <cell r="D774" t="str">
            <v>M3XKM</v>
          </cell>
          <cell r="E774">
            <v>67524.899999999994</v>
          </cell>
          <cell r="F774">
            <v>1.36</v>
          </cell>
          <cell r="G774">
            <v>1.68</v>
          </cell>
          <cell r="H774">
            <v>113441.83</v>
          </cell>
          <cell r="I774">
            <v>1.37</v>
          </cell>
          <cell r="J774">
            <v>1.61</v>
          </cell>
          <cell r="K774">
            <v>108715.09</v>
          </cell>
        </row>
        <row r="775">
          <cell r="A775" t="str">
            <v>1.13.5.14</v>
          </cell>
          <cell r="B775" t="str">
            <v>CP-97084-89637704</v>
          </cell>
          <cell r="C775" t="str">
            <v>REGULARIZACAO E COMPACTAÇÃO MANUAL DE TERRENO COM PLACA VIBRATÓRIA</v>
          </cell>
          <cell r="D775" t="str">
            <v>M2</v>
          </cell>
          <cell r="E775">
            <v>4909.8</v>
          </cell>
          <cell r="F775">
            <v>0.59</v>
          </cell>
          <cell r="G775">
            <v>0.73</v>
          </cell>
          <cell r="H775">
            <v>3584.15</v>
          </cell>
          <cell r="I775">
            <v>0.65</v>
          </cell>
          <cell r="J775">
            <v>0.76</v>
          </cell>
          <cell r="K775">
            <v>3731.45</v>
          </cell>
        </row>
        <row r="776">
          <cell r="A776" t="str">
            <v>1.13.5.15</v>
          </cell>
          <cell r="B776" t="str">
            <v>CP-94991-12549457</v>
          </cell>
          <cell r="C776" t="str">
            <v>EXECUÇÃO DE PASSEIO (CALÇADA) OU PISO DE CONCRETO COM CONCRETO MOLDADO IN LOCO, USINADO, ACABAMENTO CONVENCIONAL, NÃO ARMADO - EXCLUINDO O CONCRETO USINADO 20MPA</v>
          </cell>
          <cell r="D776" t="str">
            <v>M3</v>
          </cell>
          <cell r="E776">
            <v>316.58999999999997</v>
          </cell>
          <cell r="F776">
            <v>104.6</v>
          </cell>
          <cell r="G776">
            <v>129.28</v>
          </cell>
          <cell r="H776">
            <v>40928.76</v>
          </cell>
          <cell r="I776">
            <v>112.75</v>
          </cell>
          <cell r="J776">
            <v>132.56</v>
          </cell>
          <cell r="K776">
            <v>41967.17</v>
          </cell>
        </row>
        <row r="777">
          <cell r="A777" t="str">
            <v>1.13.5.16</v>
          </cell>
          <cell r="B777">
            <v>94273</v>
          </cell>
          <cell r="C777" t="str">
            <v>ASSENTAMENTO DE GUIA (MEIO-FIO) EM TRECHO RETO, CONFECCIONADA EM CONCRETO PRÉ-FABRICADO, DIMENSÕES 100X15X13X30 CM (COMPRIMENTO X BASE INFERIOR X BASE SUPERIOR X ALTURA), PARA VIAS URBANAS (USO VIÁRIO). AF_06/2016</v>
          </cell>
          <cell r="D777" t="str">
            <v>M</v>
          </cell>
          <cell r="E777">
            <v>2326.77</v>
          </cell>
          <cell r="F777">
            <v>54.61</v>
          </cell>
          <cell r="G777">
            <v>67.489999999999995</v>
          </cell>
          <cell r="H777">
            <v>157033.71</v>
          </cell>
          <cell r="I777">
            <v>56.47</v>
          </cell>
          <cell r="J777">
            <v>66.39</v>
          </cell>
          <cell r="K777">
            <v>154474.26</v>
          </cell>
        </row>
        <row r="778">
          <cell r="A778" t="str">
            <v>1.13.5.17</v>
          </cell>
          <cell r="B778">
            <v>94274</v>
          </cell>
          <cell r="C778" t="str">
            <v>ASSENTAMENTO DE GUIA (MEIO-FIO) EM TRECHO CURVO, CONFECCIONADA EM CONCRETO PRÉ-FABRICADO, DIMENSÕES 100X15X13X30 CM (COMPRIMENTO X BASE INFERIOR X BASE SUPERIOR X ALTURA), PARA VIAS URBANAS (USO VIÁRIO). AF_06/2016</v>
          </cell>
          <cell r="D778" t="str">
            <v>M</v>
          </cell>
          <cell r="E778">
            <v>173.4</v>
          </cell>
          <cell r="F778">
            <v>58.17</v>
          </cell>
          <cell r="G778">
            <v>71.89</v>
          </cell>
          <cell r="H778">
            <v>12465.73</v>
          </cell>
          <cell r="I778">
            <v>60.43</v>
          </cell>
          <cell r="J778">
            <v>71.05</v>
          </cell>
          <cell r="K778">
            <v>12320.07</v>
          </cell>
        </row>
        <row r="779">
          <cell r="A779" t="str">
            <v>1.13.5.18</v>
          </cell>
          <cell r="B779">
            <v>94287</v>
          </cell>
          <cell r="C779" t="str">
            <v>EXECUÇÃO DE SARJETA DE CONCRETO USINADO, MOLDADA  IN LOCO  EM TRECHO RETO, 30 CM BASE X 10 CM ALTURA. AF_06/2016</v>
          </cell>
          <cell r="D779" t="str">
            <v>M</v>
          </cell>
          <cell r="E779">
            <v>1799.45</v>
          </cell>
          <cell r="F779">
            <v>37.69</v>
          </cell>
          <cell r="G779">
            <v>46.58</v>
          </cell>
          <cell r="H779">
            <v>83818.38</v>
          </cell>
          <cell r="I779">
            <v>39.770000000000003</v>
          </cell>
          <cell r="J779">
            <v>46.76</v>
          </cell>
          <cell r="K779">
            <v>84142.28</v>
          </cell>
        </row>
        <row r="780">
          <cell r="A780" t="str">
            <v>1.13.5.19</v>
          </cell>
          <cell r="B780">
            <v>94288</v>
          </cell>
          <cell r="C780" t="str">
            <v>EXECUÇÃO DE SARJETA DE CONCRETO USINADO, MOLDADA  IN LOCO  EM TRECHO CURVO, 30 CM BASE X 10 CM ALTURA. AF_06/2016</v>
          </cell>
          <cell r="D780" t="str">
            <v>M</v>
          </cell>
          <cell r="E780">
            <v>182.48</v>
          </cell>
          <cell r="F780">
            <v>47.14</v>
          </cell>
          <cell r="G780">
            <v>58.26</v>
          </cell>
          <cell r="H780">
            <v>10631.28</v>
          </cell>
          <cell r="I780">
            <v>50.32</v>
          </cell>
          <cell r="J780">
            <v>59.16</v>
          </cell>
          <cell r="K780">
            <v>10795.52</v>
          </cell>
        </row>
        <row r="781">
          <cell r="A781" t="str">
            <v>1.13.6</v>
          </cell>
          <cell r="C781" t="str">
            <v>DRENAGEM</v>
          </cell>
          <cell r="H781">
            <v>489950.01</v>
          </cell>
          <cell r="K781">
            <v>480921.29</v>
          </cell>
        </row>
        <row r="782">
          <cell r="A782" t="str">
            <v>1.13.6.1</v>
          </cell>
          <cell r="B782">
            <v>90106</v>
          </cell>
          <cell r="C782" t="str">
            <v>ESCAVAÇÃO MECANIZADA DE VALA COM PROFUNDIDADE ATÉ 1,5 M (MÉDIA MONTANTE E JUSANTE/UMA COMPOSIÇÃO POR TRECHO), RETROESCAV. (0,26 M3), LARGURA DE 0,8 M A 1,5 M, EM SOLO DE 1A CATEGORIA, LOCAIS COM BAIXO NÍVEL DE INTERFERÊNCIA. AF_02/2021</v>
          </cell>
          <cell r="D782" t="str">
            <v>M3</v>
          </cell>
          <cell r="E782">
            <v>251.19</v>
          </cell>
          <cell r="F782">
            <v>8.15</v>
          </cell>
          <cell r="G782">
            <v>10.07</v>
          </cell>
          <cell r="H782">
            <v>2529.48</v>
          </cell>
          <cell r="I782">
            <v>8.5399999999999991</v>
          </cell>
          <cell r="J782">
            <v>10.039999999999999</v>
          </cell>
          <cell r="K782">
            <v>2521.9499999999998</v>
          </cell>
        </row>
        <row r="783">
          <cell r="A783" t="str">
            <v>1.13.6.2</v>
          </cell>
          <cell r="B783">
            <v>90091</v>
          </cell>
          <cell r="C783" t="str">
            <v>ESCAVAÇÃO MECANIZADA DE VALA COM PROF. ATÉ 1,5 M (MÉDIA MONTANTE E JUSANTE/UMA COMPOSIÇÃO POR TRECHO), ESCAVADEIRA (0,8 M3), LARG. DE 1,5 M A 2,5 M, EM SOLO DE 1A CATEGORIA, LOCAIS COM BAIXO NÍVEL DE INTERFERÊNCIA. AF_02/2021</v>
          </cell>
          <cell r="D783" t="str">
            <v>M3</v>
          </cell>
          <cell r="E783">
            <v>509.67</v>
          </cell>
          <cell r="F783">
            <v>6.24</v>
          </cell>
          <cell r="G783">
            <v>7.71</v>
          </cell>
          <cell r="H783">
            <v>3929.56</v>
          </cell>
          <cell r="I783">
            <v>6.48</v>
          </cell>
          <cell r="J783">
            <v>7.62</v>
          </cell>
          <cell r="K783">
            <v>3883.69</v>
          </cell>
        </row>
        <row r="784">
          <cell r="A784" t="str">
            <v>1.13.6.3</v>
          </cell>
          <cell r="B784">
            <v>90105</v>
          </cell>
          <cell r="C784" t="str">
            <v>ESCAVAÇÃO MECANIZADA DE VALA COM PROFUNDIDADE ATÉ 1,5 M (MÉDIA MONTANTE E JUSANTE/UMA COMPOSIÇÃO POR TRECHO), RETROESCAV. (0,26 M3), LARGURA MENOR QUE 0,8 M, EM SOLO DE 1A CATEGORIA, LOCAIS COM BAIXO NÍVEL DE INTERFERÊNCIA. AF_02/2021</v>
          </cell>
          <cell r="D784" t="str">
            <v>M3</v>
          </cell>
          <cell r="E784">
            <v>51.02</v>
          </cell>
          <cell r="F784">
            <v>9.58</v>
          </cell>
          <cell r="G784">
            <v>11.84</v>
          </cell>
          <cell r="H784">
            <v>604.08000000000004</v>
          </cell>
          <cell r="I784">
            <v>10.039999999999999</v>
          </cell>
          <cell r="J784">
            <v>11.8</v>
          </cell>
          <cell r="K784">
            <v>602.04</v>
          </cell>
        </row>
        <row r="785">
          <cell r="A785" t="str">
            <v>1.13.6.4</v>
          </cell>
          <cell r="B785">
            <v>93378</v>
          </cell>
          <cell r="C785" t="str">
            <v>REATERRO MECANIZADO DE VALA COM RETROESCAVADEIRA (CAPACIDADE DA CAÇAMBA DA RETRO: 0,26 M³ / POTÊNCIA: 88 HP), LARGURA ATÉ 0,8 M, PROFUNDIDADE ATÉ 1,5 M, COM SOLO DE 1ª CATEGORIA EM LOCAIS COM BAIXO NÍVEL DE INTERFERÊNCIA. AF_04/2016</v>
          </cell>
          <cell r="D785" t="str">
            <v>M3</v>
          </cell>
          <cell r="E785">
            <v>31.35</v>
          </cell>
          <cell r="F785">
            <v>27.22</v>
          </cell>
          <cell r="G785">
            <v>33.64</v>
          </cell>
          <cell r="H785">
            <v>1054.6099999999999</v>
          </cell>
          <cell r="I785">
            <v>29.29</v>
          </cell>
          <cell r="J785">
            <v>34.44</v>
          </cell>
          <cell r="K785">
            <v>1079.69</v>
          </cell>
        </row>
        <row r="786">
          <cell r="A786" t="str">
            <v>1.13.6.5</v>
          </cell>
          <cell r="B786">
            <v>93379</v>
          </cell>
          <cell r="C786" t="str">
            <v>REATERRO MECANIZADO DE VALA COM RETROESCAVADEIRA (CAPACIDADE DA CAÇAMBA DA RETRO: 0,26 M³ / POTÊNCIA: 88 HP), LARGURA DE 0,8 A 1,5 M, PROFUNDIDADE ATÉ 1,5 M, COM SOLO DE 1ª CATEGORIA EM LOCAIS COM BAIXO NÍVEL DE INTERFERÊNCIA. AF_04/2016</v>
          </cell>
          <cell r="D786" t="str">
            <v>M3</v>
          </cell>
          <cell r="E786">
            <v>116.34</v>
          </cell>
          <cell r="F786">
            <v>21.03</v>
          </cell>
          <cell r="G786">
            <v>25.99</v>
          </cell>
          <cell r="H786">
            <v>3023.68</v>
          </cell>
          <cell r="I786">
            <v>22.62</v>
          </cell>
          <cell r="J786">
            <v>26.59</v>
          </cell>
          <cell r="K786">
            <v>3093.48</v>
          </cell>
        </row>
        <row r="787">
          <cell r="A787" t="str">
            <v>1.13.6.6</v>
          </cell>
          <cell r="B787">
            <v>93367</v>
          </cell>
          <cell r="C787" t="str">
            <v>REATERRO MECANIZADO DE VALA COM ESCAVADEIRA HIDRÁULICA (CAPACIDADE DA CAÇAMBA: 0,8 M³ / POTÊNCIA: 111 HP), LARGURA DE 1,5 A 2,5 M, PROFUNDIDADE ATÉ 1,5 M, COM SOLO DE 1ª CATEGORIA EM LOCAIS COM BAIXO NÍVEL DE INTERFERÊNCIA. AF_04/2016</v>
          </cell>
          <cell r="D787" t="str">
            <v>M3</v>
          </cell>
          <cell r="E787">
            <v>152.9</v>
          </cell>
          <cell r="F787">
            <v>22.53</v>
          </cell>
          <cell r="G787">
            <v>27.84</v>
          </cell>
          <cell r="H787">
            <v>4256.74</v>
          </cell>
          <cell r="I787">
            <v>23.75</v>
          </cell>
          <cell r="J787">
            <v>27.92</v>
          </cell>
          <cell r="K787">
            <v>4268.97</v>
          </cell>
        </row>
        <row r="788">
          <cell r="A788" t="str">
            <v>1.13.6.7</v>
          </cell>
          <cell r="B788" t="str">
            <v>COMP-35145154</v>
          </cell>
          <cell r="C788" t="str">
            <v>CARGA E DESCARGA MECANICA DE SOLO UTILIZANDO CAMINHAO BASCULANTE 14,0M3/36T E PA CARREGADEIRA SOBRE PNEUS 128 HP, CAPACIDADE DA CAÇAMBA 1,7 A 2,8 M3, PESO OPERACIONAL 11632 KH</v>
          </cell>
          <cell r="D788" t="str">
            <v>M3</v>
          </cell>
          <cell r="E788">
            <v>639.11</v>
          </cell>
          <cell r="F788">
            <v>2.83</v>
          </cell>
          <cell r="G788">
            <v>3.5</v>
          </cell>
          <cell r="H788">
            <v>2236.89</v>
          </cell>
          <cell r="I788">
            <v>2.9</v>
          </cell>
          <cell r="J788">
            <v>3.41</v>
          </cell>
          <cell r="K788">
            <v>2179.37</v>
          </cell>
        </row>
        <row r="789">
          <cell r="A789" t="str">
            <v>1.13.6.8</v>
          </cell>
          <cell r="B789">
            <v>95876</v>
          </cell>
          <cell r="C789" t="str">
            <v>TRANSPORTE COM CAMINHÃO BASCULANTE DE 14 M³, EM VIA URBANA PAVIMENTADA, DMT ATÉ 30 KM (UNIDADE: M3XKM). AF_07/2020</v>
          </cell>
          <cell r="D789" t="str">
            <v>M3XKM</v>
          </cell>
          <cell r="E789">
            <v>4282.04</v>
          </cell>
          <cell r="F789">
            <v>2.2400000000000002</v>
          </cell>
          <cell r="G789">
            <v>2.77</v>
          </cell>
          <cell r="H789">
            <v>11861.25</v>
          </cell>
          <cell r="I789">
            <v>2.27</v>
          </cell>
          <cell r="J789">
            <v>2.67</v>
          </cell>
          <cell r="K789">
            <v>11433.05</v>
          </cell>
        </row>
        <row r="790">
          <cell r="A790" t="str">
            <v>1.13.6.9</v>
          </cell>
          <cell r="B790">
            <v>94974</v>
          </cell>
          <cell r="C790" t="str">
            <v>CONCRETO MAGRO PARA LASTRO, TRAÇO 1:4,5:4,5 (EM MASSA SECA DE CIMENTO/ AREIA MÉDIA/ BRITA 1) - PREPARO MANUAL. AF_05/2021</v>
          </cell>
          <cell r="D790" t="str">
            <v>M3</v>
          </cell>
          <cell r="E790">
            <v>58.09</v>
          </cell>
          <cell r="F790">
            <v>423.75</v>
          </cell>
          <cell r="G790">
            <v>523.71</v>
          </cell>
          <cell r="H790">
            <v>30422.31</v>
          </cell>
          <cell r="I790">
            <v>436.13</v>
          </cell>
          <cell r="J790">
            <v>512.76</v>
          </cell>
          <cell r="K790">
            <v>29786.23</v>
          </cell>
        </row>
        <row r="791">
          <cell r="A791" t="str">
            <v>1.13.6.10</v>
          </cell>
          <cell r="B791" t="str">
            <v>COMP-47781585</v>
          </cell>
          <cell r="C791" t="str">
            <v>BOCA DE LOBO SIMPLES COM CHAPÉU E TAMPA DE CONCRETO - BLS 01 (H=1,00m)</v>
          </cell>
          <cell r="D791" t="str">
            <v>UND</v>
          </cell>
          <cell r="E791">
            <v>30</v>
          </cell>
          <cell r="F791">
            <v>1361.5</v>
          </cell>
          <cell r="G791">
            <v>1682.68</v>
          </cell>
          <cell r="H791">
            <v>50480.4</v>
          </cell>
          <cell r="I791">
            <v>1436.65</v>
          </cell>
          <cell r="J791">
            <v>1689.07</v>
          </cell>
          <cell r="K791">
            <v>50672.1</v>
          </cell>
        </row>
        <row r="792">
          <cell r="A792" t="str">
            <v>1.13.6.11</v>
          </cell>
          <cell r="B792" t="str">
            <v>CP-74157/004-48264518</v>
          </cell>
          <cell r="C792" t="str">
            <v>LANCAMENTO/APLICACAO MANUAL DE CONCRETO EM FUNDACOES (concreto magro)</v>
          </cell>
          <cell r="D792" t="str">
            <v>M3</v>
          </cell>
          <cell r="E792">
            <v>136.94</v>
          </cell>
          <cell r="F792">
            <v>116.59</v>
          </cell>
          <cell r="G792">
            <v>144.09</v>
          </cell>
          <cell r="H792">
            <v>19731.68</v>
          </cell>
          <cell r="I792">
            <v>129.79</v>
          </cell>
          <cell r="J792">
            <v>152.59</v>
          </cell>
          <cell r="K792">
            <v>20895.669999999998</v>
          </cell>
        </row>
        <row r="793">
          <cell r="A793" t="str">
            <v>1.13.6.12</v>
          </cell>
          <cell r="B793">
            <v>90747</v>
          </cell>
          <cell r="C793" t="str">
            <v>ASSENTAMENTO DE TUBO DE PEAD CORRUGADO DE DUPLA PAREDE PARA REDE COLETORA DE ESGOTO, DN 600 MM, JUNTA ELÁSTICA INTEGRADA (NÃO INCLUI FORNECIMENTO). AF_01/2021</v>
          </cell>
          <cell r="D793" t="str">
            <v>M</v>
          </cell>
          <cell r="E793">
            <v>185.77</v>
          </cell>
          <cell r="F793">
            <v>17.54</v>
          </cell>
          <cell r="G793">
            <v>21.68</v>
          </cell>
          <cell r="H793">
            <v>4027.49</v>
          </cell>
          <cell r="I793">
            <v>18.55</v>
          </cell>
          <cell r="J793">
            <v>21.81</v>
          </cell>
          <cell r="K793">
            <v>4051.64</v>
          </cell>
        </row>
        <row r="794">
          <cell r="A794" t="str">
            <v>1.13.6.13</v>
          </cell>
          <cell r="B794">
            <v>90746</v>
          </cell>
          <cell r="C794" t="str">
            <v>ASSENTAMENTO DE TUBO DE PEAD CORRUGADO DE DUPLA PAREDE PARA REDE COLETORA DE ESGOTO, DN 450 MM, JUNTA ELÁSTICA INTEGRADA (NÃO INCLUI FORNECIMENTO). AF_01/2021</v>
          </cell>
          <cell r="D794" t="str">
            <v>M</v>
          </cell>
          <cell r="E794">
            <v>123.68</v>
          </cell>
          <cell r="F794">
            <v>3.54</v>
          </cell>
          <cell r="G794">
            <v>4.38</v>
          </cell>
          <cell r="H794">
            <v>541.72</v>
          </cell>
          <cell r="I794">
            <v>3.97</v>
          </cell>
          <cell r="J794">
            <v>4.67</v>
          </cell>
          <cell r="K794">
            <v>577.59</v>
          </cell>
        </row>
        <row r="795">
          <cell r="A795" t="str">
            <v>1.13.6.14</v>
          </cell>
          <cell r="B795">
            <v>92771</v>
          </cell>
          <cell r="C795" t="str">
            <v>ARMAÇÃO DE LAJE DE ESTRUTURA CONVENCIONAL DE CONCRETO ARMADO UTILIZANDO AÇO CA-50 DE 10,0 MM - MONTAGEM. AF_06/2022</v>
          </cell>
          <cell r="D795" t="str">
            <v>KG</v>
          </cell>
          <cell r="E795">
            <v>8530.09</v>
          </cell>
          <cell r="F795">
            <v>15.04</v>
          </cell>
          <cell r="G795">
            <v>18.59</v>
          </cell>
          <cell r="H795">
            <v>158574.37</v>
          </cell>
          <cell r="I795">
            <v>15.14</v>
          </cell>
          <cell r="J795">
            <v>17.8</v>
          </cell>
          <cell r="K795">
            <v>151835.6</v>
          </cell>
        </row>
        <row r="796">
          <cell r="A796" t="str">
            <v>1.13.6.15</v>
          </cell>
          <cell r="B796" t="str">
            <v>CP-92268-29291149</v>
          </cell>
          <cell r="C796" t="str">
            <v>FABRICAÇÃO DE FÔRMA PARA LAJES, EM CHAPA DE MADEIRA COMPENSADA PLASTIFICADA, E = 18 MM - EXCLUINDO O PAINEL DE MADEIRA COMPENSADA PLASTIFICADA DE 2200 x 1100 MM, E = *17* MM</v>
          </cell>
          <cell r="D796" t="str">
            <v>M2</v>
          </cell>
          <cell r="E796">
            <v>333.6</v>
          </cell>
          <cell r="F796">
            <v>0.98</v>
          </cell>
          <cell r="G796">
            <v>1.21</v>
          </cell>
          <cell r="H796">
            <v>403.66</v>
          </cell>
          <cell r="I796">
            <v>1.1000000000000001</v>
          </cell>
          <cell r="J796">
            <v>1.29</v>
          </cell>
          <cell r="K796">
            <v>430.34</v>
          </cell>
        </row>
        <row r="797">
          <cell r="A797" t="str">
            <v>1.13.6.16</v>
          </cell>
          <cell r="B797">
            <v>103320</v>
          </cell>
          <cell r="C797" t="str">
            <v>ALVENARIA DE VEDAÇÃO DE BLOCOS VAZADOS DE CONCRETO DE 19X19X39 CM (ESPESSURA 19 CM) E ARGAMASSA DE ASSENTAMENTO COM PREPARO EM BETONEIRA. AF_12/2021</v>
          </cell>
          <cell r="D797" t="str">
            <v>M2</v>
          </cell>
          <cell r="E797">
            <v>741.34</v>
          </cell>
          <cell r="F797">
            <v>101.36</v>
          </cell>
          <cell r="G797">
            <v>125.27</v>
          </cell>
          <cell r="H797">
            <v>92867.66</v>
          </cell>
          <cell r="I797">
            <v>105.62</v>
          </cell>
          <cell r="J797">
            <v>124.18</v>
          </cell>
          <cell r="K797">
            <v>92059.6</v>
          </cell>
        </row>
        <row r="798">
          <cell r="A798" t="str">
            <v>1.13.6.17</v>
          </cell>
          <cell r="B798">
            <v>87879</v>
          </cell>
          <cell r="C798" t="str">
            <v>CHAPISCO APLICADO EM ALVENARIAS E ESTRUTURAS DE CONCRETO INTERNAS, COM COLHER DE PEDREIRO.  ARGAMASSA TRAÇO 1:3 COM PREPARO EM BETONEIRA 400L. AF_06/2014</v>
          </cell>
          <cell r="D798" t="str">
            <v>M2</v>
          </cell>
          <cell r="E798">
            <v>741.34</v>
          </cell>
          <cell r="F798">
            <v>3.85</v>
          </cell>
          <cell r="G798">
            <v>4.76</v>
          </cell>
          <cell r="H798">
            <v>3528.78</v>
          </cell>
          <cell r="I798">
            <v>4.0999999999999996</v>
          </cell>
          <cell r="J798">
            <v>4.82</v>
          </cell>
          <cell r="K798">
            <v>3573.26</v>
          </cell>
        </row>
        <row r="799">
          <cell r="A799" t="str">
            <v>1.13.6.18</v>
          </cell>
          <cell r="B799">
            <v>87547</v>
          </cell>
          <cell r="C799" t="str">
            <v>MASSA ÚNICA, PARA RECEBIMENTO DE PINTURA, EM ARGAMASSA TRAÇO 1:2:8, PREPARO MECÂNICO COM BETONEIRA 400L, APLICADA MANUALMENTE EM FACES INTERNAS DE PAREDES, ESPESSURA DE 10MM, COM EXECUÇÃO DE TALISCAS. AF_06/2014</v>
          </cell>
          <cell r="D799" t="str">
            <v>M2</v>
          </cell>
          <cell r="E799">
            <v>741.34</v>
          </cell>
          <cell r="F799">
            <v>23.35</v>
          </cell>
          <cell r="G799">
            <v>28.86</v>
          </cell>
          <cell r="H799">
            <v>21395.07</v>
          </cell>
          <cell r="I799">
            <v>24.83</v>
          </cell>
          <cell r="J799">
            <v>29.19</v>
          </cell>
          <cell r="K799">
            <v>21639.71</v>
          </cell>
        </row>
        <row r="800">
          <cell r="A800" t="str">
            <v>1.13.6.19</v>
          </cell>
          <cell r="B800">
            <v>94971</v>
          </cell>
          <cell r="C800" t="str">
            <v>CONCRETO FCK = 25MPA, TRAÇO 1:2,3:2,7 (EM MASSA SECA DE CIMENTO/ AREIA MÉDIA/ BRITA 1) - PREPARO MECÂNICO COM BETONEIRA 600 L. AF_05/2021</v>
          </cell>
          <cell r="D800" t="str">
            <v>M3</v>
          </cell>
          <cell r="E800">
            <v>59.05</v>
          </cell>
          <cell r="F800">
            <v>464.88</v>
          </cell>
          <cell r="G800">
            <v>574.54999999999995</v>
          </cell>
          <cell r="H800">
            <v>33927.18</v>
          </cell>
          <cell r="I800">
            <v>472.74</v>
          </cell>
          <cell r="J800">
            <v>555.79999999999995</v>
          </cell>
          <cell r="K800">
            <v>32819.99</v>
          </cell>
        </row>
        <row r="801">
          <cell r="A801" t="str">
            <v>1.13.6.20</v>
          </cell>
          <cell r="B801">
            <v>94975</v>
          </cell>
          <cell r="C801" t="str">
            <v>CONCRETO FCK = 15MPA, TRAÇO 1:3,4:3,5 (EM MASSA SECA DE CIMENTO/ AREIA MÉDIA/ BRITA 1) - PREPARO MANUAL. AF_05/2021</v>
          </cell>
          <cell r="D801" t="str">
            <v>M3</v>
          </cell>
          <cell r="E801">
            <v>78.849999999999994</v>
          </cell>
          <cell r="F801">
            <v>457.19</v>
          </cell>
          <cell r="G801">
            <v>565.04</v>
          </cell>
          <cell r="H801">
            <v>44553.4</v>
          </cell>
          <cell r="I801">
            <v>469.42</v>
          </cell>
          <cell r="J801">
            <v>551.9</v>
          </cell>
          <cell r="K801">
            <v>43517.32</v>
          </cell>
        </row>
        <row r="802">
          <cell r="A802" t="str">
            <v>1.13.7</v>
          </cell>
          <cell r="C802" t="str">
            <v>SINALIZAÇÃO</v>
          </cell>
          <cell r="H802">
            <v>50933.760000000002</v>
          </cell>
          <cell r="K802">
            <v>49947.05</v>
          </cell>
        </row>
        <row r="803">
          <cell r="A803" t="str">
            <v>1.13.7.1</v>
          </cell>
          <cell r="B803">
            <v>5213416</v>
          </cell>
          <cell r="C803" t="str">
            <v>Confecção de placa em aço nº 16 galvanizado, com película tipo I + I</v>
          </cell>
          <cell r="D803" t="str">
            <v xml:space="preserve">M2    </v>
          </cell>
          <cell r="E803">
            <v>14.4</v>
          </cell>
          <cell r="F803">
            <v>351.9</v>
          </cell>
          <cell r="G803">
            <v>434.91</v>
          </cell>
          <cell r="H803">
            <v>6262.7</v>
          </cell>
          <cell r="I803">
            <v>355.35</v>
          </cell>
          <cell r="J803">
            <v>417.78</v>
          </cell>
          <cell r="K803">
            <v>6016.03</v>
          </cell>
        </row>
        <row r="804">
          <cell r="A804" t="str">
            <v>1.13.7.2</v>
          </cell>
          <cell r="B804">
            <v>5213421</v>
          </cell>
          <cell r="C804" t="str">
            <v>Confecção de placa em aço nº 16 galvanizado, com película tipo I + IV</v>
          </cell>
          <cell r="D804" t="str">
            <v xml:space="preserve">M2    </v>
          </cell>
          <cell r="E804">
            <v>17.399999999999999</v>
          </cell>
          <cell r="F804">
            <v>343.8</v>
          </cell>
          <cell r="G804">
            <v>424.9</v>
          </cell>
          <cell r="H804">
            <v>7393.26</v>
          </cell>
          <cell r="I804">
            <v>347.25</v>
          </cell>
          <cell r="J804">
            <v>408.26</v>
          </cell>
          <cell r="K804">
            <v>7103.72</v>
          </cell>
        </row>
        <row r="805">
          <cell r="A805" t="str">
            <v>1.13.7.3</v>
          </cell>
          <cell r="B805">
            <v>5216111</v>
          </cell>
          <cell r="C805" t="str">
            <v>FORNECIMENTO E IMPLANTAÇÃO DE SUPORTE E TRAVESSA PARA PLACA DE SINALIZAÇÃO EM MADEIRA DE LEI TRATADA 8 X 8 CM</v>
          </cell>
          <cell r="D805" t="str">
            <v>UND</v>
          </cell>
          <cell r="E805">
            <v>66</v>
          </cell>
          <cell r="F805">
            <v>119.1379</v>
          </cell>
          <cell r="G805">
            <v>147.24</v>
          </cell>
          <cell r="H805">
            <v>9717.84</v>
          </cell>
          <cell r="I805">
            <v>121.48</v>
          </cell>
          <cell r="J805">
            <v>142.82</v>
          </cell>
          <cell r="K805">
            <v>9426.1200000000008</v>
          </cell>
        </row>
        <row r="806">
          <cell r="A806" t="str">
            <v>1.13.7.4</v>
          </cell>
          <cell r="B806" t="str">
            <v>COMP-58084869</v>
          </cell>
          <cell r="C806" t="str">
            <v>PLACA ESMALTADA PARA IDENTIFICAÇÃO NR DE RUA, DIMENSÕES 45X25CM</v>
          </cell>
          <cell r="D806" t="str">
            <v>UND</v>
          </cell>
          <cell r="E806">
            <v>18</v>
          </cell>
          <cell r="F806">
            <v>155.54</v>
          </cell>
          <cell r="G806">
            <v>192.23</v>
          </cell>
          <cell r="H806">
            <v>3460.14</v>
          </cell>
          <cell r="I806">
            <v>156.33000000000001</v>
          </cell>
          <cell r="J806">
            <v>183.8</v>
          </cell>
          <cell r="K806">
            <v>3308.4</v>
          </cell>
        </row>
        <row r="807">
          <cell r="A807" t="str">
            <v>1.13.7.5</v>
          </cell>
          <cell r="B807">
            <v>102509</v>
          </cell>
          <cell r="C807" t="str">
            <v>PINTURA DE FAIXA DE PEDESTRE OU ZEBRADA TINTA RETRORREFLETIVA A BASE DE RESINA ACRÍLICA COM MICROESFERAS DE VIDRO, E = 30 CM, APLICAÇÃO MANUAL. AF_05/2021</v>
          </cell>
          <cell r="D807" t="str">
            <v>M2</v>
          </cell>
          <cell r="E807">
            <v>288</v>
          </cell>
          <cell r="F807">
            <v>22.91</v>
          </cell>
          <cell r="G807">
            <v>28.31</v>
          </cell>
          <cell r="H807">
            <v>8153.28</v>
          </cell>
          <cell r="I807">
            <v>24.15</v>
          </cell>
          <cell r="J807">
            <v>28.39</v>
          </cell>
          <cell r="K807">
            <v>8176.32</v>
          </cell>
        </row>
        <row r="808">
          <cell r="A808" t="str">
            <v>1.13.7.6</v>
          </cell>
          <cell r="B808">
            <v>102512</v>
          </cell>
          <cell r="C808" t="str">
            <v>PINTURA DE EIXO VIÁRIO SOBRE ASFALTO COM TINTA RETRORREFLETIVA A BASE DE RESINA ACRÍLICA COM MICROESFERAS DE VIDRO, APLICAÇÃO MECÂNICA COM DEMARCADORA AUTOPROPELIDA. AF_05/2021</v>
          </cell>
          <cell r="D808" t="str">
            <v>M</v>
          </cell>
          <cell r="E808">
            <v>2452.8200000000002</v>
          </cell>
          <cell r="F808">
            <v>5.22</v>
          </cell>
          <cell r="G808">
            <v>6.45</v>
          </cell>
          <cell r="H808">
            <v>15820.69</v>
          </cell>
          <cell r="I808">
            <v>5.48</v>
          </cell>
          <cell r="J808">
            <v>6.44</v>
          </cell>
          <cell r="K808">
            <v>15796.16</v>
          </cell>
        </row>
        <row r="809">
          <cell r="A809" t="str">
            <v>1.13.7.7</v>
          </cell>
          <cell r="B809" t="str">
            <v>CP-72947-21572945</v>
          </cell>
          <cell r="C809" t="str">
            <v>SINALIZACAO HORIZONTAL COM TINTA RETRORREFLETIVA A BASE DE RESINA ACRILICA COM MICROESFERAS DE VIDRO</v>
          </cell>
          <cell r="D809" t="str">
            <v>M2</v>
          </cell>
          <cell r="E809">
            <v>5.04</v>
          </cell>
          <cell r="F809">
            <v>20.2</v>
          </cell>
          <cell r="G809">
            <v>24.97</v>
          </cell>
          <cell r="H809">
            <v>125.85</v>
          </cell>
          <cell r="I809">
            <v>20.3</v>
          </cell>
          <cell r="J809">
            <v>23.87</v>
          </cell>
          <cell r="K809">
            <v>120.3</v>
          </cell>
        </row>
        <row r="810">
          <cell r="A810" t="str">
            <v>1.13.8</v>
          </cell>
          <cell r="C810" t="str">
            <v>ACESSIBILIDADE</v>
          </cell>
          <cell r="H810">
            <v>52004.83</v>
          </cell>
          <cell r="K810">
            <v>51141.38</v>
          </cell>
        </row>
        <row r="811">
          <cell r="A811" t="str">
            <v>1.13.8.1</v>
          </cell>
          <cell r="B811" t="str">
            <v>CP-S12039-81921471</v>
          </cell>
          <cell r="C811" t="str">
            <v>Piso tátil direcional e/ou alerta, de concreto, na cor natural, p/deficientes visuais, dimensões 40x40cm, aplicado com argamassa industrializada ac-ii, rejuntado, exclusive regularização de base</v>
          </cell>
          <cell r="D811" t="str">
            <v>M2</v>
          </cell>
          <cell r="E811">
            <v>387.2</v>
          </cell>
          <cell r="F811">
            <v>108.67</v>
          </cell>
          <cell r="G811">
            <v>134.31</v>
          </cell>
          <cell r="H811">
            <v>52004.83</v>
          </cell>
          <cell r="I811">
            <v>112.34</v>
          </cell>
          <cell r="J811">
            <v>132.08000000000001</v>
          </cell>
          <cell r="K811">
            <v>51141.38</v>
          </cell>
        </row>
        <row r="812">
          <cell r="A812" t="str">
            <v>1.13.9</v>
          </cell>
          <cell r="C812" t="str">
            <v>MATERIAIS</v>
          </cell>
          <cell r="H812">
            <v>1651914.41</v>
          </cell>
          <cell r="K812">
            <v>1574879.15</v>
          </cell>
        </row>
        <row r="813">
          <cell r="A813" t="str">
            <v>1.13.9.1</v>
          </cell>
          <cell r="B813">
            <v>10775</v>
          </cell>
          <cell r="C813" t="str">
            <v xml:space="preserve">LOCACAO DE CONTAINER 2,30 X 6,00 M, ALT. 2,50 M, COM 1 SANITARIO, PARA ESCRITORIO, COMPLETO, SEM DIVISORIAS INTERNAS (NAO INCLUI MOBILIZACAO/DESMOBILIZACAO)                                                                                                                                                                                                                                                                                                                                              </v>
          </cell>
          <cell r="D813" t="str">
            <v xml:space="preserve">MES   </v>
          </cell>
          <cell r="E813">
            <v>12</v>
          </cell>
          <cell r="F813">
            <v>830</v>
          </cell>
          <cell r="G813">
            <v>958.32</v>
          </cell>
          <cell r="H813">
            <v>11499.84</v>
          </cell>
          <cell r="I813">
            <v>830</v>
          </cell>
          <cell r="J813">
            <v>913.58</v>
          </cell>
          <cell r="K813">
            <v>10962.96</v>
          </cell>
        </row>
        <row r="814">
          <cell r="A814" t="str">
            <v>1.13.9.2</v>
          </cell>
          <cell r="B814">
            <v>10776</v>
          </cell>
          <cell r="C814" t="str">
            <v xml:space="preserve">LOCACAO DE CONTAINER 2,30 X 6,00 M, ALT. 2,50 M, PARA ESCRITORIO, SEM DIVISORIAS INTERNAS E SEM SANITARIO (NAO INCLUI MOBILIZACAO/DESMOBILIZACAO)                                                                                                                                                                                                                                                                                                                                                         </v>
          </cell>
          <cell r="D814" t="str">
            <v xml:space="preserve">MES   </v>
          </cell>
          <cell r="E814">
            <v>12</v>
          </cell>
          <cell r="F814">
            <v>648.42999999999995</v>
          </cell>
          <cell r="G814">
            <v>748.68</v>
          </cell>
          <cell r="H814">
            <v>8984.16</v>
          </cell>
          <cell r="I814">
            <v>648.42999999999995</v>
          </cell>
          <cell r="J814">
            <v>713.73</v>
          </cell>
          <cell r="K814">
            <v>8564.76</v>
          </cell>
        </row>
        <row r="815">
          <cell r="A815" t="str">
            <v>1.13.9.3</v>
          </cell>
          <cell r="B815">
            <v>1518</v>
          </cell>
          <cell r="C815" t="str">
            <v xml:space="preserve">CONCRETO BETUMINOSO USINADO A QUENTE (CBUQ) PARA PAVIMENTACAO ASFALTICA, PADRAO DNIT, FAIXA C, COM CAP 50/70 - AQUISICAO POSTO USINA                                                                                                                                                                                                                                                                                                                                                                      </v>
          </cell>
          <cell r="D815" t="str">
            <v xml:space="preserve">T     </v>
          </cell>
          <cell r="E815">
            <v>1464.54</v>
          </cell>
          <cell r="F815">
            <v>522.5</v>
          </cell>
          <cell r="G815">
            <v>603.28</v>
          </cell>
          <cell r="H815">
            <v>883527.69</v>
          </cell>
          <cell r="I815">
            <v>522.5</v>
          </cell>
          <cell r="J815">
            <v>575.12</v>
          </cell>
          <cell r="K815">
            <v>842286.24</v>
          </cell>
        </row>
        <row r="816">
          <cell r="A816" t="str">
            <v>1.13.9.4</v>
          </cell>
          <cell r="B816" t="str">
            <v>M0134</v>
          </cell>
          <cell r="C816" t="str">
            <v>Tubo PEAD corrugado com paredes estruturadas para drenagem - D = 600 mm</v>
          </cell>
          <cell r="D816" t="str">
            <v>M</v>
          </cell>
          <cell r="E816">
            <v>185.77</v>
          </cell>
          <cell r="F816">
            <v>501.47</v>
          </cell>
          <cell r="G816">
            <v>579</v>
          </cell>
          <cell r="H816">
            <v>107560.83</v>
          </cell>
          <cell r="I816">
            <v>501.47</v>
          </cell>
          <cell r="J816">
            <v>551.97</v>
          </cell>
          <cell r="K816">
            <v>102539.47</v>
          </cell>
        </row>
        <row r="817">
          <cell r="A817" t="str">
            <v>1.13.9.5</v>
          </cell>
          <cell r="B817" t="str">
            <v>M0132</v>
          </cell>
          <cell r="C817" t="str">
            <v xml:space="preserve">	Tubo PEAD corrugado com paredes estruturadas para drenagem - D = 450 mm</v>
          </cell>
          <cell r="D817" t="str">
            <v>M</v>
          </cell>
          <cell r="E817">
            <v>123.68</v>
          </cell>
          <cell r="F817">
            <v>227.86</v>
          </cell>
          <cell r="G817">
            <v>263.08999999999997</v>
          </cell>
          <cell r="H817">
            <v>32538.97</v>
          </cell>
          <cell r="I817">
            <v>227.86</v>
          </cell>
          <cell r="J817">
            <v>250.81</v>
          </cell>
          <cell r="K817">
            <v>31020.18</v>
          </cell>
        </row>
        <row r="818">
          <cell r="A818" t="str">
            <v>1.13.9.6</v>
          </cell>
          <cell r="B818" t="str">
            <v>INS-185032</v>
          </cell>
          <cell r="C818" t="str">
            <v>BRITA GRADUADA SIMPLES (BGS)</v>
          </cell>
          <cell r="D818" t="str">
            <v>M3</v>
          </cell>
          <cell r="E818">
            <v>1</v>
          </cell>
          <cell r="F818">
            <v>56.099999999999994</v>
          </cell>
          <cell r="G818">
            <v>64.77</v>
          </cell>
          <cell r="H818">
            <v>64.77</v>
          </cell>
          <cell r="I818">
            <v>56.099999999999994</v>
          </cell>
          <cell r="J818">
            <v>61.75</v>
          </cell>
          <cell r="K818">
            <v>61.75</v>
          </cell>
        </row>
        <row r="819">
          <cell r="A819" t="str">
            <v>1.13.9.7</v>
          </cell>
          <cell r="B819" t="str">
            <v>M0808</v>
          </cell>
          <cell r="C819" t="str">
            <v>Brita 4</v>
          </cell>
          <cell r="D819" t="str">
            <v>M3</v>
          </cell>
          <cell r="E819">
            <v>2768.59</v>
          </cell>
          <cell r="F819">
            <v>90.74</v>
          </cell>
          <cell r="G819">
            <v>104.77</v>
          </cell>
          <cell r="H819">
            <v>290065.17</v>
          </cell>
          <cell r="I819">
            <v>90.74</v>
          </cell>
          <cell r="J819">
            <v>99.88</v>
          </cell>
          <cell r="K819">
            <v>276526.77</v>
          </cell>
        </row>
        <row r="820">
          <cell r="A820" t="str">
            <v>1.13.9.8</v>
          </cell>
          <cell r="B820" t="str">
            <v>M1135</v>
          </cell>
          <cell r="C820" t="str">
            <v>Pó de pedra</v>
          </cell>
          <cell r="D820" t="str">
            <v>M3</v>
          </cell>
          <cell r="E820">
            <v>307.62</v>
          </cell>
          <cell r="F820">
            <v>74.53</v>
          </cell>
          <cell r="G820">
            <v>86.05</v>
          </cell>
          <cell r="H820">
            <v>26470.7</v>
          </cell>
          <cell r="I820">
            <v>74.53</v>
          </cell>
          <cell r="J820">
            <v>82.04</v>
          </cell>
          <cell r="K820">
            <v>25237.14</v>
          </cell>
        </row>
        <row r="821">
          <cell r="A821" t="str">
            <v>1.13.9.9</v>
          </cell>
          <cell r="B821" t="str">
            <v>INS-711371</v>
          </cell>
          <cell r="C821" t="str">
            <v>ASFALTO DILUÍDO CM - 30</v>
          </cell>
          <cell r="D821" t="str">
            <v>KG</v>
          </cell>
          <cell r="E821">
            <v>10233.549999999999</v>
          </cell>
          <cell r="F821">
            <v>5.32</v>
          </cell>
          <cell r="G821">
            <v>6.14</v>
          </cell>
          <cell r="H821">
            <v>62834</v>
          </cell>
          <cell r="I821">
            <v>5.32</v>
          </cell>
          <cell r="J821">
            <v>5.86</v>
          </cell>
          <cell r="K821">
            <v>59968.6</v>
          </cell>
        </row>
        <row r="822">
          <cell r="A822" t="str">
            <v>1.13.9.10</v>
          </cell>
          <cell r="B822">
            <v>34492</v>
          </cell>
          <cell r="C822" t="str">
            <v xml:space="preserve">CONCRETO USINADO BOMBEAVEL, CLASSE DE RESISTENCIA C20, COM BRITA 0 E 1, SLUMP = 100 +/- 20 MM, EXCLUI SERVICO DE BOMBEAMENTO (NBR 8953)                                                                                                                                                                                                                                                                                                                                                                   </v>
          </cell>
          <cell r="D822" t="str">
            <v xml:space="preserve">M3    </v>
          </cell>
          <cell r="E822">
            <v>389.88</v>
          </cell>
          <cell r="F822">
            <v>422.5</v>
          </cell>
          <cell r="G822">
            <v>487.82</v>
          </cell>
          <cell r="H822">
            <v>190191.26</v>
          </cell>
          <cell r="I822">
            <v>422.5</v>
          </cell>
          <cell r="J822">
            <v>465.05</v>
          </cell>
          <cell r="K822">
            <v>181313.69</v>
          </cell>
        </row>
        <row r="823">
          <cell r="A823" t="str">
            <v>1.13.9.11</v>
          </cell>
          <cell r="B823">
            <v>1345</v>
          </cell>
          <cell r="C823" t="str">
            <v xml:space="preserve">CHAPA/PAINEL DE MADEIRA COMPENSADA PLASTIFICADA (MADEIRITE PLASTIFICADO) PARA FORMA DE CONCRETO, DE 2200 x 1100 MM, E = *17* MM                                                                                                                                                                                                                                                                                                                                                                           </v>
          </cell>
          <cell r="D823" t="str">
            <v xml:space="preserve">M2    </v>
          </cell>
          <cell r="E823">
            <v>350.28</v>
          </cell>
          <cell r="F823">
            <v>94.4</v>
          </cell>
          <cell r="G823">
            <v>108.99</v>
          </cell>
          <cell r="H823">
            <v>38177.019999999997</v>
          </cell>
          <cell r="I823">
            <v>94.4</v>
          </cell>
          <cell r="J823">
            <v>103.91</v>
          </cell>
          <cell r="K823">
            <v>36397.589999999997</v>
          </cell>
        </row>
        <row r="824">
          <cell r="A824" t="str">
            <v>1.14</v>
          </cell>
          <cell r="C824" t="str">
            <v>RUA JOSÉ NUNES DA CUNHA - CANDEIAS</v>
          </cell>
          <cell r="H824">
            <v>607011.56999999995</v>
          </cell>
          <cell r="K824">
            <v>591130.46</v>
          </cell>
        </row>
        <row r="825">
          <cell r="A825" t="str">
            <v>1.14.1</v>
          </cell>
          <cell r="C825" t="str">
            <v>INSTALAÇÕES PROVISÓRIAS</v>
          </cell>
          <cell r="H825">
            <v>8115.87</v>
          </cell>
          <cell r="K825">
            <v>7783.05</v>
          </cell>
        </row>
        <row r="826">
          <cell r="A826" t="str">
            <v>1.14.1.1</v>
          </cell>
          <cell r="B826" t="str">
            <v>CP-74209/001-15055090</v>
          </cell>
          <cell r="C826" t="str">
            <v>PLACA DE OBRA EM CHAPA DE ACO GALVANIZADO</v>
          </cell>
          <cell r="D826" t="str">
            <v xml:space="preserve">M2    </v>
          </cell>
          <cell r="E826">
            <v>8</v>
          </cell>
          <cell r="F826">
            <v>558.35</v>
          </cell>
          <cell r="G826">
            <v>690.06</v>
          </cell>
          <cell r="H826">
            <v>5520.48</v>
          </cell>
          <cell r="I826">
            <v>564.99</v>
          </cell>
          <cell r="J826">
            <v>664.26</v>
          </cell>
          <cell r="K826">
            <v>5314.08</v>
          </cell>
        </row>
        <row r="827">
          <cell r="A827" t="str">
            <v>1.14.1.2</v>
          </cell>
          <cell r="B827" t="str">
            <v>COMP-07440249</v>
          </cell>
          <cell r="C827" t="str">
            <v>BANHEIRO QUÍMICO, COM LOCAÇÃO, TRANSPORTE E LIMPEZA</v>
          </cell>
          <cell r="D827" t="str">
            <v>MÊS</v>
          </cell>
          <cell r="E827">
            <v>3</v>
          </cell>
          <cell r="F827">
            <v>700</v>
          </cell>
          <cell r="G827">
            <v>865.13</v>
          </cell>
          <cell r="H827">
            <v>2595.39</v>
          </cell>
          <cell r="I827">
            <v>700</v>
          </cell>
          <cell r="J827">
            <v>822.99</v>
          </cell>
          <cell r="K827">
            <v>2468.9699999999998</v>
          </cell>
        </row>
        <row r="828">
          <cell r="A828" t="str">
            <v>1.14.2</v>
          </cell>
          <cell r="C828" t="str">
            <v>ADMINISTRAÇÃO LOCAL</v>
          </cell>
          <cell r="H828">
            <v>24253.91</v>
          </cell>
          <cell r="K828">
            <v>26597.11</v>
          </cell>
        </row>
        <row r="829">
          <cell r="A829" t="str">
            <v>1.14.2.1</v>
          </cell>
          <cell r="B829">
            <v>93565</v>
          </cell>
          <cell r="C829" t="str">
            <v>ENGENHEIRO CIVIL DE OBRA JUNIOR COM ENCARGOS COMPLEMENTARES</v>
          </cell>
          <cell r="D829" t="str">
            <v>MES</v>
          </cell>
          <cell r="E829">
            <v>0.75</v>
          </cell>
          <cell r="F829">
            <v>14549.96</v>
          </cell>
          <cell r="G829">
            <v>17982.3</v>
          </cell>
          <cell r="H829">
            <v>13486.73</v>
          </cell>
          <cell r="I829">
            <v>16819.14</v>
          </cell>
          <cell r="J829">
            <v>19774.259999999998</v>
          </cell>
          <cell r="K829">
            <v>14830.7</v>
          </cell>
        </row>
        <row r="830">
          <cell r="A830" t="str">
            <v>1.24.2.2</v>
          </cell>
          <cell r="B830">
            <v>93572</v>
          </cell>
          <cell r="C830" t="str">
            <v>ENCARREGADO GERAL DE OBRAS COM ENCARGOS COMPLEMENTARES</v>
          </cell>
          <cell r="D830" t="str">
            <v>MES</v>
          </cell>
          <cell r="E830">
            <v>1.5</v>
          </cell>
          <cell r="F830">
            <v>5808.01</v>
          </cell>
          <cell r="G830">
            <v>7178.12</v>
          </cell>
          <cell r="H830">
            <v>10767.18</v>
          </cell>
          <cell r="I830">
            <v>6672</v>
          </cell>
          <cell r="J830">
            <v>7844.27</v>
          </cell>
          <cell r="K830">
            <v>11766.41</v>
          </cell>
        </row>
        <row r="831">
          <cell r="A831" t="str">
            <v>1.14.3</v>
          </cell>
          <cell r="C831" t="str">
            <v>SERVIÇOS PRELIMINARES</v>
          </cell>
          <cell r="H831">
            <v>24073.31</v>
          </cell>
          <cell r="K831">
            <v>25285</v>
          </cell>
        </row>
        <row r="832">
          <cell r="A832" t="str">
            <v>1.14.3.1</v>
          </cell>
          <cell r="B832">
            <v>99064</v>
          </cell>
          <cell r="C832" t="str">
            <v>LOCAÇÃO DE PAVIMENTAÇÃO. AF_10/2018</v>
          </cell>
          <cell r="D832" t="str">
            <v>M</v>
          </cell>
          <cell r="E832">
            <v>97.68</v>
          </cell>
          <cell r="F832">
            <v>0.43</v>
          </cell>
          <cell r="G832">
            <v>0.53</v>
          </cell>
          <cell r="H832">
            <v>51.77</v>
          </cell>
          <cell r="I832">
            <v>0.49</v>
          </cell>
          <cell r="J832">
            <v>0.57999999999999996</v>
          </cell>
          <cell r="K832">
            <v>56.65</v>
          </cell>
        </row>
        <row r="833">
          <cell r="A833" t="str">
            <v>1.14.3.2</v>
          </cell>
          <cell r="B833" t="str">
            <v>COMP-17562084</v>
          </cell>
          <cell r="C833" t="str">
            <v>DEMOLIÇÃO MANUAL DE CONCRETO SIMPLES</v>
          </cell>
          <cell r="D833" t="str">
            <v>M3</v>
          </cell>
          <cell r="E833">
            <v>88.23</v>
          </cell>
          <cell r="F833">
            <v>190.89</v>
          </cell>
          <cell r="G833">
            <v>235.92</v>
          </cell>
          <cell r="H833">
            <v>20815.22</v>
          </cell>
          <cell r="I833">
            <v>212.24</v>
          </cell>
          <cell r="J833">
            <v>249.53</v>
          </cell>
          <cell r="K833">
            <v>22016.03</v>
          </cell>
        </row>
        <row r="834">
          <cell r="A834" t="str">
            <v>1.14.3.3</v>
          </cell>
          <cell r="B834" t="str">
            <v>COMP-01471766</v>
          </cell>
          <cell r="C834" t="str">
            <v>DEMOLIÇÃO DE MEIO-FIO</v>
          </cell>
          <cell r="D834" t="str">
            <v>M</v>
          </cell>
          <cell r="E834">
            <v>101.6</v>
          </cell>
          <cell r="F834">
            <v>10.02</v>
          </cell>
          <cell r="G834">
            <v>12.38</v>
          </cell>
          <cell r="H834">
            <v>1257.81</v>
          </cell>
          <cell r="I834">
            <v>11.13</v>
          </cell>
          <cell r="J834">
            <v>13.09</v>
          </cell>
          <cell r="K834">
            <v>1329.94</v>
          </cell>
        </row>
        <row r="835">
          <cell r="A835" t="str">
            <v>1.14.3.4</v>
          </cell>
          <cell r="B835" t="str">
            <v>COMP-35145154</v>
          </cell>
          <cell r="C835" t="str">
            <v>CARGA E DESCARGA MECANICA DE SOLO UTILIZANDO CAMINHAO BASCULANTE 14,0M3/36T E PA CARREGADEIRA SOBRE PNEUS 128 HP, CAPACIDADE DA CAÇAMBA 1,7 A 2,8 M3, PESO OPERACIONAL 11632 KH</v>
          </cell>
          <cell r="D835" t="str">
            <v>M3</v>
          </cell>
          <cell r="E835">
            <v>116.01</v>
          </cell>
          <cell r="F835">
            <v>2.83</v>
          </cell>
          <cell r="G835">
            <v>3.5</v>
          </cell>
          <cell r="H835">
            <v>406.04</v>
          </cell>
          <cell r="I835">
            <v>2.9</v>
          </cell>
          <cell r="J835">
            <v>3.41</v>
          </cell>
          <cell r="K835">
            <v>395.59</v>
          </cell>
        </row>
        <row r="836">
          <cell r="A836" t="str">
            <v>1.14.3.5</v>
          </cell>
          <cell r="B836">
            <v>95876</v>
          </cell>
          <cell r="C836" t="str">
            <v>TRANSPORTE COM CAMINHÃO BASCULANTE DE 14 M³, EM VIA URBANA PAVIMENTADA, DMT ATÉ 30 KM (UNIDADE: M3XKM). AF_07/2020</v>
          </cell>
          <cell r="D836" t="str">
            <v>M3XKM</v>
          </cell>
          <cell r="E836">
            <v>556.85</v>
          </cell>
          <cell r="F836">
            <v>2.2400000000000002</v>
          </cell>
          <cell r="G836">
            <v>2.77</v>
          </cell>
          <cell r="H836">
            <v>1542.47</v>
          </cell>
          <cell r="I836">
            <v>2.27</v>
          </cell>
          <cell r="J836">
            <v>2.67</v>
          </cell>
          <cell r="K836">
            <v>1486.79</v>
          </cell>
        </row>
        <row r="837">
          <cell r="A837" t="str">
            <v>1.14.4</v>
          </cell>
          <cell r="C837" t="str">
            <v>TERRAPLENAGEM</v>
          </cell>
          <cell r="H837">
            <v>7739.82</v>
          </cell>
          <cell r="K837">
            <v>7482.46</v>
          </cell>
        </row>
        <row r="838">
          <cell r="A838" t="str">
            <v>1.14.4.1</v>
          </cell>
          <cell r="B838" t="str">
            <v>CP-74205/001-17324935</v>
          </cell>
          <cell r="C838" t="str">
            <v>ESCAVAÇÃO MECÂNICA DE MATERIAL 1A. CATEGORIA, PROVENIENTE DE CORTE DE SUBLEITO (C/TRATOR ESTEIRAS  160HP)</v>
          </cell>
          <cell r="D838" t="str">
            <v>M3</v>
          </cell>
          <cell r="E838">
            <v>320.69</v>
          </cell>
          <cell r="F838">
            <v>2.54</v>
          </cell>
          <cell r="G838">
            <v>3.14</v>
          </cell>
          <cell r="H838">
            <v>1006.97</v>
          </cell>
          <cell r="I838">
            <v>2.59</v>
          </cell>
          <cell r="J838">
            <v>3.05</v>
          </cell>
          <cell r="K838">
            <v>978.1</v>
          </cell>
        </row>
        <row r="839">
          <cell r="A839" t="str">
            <v>1.14.4.2</v>
          </cell>
          <cell r="B839" t="str">
            <v>COMP-35145154</v>
          </cell>
          <cell r="C839" t="str">
            <v>CARGA E DESCARGA MECANICA DE SOLO UTILIZANDO CAMINHAO BASCULANTE 14,0M3/36T E PA CARREGADEIRA SOBRE PNEUS 128 HP, CAPACIDADE DA CAÇAMBA 1,7 A 2,8 M3, PESO OPERACIONAL 11632 KH</v>
          </cell>
          <cell r="D839" t="str">
            <v>M3</v>
          </cell>
          <cell r="E839">
            <v>400.86</v>
          </cell>
          <cell r="F839">
            <v>2.83</v>
          </cell>
          <cell r="G839">
            <v>3.5</v>
          </cell>
          <cell r="H839">
            <v>1403.01</v>
          </cell>
          <cell r="I839">
            <v>2.9</v>
          </cell>
          <cell r="J839">
            <v>3.41</v>
          </cell>
          <cell r="K839">
            <v>1366.93</v>
          </cell>
        </row>
        <row r="840">
          <cell r="A840" t="str">
            <v>1.14.4.3</v>
          </cell>
          <cell r="B840">
            <v>95876</v>
          </cell>
          <cell r="C840" t="str">
            <v>TRANSPORTE COM CAMINHÃO BASCULANTE DE 14 M³, EM VIA URBANA PAVIMENTADA, DMT ATÉ 30 KM (UNIDADE: M3XKM). AF_07/2020</v>
          </cell>
          <cell r="D840" t="str">
            <v>M3XKM</v>
          </cell>
          <cell r="E840">
            <v>1924.13</v>
          </cell>
          <cell r="F840">
            <v>2.2400000000000002</v>
          </cell>
          <cell r="G840">
            <v>2.77</v>
          </cell>
          <cell r="H840">
            <v>5329.84</v>
          </cell>
          <cell r="I840">
            <v>2.27</v>
          </cell>
          <cell r="J840">
            <v>2.67</v>
          </cell>
          <cell r="K840">
            <v>5137.43</v>
          </cell>
        </row>
        <row r="841">
          <cell r="A841" t="str">
            <v>1.14.5</v>
          </cell>
          <cell r="C841" t="str">
            <v>PAVIMENTAÇÃO</v>
          </cell>
          <cell r="H841">
            <v>166613.38</v>
          </cell>
          <cell r="K841">
            <v>164648.63</v>
          </cell>
        </row>
        <row r="842">
          <cell r="A842" t="str">
            <v>1.14.5.1</v>
          </cell>
          <cell r="B842">
            <v>96001</v>
          </cell>
          <cell r="C842" t="str">
            <v>FRESAGEM DE PAVIMENTO ASFÁLTICO (PROFUNDIDADE ATÉ 5,0 CM) - EXCLUSIVE TRANSPORTE. AF_11/2019</v>
          </cell>
          <cell r="D842" t="str">
            <v>M2</v>
          </cell>
          <cell r="E842">
            <v>1690</v>
          </cell>
          <cell r="F842">
            <v>8.16</v>
          </cell>
          <cell r="G842">
            <v>10.08</v>
          </cell>
          <cell r="H842">
            <v>17035.2</v>
          </cell>
          <cell r="I842">
            <v>8.2899999999999991</v>
          </cell>
          <cell r="J842">
            <v>9.75</v>
          </cell>
          <cell r="K842">
            <v>16477.5</v>
          </cell>
        </row>
        <row r="843">
          <cell r="A843" t="str">
            <v>1.14.5.2</v>
          </cell>
          <cell r="B843">
            <v>100983</v>
          </cell>
          <cell r="C843" t="str">
            <v>CARGA, MANOBRA E DESCARGA DE ENTULHO EM CAMINHÃO BASCULANTE 14 M³ - CARGA COM ESCAVADEIRA HIDRÁULICA  (CAÇAMBA DE 0,80 M³ / 111 HP) E DESCARGA LIVRE (UNIDADE: M3). AF_07/2020</v>
          </cell>
          <cell r="D843" t="str">
            <v>M3</v>
          </cell>
          <cell r="E843">
            <v>84.5</v>
          </cell>
          <cell r="F843">
            <v>9.31</v>
          </cell>
          <cell r="G843">
            <v>11.51</v>
          </cell>
          <cell r="H843">
            <v>972.6</v>
          </cell>
          <cell r="I843">
            <v>9.49</v>
          </cell>
          <cell r="J843">
            <v>11.16</v>
          </cell>
          <cell r="K843">
            <v>943.02</v>
          </cell>
        </row>
        <row r="844">
          <cell r="A844" t="str">
            <v>1.14.5.3</v>
          </cell>
          <cell r="B844">
            <v>95876</v>
          </cell>
          <cell r="C844" t="str">
            <v>TRANSPORTE COM CAMINHÃO BASCULANTE DE 14 M³, EM VIA URBANA PAVIMENTADA, DMT ATÉ 30 KM (UNIDADE: M3XKM). AF_07/2020</v>
          </cell>
          <cell r="D844" t="str">
            <v>M3XKM</v>
          </cell>
          <cell r="E844">
            <v>405.6</v>
          </cell>
          <cell r="F844">
            <v>2.2400000000000002</v>
          </cell>
          <cell r="G844">
            <v>2.77</v>
          </cell>
          <cell r="H844">
            <v>1123.51</v>
          </cell>
          <cell r="I844">
            <v>2.27</v>
          </cell>
          <cell r="J844">
            <v>2.67</v>
          </cell>
          <cell r="K844">
            <v>1082.95</v>
          </cell>
        </row>
        <row r="845">
          <cell r="A845" t="str">
            <v>1.14.5.4</v>
          </cell>
          <cell r="B845">
            <v>96402</v>
          </cell>
          <cell r="C845" t="str">
            <v>EXECUÇÃO DE PINTURA DE LIGAÇÃO COM EMULSÃO ASFÁLTICA RR-2C. AF_11/2019</v>
          </cell>
          <cell r="D845" t="str">
            <v>M2</v>
          </cell>
          <cell r="E845">
            <v>2901.34</v>
          </cell>
          <cell r="F845">
            <v>2.88</v>
          </cell>
          <cell r="G845">
            <v>3.56</v>
          </cell>
          <cell r="H845">
            <v>10328.77</v>
          </cell>
          <cell r="I845">
            <v>2.93</v>
          </cell>
          <cell r="J845">
            <v>3.44</v>
          </cell>
          <cell r="K845">
            <v>9980.61</v>
          </cell>
        </row>
        <row r="846">
          <cell r="A846" t="str">
            <v>1.14.5.5</v>
          </cell>
          <cell r="B846" t="str">
            <v>CP-96401-52745838</v>
          </cell>
          <cell r="C846" t="str">
            <v>EXECUÇÃO DE IMPRIMAÇÃO COM ASFALTO DILUÍDO CM-30, EXCLUSIVE MATERIAL.</v>
          </cell>
          <cell r="D846" t="str">
            <v>M2</v>
          </cell>
          <cell r="E846">
            <v>586.44000000000005</v>
          </cell>
          <cell r="F846">
            <v>1.18</v>
          </cell>
          <cell r="G846">
            <v>1.46</v>
          </cell>
          <cell r="H846">
            <v>856.2</v>
          </cell>
          <cell r="I846">
            <v>1.24</v>
          </cell>
          <cell r="J846">
            <v>1.46</v>
          </cell>
          <cell r="K846">
            <v>856.2</v>
          </cell>
        </row>
        <row r="847">
          <cell r="A847" t="str">
            <v>1.14.5.6</v>
          </cell>
          <cell r="B847" t="str">
            <v>CP-95995-51339760</v>
          </cell>
          <cell r="C847" t="str">
            <v>EXECUÇÃO DE PAVIMENTO COM APLICAÇÃO DE CONCRETO ASFÁLTICO, CAMADA DE ROLAMENTO - EXCLUSIVE CARGA E TRANSPORTE E CONCRETO BETUMINOSO</v>
          </cell>
          <cell r="D847" t="str">
            <v>M3</v>
          </cell>
          <cell r="E847">
            <v>174.39</v>
          </cell>
          <cell r="F847">
            <v>127.58</v>
          </cell>
          <cell r="G847">
            <v>157.68</v>
          </cell>
          <cell r="H847">
            <v>27497.82</v>
          </cell>
          <cell r="I847">
            <v>133.37</v>
          </cell>
          <cell r="J847">
            <v>156.80000000000001</v>
          </cell>
          <cell r="K847">
            <v>27344.35</v>
          </cell>
        </row>
        <row r="848">
          <cell r="A848" t="str">
            <v>1.14.5.7</v>
          </cell>
          <cell r="B848" t="str">
            <v>COMP-10034101</v>
          </cell>
          <cell r="C848" t="str">
            <v>CARGA, MANOBRAS E DESCARGA DE MISTURA BETUMINOSA A QUENTE, COM CAMINHAO BASCULANTE 6 M3, DESCARGA EM VIBRO-ACABADORA</v>
          </cell>
          <cell r="D848" t="str">
            <v>M3</v>
          </cell>
          <cell r="E848">
            <v>174.39</v>
          </cell>
          <cell r="F848">
            <v>7.74</v>
          </cell>
          <cell r="G848">
            <v>9.57</v>
          </cell>
          <cell r="H848">
            <v>1668.91</v>
          </cell>
          <cell r="I848">
            <v>7.86</v>
          </cell>
          <cell r="J848">
            <v>9.24</v>
          </cell>
          <cell r="K848">
            <v>1611.36</v>
          </cell>
        </row>
        <row r="849">
          <cell r="A849" t="str">
            <v>1.14.5.8</v>
          </cell>
          <cell r="B849" t="str">
            <v>CP-95303-56931542</v>
          </cell>
          <cell r="C849" t="str">
            <v>TRANSPORTE COM CAMINHÃO BASCULANTE 10 M3 DE MASSA ASFALTICA PARA PAVIMENTAÇÃO URBANA</v>
          </cell>
          <cell r="D849" t="str">
            <v>M3XKM</v>
          </cell>
          <cell r="E849">
            <v>3104.14</v>
          </cell>
          <cell r="F849">
            <v>1.75</v>
          </cell>
          <cell r="G849">
            <v>2.16</v>
          </cell>
          <cell r="H849">
            <v>6704.94</v>
          </cell>
          <cell r="I849">
            <v>1.77</v>
          </cell>
          <cell r="J849">
            <v>2.08</v>
          </cell>
          <cell r="K849">
            <v>6456.61</v>
          </cell>
        </row>
        <row r="850">
          <cell r="A850" t="str">
            <v>1.14.5.9</v>
          </cell>
          <cell r="B850">
            <v>100576</v>
          </cell>
          <cell r="C850" t="str">
            <v>REGULARIZAÇÃO E COMPACTAÇÃO DE SUBLEITO DE SOLO  PREDOMINANTEMENTE ARGILOSO. AF_11/2019</v>
          </cell>
          <cell r="D850" t="str">
            <v>M2</v>
          </cell>
          <cell r="E850">
            <v>683.76</v>
          </cell>
          <cell r="F850">
            <v>2.64</v>
          </cell>
          <cell r="G850">
            <v>3.26</v>
          </cell>
          <cell r="H850">
            <v>2229.06</v>
          </cell>
          <cell r="I850">
            <v>2.79</v>
          </cell>
          <cell r="J850">
            <v>3.28</v>
          </cell>
          <cell r="K850">
            <v>2242.73</v>
          </cell>
        </row>
        <row r="851">
          <cell r="A851" t="str">
            <v>1.14.5.10</v>
          </cell>
          <cell r="B851" t="str">
            <v>COMP-28881239</v>
          </cell>
          <cell r="C851" t="str">
            <v>Base ou sub-base de macadame hidráulico com brita comercial - EXCLUSIVE MATERIAL, CARGA E TRANSPORTE - NÃO DESONERADO</v>
          </cell>
          <cell r="D851" t="str">
            <v>M3</v>
          </cell>
          <cell r="E851">
            <v>102.56</v>
          </cell>
          <cell r="F851">
            <v>11.24</v>
          </cell>
          <cell r="G851">
            <v>13.89</v>
          </cell>
          <cell r="H851">
            <v>1424.56</v>
          </cell>
          <cell r="I851">
            <v>11.4</v>
          </cell>
          <cell r="J851">
            <v>13.4</v>
          </cell>
          <cell r="K851">
            <v>1374.3</v>
          </cell>
        </row>
        <row r="852">
          <cell r="A852" t="str">
            <v>1.14.5.11</v>
          </cell>
          <cell r="B852" t="str">
            <v>CP-96396-26507981</v>
          </cell>
          <cell r="C852" t="str">
            <v>EXECUÇÃO E COMPACTAÇÃO DE BASE E OU SUB BASE PARA PAVIMENTAÇÃO DE BRITA GRADUADA SIMPLES - EXCLUSIVE MATERIAL, CARGA E TRANSPORTE</v>
          </cell>
          <cell r="D852" t="str">
            <v>M3</v>
          </cell>
          <cell r="E852">
            <v>117.22</v>
          </cell>
          <cell r="F852">
            <v>13.86</v>
          </cell>
          <cell r="G852">
            <v>17.13</v>
          </cell>
          <cell r="H852">
            <v>2007.98</v>
          </cell>
          <cell r="I852">
            <v>14.44</v>
          </cell>
          <cell r="J852">
            <v>16.98</v>
          </cell>
          <cell r="K852">
            <v>1990.4</v>
          </cell>
        </row>
        <row r="853">
          <cell r="A853" t="str">
            <v>1.14.5.12</v>
          </cell>
          <cell r="B853" t="str">
            <v>COMP-35145154</v>
          </cell>
          <cell r="C853" t="str">
            <v>CARGA E DESCARGA MECANICA DE SOLO UTILIZANDO CAMINHAO BASCULANTE 14,0M3/36T E PA CARREGADEIRA SOBRE PNEUS 128 HP, CAPACIDADE DA CAÇAMBA 1,7 A 2,8 M3, PESO OPERACIONAL 11632 KH</v>
          </cell>
          <cell r="D853" t="str">
            <v>M3</v>
          </cell>
          <cell r="E853">
            <v>274.73</v>
          </cell>
          <cell r="F853">
            <v>2.83</v>
          </cell>
          <cell r="G853">
            <v>3.5</v>
          </cell>
          <cell r="H853">
            <v>961.56</v>
          </cell>
          <cell r="I853">
            <v>2.9</v>
          </cell>
          <cell r="J853">
            <v>3.41</v>
          </cell>
          <cell r="K853">
            <v>936.83</v>
          </cell>
        </row>
        <row r="854">
          <cell r="A854" t="str">
            <v>1.14.5.13</v>
          </cell>
          <cell r="B854" t="str">
            <v>COMP-83526730</v>
          </cell>
          <cell r="C854" t="str">
            <v>TRANSPORTE COMERCIAL DE BRITA</v>
          </cell>
          <cell r="D854" t="str">
            <v>M3XKM</v>
          </cell>
          <cell r="E854">
            <v>3131.92</v>
          </cell>
          <cell r="F854">
            <v>1.36</v>
          </cell>
          <cell r="G854">
            <v>1.68</v>
          </cell>
          <cell r="H854">
            <v>5261.63</v>
          </cell>
          <cell r="I854">
            <v>1.37</v>
          </cell>
          <cell r="J854">
            <v>1.61</v>
          </cell>
          <cell r="K854">
            <v>5042.3900000000003</v>
          </cell>
        </row>
        <row r="855">
          <cell r="A855" t="str">
            <v>1.14.5.14</v>
          </cell>
          <cell r="B855" t="str">
            <v>CP-97084-89637704</v>
          </cell>
          <cell r="C855" t="str">
            <v>REGULARIZACAO E COMPACTAÇÃO MANUAL DE TERRENO COM PLACA VIBRATÓRIA</v>
          </cell>
          <cell r="D855" t="str">
            <v>M2</v>
          </cell>
          <cell r="E855">
            <v>1335.98</v>
          </cell>
          <cell r="F855">
            <v>0.59</v>
          </cell>
          <cell r="G855">
            <v>0.73</v>
          </cell>
          <cell r="H855">
            <v>975.27</v>
          </cell>
          <cell r="I855">
            <v>0.65</v>
          </cell>
          <cell r="J855">
            <v>0.76</v>
          </cell>
          <cell r="K855">
            <v>1015.34</v>
          </cell>
        </row>
        <row r="856">
          <cell r="A856" t="str">
            <v>1.14.5.15</v>
          </cell>
          <cell r="B856" t="str">
            <v>CP-94991-12549457</v>
          </cell>
          <cell r="C856" t="str">
            <v>EXECUÇÃO DE PASSEIO (CALÇADA) OU PISO DE CONCRETO COM CONCRETO MOLDADO IN LOCO, USINADO, ACABAMENTO CONVENCIONAL, NÃO ARMADO - EXCLUINDO O CONCRETO USINADO 20MPA</v>
          </cell>
          <cell r="D856" t="str">
            <v>M3</v>
          </cell>
          <cell r="E856">
            <v>91.66</v>
          </cell>
          <cell r="F856">
            <v>104.6</v>
          </cell>
          <cell r="G856">
            <v>129.28</v>
          </cell>
          <cell r="H856">
            <v>11849.8</v>
          </cell>
          <cell r="I856">
            <v>112.75</v>
          </cell>
          <cell r="J856">
            <v>132.56</v>
          </cell>
          <cell r="K856">
            <v>12150.45</v>
          </cell>
        </row>
        <row r="857">
          <cell r="A857" t="str">
            <v>1.14.5.16</v>
          </cell>
          <cell r="B857">
            <v>94273</v>
          </cell>
          <cell r="C857" t="str">
            <v>ASSENTAMENTO DE GUIA (MEIO-FIO) EM TRECHO RETO, CONFECCIONADA EM CONCRETO PRÉ-FABRICADO, DIMENSÕES 100X15X13X30 CM (COMPRIMENTO X BASE INFERIOR X BASE SUPERIOR X ALTURA), PARA VIAS URBANAS (USO VIÁRIO). AF_06/2016</v>
          </cell>
          <cell r="D857" t="str">
            <v>M</v>
          </cell>
          <cell r="E857">
            <v>623.99</v>
          </cell>
          <cell r="F857">
            <v>54.61</v>
          </cell>
          <cell r="G857">
            <v>67.489999999999995</v>
          </cell>
          <cell r="H857">
            <v>42113.09</v>
          </cell>
          <cell r="I857">
            <v>56.47</v>
          </cell>
          <cell r="J857">
            <v>66.39</v>
          </cell>
          <cell r="K857">
            <v>41426.699999999997</v>
          </cell>
        </row>
        <row r="858">
          <cell r="A858" t="str">
            <v>1.14.5.17</v>
          </cell>
          <cell r="B858">
            <v>94274</v>
          </cell>
          <cell r="C858" t="str">
            <v>ASSENTAMENTO DE GUIA (MEIO-FIO) EM TRECHO CURVO, CONFECCIONADA EM CONCRETO PRÉ-FABRICADO, DIMENSÕES 100X15X13X30 CM (COMPRIMENTO X BASE INFERIOR X BASE SUPERIOR X ALTURA), PARA VIAS URBANAS (USO VIÁRIO). AF_06/2016</v>
          </cell>
          <cell r="D858" t="str">
            <v>M</v>
          </cell>
          <cell r="E858">
            <v>34.86</v>
          </cell>
          <cell r="F858">
            <v>58.17</v>
          </cell>
          <cell r="G858">
            <v>71.89</v>
          </cell>
          <cell r="H858">
            <v>2506.09</v>
          </cell>
          <cell r="I858">
            <v>60.43</v>
          </cell>
          <cell r="J858">
            <v>71.05</v>
          </cell>
          <cell r="K858">
            <v>2476.8000000000002</v>
          </cell>
        </row>
        <row r="859">
          <cell r="A859" t="str">
            <v>1.14.5.18</v>
          </cell>
          <cell r="B859">
            <v>94287</v>
          </cell>
          <cell r="C859" t="str">
            <v>EXECUÇÃO DE SARJETA DE CONCRETO USINADO, MOLDADA  IN LOCO  EM TRECHO RETO, 30 CM BASE X 10 CM ALTURA. AF_06/2016</v>
          </cell>
          <cell r="D859" t="str">
            <v>M</v>
          </cell>
          <cell r="E859">
            <v>623.99</v>
          </cell>
          <cell r="F859">
            <v>37.69</v>
          </cell>
          <cell r="G859">
            <v>46.58</v>
          </cell>
          <cell r="H859">
            <v>29065.45</v>
          </cell>
          <cell r="I859">
            <v>39.770000000000003</v>
          </cell>
          <cell r="J859">
            <v>46.76</v>
          </cell>
          <cell r="K859">
            <v>29177.77</v>
          </cell>
        </row>
        <row r="860">
          <cell r="A860" t="str">
            <v>1.14.5.19</v>
          </cell>
          <cell r="B860">
            <v>94288</v>
          </cell>
          <cell r="C860" t="str">
            <v>EXECUÇÃO DE SARJETA DE CONCRETO USINADO, MOLDADA  IN LOCO  EM TRECHO CURVO, 30 CM BASE X 10 CM ALTURA. AF_06/2016</v>
          </cell>
          <cell r="D860" t="str">
            <v>M</v>
          </cell>
          <cell r="E860">
            <v>34.86</v>
          </cell>
          <cell r="F860">
            <v>47.14</v>
          </cell>
          <cell r="G860">
            <v>58.26</v>
          </cell>
          <cell r="H860">
            <v>2030.94</v>
          </cell>
          <cell r="I860">
            <v>50.32</v>
          </cell>
          <cell r="J860">
            <v>59.16</v>
          </cell>
          <cell r="K860">
            <v>2062.3200000000002</v>
          </cell>
        </row>
        <row r="861">
          <cell r="A861" t="str">
            <v>1.14.6</v>
          </cell>
          <cell r="C861" t="str">
            <v>SINALIZAÇÃO</v>
          </cell>
          <cell r="H861">
            <v>17002.25</v>
          </cell>
          <cell r="K861">
            <v>16776.330000000002</v>
          </cell>
        </row>
        <row r="862">
          <cell r="A862" t="str">
            <v>1.14.6.1</v>
          </cell>
          <cell r="B862">
            <v>5213416</v>
          </cell>
          <cell r="C862" t="str">
            <v>Confecção de placa em aço nº 16 galvanizado, com película tipo I + I</v>
          </cell>
          <cell r="D862" t="str">
            <v xml:space="preserve">M2    </v>
          </cell>
          <cell r="E862">
            <v>0.6</v>
          </cell>
          <cell r="F862">
            <v>351.9</v>
          </cell>
          <cell r="G862">
            <v>434.91</v>
          </cell>
          <cell r="H862">
            <v>260.95</v>
          </cell>
          <cell r="I862">
            <v>355.35</v>
          </cell>
          <cell r="J862">
            <v>417.78</v>
          </cell>
          <cell r="K862">
            <v>250.67</v>
          </cell>
        </row>
        <row r="863">
          <cell r="A863" t="str">
            <v>1.14.6.2</v>
          </cell>
          <cell r="B863">
            <v>5213421</v>
          </cell>
          <cell r="C863" t="str">
            <v>Confecção de placa em aço nº 16 galvanizado, com película tipo I + IV</v>
          </cell>
          <cell r="D863" t="str">
            <v xml:space="preserve">M2    </v>
          </cell>
          <cell r="E863">
            <v>6.53</v>
          </cell>
          <cell r="F863">
            <v>343.8</v>
          </cell>
          <cell r="G863">
            <v>424.9</v>
          </cell>
          <cell r="H863">
            <v>2774.6</v>
          </cell>
          <cell r="I863">
            <v>347.25</v>
          </cell>
          <cell r="J863">
            <v>408.26</v>
          </cell>
          <cell r="K863">
            <v>2665.94</v>
          </cell>
        </row>
        <row r="864">
          <cell r="A864" t="str">
            <v>1.14.6.3</v>
          </cell>
          <cell r="B864">
            <v>5216111</v>
          </cell>
          <cell r="C864" t="str">
            <v>FORNECIMENTO E IMPLANTAÇÃO DE SUPORTE E TRAVESSA PARA PLACA DE SINALIZAÇÃO EM MADEIRA DE LEI TRATADA 8 X 8 CM</v>
          </cell>
          <cell r="D864" t="str">
            <v>UND</v>
          </cell>
          <cell r="E864">
            <v>12</v>
          </cell>
          <cell r="F864">
            <v>119.1379</v>
          </cell>
          <cell r="G864">
            <v>147.24</v>
          </cell>
          <cell r="H864">
            <v>1766.88</v>
          </cell>
          <cell r="I864">
            <v>121.48</v>
          </cell>
          <cell r="J864">
            <v>142.82</v>
          </cell>
          <cell r="K864">
            <v>1713.84</v>
          </cell>
        </row>
        <row r="865">
          <cell r="A865" t="str">
            <v>1.14.6.4</v>
          </cell>
          <cell r="B865" t="str">
            <v>COMP-58084869</v>
          </cell>
          <cell r="C865" t="str">
            <v>PLACA ESMALTADA PARA IDENTIFICAÇÃO NR DE RUA, DIMENSÕES 45X25CM</v>
          </cell>
          <cell r="D865" t="str">
            <v>UND</v>
          </cell>
          <cell r="E865">
            <v>6</v>
          </cell>
          <cell r="F865">
            <v>155.54</v>
          </cell>
          <cell r="G865">
            <v>192.23</v>
          </cell>
          <cell r="H865">
            <v>1153.3800000000001</v>
          </cell>
          <cell r="I865">
            <v>156.33000000000001</v>
          </cell>
          <cell r="J865">
            <v>183.8</v>
          </cell>
          <cell r="K865">
            <v>1102.8</v>
          </cell>
        </row>
        <row r="866">
          <cell r="A866" t="str">
            <v>1.14.6.5</v>
          </cell>
          <cell r="B866">
            <v>102509</v>
          </cell>
          <cell r="C866" t="str">
            <v>PINTURA DE FAIXA DE PEDESTRE OU ZEBRADA TINTA RETRORREFLETIVA A BASE DE RESINA ACRÍLICA COM MICROESFERAS DE VIDRO, E = 30 CM, APLICAÇÃO MANUAL. AF_05/2021</v>
          </cell>
          <cell r="D866" t="str">
            <v>M2</v>
          </cell>
          <cell r="E866">
            <v>111.18</v>
          </cell>
          <cell r="F866">
            <v>22.91</v>
          </cell>
          <cell r="G866">
            <v>28.31</v>
          </cell>
          <cell r="H866">
            <v>3147.51</v>
          </cell>
          <cell r="I866">
            <v>24.15</v>
          </cell>
          <cell r="J866">
            <v>28.39</v>
          </cell>
          <cell r="K866">
            <v>3156.4</v>
          </cell>
        </row>
        <row r="867">
          <cell r="A867" t="str">
            <v>1.14.6.6</v>
          </cell>
          <cell r="B867">
            <v>102512</v>
          </cell>
          <cell r="C867" t="str">
            <v>PINTURA DE EIXO VIÁRIO SOBRE ASFALTO COM TINTA RETRORREFLETIVA A BASE DE RESINA ACRÍLICA COM MICROESFERAS DE VIDRO, APLICAÇÃO MECÂNICA COM DEMARCADORA AUTOPROPELIDA. AF_05/2021</v>
          </cell>
          <cell r="D867" t="str">
            <v>M</v>
          </cell>
          <cell r="E867">
            <v>1224.6400000000001</v>
          </cell>
          <cell r="F867">
            <v>5.22</v>
          </cell>
          <cell r="G867">
            <v>6.45</v>
          </cell>
          <cell r="H867">
            <v>7898.93</v>
          </cell>
          <cell r="I867">
            <v>5.48</v>
          </cell>
          <cell r="J867">
            <v>6.44</v>
          </cell>
          <cell r="K867">
            <v>7886.68</v>
          </cell>
        </row>
        <row r="868">
          <cell r="A868" t="str">
            <v>1.14.7</v>
          </cell>
          <cell r="C868" t="str">
            <v>ACESSIBILIDADE</v>
          </cell>
          <cell r="H868">
            <v>3559.22</v>
          </cell>
          <cell r="K868">
            <v>3500.12</v>
          </cell>
        </row>
        <row r="869">
          <cell r="A869" t="str">
            <v>1.14.7.1</v>
          </cell>
          <cell r="B869" t="str">
            <v>CP-S12039-81921471</v>
          </cell>
          <cell r="C869" t="str">
            <v>Piso tátil direcional e/ou alerta, de concreto, na cor natural, p/deficientes visuais, dimensões 40x40cm, aplicado com argamassa industrializada ac-ii, rejuntado, exclusive regularização de base</v>
          </cell>
          <cell r="D869" t="str">
            <v>M2</v>
          </cell>
          <cell r="E869">
            <v>26.5</v>
          </cell>
          <cell r="F869">
            <v>108.67</v>
          </cell>
          <cell r="G869">
            <v>134.31</v>
          </cell>
          <cell r="H869">
            <v>3559.22</v>
          </cell>
          <cell r="I869">
            <v>112.34</v>
          </cell>
          <cell r="J869">
            <v>132.08000000000001</v>
          </cell>
          <cell r="K869">
            <v>3500.12</v>
          </cell>
        </row>
        <row r="870">
          <cell r="A870" t="str">
            <v>1.14.8</v>
          </cell>
          <cell r="C870" t="str">
            <v>MATERIAIS</v>
          </cell>
          <cell r="H870">
            <v>355653.81</v>
          </cell>
          <cell r="K870">
            <v>339057.76</v>
          </cell>
        </row>
        <row r="871">
          <cell r="A871" t="str">
            <v>1.14.8.1</v>
          </cell>
          <cell r="B871">
            <v>10775</v>
          </cell>
          <cell r="C871" t="str">
            <v xml:space="preserve">LOCACAO DE CONTAINER 2,30 X 6,00 M, ALT. 2,50 M, COM 1 SANITARIO, PARA ESCRITORIO, COMPLETO, SEM DIVISORIAS INTERNAS (NAO INCLUI MOBILIZACAO/DESMOBILIZACAO)                                                                                                                                                                                                                                                                                                                                              </v>
          </cell>
          <cell r="D871" t="str">
            <v xml:space="preserve">MES   </v>
          </cell>
          <cell r="E871">
            <v>3</v>
          </cell>
          <cell r="F871">
            <v>830</v>
          </cell>
          <cell r="G871">
            <v>958.32</v>
          </cell>
          <cell r="H871">
            <v>2874.96</v>
          </cell>
          <cell r="I871">
            <v>830</v>
          </cell>
          <cell r="J871">
            <v>913.58</v>
          </cell>
          <cell r="K871">
            <v>2740.74</v>
          </cell>
        </row>
        <row r="872">
          <cell r="A872" t="str">
            <v>1.14.8.2</v>
          </cell>
          <cell r="B872">
            <v>10776</v>
          </cell>
          <cell r="C872" t="str">
            <v xml:space="preserve">LOCACAO DE CONTAINER 2,30 X 6,00 M, ALT. 2,50 M, PARA ESCRITORIO, SEM DIVISORIAS INTERNAS E SEM SANITARIO (NAO INCLUI MOBILIZACAO/DESMOBILIZACAO)                                                                                                                                                                                                                                                                                                                                                         </v>
          </cell>
          <cell r="D872" t="str">
            <v xml:space="preserve">MES   </v>
          </cell>
          <cell r="E872">
            <v>3</v>
          </cell>
          <cell r="F872">
            <v>648.42999999999995</v>
          </cell>
          <cell r="G872">
            <v>748.68</v>
          </cell>
          <cell r="H872">
            <v>2246.04</v>
          </cell>
          <cell r="I872">
            <v>648.42999999999995</v>
          </cell>
          <cell r="J872">
            <v>713.73</v>
          </cell>
          <cell r="K872">
            <v>2141.19</v>
          </cell>
        </row>
        <row r="873">
          <cell r="A873" t="str">
            <v>1.14.8.3</v>
          </cell>
          <cell r="B873">
            <v>1518</v>
          </cell>
          <cell r="C873" t="str">
            <v xml:space="preserve">CONCRETO BETUMINOSO USINADO A QUENTE (CBUQ) PARA PAVIMENTACAO ASFALTICA, PADRAO DNIT, FAIXA C, COM CAP 50/70 - AQUISICAO POSTO USINA                                                                                                                                                                                                                                                                                                                                                                      </v>
          </cell>
          <cell r="D873" t="str">
            <v xml:space="preserve">T     </v>
          </cell>
          <cell r="E873">
            <v>445.53</v>
          </cell>
          <cell r="F873">
            <v>522.5</v>
          </cell>
          <cell r="G873">
            <v>603.28</v>
          </cell>
          <cell r="H873">
            <v>268779.34000000003</v>
          </cell>
          <cell r="I873">
            <v>522.5</v>
          </cell>
          <cell r="J873">
            <v>575.12</v>
          </cell>
          <cell r="K873">
            <v>256233.21</v>
          </cell>
        </row>
        <row r="874">
          <cell r="A874" t="str">
            <v>1.14.8.4</v>
          </cell>
          <cell r="B874" t="str">
            <v>INS-185032</v>
          </cell>
          <cell r="C874" t="str">
            <v>BRITA GRADUADA SIMPLES (BGS)</v>
          </cell>
          <cell r="D874" t="str">
            <v>M3</v>
          </cell>
          <cell r="E874">
            <v>117.22</v>
          </cell>
          <cell r="F874">
            <v>56.099999999999994</v>
          </cell>
          <cell r="G874">
            <v>64.77</v>
          </cell>
          <cell r="H874">
            <v>7592.34</v>
          </cell>
          <cell r="I874">
            <v>56.099999999999994</v>
          </cell>
          <cell r="J874">
            <v>61.75</v>
          </cell>
          <cell r="K874">
            <v>7238.34</v>
          </cell>
        </row>
        <row r="875">
          <cell r="A875" t="str">
            <v>1.14.8.5</v>
          </cell>
          <cell r="B875" t="str">
            <v>M0808</v>
          </cell>
          <cell r="C875" t="str">
            <v>Brita 4</v>
          </cell>
          <cell r="D875" t="str">
            <v>M3</v>
          </cell>
          <cell r="E875">
            <v>129.22999999999999</v>
          </cell>
          <cell r="F875">
            <v>90.74</v>
          </cell>
          <cell r="G875">
            <v>104.77</v>
          </cell>
          <cell r="H875">
            <v>13539.43</v>
          </cell>
          <cell r="I875">
            <v>90.74</v>
          </cell>
          <cell r="J875">
            <v>99.88</v>
          </cell>
          <cell r="K875">
            <v>12907.49</v>
          </cell>
        </row>
        <row r="876">
          <cell r="A876" t="str">
            <v>1.14.8.6</v>
          </cell>
          <cell r="B876" t="str">
            <v>M1135</v>
          </cell>
          <cell r="C876" t="str">
            <v>Pó de pedra</v>
          </cell>
          <cell r="D876" t="str">
            <v>M3</v>
          </cell>
          <cell r="E876">
            <v>14.36</v>
          </cell>
          <cell r="F876">
            <v>74.53</v>
          </cell>
          <cell r="G876">
            <v>86.05</v>
          </cell>
          <cell r="H876">
            <v>1235.68</v>
          </cell>
          <cell r="I876">
            <v>74.53</v>
          </cell>
          <cell r="J876">
            <v>82.04</v>
          </cell>
          <cell r="K876">
            <v>1178.0899999999999</v>
          </cell>
        </row>
        <row r="877">
          <cell r="A877" t="str">
            <v>1.14.8.7</v>
          </cell>
          <cell r="B877" t="str">
            <v>INS-711371</v>
          </cell>
          <cell r="C877" t="str">
            <v>ASFALTO DILUÍDO CM - 30</v>
          </cell>
          <cell r="D877" t="str">
            <v>KG</v>
          </cell>
          <cell r="E877">
            <v>703.73</v>
          </cell>
          <cell r="F877">
            <v>5.32</v>
          </cell>
          <cell r="G877">
            <v>6.14</v>
          </cell>
          <cell r="H877">
            <v>4320.8999999999996</v>
          </cell>
          <cell r="I877">
            <v>5.32</v>
          </cell>
          <cell r="J877">
            <v>5.86</v>
          </cell>
          <cell r="K877">
            <v>4123.8599999999997</v>
          </cell>
        </row>
        <row r="878">
          <cell r="A878" t="str">
            <v>1.14.8.8</v>
          </cell>
          <cell r="B878">
            <v>34492</v>
          </cell>
          <cell r="C878" t="str">
            <v xml:space="preserve">CONCRETO USINADO BOMBEAVEL, CLASSE DE RESISTENCIA C20, COM BRITA 0 E 1, SLUMP = 100 +/- 20 MM, EXCLUI SERVICO DE BOMBEAMENTO (NBR 8953)                                                                                                                                                                                                                                                                                                                                                                   </v>
          </cell>
          <cell r="D878" t="str">
            <v xml:space="preserve">M3    </v>
          </cell>
          <cell r="E878">
            <v>112.88</v>
          </cell>
          <cell r="F878">
            <v>422.5</v>
          </cell>
          <cell r="G878">
            <v>487.82</v>
          </cell>
          <cell r="H878">
            <v>55065.120000000003</v>
          </cell>
          <cell r="I878">
            <v>422.5</v>
          </cell>
          <cell r="J878">
            <v>465.05</v>
          </cell>
          <cell r="K878">
            <v>52494.84</v>
          </cell>
        </row>
        <row r="879">
          <cell r="A879" t="str">
            <v>1.15</v>
          </cell>
          <cell r="C879" t="str">
            <v>RUA PARAGOMINAS - PRAZERES</v>
          </cell>
          <cell r="H879">
            <v>1841765.31</v>
          </cell>
          <cell r="K879">
            <v>1803638.77</v>
          </cell>
        </row>
        <row r="880">
          <cell r="A880" t="str">
            <v>1.15.1</v>
          </cell>
          <cell r="C880" t="str">
            <v>INSTALAÇÕES PROVISÓRIAS</v>
          </cell>
          <cell r="H880">
            <v>14171.78</v>
          </cell>
          <cell r="K880">
            <v>13543.98</v>
          </cell>
        </row>
        <row r="881">
          <cell r="A881" t="str">
            <v>1.15.1.1</v>
          </cell>
          <cell r="B881" t="str">
            <v>CP-74209/001-15055090</v>
          </cell>
          <cell r="C881" t="str">
            <v>PLACA DE OBRA EM CHAPA DE ACO GALVANIZADO</v>
          </cell>
          <cell r="D881" t="str">
            <v xml:space="preserve">M2    </v>
          </cell>
          <cell r="E881">
            <v>8</v>
          </cell>
          <cell r="F881">
            <v>558.35</v>
          </cell>
          <cell r="G881">
            <v>690.06</v>
          </cell>
          <cell r="H881">
            <v>5520.48</v>
          </cell>
          <cell r="I881">
            <v>564.99</v>
          </cell>
          <cell r="J881">
            <v>664.26</v>
          </cell>
          <cell r="K881">
            <v>5314.08</v>
          </cell>
        </row>
        <row r="882">
          <cell r="A882" t="str">
            <v>1.15.1.2</v>
          </cell>
          <cell r="B882" t="str">
            <v>COMP-07440249</v>
          </cell>
          <cell r="C882" t="str">
            <v>BANHEIRO QUÍMICO, COM LOCAÇÃO, TRANSPORTE E LIMPEZA</v>
          </cell>
          <cell r="D882" t="str">
            <v>MÊS</v>
          </cell>
          <cell r="E882">
            <v>10</v>
          </cell>
          <cell r="F882">
            <v>700</v>
          </cell>
          <cell r="G882">
            <v>865.13</v>
          </cell>
          <cell r="H882">
            <v>8651.2999999999993</v>
          </cell>
          <cell r="I882">
            <v>700</v>
          </cell>
          <cell r="J882">
            <v>822.99</v>
          </cell>
          <cell r="K882">
            <v>8229.9</v>
          </cell>
        </row>
        <row r="883">
          <cell r="A883" t="str">
            <v>1.15.2</v>
          </cell>
          <cell r="C883" t="str">
            <v>ADMINISTRAÇÃO LOCAL</v>
          </cell>
          <cell r="H883">
            <v>58368.480000000003</v>
          </cell>
          <cell r="K883">
            <v>63939.18</v>
          </cell>
        </row>
        <row r="884">
          <cell r="A884" t="str">
            <v>1.15.2.1</v>
          </cell>
          <cell r="B884">
            <v>93565</v>
          </cell>
          <cell r="C884" t="str">
            <v>ENGENHEIRO CIVIL DE OBRA JUNIOR COM ENCARGOS COMPLEMENTARES</v>
          </cell>
          <cell r="D884" t="str">
            <v>MES</v>
          </cell>
          <cell r="E884">
            <v>1.25</v>
          </cell>
          <cell r="F884">
            <v>14549.96</v>
          </cell>
          <cell r="G884">
            <v>17982.3</v>
          </cell>
          <cell r="H884">
            <v>22477.88</v>
          </cell>
          <cell r="I884">
            <v>16819.14</v>
          </cell>
          <cell r="J884">
            <v>19774.259999999998</v>
          </cell>
          <cell r="K884">
            <v>24717.83</v>
          </cell>
        </row>
        <row r="885">
          <cell r="A885" t="str">
            <v>1.15.2.2</v>
          </cell>
          <cell r="B885">
            <v>93572</v>
          </cell>
          <cell r="C885" t="str">
            <v>ENCARREGADO GERAL DE OBRAS COM ENCARGOS COMPLEMENTARES</v>
          </cell>
          <cell r="D885" t="str">
            <v>MES</v>
          </cell>
          <cell r="E885">
            <v>5</v>
          </cell>
          <cell r="F885">
            <v>5808.01</v>
          </cell>
          <cell r="G885">
            <v>7178.12</v>
          </cell>
          <cell r="H885">
            <v>35890.6</v>
          </cell>
          <cell r="I885">
            <v>6672</v>
          </cell>
          <cell r="J885">
            <v>7844.27</v>
          </cell>
          <cell r="K885">
            <v>39221.35</v>
          </cell>
        </row>
        <row r="886">
          <cell r="A886" t="str">
            <v>1.15.3</v>
          </cell>
          <cell r="C886" t="str">
            <v>SERVIÇOS PRELIMINARES</v>
          </cell>
          <cell r="H886">
            <v>518.5</v>
          </cell>
          <cell r="K886">
            <v>567.41999999999996</v>
          </cell>
        </row>
        <row r="887">
          <cell r="A887" t="str">
            <v>1.15.3.1</v>
          </cell>
          <cell r="B887">
            <v>99064</v>
          </cell>
          <cell r="C887" t="str">
            <v>LOCAÇÃO DE PAVIMENTAÇÃO. AF_10/2018</v>
          </cell>
          <cell r="D887" t="str">
            <v>M</v>
          </cell>
          <cell r="E887">
            <v>978.31</v>
          </cell>
          <cell r="F887">
            <v>0.43</v>
          </cell>
          <cell r="G887">
            <v>0.53</v>
          </cell>
          <cell r="H887">
            <v>518.5</v>
          </cell>
          <cell r="I887">
            <v>0.49</v>
          </cell>
          <cell r="J887">
            <v>0.57999999999999996</v>
          </cell>
          <cell r="K887">
            <v>567.41999999999996</v>
          </cell>
        </row>
        <row r="888">
          <cell r="A888" t="str">
            <v>1.15.4</v>
          </cell>
          <cell r="C888" t="str">
            <v>TERRAPLENAGEM</v>
          </cell>
          <cell r="H888">
            <v>121716.61</v>
          </cell>
          <cell r="K888">
            <v>117553.49</v>
          </cell>
        </row>
        <row r="889">
          <cell r="A889" t="str">
            <v>1.15.4.1</v>
          </cell>
          <cell r="B889" t="str">
            <v>CP-74205/001-17324935</v>
          </cell>
          <cell r="C889" t="str">
            <v>ESCAVAÇÃO MECÂNICA DE MATERIAL 1A. CATEGORIA, PROVENIENTE DE CORTE DE SUBLEITO (C/TRATOR ESTEIRAS  160HP)</v>
          </cell>
          <cell r="D889" t="str">
            <v>M3</v>
          </cell>
          <cell r="E889">
            <v>3357.35</v>
          </cell>
          <cell r="F889">
            <v>2.54</v>
          </cell>
          <cell r="G889">
            <v>3.14</v>
          </cell>
          <cell r="H889">
            <v>10542.08</v>
          </cell>
          <cell r="I889">
            <v>2.59</v>
          </cell>
          <cell r="J889">
            <v>3.05</v>
          </cell>
          <cell r="K889">
            <v>10239.92</v>
          </cell>
        </row>
        <row r="890">
          <cell r="A890" t="str">
            <v>1.15.4.2</v>
          </cell>
          <cell r="B890" t="str">
            <v>COMP-35145154</v>
          </cell>
          <cell r="C890" t="str">
            <v>CARGA E DESCARGA MECANICA DE SOLO UTILIZANDO CAMINHAO BASCULANTE 14,0M3/36T E PA CARREGADEIRA SOBRE PNEUS 128 HP, CAPACIDADE DA CAÇAMBA 1,7 A 2,8 M3, PESO OPERACIONAL 11632 KH</v>
          </cell>
          <cell r="D890" t="str">
            <v>M3</v>
          </cell>
          <cell r="E890">
            <v>4196.6899999999996</v>
          </cell>
          <cell r="F890">
            <v>2.83</v>
          </cell>
          <cell r="G890">
            <v>3.5</v>
          </cell>
          <cell r="H890">
            <v>14688.42</v>
          </cell>
          <cell r="I890">
            <v>2.9</v>
          </cell>
          <cell r="J890">
            <v>3.41</v>
          </cell>
          <cell r="K890">
            <v>14310.71</v>
          </cell>
        </row>
        <row r="891">
          <cell r="A891" t="str">
            <v>1.15.4.3</v>
          </cell>
          <cell r="B891">
            <v>95876</v>
          </cell>
          <cell r="C891" t="str">
            <v>TRANSPORTE COM CAMINHÃO BASCULANTE DE 14 M³, EM VIA URBANA PAVIMENTADA, DMT ATÉ 30 KM (UNIDADE: M3XKM). AF_07/2020</v>
          </cell>
          <cell r="D891" t="str">
            <v>M3XKM</v>
          </cell>
          <cell r="E891">
            <v>34832.53</v>
          </cell>
          <cell r="F891">
            <v>2.2400000000000002</v>
          </cell>
          <cell r="G891">
            <v>2.77</v>
          </cell>
          <cell r="H891">
            <v>96486.11</v>
          </cell>
          <cell r="I891">
            <v>2.27</v>
          </cell>
          <cell r="J891">
            <v>2.67</v>
          </cell>
          <cell r="K891">
            <v>93002.86</v>
          </cell>
        </row>
        <row r="892">
          <cell r="A892" t="str">
            <v>1.15.5</v>
          </cell>
          <cell r="C892" t="str">
            <v>PAVIMENTAÇÃO</v>
          </cell>
          <cell r="H892">
            <v>319678.81</v>
          </cell>
          <cell r="K892">
            <v>316250.15000000002</v>
          </cell>
        </row>
        <row r="893">
          <cell r="A893" t="str">
            <v>1.15.5.1</v>
          </cell>
          <cell r="B893">
            <v>100576</v>
          </cell>
          <cell r="C893" t="str">
            <v>REGULARIZAÇÃO E COMPACTAÇÃO DE SUBLEITO DE SOLO  PREDOMINANTEMENTE ARGILOSO. AF_11/2019</v>
          </cell>
          <cell r="D893" t="str">
            <v>M2</v>
          </cell>
          <cell r="E893">
            <v>5380.71</v>
          </cell>
          <cell r="F893">
            <v>2.64</v>
          </cell>
          <cell r="G893">
            <v>3.26</v>
          </cell>
          <cell r="H893">
            <v>17541.11</v>
          </cell>
          <cell r="I893">
            <v>2.79</v>
          </cell>
          <cell r="J893">
            <v>3.28</v>
          </cell>
          <cell r="K893">
            <v>17648.73</v>
          </cell>
        </row>
        <row r="894">
          <cell r="A894" t="str">
            <v>1.15.5.2</v>
          </cell>
          <cell r="B894" t="str">
            <v>COMP-28881239</v>
          </cell>
          <cell r="C894" t="str">
            <v>Base ou sub-base de macadame hidráulico com brita comercial - EXCLUSIVE MATERIAL, CARGA E TRANSPORTE - NÃO DESONERADO</v>
          </cell>
          <cell r="D894" t="str">
            <v>M3</v>
          </cell>
          <cell r="E894">
            <v>660.36</v>
          </cell>
          <cell r="F894">
            <v>11.24</v>
          </cell>
          <cell r="G894">
            <v>13.89</v>
          </cell>
          <cell r="H894">
            <v>9172.4</v>
          </cell>
          <cell r="I894">
            <v>11.4</v>
          </cell>
          <cell r="J894">
            <v>13.4</v>
          </cell>
          <cell r="K894">
            <v>8848.82</v>
          </cell>
        </row>
        <row r="895">
          <cell r="A895" t="str">
            <v>1.15.5.3</v>
          </cell>
          <cell r="B895" t="str">
            <v>CP-96396-26507981</v>
          </cell>
          <cell r="C895" t="str">
            <v>EXECUÇÃO E COMPACTAÇÃO DE BASE E OU SUB BASE PARA PAVIMENTAÇÃO DE BRITA GRADUADA SIMPLES - EXCLUSIVE MATERIAL, CARGA E TRANSPORTE</v>
          </cell>
          <cell r="D895" t="str">
            <v>M3</v>
          </cell>
          <cell r="E895">
            <v>880.48</v>
          </cell>
          <cell r="F895">
            <v>13.86</v>
          </cell>
          <cell r="G895">
            <v>17.13</v>
          </cell>
          <cell r="H895">
            <v>15082.62</v>
          </cell>
          <cell r="I895">
            <v>14.44</v>
          </cell>
          <cell r="J895">
            <v>16.98</v>
          </cell>
          <cell r="K895">
            <v>14950.55</v>
          </cell>
        </row>
        <row r="896">
          <cell r="A896" t="str">
            <v>1.15.5.4</v>
          </cell>
          <cell r="B896" t="str">
            <v>COMP-35145154</v>
          </cell>
          <cell r="C896" t="str">
            <v>CARGA E DESCARGA MECANICA DE SOLO UTILIZANDO CAMINHAO BASCULANTE 14,0M3/36T E PA CARREGADEIRA SOBRE PNEUS 128 HP, CAPACIDADE DA CAÇAMBA 1,7 A 2,8 M3, PESO OPERACIONAL 11632 KH</v>
          </cell>
          <cell r="D896" t="str">
            <v>M3</v>
          </cell>
          <cell r="E896">
            <v>1926.05</v>
          </cell>
          <cell r="F896">
            <v>2.83</v>
          </cell>
          <cell r="G896">
            <v>3.5</v>
          </cell>
          <cell r="H896">
            <v>6741.18</v>
          </cell>
          <cell r="I896">
            <v>2.9</v>
          </cell>
          <cell r="J896">
            <v>3.41</v>
          </cell>
          <cell r="K896">
            <v>6567.83</v>
          </cell>
        </row>
        <row r="897">
          <cell r="A897" t="str">
            <v>1.15.5.5</v>
          </cell>
          <cell r="B897" t="str">
            <v>COMP-83526730</v>
          </cell>
          <cell r="C897" t="str">
            <v>TRANSPORTE COMERCIAL DE BRITA</v>
          </cell>
          <cell r="D897" t="str">
            <v>M3XKM</v>
          </cell>
          <cell r="E897">
            <v>16178.82</v>
          </cell>
          <cell r="F897">
            <v>1.36</v>
          </cell>
          <cell r="G897">
            <v>1.68</v>
          </cell>
          <cell r="H897">
            <v>27180.42</v>
          </cell>
          <cell r="I897">
            <v>1.37</v>
          </cell>
          <cell r="J897">
            <v>1.61</v>
          </cell>
          <cell r="K897">
            <v>26047.9</v>
          </cell>
        </row>
        <row r="898">
          <cell r="A898" t="str">
            <v>1.15.5.6</v>
          </cell>
          <cell r="B898" t="str">
            <v>CP-96401-52745838</v>
          </cell>
          <cell r="C898" t="str">
            <v>EXECUÇÃO DE IMPRIMAÇÃO COM ASFALTO DILUÍDO CM-30, EXCLUSIVE MATERIAL.</v>
          </cell>
          <cell r="D898" t="str">
            <v>M2</v>
          </cell>
          <cell r="E898">
            <v>3958.6</v>
          </cell>
          <cell r="F898">
            <v>1.18</v>
          </cell>
          <cell r="G898">
            <v>1.46</v>
          </cell>
          <cell r="H898">
            <v>5779.56</v>
          </cell>
          <cell r="I898">
            <v>1.24</v>
          </cell>
          <cell r="J898">
            <v>1.46</v>
          </cell>
          <cell r="K898">
            <v>5779.56</v>
          </cell>
        </row>
        <row r="899">
          <cell r="A899" t="str">
            <v>1.15.5.7</v>
          </cell>
          <cell r="B899" t="str">
            <v>CP-95995-51339760</v>
          </cell>
          <cell r="C899" t="str">
            <v>EXECUÇÃO DE PAVIMENTO COM APLICAÇÃO DE CONCRETO ASFÁLTICO, CAMADA DE ROLAMENTO - EXCLUSIVE CARGA E TRANSPORTE E CONCRETO BETUMINOSO</v>
          </cell>
          <cell r="D899" t="str">
            <v>M3</v>
          </cell>
          <cell r="E899">
            <v>197.93</v>
          </cell>
          <cell r="F899">
            <v>127.58</v>
          </cell>
          <cell r="G899">
            <v>157.68</v>
          </cell>
          <cell r="H899">
            <v>31209.599999999999</v>
          </cell>
          <cell r="I899">
            <v>133.37</v>
          </cell>
          <cell r="J899">
            <v>156.80000000000001</v>
          </cell>
          <cell r="K899">
            <v>31035.42</v>
          </cell>
        </row>
        <row r="900">
          <cell r="A900" t="str">
            <v>1.15.5.8</v>
          </cell>
          <cell r="B900" t="str">
            <v>COMP-10034101</v>
          </cell>
          <cell r="C900" t="str">
            <v>CARGA, MANOBRAS E DESCARGA DE MISTURA BETUMINOSA A QUENTE, COM CAMINHAO BASCULANTE 6 M3, DESCARGA EM VIBRO-ACABADORA</v>
          </cell>
          <cell r="D900" t="str">
            <v>M3</v>
          </cell>
          <cell r="E900">
            <v>197.93</v>
          </cell>
          <cell r="F900">
            <v>7.74</v>
          </cell>
          <cell r="G900">
            <v>9.57</v>
          </cell>
          <cell r="H900">
            <v>1894.19</v>
          </cell>
          <cell r="I900">
            <v>7.86</v>
          </cell>
          <cell r="J900">
            <v>9.24</v>
          </cell>
          <cell r="K900">
            <v>1828.87</v>
          </cell>
        </row>
        <row r="901">
          <cell r="A901" t="str">
            <v>1.15.5.9</v>
          </cell>
          <cell r="B901" t="str">
            <v>CP-95303-56931542</v>
          </cell>
          <cell r="C901" t="str">
            <v>TRANSPORTE COM CAMINHÃO BASCULANTE 10 M3 DE MASSA ASFALTICA PARA PAVIMENTAÇÃO URBANA</v>
          </cell>
          <cell r="D901" t="str">
            <v>M3XKM</v>
          </cell>
          <cell r="E901">
            <v>3740.88</v>
          </cell>
          <cell r="F901">
            <v>1.75</v>
          </cell>
          <cell r="G901">
            <v>2.16</v>
          </cell>
          <cell r="H901">
            <v>8080.3</v>
          </cell>
          <cell r="I901">
            <v>1.77</v>
          </cell>
          <cell r="J901">
            <v>2.08</v>
          </cell>
          <cell r="K901">
            <v>7781.03</v>
          </cell>
        </row>
        <row r="902">
          <cell r="A902" t="str">
            <v>1.15.5.10</v>
          </cell>
          <cell r="B902" t="str">
            <v>CP-97084-89637704</v>
          </cell>
          <cell r="C902" t="str">
            <v>REGULARIZACAO E COMPACTAÇÃO MANUAL DE TERRENO COM PLACA VIBRATÓRIA</v>
          </cell>
          <cell r="D902" t="str">
            <v>M2</v>
          </cell>
          <cell r="E902">
            <v>3729.52</v>
          </cell>
          <cell r="F902">
            <v>0.59</v>
          </cell>
          <cell r="G902">
            <v>0.73</v>
          </cell>
          <cell r="H902">
            <v>2722.55</v>
          </cell>
          <cell r="I902">
            <v>0.65</v>
          </cell>
          <cell r="J902">
            <v>0.76</v>
          </cell>
          <cell r="K902">
            <v>2834.44</v>
          </cell>
        </row>
        <row r="903">
          <cell r="A903" t="str">
            <v>1.15.5.11</v>
          </cell>
          <cell r="B903" t="str">
            <v>CP-94991-12549457</v>
          </cell>
          <cell r="C903" t="str">
            <v>EXECUÇÃO DE PASSEIO (CALÇADA) OU PISO DE CONCRETO COM CONCRETO MOLDADO IN LOCO, USINADO, ACABAMENTO CONVENCIONAL, NÃO ARMADO - EXCLUINDO O CONCRETO USINADO 20MPA</v>
          </cell>
          <cell r="D903" t="str">
            <v>M3</v>
          </cell>
          <cell r="E903">
            <v>254.52</v>
          </cell>
          <cell r="F903">
            <v>104.6</v>
          </cell>
          <cell r="G903">
            <v>129.28</v>
          </cell>
          <cell r="H903">
            <v>32904.35</v>
          </cell>
          <cell r="I903">
            <v>112.75</v>
          </cell>
          <cell r="J903">
            <v>132.56</v>
          </cell>
          <cell r="K903">
            <v>33739.17</v>
          </cell>
        </row>
        <row r="904">
          <cell r="A904" t="str">
            <v>1.15.5.12</v>
          </cell>
          <cell r="B904">
            <v>94273</v>
          </cell>
          <cell r="C904" t="str">
            <v>ASSENTAMENTO DE GUIA (MEIO-FIO) EM TRECHO RETO, CONFECCIONADA EM CONCRETO PRÉ-FABRICADO, DIMENSÕES 100X15X13X30 CM (COMPRIMENTO X BASE INFERIOR X BASE SUPERIOR X ALTURA), PARA VIAS URBANAS (USO VIÁRIO). AF_06/2016</v>
          </cell>
          <cell r="D904" t="str">
            <v>M</v>
          </cell>
          <cell r="E904">
            <v>2002.55</v>
          </cell>
          <cell r="F904">
            <v>54.61</v>
          </cell>
          <cell r="G904">
            <v>67.489999999999995</v>
          </cell>
          <cell r="H904">
            <v>135152.1</v>
          </cell>
          <cell r="I904">
            <v>56.47</v>
          </cell>
          <cell r="J904">
            <v>66.39</v>
          </cell>
          <cell r="K904">
            <v>132949.29</v>
          </cell>
        </row>
        <row r="905">
          <cell r="A905" t="str">
            <v>1.15.5.13</v>
          </cell>
          <cell r="B905">
            <v>94274</v>
          </cell>
          <cell r="C905" t="str">
            <v>ASSENTAMENTO DE GUIA (MEIO-FIO) EM TRECHO CURVO, CONFECCIONADA EM CONCRETO PRÉ-FABRICADO, DIMENSÕES 100X15X13X30 CM (COMPRIMENTO X BASE INFERIOR X BASE SUPERIOR X ALTURA), PARA VIAS URBANAS (USO VIÁRIO). AF_06/2016</v>
          </cell>
          <cell r="D905" t="str">
            <v>M</v>
          </cell>
          <cell r="E905">
            <v>84.77</v>
          </cell>
          <cell r="F905">
            <v>58.17</v>
          </cell>
          <cell r="G905">
            <v>71.89</v>
          </cell>
          <cell r="H905">
            <v>6094.12</v>
          </cell>
          <cell r="I905">
            <v>60.43</v>
          </cell>
          <cell r="J905">
            <v>71.05</v>
          </cell>
          <cell r="K905">
            <v>6022.91</v>
          </cell>
        </row>
        <row r="906">
          <cell r="A906" t="str">
            <v>1.15.5.14</v>
          </cell>
          <cell r="B906">
            <v>94287</v>
          </cell>
          <cell r="C906" t="str">
            <v>EXECUÇÃO DE SARJETA DE CONCRETO USINADO, MOLDADA  IN LOCO  EM TRECHO RETO, 30 CM BASE X 10 CM ALTURA. AF_06/2016</v>
          </cell>
          <cell r="D906" t="str">
            <v>M</v>
          </cell>
          <cell r="E906">
            <v>406.91</v>
          </cell>
          <cell r="F906">
            <v>37.69</v>
          </cell>
          <cell r="G906">
            <v>46.58</v>
          </cell>
          <cell r="H906">
            <v>18953.87</v>
          </cell>
          <cell r="I906">
            <v>39.770000000000003</v>
          </cell>
          <cell r="J906">
            <v>46.76</v>
          </cell>
          <cell r="K906">
            <v>19027.11</v>
          </cell>
        </row>
        <row r="907">
          <cell r="A907" t="str">
            <v>1.15.5.15</v>
          </cell>
          <cell r="B907">
            <v>94288</v>
          </cell>
          <cell r="C907" t="str">
            <v>EXECUÇÃO DE SARJETA DE CONCRETO USINADO, MOLDADA  IN LOCO  EM TRECHO CURVO, 30 CM BASE X 10 CM ALTURA. AF_06/2016</v>
          </cell>
          <cell r="D907" t="str">
            <v>M</v>
          </cell>
          <cell r="E907">
            <v>20.09</v>
          </cell>
          <cell r="F907">
            <v>47.14</v>
          </cell>
          <cell r="G907">
            <v>58.26</v>
          </cell>
          <cell r="H907">
            <v>1170.44</v>
          </cell>
          <cell r="I907">
            <v>50.32</v>
          </cell>
          <cell r="J907">
            <v>59.16</v>
          </cell>
          <cell r="K907">
            <v>1188.52</v>
          </cell>
        </row>
        <row r="908">
          <cell r="A908" t="str">
            <v>1.15.6</v>
          </cell>
          <cell r="C908" t="str">
            <v>CONTENÇÃO</v>
          </cell>
          <cell r="H908">
            <v>274231.95</v>
          </cell>
          <cell r="K908">
            <v>277668.58</v>
          </cell>
        </row>
        <row r="909">
          <cell r="A909" t="str">
            <v>1.15.6.1</v>
          </cell>
          <cell r="B909">
            <v>100206</v>
          </cell>
          <cell r="C909" t="str">
            <v>TRANSPORTE HORIZONTAL COM JERICA DE 90 L, DE MASSA/ GRANEL (UNIDADE: M3XKM). AF_07/2019</v>
          </cell>
          <cell r="D909" t="str">
            <v>M3XKM</v>
          </cell>
          <cell r="E909">
            <v>39.450000000000003</v>
          </cell>
          <cell r="F909">
            <v>880.33</v>
          </cell>
          <cell r="G909">
            <v>1088</v>
          </cell>
          <cell r="H909">
            <v>42921.599999999999</v>
          </cell>
          <cell r="I909">
            <v>977.6</v>
          </cell>
          <cell r="J909">
            <v>1149.3599999999999</v>
          </cell>
          <cell r="K909">
            <v>45342.25</v>
          </cell>
        </row>
        <row r="910">
          <cell r="A910" t="str">
            <v>1.15.6.2</v>
          </cell>
          <cell r="B910" t="str">
            <v>CP-95467-90315369</v>
          </cell>
          <cell r="C910" t="str">
            <v>EMBASAMENTO C/PEDRA ARGAMASSADA UTILIZANDO ARG.CIM/AREIA 1:6</v>
          </cell>
          <cell r="D910" t="str">
            <v>M3</v>
          </cell>
          <cell r="E910">
            <v>86.59</v>
          </cell>
          <cell r="F910">
            <v>475.44</v>
          </cell>
          <cell r="G910">
            <v>587.6</v>
          </cell>
          <cell r="H910">
            <v>50880.28</v>
          </cell>
          <cell r="I910">
            <v>507.45</v>
          </cell>
          <cell r="J910">
            <v>596.61</v>
          </cell>
          <cell r="K910">
            <v>51660.46</v>
          </cell>
        </row>
        <row r="911">
          <cell r="A911" t="str">
            <v>1.15.6.3</v>
          </cell>
          <cell r="B911">
            <v>96620</v>
          </cell>
          <cell r="C911" t="str">
            <v>LASTRO DE CONCRETO MAGRO, APLICADO EM PISOS, LAJES SOBRE SOLO OU RADIERS. AF_08/2017</v>
          </cell>
          <cell r="D911" t="str">
            <v>M3</v>
          </cell>
          <cell r="E911">
            <v>44.61</v>
          </cell>
          <cell r="F911">
            <v>574.05999999999995</v>
          </cell>
          <cell r="G911">
            <v>709.48</v>
          </cell>
          <cell r="H911">
            <v>31649.9</v>
          </cell>
          <cell r="I911">
            <v>600.74</v>
          </cell>
          <cell r="J911">
            <v>706.29</v>
          </cell>
          <cell r="K911">
            <v>31507.599999999999</v>
          </cell>
        </row>
        <row r="912">
          <cell r="A912" t="str">
            <v>1.15.6.4</v>
          </cell>
          <cell r="B912">
            <v>99839</v>
          </cell>
          <cell r="C912" t="str">
            <v>GUARDA-CORPO DE AÇO GALVANIZADO DE 1,10M DE ALTURA, MONTANTES TUBULARES DE 1.1/2 ESPAÇADOS DE 1,20M, TRAVESSA SUPERIOR DE 2, GRADIL FORMADO POR BARRAS CHATAS EM FERRO DE 32X4,8MM, FIXADO COM CHUMBADOR MECÂNICO. AF_04/2019_P</v>
          </cell>
          <cell r="D912" t="str">
            <v>M</v>
          </cell>
          <cell r="E912">
            <v>250.4</v>
          </cell>
          <cell r="F912">
            <v>480.76</v>
          </cell>
          <cell r="G912">
            <v>594.16999999999996</v>
          </cell>
          <cell r="H912">
            <v>148780.17000000001</v>
          </cell>
          <cell r="I912">
            <v>506.66</v>
          </cell>
          <cell r="J912">
            <v>595.67999999999995</v>
          </cell>
          <cell r="K912">
            <v>149158.26999999999</v>
          </cell>
        </row>
        <row r="913">
          <cell r="A913" t="str">
            <v>1.15.7</v>
          </cell>
          <cell r="C913" t="str">
            <v>DRENAGEM</v>
          </cell>
          <cell r="H913">
            <v>312434.87</v>
          </cell>
          <cell r="K913">
            <v>306689.46999999997</v>
          </cell>
        </row>
        <row r="914">
          <cell r="A914" t="str">
            <v>1.15.7.1</v>
          </cell>
          <cell r="B914">
            <v>90091</v>
          </cell>
          <cell r="C914" t="str">
            <v>ESCAVAÇÃO MECANIZADA DE VALA COM PROF. ATÉ 1,5 M (MÉDIA MONTANTE E JUSANTE/UMA COMPOSIÇÃO POR TRECHO), ESCAVADEIRA (0,8 M3), LARG. DE 1,5 M A 2,5 M, EM SOLO DE 1A CATEGORIA, LOCAIS COM BAIXO NÍVEL DE INTERFERÊNCIA. AF_02/2021</v>
          </cell>
          <cell r="D914" t="str">
            <v>M3</v>
          </cell>
          <cell r="E914">
            <v>143</v>
          </cell>
          <cell r="F914">
            <v>6.24</v>
          </cell>
          <cell r="G914">
            <v>7.71</v>
          </cell>
          <cell r="H914">
            <v>1102.53</v>
          </cell>
          <cell r="I914">
            <v>6.48</v>
          </cell>
          <cell r="J914">
            <v>7.62</v>
          </cell>
          <cell r="K914">
            <v>1089.6600000000001</v>
          </cell>
        </row>
        <row r="915">
          <cell r="A915" t="str">
            <v>1.15.7.2</v>
          </cell>
          <cell r="B915">
            <v>90106</v>
          </cell>
          <cell r="C915" t="str">
            <v>ESCAVAÇÃO MECANIZADA DE VALA COM PROFUNDIDADE ATÉ 1,5 M (MÉDIA MONTANTE E JUSANTE/UMA COMPOSIÇÃO POR TRECHO), RETROESCAV. (0,26 M3), LARGURA DE 0,8 M A 1,5 M, EM SOLO DE 1A CATEGORIA, LOCAIS COM BAIXO NÍVEL DE INTERFERÊNCIA. AF_02/2021</v>
          </cell>
          <cell r="D915" t="str">
            <v>M3</v>
          </cell>
          <cell r="E915">
            <v>0.99</v>
          </cell>
          <cell r="F915">
            <v>8.15</v>
          </cell>
          <cell r="G915">
            <v>10.07</v>
          </cell>
          <cell r="H915">
            <v>9.9700000000000006</v>
          </cell>
          <cell r="I915">
            <v>8.5399999999999991</v>
          </cell>
          <cell r="J915">
            <v>10.039999999999999</v>
          </cell>
          <cell r="K915">
            <v>9.94</v>
          </cell>
        </row>
        <row r="916">
          <cell r="A916" t="str">
            <v>1.15.7.3</v>
          </cell>
          <cell r="B916">
            <v>93379</v>
          </cell>
          <cell r="C916" t="str">
            <v>REATERRO MECANIZADO DE VALA COM RETROESCAVADEIRA (CAPACIDADE DA CAÇAMBA DA RETRO: 0,26 M³ / POTÊNCIA: 88 HP), LARGURA DE 0,8 A 1,5 M, PROFUNDIDADE ATÉ 1,5 M, COM SOLO DE 1ª CATEGORIA EM LOCAIS COM BAIXO NÍVEL DE INTERFERÊNCIA. AF_04/2016</v>
          </cell>
          <cell r="D916" t="str">
            <v>M3</v>
          </cell>
          <cell r="E916">
            <v>0.42</v>
          </cell>
          <cell r="F916">
            <v>21.03</v>
          </cell>
          <cell r="G916">
            <v>25.99</v>
          </cell>
          <cell r="H916">
            <v>10.92</v>
          </cell>
          <cell r="I916">
            <v>22.62</v>
          </cell>
          <cell r="J916">
            <v>26.59</v>
          </cell>
          <cell r="K916">
            <v>11.17</v>
          </cell>
        </row>
        <row r="917">
          <cell r="A917" t="str">
            <v>1.15.7.4</v>
          </cell>
          <cell r="B917">
            <v>93367</v>
          </cell>
          <cell r="C917" t="str">
            <v>REATERRO MECANIZADO DE VALA COM ESCAVADEIRA HIDRÁULICA (CAPACIDADE DA CAÇAMBA: 0,8 M³ / POTÊNCIA: 111 HP), LARGURA DE 1,5 A 2,5 M, PROFUNDIDADE ATÉ 1,5 M, COM SOLO DE 1ª CATEGORIA EM LOCAIS COM BAIXO NÍVEL DE INTERFERÊNCIA. AF_04/2016</v>
          </cell>
          <cell r="D917" t="str">
            <v>M3</v>
          </cell>
          <cell r="E917">
            <v>53.63</v>
          </cell>
          <cell r="F917">
            <v>22.53</v>
          </cell>
          <cell r="G917">
            <v>27.84</v>
          </cell>
          <cell r="H917">
            <v>1493.06</v>
          </cell>
          <cell r="I917">
            <v>23.75</v>
          </cell>
          <cell r="J917">
            <v>27.92</v>
          </cell>
          <cell r="K917">
            <v>1497.35</v>
          </cell>
        </row>
        <row r="918">
          <cell r="A918" t="str">
            <v>1.15.7.5</v>
          </cell>
          <cell r="B918" t="str">
            <v>COMP-35145154</v>
          </cell>
          <cell r="C918" t="str">
            <v>CARGA E DESCARGA MECANICA DE SOLO UTILIZANDO CAMINHAO BASCULANTE 14,0M3/36T E PA CARREGADEIRA SOBRE PNEUS 128 HP, CAPACIDADE DA CAÇAMBA 1,7 A 2,8 M3, PESO OPERACIONAL 11632 KH</v>
          </cell>
          <cell r="D918" t="str">
            <v>M3</v>
          </cell>
          <cell r="E918">
            <v>112.43</v>
          </cell>
          <cell r="F918">
            <v>2.83</v>
          </cell>
          <cell r="G918">
            <v>3.5</v>
          </cell>
          <cell r="H918">
            <v>393.51</v>
          </cell>
          <cell r="I918">
            <v>2.9</v>
          </cell>
          <cell r="J918">
            <v>3.41</v>
          </cell>
          <cell r="K918">
            <v>383.39</v>
          </cell>
        </row>
        <row r="919">
          <cell r="A919" t="str">
            <v>1.15.7.6</v>
          </cell>
          <cell r="B919">
            <v>95876</v>
          </cell>
          <cell r="C919" t="str">
            <v>TRANSPORTE COM CAMINHÃO BASCULANTE DE 14 M³, EM VIA URBANA PAVIMENTADA, DMT ATÉ 30 KM (UNIDADE: M3XKM). AF_07/2020</v>
          </cell>
          <cell r="D919" t="str">
            <v>M3XKM</v>
          </cell>
          <cell r="E919">
            <v>933.17</v>
          </cell>
          <cell r="F919">
            <v>2.2400000000000002</v>
          </cell>
          <cell r="G919">
            <v>2.77</v>
          </cell>
          <cell r="H919">
            <v>2584.88</v>
          </cell>
          <cell r="I919">
            <v>2.27</v>
          </cell>
          <cell r="J919">
            <v>2.67</v>
          </cell>
          <cell r="K919">
            <v>2491.56</v>
          </cell>
        </row>
        <row r="920">
          <cell r="A920" t="str">
            <v>1.15.7.7</v>
          </cell>
          <cell r="B920">
            <v>94971</v>
          </cell>
          <cell r="C920" t="str">
            <v>CONCRETO FCK = 25MPA, TRAÇO 1:2,3:2,7 (EM MASSA SECA DE CIMENTO/ AREIA MÉDIA/ BRITA 1) - PREPARO MECÂNICO COM BETONEIRA 600 L. AF_05/2021</v>
          </cell>
          <cell r="D920" t="str">
            <v>M3</v>
          </cell>
          <cell r="E920">
            <v>75.930000000000007</v>
          </cell>
          <cell r="F920">
            <v>464.88</v>
          </cell>
          <cell r="G920">
            <v>574.54999999999995</v>
          </cell>
          <cell r="H920">
            <v>43625.58</v>
          </cell>
          <cell r="I920">
            <v>472.74</v>
          </cell>
          <cell r="J920">
            <v>555.79999999999995</v>
          </cell>
          <cell r="K920">
            <v>42201.89</v>
          </cell>
        </row>
        <row r="921">
          <cell r="A921" t="str">
            <v>1.15.7.8</v>
          </cell>
          <cell r="B921">
            <v>94974</v>
          </cell>
          <cell r="C921" t="str">
            <v>CONCRETO MAGRO PARA LASTRO, TRAÇO 1:4,5:4,5 (EM MASSA SECA DE CIMENTO/ AREIA MÉDIA/ BRITA 1) - PREPARO MANUAL. AF_05/2021</v>
          </cell>
          <cell r="D921" t="str">
            <v>M3</v>
          </cell>
          <cell r="E921">
            <v>59.58</v>
          </cell>
          <cell r="F921">
            <v>423.75</v>
          </cell>
          <cell r="G921">
            <v>523.71</v>
          </cell>
          <cell r="H921">
            <v>31202.639999999999</v>
          </cell>
          <cell r="I921">
            <v>436.13</v>
          </cell>
          <cell r="J921">
            <v>512.76</v>
          </cell>
          <cell r="K921">
            <v>30550.240000000002</v>
          </cell>
        </row>
        <row r="922">
          <cell r="A922" t="str">
            <v>1.15.7.9</v>
          </cell>
          <cell r="B922">
            <v>92771</v>
          </cell>
          <cell r="C922" t="str">
            <v>ARMAÇÃO DE LAJE DE ESTRUTURA CONVENCIONAL DE CONCRETO ARMADO UTILIZANDO AÇO CA-50 DE 10,0 MM - MONTAGEM. AF_06/2022</v>
          </cell>
          <cell r="D922" t="str">
            <v>KG</v>
          </cell>
          <cell r="E922">
            <v>4939.3500000000004</v>
          </cell>
          <cell r="F922">
            <v>15.04</v>
          </cell>
          <cell r="G922">
            <v>18.59</v>
          </cell>
          <cell r="H922">
            <v>91822.52</v>
          </cell>
          <cell r="I922">
            <v>15.14</v>
          </cell>
          <cell r="J922">
            <v>17.8</v>
          </cell>
          <cell r="K922">
            <v>87920.43</v>
          </cell>
        </row>
        <row r="923">
          <cell r="A923" t="str">
            <v>1.15.7.10</v>
          </cell>
          <cell r="B923" t="str">
            <v>CP-92268-29291149</v>
          </cell>
          <cell r="C923" t="str">
            <v>FABRICAÇÃO DE FÔRMA PARA LAJES, EM CHAPA DE MADEIRA COMPENSADA PLASTIFICADA, E = 18 MM - EXCLUINDO O PAINEL DE MADEIRA COMPENSADA PLASTIFICADA DE 2200 x 1100 MM, E = *17* MM</v>
          </cell>
          <cell r="D923" t="str">
            <v>M2</v>
          </cell>
          <cell r="E923">
            <v>357.49</v>
          </cell>
          <cell r="F923">
            <v>0.98</v>
          </cell>
          <cell r="G923">
            <v>1.21</v>
          </cell>
          <cell r="H923">
            <v>432.56</v>
          </cell>
          <cell r="I923">
            <v>1.1000000000000001</v>
          </cell>
          <cell r="J923">
            <v>1.29</v>
          </cell>
          <cell r="K923">
            <v>461.16</v>
          </cell>
        </row>
        <row r="924">
          <cell r="A924" t="str">
            <v>1.15.7.11</v>
          </cell>
          <cell r="B924">
            <v>103320</v>
          </cell>
          <cell r="C924" t="str">
            <v>ALVENARIA DE VEDAÇÃO DE BLOCOS VAZADOS DE CONCRETO DE 19X19X39 CM (ESPESSURA 19 CM) E ARGAMASSA DE ASSENTAMENTO COM PREPARO EM BETONEIRA. AF_12/2021</v>
          </cell>
          <cell r="D924" t="str">
            <v>M2</v>
          </cell>
          <cell r="E924">
            <v>476.66</v>
          </cell>
          <cell r="F924">
            <v>101.36</v>
          </cell>
          <cell r="G924">
            <v>125.27</v>
          </cell>
          <cell r="H924">
            <v>59711.199999999997</v>
          </cell>
          <cell r="I924">
            <v>105.62</v>
          </cell>
          <cell r="J924">
            <v>124.18</v>
          </cell>
          <cell r="K924">
            <v>59191.64</v>
          </cell>
        </row>
        <row r="925">
          <cell r="A925" t="str">
            <v>1.15.7.12</v>
          </cell>
          <cell r="B925">
            <v>87879</v>
          </cell>
          <cell r="C925" t="str">
            <v>CHAPISCO APLICADO EM ALVENARIAS E ESTRUTURAS DE CONCRETO INTERNAS, COM COLHER DE PEDREIRO.  ARGAMASSA TRAÇO 1:3 COM PREPARO EM BETONEIRA 400L. AF_06/2014</v>
          </cell>
          <cell r="D925" t="str">
            <v>M2</v>
          </cell>
          <cell r="E925">
            <v>476.66</v>
          </cell>
          <cell r="F925">
            <v>3.85</v>
          </cell>
          <cell r="G925">
            <v>4.76</v>
          </cell>
          <cell r="H925">
            <v>2268.9</v>
          </cell>
          <cell r="I925">
            <v>4.0999999999999996</v>
          </cell>
          <cell r="J925">
            <v>4.82</v>
          </cell>
          <cell r="K925">
            <v>2297.5</v>
          </cell>
        </row>
        <row r="926">
          <cell r="A926" t="str">
            <v>1.15.7.13</v>
          </cell>
          <cell r="B926">
            <v>87547</v>
          </cell>
          <cell r="C926" t="str">
            <v>MASSA ÚNICA, PARA RECEBIMENTO DE PINTURA, EM ARGAMASSA TRAÇO 1:2:8, PREPARO MECÂNICO COM BETONEIRA 400L, APLICADA MANUALMENTE EM FACES INTERNAS DE PAREDES, ESPESSURA DE 10MM, COM EXECUÇÃO DE TALISCAS. AF_06/2014</v>
          </cell>
          <cell r="D926" t="str">
            <v>M2</v>
          </cell>
          <cell r="E926">
            <v>476.66</v>
          </cell>
          <cell r="F926">
            <v>23.35</v>
          </cell>
          <cell r="G926">
            <v>28.86</v>
          </cell>
          <cell r="H926">
            <v>13756.41</v>
          </cell>
          <cell r="I926">
            <v>24.83</v>
          </cell>
          <cell r="J926">
            <v>29.19</v>
          </cell>
          <cell r="K926">
            <v>13913.71</v>
          </cell>
        </row>
        <row r="927">
          <cell r="A927" t="str">
            <v>1.15.7.14</v>
          </cell>
          <cell r="B927">
            <v>94975</v>
          </cell>
          <cell r="C927" t="str">
            <v>CONCRETO FCK = 15MPA, TRAÇO 1:3,4:3,5 (EM MASSA SECA DE CIMENTO/ AREIA MÉDIA/ BRITA 1) - PREPARO MANUAL. AF_05/2021</v>
          </cell>
          <cell r="D927" t="str">
            <v>M3</v>
          </cell>
          <cell r="E927">
            <v>50.7</v>
          </cell>
          <cell r="F927">
            <v>457.19</v>
          </cell>
          <cell r="G927">
            <v>565.04</v>
          </cell>
          <cell r="H927">
            <v>28647.53</v>
          </cell>
          <cell r="I927">
            <v>469.42</v>
          </cell>
          <cell r="J927">
            <v>551.9</v>
          </cell>
          <cell r="K927">
            <v>27981.33</v>
          </cell>
        </row>
        <row r="928">
          <cell r="A928" t="str">
            <v>1.15.7.15</v>
          </cell>
          <cell r="B928" t="str">
            <v>CP-74157/004-48264518</v>
          </cell>
          <cell r="C928" t="str">
            <v>LANCAMENTO/APLICACAO MANUAL DE CONCRETO EM FUNDACOES (concreto magro)</v>
          </cell>
          <cell r="D928" t="str">
            <v>M3</v>
          </cell>
          <cell r="E928">
            <v>186.21</v>
          </cell>
          <cell r="F928">
            <v>116.59</v>
          </cell>
          <cell r="G928">
            <v>144.09</v>
          </cell>
          <cell r="H928">
            <v>26831</v>
          </cell>
          <cell r="I928">
            <v>129.79</v>
          </cell>
          <cell r="J928">
            <v>152.59</v>
          </cell>
          <cell r="K928">
            <v>28413.78</v>
          </cell>
        </row>
        <row r="929">
          <cell r="A929" t="str">
            <v>1.15.7.16</v>
          </cell>
          <cell r="B929">
            <v>90747</v>
          </cell>
          <cell r="C929" t="str">
            <v>ASSENTAMENTO DE TUBO DE PEAD CORRUGADO DE DUPLA PAREDE PARA REDE COLETORA DE ESGOTO, DN 600 MM, JUNTA ELÁSTICA INTEGRADA (NÃO INCLUI FORNECIMENTO). AF_01/2021</v>
          </cell>
          <cell r="D929" t="str">
            <v>M</v>
          </cell>
          <cell r="E929">
            <v>2</v>
          </cell>
          <cell r="F929">
            <v>17.54</v>
          </cell>
          <cell r="G929">
            <v>21.68</v>
          </cell>
          <cell r="H929">
            <v>43.36</v>
          </cell>
          <cell r="I929">
            <v>18.55</v>
          </cell>
          <cell r="J929">
            <v>21.81</v>
          </cell>
          <cell r="K929">
            <v>43.62</v>
          </cell>
        </row>
        <row r="930">
          <cell r="A930" t="str">
            <v>1.15.7.17</v>
          </cell>
          <cell r="B930" t="str">
            <v>COM-66148211</v>
          </cell>
          <cell r="C930" t="str">
            <v>SAÍDA D'ÁGUA</v>
          </cell>
          <cell r="D930" t="str">
            <v>UND</v>
          </cell>
          <cell r="E930">
            <v>10</v>
          </cell>
          <cell r="F930">
            <v>687.62</v>
          </cell>
          <cell r="G930">
            <v>849.83</v>
          </cell>
          <cell r="H930">
            <v>8498.2999999999993</v>
          </cell>
          <cell r="I930">
            <v>700.1</v>
          </cell>
          <cell r="J930">
            <v>823.11</v>
          </cell>
          <cell r="K930">
            <v>8231.1</v>
          </cell>
        </row>
        <row r="931">
          <cell r="A931" t="str">
            <v>1.15.8</v>
          </cell>
          <cell r="C931" t="str">
            <v>SINALIZAÇÃO</v>
          </cell>
          <cell r="H931">
            <v>31716.37</v>
          </cell>
          <cell r="K931">
            <v>31235.99</v>
          </cell>
        </row>
        <row r="932">
          <cell r="A932" t="str">
            <v>1.15.8.1</v>
          </cell>
          <cell r="B932">
            <v>5213421</v>
          </cell>
          <cell r="C932" t="str">
            <v>Confecção de placa em aço nº 16 galvanizado, com película tipo I + IV</v>
          </cell>
          <cell r="D932" t="str">
            <v xml:space="preserve">M2    </v>
          </cell>
          <cell r="E932">
            <v>12.9</v>
          </cell>
          <cell r="F932">
            <v>343.8</v>
          </cell>
          <cell r="G932">
            <v>424.9</v>
          </cell>
          <cell r="H932">
            <v>5481.21</v>
          </cell>
          <cell r="I932">
            <v>347.25</v>
          </cell>
          <cell r="J932">
            <v>408.26</v>
          </cell>
          <cell r="K932">
            <v>5266.55</v>
          </cell>
        </row>
        <row r="933">
          <cell r="A933" t="str">
            <v>1.15.8.2</v>
          </cell>
          <cell r="B933">
            <v>5216111</v>
          </cell>
          <cell r="C933" t="str">
            <v>FORNECIMENTO E IMPLANTAÇÃO DE SUPORTE E TRAVESSA PARA PLACA DE SINALIZAÇÃO EM MADEIRA DE LEI TRATADA 8 X 8 CM</v>
          </cell>
          <cell r="D933" t="str">
            <v>UND</v>
          </cell>
          <cell r="E933">
            <v>34</v>
          </cell>
          <cell r="F933">
            <v>119.1379</v>
          </cell>
          <cell r="G933">
            <v>147.24</v>
          </cell>
          <cell r="H933">
            <v>5006.16</v>
          </cell>
          <cell r="I933">
            <v>121.48</v>
          </cell>
          <cell r="J933">
            <v>142.82</v>
          </cell>
          <cell r="K933">
            <v>4855.88</v>
          </cell>
        </row>
        <row r="934">
          <cell r="A934" t="str">
            <v>1.15.8.3</v>
          </cell>
          <cell r="B934" t="str">
            <v>COMP-58084869</v>
          </cell>
          <cell r="C934" t="str">
            <v>PLACA ESMALTADA PARA IDENTIFICAÇÃO NR DE RUA, DIMENSÕES 45X25CM</v>
          </cell>
          <cell r="D934" t="str">
            <v>UND</v>
          </cell>
          <cell r="E934">
            <v>12</v>
          </cell>
          <cell r="F934">
            <v>155.54</v>
          </cell>
          <cell r="G934">
            <v>192.23</v>
          </cell>
          <cell r="H934">
            <v>2306.7600000000002</v>
          </cell>
          <cell r="I934">
            <v>156.33000000000001</v>
          </cell>
          <cell r="J934">
            <v>183.8</v>
          </cell>
          <cell r="K934">
            <v>2205.6</v>
          </cell>
        </row>
        <row r="935">
          <cell r="A935" t="str">
            <v>1.15.8.4</v>
          </cell>
          <cell r="B935">
            <v>102509</v>
          </cell>
          <cell r="C935" t="str">
            <v>PINTURA DE FAIXA DE PEDESTRE OU ZEBRADA TINTA RETRORREFLETIVA A BASE DE RESINA ACRÍLICA COM MICROESFERAS DE VIDRO, E = 30 CM, APLICAÇÃO MANUAL. AF_05/2021</v>
          </cell>
          <cell r="D935" t="str">
            <v>M2</v>
          </cell>
          <cell r="E935">
            <v>121.6</v>
          </cell>
          <cell r="F935">
            <v>22.91</v>
          </cell>
          <cell r="G935">
            <v>28.31</v>
          </cell>
          <cell r="H935">
            <v>3442.5</v>
          </cell>
          <cell r="I935">
            <v>24.15</v>
          </cell>
          <cell r="J935">
            <v>28.39</v>
          </cell>
          <cell r="K935">
            <v>3452.22</v>
          </cell>
        </row>
        <row r="936">
          <cell r="A936" t="str">
            <v>1.15.8.5</v>
          </cell>
          <cell r="B936">
            <v>102512</v>
          </cell>
          <cell r="C936" t="str">
            <v>PINTURA DE EIXO VIÁRIO SOBRE ASFALTO COM TINTA RETRORREFLETIVA A BASE DE RESINA ACRÍLICA COM MICROESFERAS DE VIDRO, APLICAÇÃO MECÂNICA COM DEMARCADORA AUTOPROPELIDA. AF_05/2021</v>
          </cell>
          <cell r="D936" t="str">
            <v>M</v>
          </cell>
          <cell r="E936">
            <v>2399.96</v>
          </cell>
          <cell r="F936">
            <v>5.22</v>
          </cell>
          <cell r="G936">
            <v>6.45</v>
          </cell>
          <cell r="H936">
            <v>15479.74</v>
          </cell>
          <cell r="I936">
            <v>5.48</v>
          </cell>
          <cell r="J936">
            <v>6.44</v>
          </cell>
          <cell r="K936">
            <v>15455.74</v>
          </cell>
        </row>
        <row r="937">
          <cell r="A937" t="str">
            <v>1.15.9</v>
          </cell>
          <cell r="C937" t="str">
            <v>ACESSIBILIDADE</v>
          </cell>
          <cell r="H937">
            <v>10501.7</v>
          </cell>
          <cell r="K937">
            <v>10327.34</v>
          </cell>
        </row>
        <row r="938">
          <cell r="A938" t="str">
            <v>1.15.9.1</v>
          </cell>
          <cell r="B938" t="str">
            <v>CP-S12039-81921471</v>
          </cell>
          <cell r="C938" t="str">
            <v>Piso tátil direcional e/ou alerta, de concreto, na cor natural, p/deficientes visuais, dimensões 40x40cm, aplicado com argamassa industrializada ac-ii, rejuntado, exclusive regularização de base</v>
          </cell>
          <cell r="D938" t="str">
            <v>M2</v>
          </cell>
          <cell r="E938">
            <v>78.19</v>
          </cell>
          <cell r="F938">
            <v>108.67</v>
          </cell>
          <cell r="G938">
            <v>134.31</v>
          </cell>
          <cell r="H938">
            <v>10501.7</v>
          </cell>
          <cell r="I938">
            <v>112.34</v>
          </cell>
          <cell r="J938">
            <v>132.08000000000001</v>
          </cell>
          <cell r="K938">
            <v>10327.34</v>
          </cell>
        </row>
        <row r="939">
          <cell r="A939" t="str">
            <v>1.15.10</v>
          </cell>
          <cell r="C939" t="str">
            <v>MATERIAIS</v>
          </cell>
          <cell r="H939">
            <v>698426.24</v>
          </cell>
          <cell r="K939">
            <v>665863.17000000004</v>
          </cell>
        </row>
        <row r="940">
          <cell r="A940" t="str">
            <v>1.15.10.1</v>
          </cell>
          <cell r="B940">
            <v>10775</v>
          </cell>
          <cell r="C940" t="str">
            <v xml:space="preserve">LOCACAO DE CONTAINER 2,30 X 6,00 M, ALT. 2,50 M, COM 1 SANITARIO, PARA ESCRITORIO, COMPLETO, SEM DIVISORIAS INTERNAS (NAO INCLUI MOBILIZACAO/DESMOBILIZACAO)                                                                                                                                                                                                                                                                                                                                              </v>
          </cell>
          <cell r="D940" t="str">
            <v xml:space="preserve">MES   </v>
          </cell>
          <cell r="E940">
            <v>10</v>
          </cell>
          <cell r="F940">
            <v>830</v>
          </cell>
          <cell r="G940">
            <v>958.32</v>
          </cell>
          <cell r="H940">
            <v>9583.2000000000007</v>
          </cell>
          <cell r="I940">
            <v>830</v>
          </cell>
          <cell r="J940">
            <v>913.58</v>
          </cell>
          <cell r="K940">
            <v>9135.7999999999993</v>
          </cell>
        </row>
        <row r="941">
          <cell r="A941" t="str">
            <v>1.15.10.2</v>
          </cell>
          <cell r="B941">
            <v>10776</v>
          </cell>
          <cell r="C941" t="str">
            <v xml:space="preserve">LOCACAO DE CONTAINER 2,30 X 6,00 M, ALT. 2,50 M, PARA ESCRITORIO, SEM DIVISORIAS INTERNAS E SEM SANITARIO (NAO INCLUI MOBILIZACAO/DESMOBILIZACAO)                                                                                                                                                                                                                                                                                                                                                         </v>
          </cell>
          <cell r="D941" t="str">
            <v xml:space="preserve">MES   </v>
          </cell>
          <cell r="E941">
            <v>10</v>
          </cell>
          <cell r="F941">
            <v>648.42999999999995</v>
          </cell>
          <cell r="G941">
            <v>748.68</v>
          </cell>
          <cell r="H941">
            <v>7486.8</v>
          </cell>
          <cell r="I941">
            <v>648.42999999999995</v>
          </cell>
          <cell r="J941">
            <v>713.73</v>
          </cell>
          <cell r="K941">
            <v>7137.3</v>
          </cell>
        </row>
        <row r="942">
          <cell r="A942" t="str">
            <v>1.15.10.3</v>
          </cell>
          <cell r="B942">
            <v>1518</v>
          </cell>
          <cell r="C942" t="str">
            <v xml:space="preserve">CONCRETO BETUMINOSO USINADO A QUENTE (CBUQ) PARA PAVIMENTACAO ASFALTICA, PADRAO DNIT, FAIXA C, COM CAP 50/70 - AQUISICAO POSTO USINA                                                                                                                                                                                                                                                                                                                                                                      </v>
          </cell>
          <cell r="D942" t="str">
            <v xml:space="preserve">T     </v>
          </cell>
          <cell r="E942">
            <v>505.67</v>
          </cell>
          <cell r="F942">
            <v>522.5</v>
          </cell>
          <cell r="G942">
            <v>603.28</v>
          </cell>
          <cell r="H942">
            <v>305060.59999999998</v>
          </cell>
          <cell r="I942">
            <v>522.5</v>
          </cell>
          <cell r="J942">
            <v>575.12</v>
          </cell>
          <cell r="K942">
            <v>290820.93</v>
          </cell>
        </row>
        <row r="943">
          <cell r="A943" t="str">
            <v>1.15.10.4</v>
          </cell>
          <cell r="B943" t="str">
            <v>M0134</v>
          </cell>
          <cell r="C943" t="str">
            <v>Tubo PEAD corrugado com paredes estruturadas para drenagem - D = 600 mm</v>
          </cell>
          <cell r="D943" t="str">
            <v>M</v>
          </cell>
          <cell r="E943">
            <v>2</v>
          </cell>
          <cell r="F943">
            <v>501.47</v>
          </cell>
          <cell r="G943">
            <v>579</v>
          </cell>
          <cell r="H943">
            <v>1158</v>
          </cell>
          <cell r="I943">
            <v>501.47</v>
          </cell>
          <cell r="J943">
            <v>551.97</v>
          </cell>
          <cell r="K943">
            <v>1103.94</v>
          </cell>
        </row>
        <row r="944">
          <cell r="A944" t="str">
            <v>1.15.10.5</v>
          </cell>
          <cell r="B944" t="str">
            <v>INS-185032</v>
          </cell>
          <cell r="C944" t="str">
            <v>BRITA GRADUADA SIMPLES (BGS)</v>
          </cell>
          <cell r="D944" t="str">
            <v>M3</v>
          </cell>
          <cell r="E944">
            <v>880.48</v>
          </cell>
          <cell r="F944">
            <v>56.099999999999994</v>
          </cell>
          <cell r="G944">
            <v>64.77</v>
          </cell>
          <cell r="H944">
            <v>57028.69</v>
          </cell>
          <cell r="I944">
            <v>56.099999999999994</v>
          </cell>
          <cell r="J944">
            <v>61.75</v>
          </cell>
          <cell r="K944">
            <v>54369.64</v>
          </cell>
        </row>
        <row r="945">
          <cell r="A945" t="str">
            <v>1.15.10.6</v>
          </cell>
          <cell r="B945" t="str">
            <v>M0808</v>
          </cell>
          <cell r="C945" t="str">
            <v>Brita 4</v>
          </cell>
          <cell r="D945" t="str">
            <v>M3</v>
          </cell>
          <cell r="E945">
            <v>832.05</v>
          </cell>
          <cell r="F945">
            <v>90.74</v>
          </cell>
          <cell r="G945">
            <v>104.77</v>
          </cell>
          <cell r="H945">
            <v>87173.88</v>
          </cell>
          <cell r="I945">
            <v>90.74</v>
          </cell>
          <cell r="J945">
            <v>99.88</v>
          </cell>
          <cell r="K945">
            <v>83105.149999999994</v>
          </cell>
        </row>
        <row r="946">
          <cell r="A946" t="str">
            <v>1.15.10.7</v>
          </cell>
          <cell r="B946" t="str">
            <v>M1135</v>
          </cell>
          <cell r="C946" t="str">
            <v>Pó de pedra</v>
          </cell>
          <cell r="D946" t="str">
            <v>M3</v>
          </cell>
          <cell r="E946">
            <v>92.45</v>
          </cell>
          <cell r="F946">
            <v>74.53</v>
          </cell>
          <cell r="G946">
            <v>86.05</v>
          </cell>
          <cell r="H946">
            <v>7955.32</v>
          </cell>
          <cell r="I946">
            <v>74.53</v>
          </cell>
          <cell r="J946">
            <v>82.04</v>
          </cell>
          <cell r="K946">
            <v>7584.6</v>
          </cell>
        </row>
        <row r="947">
          <cell r="A947" t="str">
            <v>1.15.10.8</v>
          </cell>
          <cell r="B947" t="str">
            <v>INS-711371</v>
          </cell>
          <cell r="C947" t="str">
            <v>ASFALTO DILUÍDO CM - 30</v>
          </cell>
          <cell r="D947" t="str">
            <v>KG</v>
          </cell>
          <cell r="E947">
            <v>4750.32</v>
          </cell>
          <cell r="F947">
            <v>5.32</v>
          </cell>
          <cell r="G947">
            <v>6.14</v>
          </cell>
          <cell r="H947">
            <v>29166.959999999999</v>
          </cell>
          <cell r="I947">
            <v>5.32</v>
          </cell>
          <cell r="J947">
            <v>5.86</v>
          </cell>
          <cell r="K947">
            <v>27836.880000000001</v>
          </cell>
        </row>
        <row r="948">
          <cell r="A948" t="str">
            <v>1.15.10.9</v>
          </cell>
          <cell r="B948">
            <v>34492</v>
          </cell>
          <cell r="C948" t="str">
            <v xml:space="preserve">CONCRETO USINADO BOMBEAVEL, CLASSE DE RESISTENCIA C20, COM BRITA 0 E 1, SLUMP = 100 +/- 20 MM, EXCLUI SERVICO DE BOMBEAMENTO (NBR 8953)                                                                                                                                                                                                                                                                                                                                                                   </v>
          </cell>
          <cell r="D948" t="str">
            <v xml:space="preserve">M3    </v>
          </cell>
          <cell r="E948">
            <v>313.44</v>
          </cell>
          <cell r="F948">
            <v>422.5</v>
          </cell>
          <cell r="G948">
            <v>487.82</v>
          </cell>
          <cell r="H948">
            <v>152902.29999999999</v>
          </cell>
          <cell r="I948">
            <v>422.5</v>
          </cell>
          <cell r="J948">
            <v>465.05</v>
          </cell>
          <cell r="K948">
            <v>145765.26999999999</v>
          </cell>
        </row>
        <row r="949">
          <cell r="A949" t="str">
            <v>1.15.10.10</v>
          </cell>
          <cell r="B949">
            <v>1345</v>
          </cell>
          <cell r="C949" t="str">
            <v xml:space="preserve">CHAPA/PAINEL DE MADEIRA COMPENSADA PLASTIFICADA (MADEIRITE PLASTIFICADO) PARA FORMA DE CONCRETO, DE 2200 x 1100 MM, E = *17* MM                                                                                                                                                                                                                                                                                                                                                                           </v>
          </cell>
          <cell r="D949" t="str">
            <v xml:space="preserve">M2    </v>
          </cell>
          <cell r="E949">
            <v>375.36</v>
          </cell>
          <cell r="F949">
            <v>94.4</v>
          </cell>
          <cell r="G949">
            <v>108.99</v>
          </cell>
          <cell r="H949">
            <v>40910.49</v>
          </cell>
          <cell r="I949">
            <v>94.4</v>
          </cell>
          <cell r="J949">
            <v>103.91</v>
          </cell>
          <cell r="K949">
            <v>39003.660000000003</v>
          </cell>
        </row>
        <row r="950">
          <cell r="A950" t="str">
            <v>2.0</v>
          </cell>
          <cell r="C950" t="str">
            <v>IMPLANTAÇÃO DE CICLOFAIXA</v>
          </cell>
        </row>
        <row r="951">
          <cell r="A951" t="str">
            <v>2.1</v>
          </cell>
          <cell r="C951" t="str">
            <v>CICLOFAIXA - AVENIDA BARRETO DE MENEZES</v>
          </cell>
          <cell r="H951">
            <v>44400.480000000003</v>
          </cell>
          <cell r="K951">
            <v>43327</v>
          </cell>
        </row>
        <row r="952">
          <cell r="A952" t="str">
            <v>2.1.1</v>
          </cell>
          <cell r="C952" t="str">
            <v>INSTALAÇÕES PROVISÓRIAS</v>
          </cell>
          <cell r="H952">
            <v>3717.63</v>
          </cell>
          <cell r="K952">
            <v>3559.05</v>
          </cell>
        </row>
        <row r="953">
          <cell r="A953" t="str">
            <v>2.1.1.1</v>
          </cell>
          <cell r="B953" t="str">
            <v>CP-74209/001-15055090</v>
          </cell>
          <cell r="C953" t="str">
            <v>PLACA DE OBRA EM CHAPA DE ACO GALVANIZADO</v>
          </cell>
          <cell r="D953" t="str">
            <v xml:space="preserve">M2    </v>
          </cell>
          <cell r="E953">
            <v>2.88</v>
          </cell>
          <cell r="F953">
            <v>558.35</v>
          </cell>
          <cell r="G953">
            <v>690.06</v>
          </cell>
          <cell r="H953">
            <v>1987.37</v>
          </cell>
          <cell r="I953">
            <v>564.99</v>
          </cell>
          <cell r="J953">
            <v>664.26</v>
          </cell>
          <cell r="K953">
            <v>1913.07</v>
          </cell>
        </row>
        <row r="954">
          <cell r="A954" t="str">
            <v>2.1.1.2</v>
          </cell>
          <cell r="B954" t="str">
            <v>COMP-07440249</v>
          </cell>
          <cell r="C954" t="str">
            <v>BANHEIRO QUÍMICO, COM LOCAÇÃO, TRANSPORTE E LIMPEZA</v>
          </cell>
          <cell r="D954" t="str">
            <v>MÊS</v>
          </cell>
          <cell r="E954">
            <v>2</v>
          </cell>
          <cell r="F954">
            <v>700</v>
          </cell>
          <cell r="G954">
            <v>865.13</v>
          </cell>
          <cell r="H954">
            <v>1730.26</v>
          </cell>
          <cell r="I954">
            <v>700</v>
          </cell>
          <cell r="J954">
            <v>822.99</v>
          </cell>
          <cell r="K954">
            <v>1645.98</v>
          </cell>
        </row>
        <row r="955">
          <cell r="A955" t="str">
            <v>2.1.2</v>
          </cell>
          <cell r="C955" t="str">
            <v>ADMINISTRAÇÃO LOCAL</v>
          </cell>
          <cell r="H955">
            <v>1794.53</v>
          </cell>
          <cell r="K955">
            <v>1961.07</v>
          </cell>
        </row>
        <row r="956">
          <cell r="A956" t="str">
            <v>2.1.2.1</v>
          </cell>
          <cell r="B956">
            <v>93572</v>
          </cell>
          <cell r="C956" t="str">
            <v>ENCARREGADO GERAL DE OBRAS COM ENCARGOS COMPLEMENTARES</v>
          </cell>
          <cell r="D956" t="str">
            <v>MES</v>
          </cell>
          <cell r="E956">
            <v>0.25</v>
          </cell>
          <cell r="F956">
            <v>5808.01</v>
          </cell>
          <cell r="G956">
            <v>7178.12</v>
          </cell>
          <cell r="H956">
            <v>1794.53</v>
          </cell>
          <cell r="I956">
            <v>6672</v>
          </cell>
          <cell r="J956">
            <v>7844.27</v>
          </cell>
          <cell r="K956">
            <v>1961.07</v>
          </cell>
        </row>
        <row r="957">
          <cell r="A957" t="str">
            <v>2.1.3</v>
          </cell>
          <cell r="C957" t="str">
            <v>SINALIZAÇÃO VERTICAL E HORIZONTAL</v>
          </cell>
          <cell r="H957">
            <v>38888.32</v>
          </cell>
          <cell r="K957">
            <v>37806.879999999997</v>
          </cell>
        </row>
        <row r="958">
          <cell r="A958" t="str">
            <v>2.1.3.1</v>
          </cell>
          <cell r="B958">
            <v>5213416</v>
          </cell>
          <cell r="C958" t="str">
            <v>Confecção de placa em aço nº 16 galvanizado, com película tipo I + I</v>
          </cell>
          <cell r="D958" t="str">
            <v xml:space="preserve">M2    </v>
          </cell>
          <cell r="E958">
            <v>2.4</v>
          </cell>
          <cell r="F958">
            <v>351.9</v>
          </cell>
          <cell r="G958">
            <v>434.91</v>
          </cell>
          <cell r="H958">
            <v>1043.78</v>
          </cell>
          <cell r="I958">
            <v>355.35</v>
          </cell>
          <cell r="J958">
            <v>417.78</v>
          </cell>
          <cell r="K958">
            <v>1002.67</v>
          </cell>
        </row>
        <row r="959">
          <cell r="A959" t="str">
            <v>2.1.3.2</v>
          </cell>
          <cell r="B959">
            <v>5213421</v>
          </cell>
          <cell r="C959" t="str">
            <v>Confecção de placa em aço nº 16 galvanizado, com película tipo I + IV</v>
          </cell>
          <cell r="D959" t="str">
            <v xml:space="preserve">M2    </v>
          </cell>
          <cell r="E959">
            <v>3.8</v>
          </cell>
          <cell r="F959">
            <v>343.8</v>
          </cell>
          <cell r="G959">
            <v>424.9</v>
          </cell>
          <cell r="H959">
            <v>1614.62</v>
          </cell>
          <cell r="I959">
            <v>347.25</v>
          </cell>
          <cell r="J959">
            <v>408.26</v>
          </cell>
          <cell r="K959">
            <v>1551.39</v>
          </cell>
        </row>
        <row r="960">
          <cell r="A960" t="str">
            <v>2.1.3.3</v>
          </cell>
          <cell r="B960">
            <v>5216111</v>
          </cell>
          <cell r="C960" t="str">
            <v>FORNECIMENTO E IMPLANTAÇÃO DE SUPORTE E TRAVESSA PARA PLACA DE SINALIZAÇÃO EM MADEIRA DE LEI TRATADA 8 X 8 CM</v>
          </cell>
          <cell r="D960" t="str">
            <v>UND</v>
          </cell>
          <cell r="E960">
            <v>10</v>
          </cell>
          <cell r="F960">
            <v>119.1379</v>
          </cell>
          <cell r="G960">
            <v>147.24</v>
          </cell>
          <cell r="H960">
            <v>1472.4</v>
          </cell>
          <cell r="I960">
            <v>121.48</v>
          </cell>
          <cell r="J960">
            <v>142.82</v>
          </cell>
          <cell r="K960">
            <v>1428.2</v>
          </cell>
        </row>
        <row r="961">
          <cell r="A961" t="str">
            <v>2.1.3.4</v>
          </cell>
          <cell r="B961">
            <v>102512</v>
          </cell>
          <cell r="C961" t="str">
            <v>PINTURA DE EIXO VIÁRIO SOBRE ASFALTO COM TINTA RETRORREFLETIVA A BASE DE RESINA ACRÍLICA COM MICROESFERAS DE VIDRO, APLICAÇÃO MECÂNICA COM DEMARCADORA AUTOPROPELIDA. AF_05/2021</v>
          </cell>
          <cell r="D961" t="str">
            <v>M</v>
          </cell>
          <cell r="E961">
            <v>1281.1400000000001</v>
          </cell>
          <cell r="F961">
            <v>5.22</v>
          </cell>
          <cell r="G961">
            <v>6.45</v>
          </cell>
          <cell r="H961">
            <v>8263.35</v>
          </cell>
          <cell r="I961">
            <v>5.48</v>
          </cell>
          <cell r="J961">
            <v>6.44</v>
          </cell>
          <cell r="K961">
            <v>8250.5400000000009</v>
          </cell>
        </row>
        <row r="962">
          <cell r="A962" t="str">
            <v>2.1.3.5</v>
          </cell>
          <cell r="B962">
            <v>102513</v>
          </cell>
          <cell r="C962" t="str">
            <v>PINTURA DE SÍMBOLOS E TEXTOS COM TINTA ACRÍLICA, DEMARCAÇÃO COM FITA ADESIVA E APLICAÇÃO COM ROLO. AF_05/2021</v>
          </cell>
          <cell r="D962" t="str">
            <v>M2</v>
          </cell>
          <cell r="E962">
            <v>23.6</v>
          </cell>
          <cell r="F962">
            <v>39.49</v>
          </cell>
          <cell r="G962">
            <v>48.81</v>
          </cell>
          <cell r="H962">
            <v>1151.92</v>
          </cell>
          <cell r="I962">
            <v>42.79</v>
          </cell>
          <cell r="J962">
            <v>50.31</v>
          </cell>
          <cell r="K962">
            <v>1187.32</v>
          </cell>
        </row>
        <row r="963">
          <cell r="A963" t="str">
            <v>2.1.3.6</v>
          </cell>
          <cell r="B963">
            <v>5213395</v>
          </cell>
          <cell r="C963" t="str">
            <v>Tacha refletiva metálica - bidirecional tipo II - com dois pinos - fornecimento e colocação</v>
          </cell>
          <cell r="D963" t="str">
            <v>UND</v>
          </cell>
          <cell r="E963">
            <v>455</v>
          </cell>
          <cell r="F963">
            <v>35.15</v>
          </cell>
          <cell r="G963">
            <v>43.44</v>
          </cell>
          <cell r="H963">
            <v>19765.2</v>
          </cell>
          <cell r="I963">
            <v>35.619999999999997</v>
          </cell>
          <cell r="J963">
            <v>41.88</v>
          </cell>
          <cell r="K963">
            <v>19055.400000000001</v>
          </cell>
        </row>
        <row r="964">
          <cell r="A964" t="str">
            <v>2.1.3.7</v>
          </cell>
          <cell r="B964" t="str">
            <v>CP-72947-21572945</v>
          </cell>
          <cell r="C964" t="str">
            <v>SINALIZACAO HORIZONTAL COM TINTA RETRORREFLETIVA A BASE DE RESINA ACRILICA COM MICROESFERAS DE VIDRO</v>
          </cell>
          <cell r="D964" t="str">
            <v>M2</v>
          </cell>
          <cell r="E964">
            <v>223.35</v>
          </cell>
          <cell r="F964">
            <v>20.2</v>
          </cell>
          <cell r="G964">
            <v>24.97</v>
          </cell>
          <cell r="H964">
            <v>5577.05</v>
          </cell>
          <cell r="I964">
            <v>20.3</v>
          </cell>
          <cell r="J964">
            <v>23.87</v>
          </cell>
          <cell r="K964">
            <v>5331.36</v>
          </cell>
        </row>
        <row r="965">
          <cell r="A965" t="str">
            <v>Tabelas de Referência: SINAPI (JULHO-2022) / DNIT (ABRIL-22)</v>
          </cell>
          <cell r="H965">
            <v>13492874.65</v>
          </cell>
          <cell r="K965">
            <v>13147454.829999998</v>
          </cell>
        </row>
      </sheetData>
      <sheetData sheetId="2"/>
      <sheetData sheetId="3">
        <row r="124">
          <cell r="B124">
            <v>317.47000000000003</v>
          </cell>
        </row>
        <row r="125">
          <cell r="B125">
            <v>147.16</v>
          </cell>
        </row>
        <row r="126">
          <cell r="B126">
            <v>150.04</v>
          </cell>
        </row>
        <row r="128">
          <cell r="G128">
            <v>2121.4899999999998</v>
          </cell>
        </row>
        <row r="129">
          <cell r="G129">
            <v>2121.4899999999998</v>
          </cell>
        </row>
        <row r="138">
          <cell r="F138">
            <v>3366.55</v>
          </cell>
        </row>
        <row r="142">
          <cell r="B142">
            <v>56.91</v>
          </cell>
        </row>
        <row r="143">
          <cell r="B143">
            <v>36.159999999999997</v>
          </cell>
        </row>
        <row r="146">
          <cell r="B146">
            <v>77</v>
          </cell>
        </row>
        <row r="147">
          <cell r="F147">
            <v>3007.49</v>
          </cell>
        </row>
        <row r="241">
          <cell r="B241">
            <v>46.54</v>
          </cell>
        </row>
        <row r="243">
          <cell r="G243">
            <v>105.33</v>
          </cell>
        </row>
        <row r="253">
          <cell r="F253">
            <v>172.89</v>
          </cell>
        </row>
        <row r="254">
          <cell r="E254">
            <v>0.05</v>
          </cell>
        </row>
        <row r="257">
          <cell r="B257">
            <v>9.02</v>
          </cell>
        </row>
        <row r="258">
          <cell r="B258">
            <v>9.0300000000000011</v>
          </cell>
        </row>
        <row r="262">
          <cell r="F262">
            <v>123.1</v>
          </cell>
        </row>
        <row r="296">
          <cell r="B296">
            <v>50.44</v>
          </cell>
        </row>
        <row r="298">
          <cell r="G298">
            <v>201.3</v>
          </cell>
        </row>
        <row r="308">
          <cell r="F308">
            <v>280.07</v>
          </cell>
        </row>
        <row r="313">
          <cell r="B313">
            <v>1.81</v>
          </cell>
        </row>
        <row r="316">
          <cell r="B316">
            <v>2.8</v>
          </cell>
        </row>
        <row r="317">
          <cell r="F317">
            <v>212.65</v>
          </cell>
        </row>
        <row r="351">
          <cell r="B351">
            <v>53.879999999999995</v>
          </cell>
        </row>
        <row r="353">
          <cell r="G353">
            <v>137.07</v>
          </cell>
        </row>
        <row r="363">
          <cell r="F363">
            <v>238.17</v>
          </cell>
        </row>
        <row r="367">
          <cell r="B367">
            <v>17.2</v>
          </cell>
        </row>
        <row r="368">
          <cell r="B368">
            <v>5.48</v>
          </cell>
        </row>
        <row r="372">
          <cell r="F372">
            <v>179.25</v>
          </cell>
        </row>
        <row r="408">
          <cell r="G408">
            <v>1619.3</v>
          </cell>
        </row>
        <row r="418">
          <cell r="F418">
            <v>1726.62</v>
          </cell>
        </row>
        <row r="422">
          <cell r="B422">
            <v>11.03</v>
          </cell>
        </row>
        <row r="423">
          <cell r="B423">
            <v>34.540000000000006</v>
          </cell>
        </row>
        <row r="425">
          <cell r="B425">
            <v>17.63</v>
          </cell>
        </row>
        <row r="426">
          <cell r="B426">
            <v>19</v>
          </cell>
        </row>
        <row r="427">
          <cell r="F427">
            <v>1305.7</v>
          </cell>
        </row>
        <row r="461">
          <cell r="B461">
            <v>614.01</v>
          </cell>
        </row>
        <row r="463">
          <cell r="G463">
            <v>995.02</v>
          </cell>
        </row>
        <row r="464">
          <cell r="G464">
            <v>991.02</v>
          </cell>
        </row>
        <row r="466">
          <cell r="G466">
            <v>4</v>
          </cell>
        </row>
        <row r="476">
          <cell r="B476">
            <v>1220.7</v>
          </cell>
        </row>
        <row r="477">
          <cell r="B477">
            <v>41.38</v>
          </cell>
        </row>
        <row r="483">
          <cell r="F483">
            <v>2457.0500000000002</v>
          </cell>
        </row>
        <row r="484">
          <cell r="F484">
            <v>804.85</v>
          </cell>
        </row>
        <row r="516">
          <cell r="B516">
            <v>179.37</v>
          </cell>
        </row>
        <row r="518">
          <cell r="G518">
            <v>799.75</v>
          </cell>
        </row>
        <row r="528">
          <cell r="F528">
            <v>1196.9100000000001</v>
          </cell>
        </row>
        <row r="532">
          <cell r="B532">
            <v>32.130000000000003</v>
          </cell>
        </row>
        <row r="533">
          <cell r="B533">
            <v>47.08</v>
          </cell>
        </row>
        <row r="535">
          <cell r="B535">
            <v>20.46</v>
          </cell>
        </row>
        <row r="537">
          <cell r="F537">
            <v>727.35</v>
          </cell>
        </row>
        <row r="571">
          <cell r="B571">
            <v>116.97</v>
          </cell>
        </row>
        <row r="573">
          <cell r="G573">
            <v>559.36</v>
          </cell>
        </row>
        <row r="574">
          <cell r="G574">
            <v>559.33000000000004</v>
          </cell>
        </row>
        <row r="576">
          <cell r="G576">
            <v>0.03</v>
          </cell>
        </row>
        <row r="586">
          <cell r="B586">
            <v>233.93</v>
          </cell>
        </row>
        <row r="587">
          <cell r="B587">
            <v>6.07</v>
          </cell>
        </row>
        <row r="592">
          <cell r="F592">
            <v>366.76</v>
          </cell>
        </row>
        <row r="736">
          <cell r="B736">
            <v>118.58</v>
          </cell>
        </row>
        <row r="738">
          <cell r="G738">
            <v>598.61</v>
          </cell>
        </row>
        <row r="748">
          <cell r="F748">
            <v>801.92</v>
          </cell>
        </row>
        <row r="752">
          <cell r="B752">
            <v>51.7</v>
          </cell>
        </row>
        <row r="756">
          <cell r="B756">
            <v>98</v>
          </cell>
        </row>
        <row r="791">
          <cell r="B791">
            <v>312.86</v>
          </cell>
        </row>
        <row r="793">
          <cell r="G793">
            <v>797.81</v>
          </cell>
        </row>
        <row r="803">
          <cell r="F803">
            <v>1383.23</v>
          </cell>
        </row>
        <row r="812">
          <cell r="F812">
            <v>1440.41</v>
          </cell>
        </row>
        <row r="913">
          <cell r="F913">
            <v>956.37</v>
          </cell>
        </row>
        <row r="917">
          <cell r="B917">
            <v>13.58</v>
          </cell>
        </row>
        <row r="918">
          <cell r="B918">
            <v>53.070000000000007</v>
          </cell>
        </row>
        <row r="921">
          <cell r="B921">
            <v>16</v>
          </cell>
        </row>
        <row r="922">
          <cell r="F922">
            <v>808.97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Orçamentária"/>
      <sheetName val="Memória de Cálculo"/>
      <sheetName val="PARÂMETROS"/>
      <sheetName val="Cronograma"/>
      <sheetName val="Cronograma Unificado"/>
      <sheetName val="COMPOSIÇÕES"/>
      <sheetName val="REF PRECOS SINAPI SET 2019"/>
      <sheetName val="REF PRECOS ANP INSUMOS"/>
      <sheetName val="ÍNDICE DE CORREÇÃO"/>
      <sheetName val="DEP E REC "/>
      <sheetName val="BDI DESONERADO"/>
      <sheetName val="BDI N DESONERADO"/>
      <sheetName val="mapa cotação"/>
      <sheetName val="ABC - DESO"/>
      <sheetName val="ABC - NÃO DESO"/>
      <sheetName val="BASE"/>
      <sheetName val="Comp"/>
      <sheetName val="Insumos"/>
      <sheetName val="BDI materiais"/>
      <sheetName val="MODELO PCR"/>
    </sheetNames>
    <sheetDataSet>
      <sheetData sheetId="0"/>
      <sheetData sheetId="1">
        <row r="1">
          <cell r="A1" t="str">
            <v>PREFEITURA MUNICIPAL DO JABOATÃO DOS GUARARAPES</v>
          </cell>
          <cell r="B1"/>
          <cell r="C1"/>
          <cell r="D1"/>
          <cell r="E1"/>
          <cell r="F1"/>
          <cell r="G1"/>
          <cell r="H1"/>
          <cell r="I1"/>
          <cell r="J1"/>
          <cell r="K1"/>
        </row>
        <row r="2">
          <cell r="A2" t="str">
            <v>SECRETARIA DE INFRAESTRUTURA - SEINFRA</v>
          </cell>
          <cell r="B2"/>
          <cell r="C2"/>
          <cell r="D2"/>
          <cell r="E2"/>
          <cell r="F2"/>
          <cell r="G2"/>
          <cell r="H2"/>
          <cell r="I2"/>
          <cell r="J2"/>
          <cell r="K2"/>
        </row>
        <row r="3">
          <cell r="A3" t="str">
            <v>SECRETARIA EXECUTIVA DE OBRAS</v>
          </cell>
          <cell r="B3"/>
          <cell r="C3"/>
          <cell r="D3"/>
          <cell r="E3"/>
          <cell r="F3"/>
          <cell r="G3"/>
          <cell r="H3"/>
          <cell r="I3"/>
          <cell r="J3"/>
          <cell r="K3"/>
        </row>
        <row r="4">
          <cell r="A4"/>
          <cell r="B4"/>
          <cell r="C4"/>
          <cell r="D4"/>
          <cell r="E4"/>
          <cell r="F4"/>
          <cell r="G4"/>
          <cell r="H4"/>
          <cell r="I4"/>
          <cell r="J4"/>
          <cell r="K4"/>
        </row>
        <row r="5">
          <cell r="A5" t="str">
            <v>PLANILHA REFERENCIA</v>
          </cell>
          <cell r="B5"/>
          <cell r="C5"/>
          <cell r="D5"/>
          <cell r="E5"/>
          <cell r="F5"/>
          <cell r="G5"/>
          <cell r="H5"/>
          <cell r="I5"/>
          <cell r="J5"/>
          <cell r="K5"/>
        </row>
        <row r="6">
          <cell r="A6" t="str">
            <v>Objeto:  PAVIMENTAÇÃO E DRENAGEM, RECAPEAMENTO, CONTENÇÃO DE ENCOSTAS, ADEQUAÇÃO DE VIAS, CICLOFAIXA, PONTES E TRAVESSIAS EM DESNÍVEL, DEMOLIÇÃO E REMOÇÃO DE PAVIMENTOS EM DIVERSOS BAIRROS</v>
          </cell>
          <cell r="B6"/>
          <cell r="C6"/>
          <cell r="D6"/>
          <cell r="E6"/>
          <cell r="F6"/>
          <cell r="G6"/>
          <cell r="H6"/>
          <cell r="I6"/>
          <cell r="J6"/>
          <cell r="K6"/>
        </row>
        <row r="7">
          <cell r="A7" t="str">
            <v>Local: Jaboatão dos Guararapes</v>
          </cell>
          <cell r="B7"/>
          <cell r="C7"/>
          <cell r="D7"/>
          <cell r="E7"/>
          <cell r="F7"/>
          <cell r="G7" t="str">
            <v>SINAPI-JULHO/22</v>
          </cell>
          <cell r="H7"/>
          <cell r="I7"/>
          <cell r="J7"/>
          <cell r="K7"/>
        </row>
        <row r="8">
          <cell r="A8" t="str">
            <v>Data: SETEMBRO/2022</v>
          </cell>
          <cell r="B8"/>
          <cell r="C8"/>
          <cell r="D8"/>
          <cell r="E8"/>
          <cell r="F8"/>
          <cell r="G8" t="str">
            <v>BDI DESONERADO:</v>
          </cell>
          <cell r="H8"/>
          <cell r="I8">
            <v>0.2359</v>
          </cell>
          <cell r="J8" t="str">
            <v>BDI DESONERADO EQUIPAMENTO:</v>
          </cell>
          <cell r="K8">
            <v>0.15459999999999999</v>
          </cell>
        </row>
        <row r="9">
          <cell r="A9"/>
          <cell r="B9"/>
          <cell r="C9"/>
          <cell r="D9"/>
          <cell r="E9"/>
          <cell r="F9"/>
          <cell r="G9" t="str">
            <v>BDI NÃO DESONERADO:</v>
          </cell>
          <cell r="H9"/>
          <cell r="I9">
            <v>0.1757</v>
          </cell>
          <cell r="J9" t="str">
            <v>BDI NÃO DESONERADO EQUIPAMENTO:</v>
          </cell>
          <cell r="K9">
            <v>0.1007</v>
          </cell>
        </row>
        <row r="10">
          <cell r="A10" t="str">
            <v>Ítem</v>
          </cell>
          <cell r="B10" t="str">
            <v>Código</v>
          </cell>
          <cell r="C10" t="str">
            <v>DISCRIMINAÇÃO</v>
          </cell>
          <cell r="D10" t="str">
            <v>Und</v>
          </cell>
          <cell r="E10" t="str">
            <v>Qtd</v>
          </cell>
          <cell r="F10" t="str">
            <v>PREÇO DESONERADO</v>
          </cell>
          <cell r="G10"/>
          <cell r="H10"/>
          <cell r="I10" t="str">
            <v>PREÇO NÃO DESONERADO</v>
          </cell>
          <cell r="J10"/>
          <cell r="K10"/>
        </row>
        <row r="11">
          <cell r="A11"/>
          <cell r="B11"/>
          <cell r="C11"/>
          <cell r="D11"/>
          <cell r="E11"/>
          <cell r="F11" t="str">
            <v>SEM BDI</v>
          </cell>
          <cell r="G11" t="str">
            <v>COM BDI</v>
          </cell>
          <cell r="H11" t="str">
            <v>TOTAL (R$)</v>
          </cell>
          <cell r="I11" t="str">
            <v>SEM BDI</v>
          </cell>
          <cell r="J11" t="str">
            <v>COM BDI</v>
          </cell>
          <cell r="K11" t="str">
            <v>TOTAL (R$)</v>
          </cell>
        </row>
        <row r="12">
          <cell r="A12" t="str">
            <v>1.0</v>
          </cell>
          <cell r="B12" t="str">
            <v>PAVIMENTAÇÃO</v>
          </cell>
          <cell r="C12"/>
          <cell r="D12"/>
          <cell r="E12"/>
          <cell r="F12"/>
          <cell r="G12"/>
          <cell r="H12"/>
          <cell r="I12"/>
          <cell r="J12"/>
          <cell r="K12"/>
        </row>
        <row r="13">
          <cell r="A13" t="str">
            <v>1.1</v>
          </cell>
          <cell r="B13"/>
          <cell r="C13" t="str">
            <v>RUA EQUADOR - CAJUEIRO SECO</v>
          </cell>
          <cell r="D13"/>
          <cell r="E13"/>
          <cell r="F13"/>
          <cell r="G13"/>
          <cell r="H13">
            <v>1086418.82</v>
          </cell>
          <cell r="I13"/>
          <cell r="J13"/>
          <cell r="K13">
            <v>1061838.79</v>
          </cell>
        </row>
        <row r="14">
          <cell r="A14" t="str">
            <v>1.1.1</v>
          </cell>
          <cell r="B14"/>
          <cell r="C14" t="str">
            <v>INSTALAÇÕES PROVISÓRIAS</v>
          </cell>
          <cell r="D14"/>
          <cell r="E14"/>
          <cell r="F14"/>
          <cell r="G14"/>
          <cell r="H14">
            <v>10711.26</v>
          </cell>
          <cell r="I14"/>
          <cell r="J14"/>
          <cell r="K14">
            <v>10252.02</v>
          </cell>
        </row>
        <row r="15">
          <cell r="A15" t="str">
            <v>1.1.1.1</v>
          </cell>
          <cell r="B15" t="str">
            <v>CP-74209/001-15055090</v>
          </cell>
          <cell r="C15" t="str">
            <v>PLACA DE OBRA EM CHAPA DE ACO GALVANIZADO</v>
          </cell>
          <cell r="D15" t="str">
            <v xml:space="preserve">M2    </v>
          </cell>
          <cell r="E15">
            <v>8</v>
          </cell>
          <cell r="F15">
            <v>558.35</v>
          </cell>
          <cell r="G15">
            <v>690.06</v>
          </cell>
          <cell r="H15">
            <v>5520.48</v>
          </cell>
          <cell r="I15">
            <v>564.99</v>
          </cell>
          <cell r="J15">
            <v>664.26</v>
          </cell>
          <cell r="K15">
            <v>5314.08</v>
          </cell>
        </row>
        <row r="16">
          <cell r="A16" t="str">
            <v>1.1.1.2</v>
          </cell>
          <cell r="B16" t="str">
            <v>COMP-07440249</v>
          </cell>
          <cell r="C16" t="str">
            <v>BANHEIRO QUÍMICO, COM LOCAÇÃO, TRANSPORTE E LIMPEZA</v>
          </cell>
          <cell r="D16" t="str">
            <v>MÊS</v>
          </cell>
          <cell r="E16">
            <v>6</v>
          </cell>
          <cell r="F16">
            <v>700</v>
          </cell>
          <cell r="G16">
            <v>865.13</v>
          </cell>
          <cell r="H16">
            <v>5190.78</v>
          </cell>
          <cell r="I16">
            <v>700</v>
          </cell>
          <cell r="J16">
            <v>822.99</v>
          </cell>
          <cell r="K16">
            <v>4937.9399999999996</v>
          </cell>
        </row>
        <row r="17">
          <cell r="A17" t="str">
            <v>1.1.2</v>
          </cell>
          <cell r="B17"/>
          <cell r="C17" t="str">
            <v>ADMINISTRAÇÃO LOCAL</v>
          </cell>
          <cell r="D17"/>
          <cell r="E17"/>
          <cell r="F17"/>
          <cell r="G17"/>
          <cell r="H17">
            <v>35021.089999999997</v>
          </cell>
          <cell r="I17"/>
          <cell r="J17"/>
          <cell r="K17">
            <v>38363.51</v>
          </cell>
        </row>
        <row r="18">
          <cell r="A18" t="str">
            <v>1.1.2.1</v>
          </cell>
          <cell r="B18">
            <v>93565</v>
          </cell>
          <cell r="C18" t="str">
            <v>ENGENHEIRO CIVIL DE OBRA JUNIOR COM ENCARGOS COMPLEMENTARES</v>
          </cell>
          <cell r="D18" t="str">
            <v>MES</v>
          </cell>
          <cell r="E18">
            <v>0.75</v>
          </cell>
          <cell r="F18">
            <v>14549.96</v>
          </cell>
          <cell r="G18">
            <v>17982.3</v>
          </cell>
          <cell r="H18">
            <v>13486.73</v>
          </cell>
          <cell r="I18">
            <v>16819.14</v>
          </cell>
          <cell r="J18">
            <v>19774.259999999998</v>
          </cell>
          <cell r="K18">
            <v>14830.7</v>
          </cell>
        </row>
        <row r="19">
          <cell r="A19" t="str">
            <v>1.1.2.2</v>
          </cell>
          <cell r="B19">
            <v>93572</v>
          </cell>
          <cell r="C19" t="str">
            <v>ENCARREGADO GERAL DE OBRAS COM ENCARGOS COMPLEMENTARES</v>
          </cell>
          <cell r="D19" t="str">
            <v>MES</v>
          </cell>
          <cell r="E19">
            <v>3</v>
          </cell>
          <cell r="F19">
            <v>5808.01</v>
          </cell>
          <cell r="G19">
            <v>7178.12</v>
          </cell>
          <cell r="H19">
            <v>21534.36</v>
          </cell>
          <cell r="I19">
            <v>6672</v>
          </cell>
          <cell r="J19">
            <v>7844.27</v>
          </cell>
          <cell r="K19">
            <v>23532.81</v>
          </cell>
        </row>
        <row r="20">
          <cell r="A20" t="str">
            <v>1.1.3</v>
          </cell>
          <cell r="B20"/>
          <cell r="C20" t="str">
            <v>SERVIÇOS PRELIMINARES</v>
          </cell>
          <cell r="D20"/>
          <cell r="E20"/>
          <cell r="F20"/>
          <cell r="G20"/>
          <cell r="H20">
            <v>69199.789999999994</v>
          </cell>
          <cell r="I20"/>
          <cell r="J20"/>
          <cell r="K20">
            <v>72916.73</v>
          </cell>
        </row>
        <row r="21">
          <cell r="A21" t="str">
            <v>1.1.3.1</v>
          </cell>
          <cell r="B21">
            <v>99064</v>
          </cell>
          <cell r="C21" t="str">
            <v>LOCAÇÃO DE PAVIMENTAÇÃO. AF_10/2018</v>
          </cell>
          <cell r="D21" t="str">
            <v>M</v>
          </cell>
          <cell r="E21">
            <v>614.66999999999996</v>
          </cell>
          <cell r="F21">
            <v>0.43</v>
          </cell>
          <cell r="G21">
            <v>0.53</v>
          </cell>
          <cell r="H21">
            <v>325.77999999999997</v>
          </cell>
          <cell r="I21">
            <v>0.49</v>
          </cell>
          <cell r="J21">
            <v>0.57999999999999996</v>
          </cell>
          <cell r="K21">
            <v>356.51</v>
          </cell>
        </row>
        <row r="22">
          <cell r="A22" t="str">
            <v>1.1.3.2</v>
          </cell>
          <cell r="B22" t="str">
            <v>COMP-17562084</v>
          </cell>
          <cell r="C22" t="str">
            <v>DEMOLIÇÃO MANUAL DE CONCRETO SIMPLES</v>
          </cell>
          <cell r="D22" t="str">
            <v>M3</v>
          </cell>
          <cell r="E22">
            <v>211.49</v>
          </cell>
          <cell r="F22">
            <v>190.89</v>
          </cell>
          <cell r="G22">
            <v>235.92</v>
          </cell>
          <cell r="H22">
            <v>49894.720000000001</v>
          </cell>
          <cell r="I22">
            <v>212.24</v>
          </cell>
          <cell r="J22">
            <v>249.53</v>
          </cell>
          <cell r="K22">
            <v>52773.1</v>
          </cell>
        </row>
        <row r="23">
          <cell r="A23" t="str">
            <v>1.1.3.3</v>
          </cell>
          <cell r="B23" t="str">
            <v>COMP-01471766</v>
          </cell>
          <cell r="C23" t="str">
            <v>DEMOLIÇÃO DE MEIO-FIO</v>
          </cell>
          <cell r="D23" t="str">
            <v>M</v>
          </cell>
          <cell r="E23">
            <v>1279.92</v>
          </cell>
          <cell r="F23">
            <v>10.02</v>
          </cell>
          <cell r="G23">
            <v>12.38</v>
          </cell>
          <cell r="H23">
            <v>15845.41</v>
          </cell>
          <cell r="I23">
            <v>11.13</v>
          </cell>
          <cell r="J23">
            <v>13.09</v>
          </cell>
          <cell r="K23">
            <v>16754.150000000001</v>
          </cell>
        </row>
        <row r="24">
          <cell r="A24" t="str">
            <v>1.1.3.4</v>
          </cell>
          <cell r="B24" t="str">
            <v>COMP-35145154</v>
          </cell>
          <cell r="C24" t="str">
            <v>CARGA E DESCARGA MECANICA DE SOLO UTILIZANDO CAMINHAO BASCULANTE 14,0M3/36T E PA CARREGADEIRA SOBRE PNEUS 128 HP, CAPACIDADE DA CAÇAMBA 1,7 A 2,8 M3, PESO OPERACIONAL 11632 KH</v>
          </cell>
          <cell r="D24" t="str">
            <v>M3</v>
          </cell>
          <cell r="E24">
            <v>336.36</v>
          </cell>
          <cell r="F24">
            <v>2.83</v>
          </cell>
          <cell r="G24">
            <v>3.5</v>
          </cell>
          <cell r="H24">
            <v>1177.26</v>
          </cell>
          <cell r="I24">
            <v>2.9</v>
          </cell>
          <cell r="J24">
            <v>3.41</v>
          </cell>
          <cell r="K24">
            <v>1146.99</v>
          </cell>
        </row>
        <row r="25">
          <cell r="A25" t="str">
            <v>1.1.3.5</v>
          </cell>
          <cell r="B25">
            <v>95876</v>
          </cell>
          <cell r="C25" t="str">
            <v>TRANSPORTE COM CAMINHÃO BASCULANTE DE 14 M³, EM VIA URBANA PAVIMENTADA, DMT ATÉ 30 KM (UNIDADE: M3XKM). AF_07/2020</v>
          </cell>
          <cell r="D25" t="str">
            <v>M3XKM</v>
          </cell>
          <cell r="E25">
            <v>706.36</v>
          </cell>
          <cell r="F25">
            <v>2.2400000000000002</v>
          </cell>
          <cell r="G25">
            <v>2.77</v>
          </cell>
          <cell r="H25">
            <v>1956.62</v>
          </cell>
          <cell r="I25">
            <v>2.27</v>
          </cell>
          <cell r="J25">
            <v>2.67</v>
          </cell>
          <cell r="K25">
            <v>1885.98</v>
          </cell>
        </row>
        <row r="26">
          <cell r="A26" t="str">
            <v>1.1.4</v>
          </cell>
          <cell r="B26"/>
          <cell r="C26" t="str">
            <v>TERRAPLANAGEM</v>
          </cell>
          <cell r="D26"/>
          <cell r="E26"/>
          <cell r="F26"/>
          <cell r="G26"/>
          <cell r="H26">
            <v>31368.87</v>
          </cell>
          <cell r="I26"/>
          <cell r="J26"/>
          <cell r="K26">
            <v>30382.37</v>
          </cell>
        </row>
        <row r="27">
          <cell r="A27" t="str">
            <v>1.1.4.1</v>
          </cell>
          <cell r="B27" t="str">
            <v>CP-74205/001-17324935</v>
          </cell>
          <cell r="C27" t="str">
            <v>ESCAVAÇÃO MECÂNICA DE MATERIAL 1A. CATEGORIA, PROVENIENTE DE CORTE DE SUBLEITO (C/TRATOR ESTEIRAS  160HP)</v>
          </cell>
          <cell r="D27" t="str">
            <v>M3</v>
          </cell>
          <cell r="E27">
            <v>2121.4899999999998</v>
          </cell>
          <cell r="F27">
            <v>2.54</v>
          </cell>
          <cell r="G27">
            <v>3.14</v>
          </cell>
          <cell r="H27">
            <v>6661.48</v>
          </cell>
          <cell r="I27">
            <v>2.59</v>
          </cell>
          <cell r="J27">
            <v>3.05</v>
          </cell>
          <cell r="K27">
            <v>6470.54</v>
          </cell>
        </row>
        <row r="28">
          <cell r="A28" t="str">
            <v>1.1.4.2</v>
          </cell>
          <cell r="B28" t="str">
            <v>COMP-35145154</v>
          </cell>
          <cell r="C28" t="str">
            <v>CARGA E DESCARGA MECANICA DE SOLO UTILIZANDO CAMINHAO BASCULANTE 14,0M3/36T E PA CARREGADEIRA SOBRE PNEUS 128 HP, CAPACIDADE DA CAÇAMBA 1,7 A 2,8 M3, PESO OPERACIONAL 11632 KH</v>
          </cell>
          <cell r="D28" t="str">
            <v>M3</v>
          </cell>
          <cell r="E28">
            <v>2651.86</v>
          </cell>
          <cell r="F28">
            <v>2.83</v>
          </cell>
          <cell r="G28">
            <v>3.5</v>
          </cell>
          <cell r="H28">
            <v>9281.51</v>
          </cell>
          <cell r="I28">
            <v>2.9</v>
          </cell>
          <cell r="J28">
            <v>3.41</v>
          </cell>
          <cell r="K28">
            <v>9042.84</v>
          </cell>
        </row>
        <row r="29">
          <cell r="A29" t="str">
            <v>1.1.4.3</v>
          </cell>
          <cell r="B29">
            <v>95876</v>
          </cell>
          <cell r="C29" t="str">
            <v>TRANSPORTE COM CAMINHÃO BASCULANTE DE 14 M³, EM VIA URBANA PAVIMENTADA, DMT ATÉ 30 KM (UNIDADE: M3XKM). AF_07/2020</v>
          </cell>
          <cell r="D29" t="str">
            <v>M3XKM</v>
          </cell>
          <cell r="E29">
            <v>5568.91</v>
          </cell>
          <cell r="F29">
            <v>2.2400000000000002</v>
          </cell>
          <cell r="G29">
            <v>2.77</v>
          </cell>
          <cell r="H29">
            <v>15425.88</v>
          </cell>
          <cell r="I29">
            <v>2.27</v>
          </cell>
          <cell r="J29">
            <v>2.67</v>
          </cell>
          <cell r="K29">
            <v>14868.99</v>
          </cell>
        </row>
        <row r="30">
          <cell r="A30" t="str">
            <v>1.1.5</v>
          </cell>
          <cell r="B30"/>
          <cell r="C30" t="str">
            <v>PAVIMENTAÇÃO</v>
          </cell>
          <cell r="D30"/>
          <cell r="E30"/>
          <cell r="F30"/>
          <cell r="G30"/>
          <cell r="H30">
            <v>233065.57</v>
          </cell>
          <cell r="I30"/>
          <cell r="J30"/>
          <cell r="K30">
            <v>230771.49</v>
          </cell>
        </row>
        <row r="31">
          <cell r="A31" t="str">
            <v>1.1.5.1</v>
          </cell>
          <cell r="B31">
            <v>100576</v>
          </cell>
          <cell r="C31" t="str">
            <v>REGULARIZAÇÃO E COMPACTAÇÃO DE SUBLEITO DE SOLO  PREDOMINANTEMENTE ARGILOSO. AF_11/2019</v>
          </cell>
          <cell r="D31" t="str">
            <v>M2</v>
          </cell>
          <cell r="E31">
            <v>4302.6899999999996</v>
          </cell>
          <cell r="F31">
            <v>2.64</v>
          </cell>
          <cell r="G31">
            <v>3.26</v>
          </cell>
          <cell r="H31">
            <v>14026.77</v>
          </cell>
          <cell r="I31">
            <v>2.79</v>
          </cell>
          <cell r="J31">
            <v>3.28</v>
          </cell>
          <cell r="K31">
            <v>14112.82</v>
          </cell>
        </row>
        <row r="32">
          <cell r="A32" t="str">
            <v>1.1.5.2</v>
          </cell>
          <cell r="B32" t="str">
            <v>COMP-28881239</v>
          </cell>
          <cell r="C32" t="str">
            <v>Base ou sub-base de macadame hidráulico com brita comercial - EXCLUSIVE MATERIAL, CARGA E TRANSPORTE - NÃO DESONERADO</v>
          </cell>
          <cell r="D32" t="str">
            <v>M3</v>
          </cell>
          <cell r="E32">
            <v>553.20000000000005</v>
          </cell>
          <cell r="F32">
            <v>11.24</v>
          </cell>
          <cell r="G32">
            <v>13.89</v>
          </cell>
          <cell r="H32">
            <v>7683.95</v>
          </cell>
          <cell r="I32">
            <v>11.4</v>
          </cell>
          <cell r="J32">
            <v>13.4</v>
          </cell>
          <cell r="K32">
            <v>7412.88</v>
          </cell>
        </row>
        <row r="33">
          <cell r="A33" t="str">
            <v>1.1.5.3</v>
          </cell>
          <cell r="B33" t="str">
            <v>CP-96396-26507981</v>
          </cell>
          <cell r="C33" t="str">
            <v>EXECUÇÃO E COMPACTAÇÃO DE BASE E OU SUB BASE PARA PAVIMENTAÇÃO DE BRITA GRADUADA SIMPLES - EXCLUSIVE MATERIAL, CARGA E TRANSPORTE</v>
          </cell>
          <cell r="D33" t="str">
            <v>M3</v>
          </cell>
          <cell r="E33">
            <v>614.66999999999996</v>
          </cell>
          <cell r="F33">
            <v>13.86</v>
          </cell>
          <cell r="G33">
            <v>17.13</v>
          </cell>
          <cell r="H33">
            <v>10529.3</v>
          </cell>
          <cell r="I33">
            <v>14.44</v>
          </cell>
          <cell r="J33">
            <v>16.98</v>
          </cell>
          <cell r="K33">
            <v>10437.1</v>
          </cell>
        </row>
        <row r="34">
          <cell r="A34" t="str">
            <v>1.1.5.4</v>
          </cell>
          <cell r="B34" t="str">
            <v>COMP-35145154</v>
          </cell>
          <cell r="C34" t="str">
            <v>CARGA E DESCARGA MECANICA DE SOLO UTILIZANDO CAMINHAO BASCULANTE 14,0M3/36T E PA CARREGADEIRA SOBRE PNEUS 128 HP, CAPACIDADE DA CAÇAMBA 1,7 A 2,8 M3, PESO OPERACIONAL 11632 KH</v>
          </cell>
          <cell r="D34" t="str">
            <v>M3</v>
          </cell>
          <cell r="E34">
            <v>1459.84</v>
          </cell>
          <cell r="F34">
            <v>2.83</v>
          </cell>
          <cell r="G34">
            <v>3.5</v>
          </cell>
          <cell r="H34">
            <v>5109.4399999999996</v>
          </cell>
          <cell r="I34">
            <v>2.9</v>
          </cell>
          <cell r="J34">
            <v>3.41</v>
          </cell>
          <cell r="K34">
            <v>4978.05</v>
          </cell>
        </row>
        <row r="35">
          <cell r="A35" t="str">
            <v>1.1.5.5</v>
          </cell>
          <cell r="B35" t="str">
            <v>COMP-83526730</v>
          </cell>
          <cell r="C35" t="str">
            <v>TRANSPORTE COMERCIAL DE BRITA</v>
          </cell>
          <cell r="D35" t="str">
            <v>M3XKM</v>
          </cell>
          <cell r="E35">
            <v>10218.879999999999</v>
          </cell>
          <cell r="F35">
            <v>1.36</v>
          </cell>
          <cell r="G35">
            <v>1.68</v>
          </cell>
          <cell r="H35">
            <v>17167.72</v>
          </cell>
          <cell r="I35">
            <v>1.37</v>
          </cell>
          <cell r="J35">
            <v>1.61</v>
          </cell>
          <cell r="K35">
            <v>16452.400000000001</v>
          </cell>
        </row>
        <row r="36">
          <cell r="A36" t="str">
            <v>1.1.5.6</v>
          </cell>
          <cell r="B36" t="str">
            <v>CP-96401-52745838</v>
          </cell>
          <cell r="C36" t="str">
            <v>EXECUÇÃO DE IMPRIMAÇÃO COM ASFALTO DILUÍDO CM-30, EXCLUSIVE MATERIAL.</v>
          </cell>
          <cell r="D36" t="str">
            <v>M2</v>
          </cell>
          <cell r="E36">
            <v>3068.17</v>
          </cell>
          <cell r="F36">
            <v>1.18</v>
          </cell>
          <cell r="G36">
            <v>1.46</v>
          </cell>
          <cell r="H36">
            <v>4479.53</v>
          </cell>
          <cell r="I36">
            <v>1.24</v>
          </cell>
          <cell r="J36">
            <v>1.46</v>
          </cell>
          <cell r="K36">
            <v>4479.53</v>
          </cell>
        </row>
        <row r="37">
          <cell r="A37" t="str">
            <v>1.1.5.7</v>
          </cell>
          <cell r="B37" t="str">
            <v>CP-95995-51339760</v>
          </cell>
          <cell r="C37" t="str">
            <v>EXECUÇÃO DE PAVIMENTO COM APLICAÇÃO DE CONCRETO ASFÁLTICO, CAMADA DE ROLAMENTO - EXCLUSIVE CARGA E TRANSPORTE E CONCRETO BETUMINOSO</v>
          </cell>
          <cell r="D37" t="str">
            <v>M3</v>
          </cell>
          <cell r="E37">
            <v>153.41</v>
          </cell>
          <cell r="F37">
            <v>127.58</v>
          </cell>
          <cell r="G37">
            <v>157.68</v>
          </cell>
          <cell r="H37">
            <v>24189.69</v>
          </cell>
          <cell r="I37">
            <v>133.37</v>
          </cell>
          <cell r="J37">
            <v>156.80000000000001</v>
          </cell>
          <cell r="K37">
            <v>24054.69</v>
          </cell>
        </row>
        <row r="38">
          <cell r="A38" t="str">
            <v>1.1.5.8</v>
          </cell>
          <cell r="B38" t="str">
            <v>COMP-10034101</v>
          </cell>
          <cell r="C38" t="str">
            <v>CARGA, MANOBRAS E DESCARGA DE MISTURA BETUMINOSA A QUENTE, COM CAMINHAO BASCULANTE 6 M3, DESCARGA EM VIBRO-ACABADORA</v>
          </cell>
          <cell r="D38" t="str">
            <v>M3</v>
          </cell>
          <cell r="E38">
            <v>153.41</v>
          </cell>
          <cell r="F38">
            <v>7.74</v>
          </cell>
          <cell r="G38">
            <v>9.57</v>
          </cell>
          <cell r="H38">
            <v>1468.13</v>
          </cell>
          <cell r="I38">
            <v>7.86</v>
          </cell>
          <cell r="J38">
            <v>9.24</v>
          </cell>
          <cell r="K38">
            <v>1417.51</v>
          </cell>
        </row>
        <row r="39">
          <cell r="A39" t="str">
            <v>1.1.5.9</v>
          </cell>
          <cell r="B39" t="str">
            <v>CP-95303-56931542</v>
          </cell>
          <cell r="C39" t="str">
            <v>TRANSPORTE COM CAMINHÃO BASCULANTE 10 M3 DE MASSA ASFALTICA PARA PAVIMENTAÇÃO URBANA</v>
          </cell>
          <cell r="D39" t="str">
            <v>M3XKM</v>
          </cell>
          <cell r="E39">
            <v>2316.4899999999998</v>
          </cell>
          <cell r="F39">
            <v>1.75</v>
          </cell>
          <cell r="G39">
            <v>2.16</v>
          </cell>
          <cell r="H39">
            <v>5003.62</v>
          </cell>
          <cell r="I39">
            <v>1.77</v>
          </cell>
          <cell r="J39">
            <v>2.08</v>
          </cell>
          <cell r="K39">
            <v>4818.3</v>
          </cell>
        </row>
        <row r="40">
          <cell r="A40" t="str">
            <v>1.1.5.10</v>
          </cell>
          <cell r="B40" t="str">
            <v>CP-97084-89637704</v>
          </cell>
          <cell r="C40" t="str">
            <v>REGULARIZACAO E COMPACTAÇÃO MANUAL DE TERRENO COM PLACA VIBRATÓRIA</v>
          </cell>
          <cell r="D40" t="str">
            <v>M2</v>
          </cell>
          <cell r="E40">
            <v>3007.49</v>
          </cell>
          <cell r="F40">
            <v>0.59</v>
          </cell>
          <cell r="G40">
            <v>0.73</v>
          </cell>
          <cell r="H40">
            <v>2195.4699999999998</v>
          </cell>
          <cell r="I40">
            <v>0.65</v>
          </cell>
          <cell r="J40">
            <v>0.76</v>
          </cell>
          <cell r="K40">
            <v>2285.69</v>
          </cell>
        </row>
        <row r="41">
          <cell r="A41" t="str">
            <v>1.1.5.11</v>
          </cell>
          <cell r="B41" t="str">
            <v>CP-94991-12549457</v>
          </cell>
          <cell r="C41" t="str">
            <v>EXECUÇÃO DE PASSEIO (CALÇADA) OU PISO DE CONCRETO COM CONCRETO MOLDADO IN LOCO, USINADO, ACABAMENTO CONVENCIONAL, NÃO ARMADO - EXCLUINDO O CONCRETO USINADO 20MPA</v>
          </cell>
          <cell r="D41" t="str">
            <v>M3</v>
          </cell>
          <cell r="E41">
            <v>208.83</v>
          </cell>
          <cell r="F41">
            <v>104.6</v>
          </cell>
          <cell r="G41">
            <v>129.28</v>
          </cell>
          <cell r="H41">
            <v>26997.54</v>
          </cell>
          <cell r="I41">
            <v>112.75</v>
          </cell>
          <cell r="J41">
            <v>132.56</v>
          </cell>
          <cell r="K41">
            <v>27682.5</v>
          </cell>
        </row>
        <row r="42">
          <cell r="A42" t="str">
            <v>1.1.5.12</v>
          </cell>
          <cell r="B42">
            <v>94273</v>
          </cell>
          <cell r="C42" t="str">
            <v>ASSENTAMENTO DE GUIA (MEIO-FIO) EM TRECHO RETO, CONFECCIONADA EM CONCRETO PRÉ-FABRICADO, DIMENSÕES 100X15X13X30 CM (COMPRIMENTO X BASE INFERIOR X BASE SUPERIOR X ALTURA), PARA VIAS URBANAS (USO VIÁRIO). AF_06/2016</v>
          </cell>
          <cell r="D42" t="str">
            <v>M</v>
          </cell>
          <cell r="E42">
            <v>1282.3800000000001</v>
          </cell>
          <cell r="F42">
            <v>54.61</v>
          </cell>
          <cell r="G42">
            <v>67.489999999999995</v>
          </cell>
          <cell r="H42">
            <v>86547.83</v>
          </cell>
          <cell r="I42">
            <v>56.47</v>
          </cell>
          <cell r="J42">
            <v>66.39</v>
          </cell>
          <cell r="K42">
            <v>85137.21</v>
          </cell>
        </row>
        <row r="43">
          <cell r="A43" t="str">
            <v>1.1.5.13</v>
          </cell>
          <cell r="B43">
            <v>94274</v>
          </cell>
          <cell r="C43" t="str">
            <v>ASSENTAMENTO DE GUIA (MEIO-FIO) EM TRECHO CURVO, CONFECCIONADA EM CONCRETO PRÉ-FABRICADO, DIMENSÕES 100X15X13X30 CM (COMPRIMENTO X BASE INFERIOR X BASE SUPERIOR X ALTURA), PARA VIAS URBANAS (USO VIÁRIO). AF_06/2016</v>
          </cell>
          <cell r="D43" t="str">
            <v>M</v>
          </cell>
          <cell r="E43">
            <v>36.159999999999997</v>
          </cell>
          <cell r="F43">
            <v>58.17</v>
          </cell>
          <cell r="G43">
            <v>71.89</v>
          </cell>
          <cell r="H43">
            <v>2599.54</v>
          </cell>
          <cell r="I43">
            <v>60.43</v>
          </cell>
          <cell r="J43">
            <v>71.05</v>
          </cell>
          <cell r="K43">
            <v>2569.17</v>
          </cell>
        </row>
        <row r="44">
          <cell r="A44" t="str">
            <v>1.1.5.14</v>
          </cell>
          <cell r="B44">
            <v>94275</v>
          </cell>
          <cell r="C44" t="str">
            <v>ASSENTAMENTO DE GUIA (MEIO-FIO) EM TRECHO RETO, CONFECCIONADA EM CONCRETO PRÉ-FABRICADO, DIMENSÕES 100X15X13X20 CM (COMPRIMENTO X BASE INFERIOR X BASE SUPERIOR X ALTURA), PARA URBANIZAÇÃO INTERNA DE EMPREENDIMENTOS. AF_06/2016_P</v>
          </cell>
          <cell r="D44" t="str">
            <v>M</v>
          </cell>
          <cell r="E44">
            <v>77</v>
          </cell>
          <cell r="F44">
            <v>52.64</v>
          </cell>
          <cell r="G44">
            <v>65.06</v>
          </cell>
          <cell r="H44">
            <v>5009.62</v>
          </cell>
          <cell r="I44">
            <v>54.31</v>
          </cell>
          <cell r="J44">
            <v>63.85</v>
          </cell>
          <cell r="K44">
            <v>4916.45</v>
          </cell>
        </row>
        <row r="45">
          <cell r="A45" t="str">
            <v>1.1.5.15</v>
          </cell>
          <cell r="B45">
            <v>94287</v>
          </cell>
          <cell r="C45" t="str">
            <v>EXECUÇÃO DE SARJETA DE CONCRETO USINADO, MOLDADA  IN LOCO  EM TRECHO RETO, 30 CM BASE X 10 CM ALTURA. AF_06/2016</v>
          </cell>
          <cell r="D45" t="str">
            <v>M</v>
          </cell>
          <cell r="E45">
            <v>330.83</v>
          </cell>
          <cell r="F45">
            <v>37.69</v>
          </cell>
          <cell r="G45">
            <v>46.58</v>
          </cell>
          <cell r="H45">
            <v>15410.06</v>
          </cell>
          <cell r="I45">
            <v>39.770000000000003</v>
          </cell>
          <cell r="J45">
            <v>46.76</v>
          </cell>
          <cell r="K45">
            <v>15469.61</v>
          </cell>
        </row>
        <row r="46">
          <cell r="A46" t="str">
            <v>1.1.5.16</v>
          </cell>
          <cell r="B46">
            <v>94288</v>
          </cell>
          <cell r="C46" t="str">
            <v>EXECUÇÃO DE SARJETA DE CONCRETO USINADO, MOLDADA  IN LOCO  EM TRECHO CURVO, 30 CM BASE X 10 CM ALTURA. AF_06/2016</v>
          </cell>
          <cell r="D46" t="str">
            <v>M</v>
          </cell>
          <cell r="E46">
            <v>17.84</v>
          </cell>
          <cell r="F46">
            <v>47.14</v>
          </cell>
          <cell r="G46">
            <v>58.26</v>
          </cell>
          <cell r="H46">
            <v>1039.3599999999999</v>
          </cell>
          <cell r="I46">
            <v>50.32</v>
          </cell>
          <cell r="J46">
            <v>59.16</v>
          </cell>
          <cell r="K46">
            <v>1055.4100000000001</v>
          </cell>
        </row>
        <row r="47">
          <cell r="A47" t="str">
            <v>1.1.5.17</v>
          </cell>
          <cell r="B47">
            <v>98511</v>
          </cell>
          <cell r="C47" t="str">
            <v>PLANTIO DE ÁRVORE ORNAMENTAL COM ALTURA DE MUDA MAIOR QUE 2,00 M E MENOR OU IGUAL A 4,00 M. AF_05/2018</v>
          </cell>
          <cell r="D47" t="str">
            <v>UN</v>
          </cell>
          <cell r="E47">
            <v>11</v>
          </cell>
          <cell r="F47">
            <v>198.4</v>
          </cell>
          <cell r="G47">
            <v>245.2</v>
          </cell>
          <cell r="H47">
            <v>2697.2</v>
          </cell>
          <cell r="I47">
            <v>201.05</v>
          </cell>
          <cell r="J47">
            <v>236.37</v>
          </cell>
          <cell r="K47">
            <v>2600.0700000000002</v>
          </cell>
        </row>
        <row r="48">
          <cell r="A48" t="str">
            <v>1.1.5.18</v>
          </cell>
          <cell r="B48">
            <v>98504</v>
          </cell>
          <cell r="C48" t="str">
            <v>PLANTIO DE GRAMA BATATAIS EM PLACAS. AF_05/2018</v>
          </cell>
          <cell r="D48" t="str">
            <v>M2</v>
          </cell>
          <cell r="E48">
            <v>55</v>
          </cell>
          <cell r="F48">
            <v>13.4</v>
          </cell>
          <cell r="G48">
            <v>16.559999999999999</v>
          </cell>
          <cell r="H48">
            <v>910.8</v>
          </cell>
          <cell r="I48">
            <v>13.8</v>
          </cell>
          <cell r="J48">
            <v>16.22</v>
          </cell>
          <cell r="K48">
            <v>892.1</v>
          </cell>
        </row>
        <row r="49">
          <cell r="A49" t="str">
            <v>1.1.6</v>
          </cell>
          <cell r="B49"/>
          <cell r="C49" t="str">
            <v>DRENAGEM</v>
          </cell>
          <cell r="D49"/>
          <cell r="E49"/>
          <cell r="F49"/>
          <cell r="G49"/>
          <cell r="H49">
            <v>151210.10999999999</v>
          </cell>
          <cell r="I49"/>
          <cell r="J49"/>
          <cell r="K49">
            <v>148501.4</v>
          </cell>
        </row>
        <row r="50">
          <cell r="A50" t="str">
            <v>1.1.6.1</v>
          </cell>
          <cell r="B50">
            <v>90091</v>
          </cell>
          <cell r="C50" t="str">
            <v>ESCAVAÇÃO MECANIZADA DE VALA COM PROF. ATÉ 1,5 M (MÉDIA MONTANTE E JUSANTE/UMA COMPOSIÇÃO POR TRECHO), ESCAVADEIRA (0,8 M3), LARG. DE 1,5 M A 2,5 M, EM SOLO DE 1A CATEGORIA, LOCAIS COM BAIXO NÍVEL DE INTERFERÊNCIA. AF_02/2021</v>
          </cell>
          <cell r="D50" t="str">
            <v>M3</v>
          </cell>
          <cell r="E50">
            <v>71.61</v>
          </cell>
          <cell r="F50">
            <v>6.24</v>
          </cell>
          <cell r="G50">
            <v>7.71</v>
          </cell>
          <cell r="H50">
            <v>552.11</v>
          </cell>
          <cell r="I50">
            <v>6.48</v>
          </cell>
          <cell r="J50">
            <v>7.62</v>
          </cell>
          <cell r="K50">
            <v>545.66999999999996</v>
          </cell>
        </row>
        <row r="51">
          <cell r="A51" t="str">
            <v>1.1.6.2</v>
          </cell>
          <cell r="B51">
            <v>93367</v>
          </cell>
          <cell r="C51" t="str">
            <v>REATERRO MECANIZADO DE VALA COM ESCAVADEIRA HIDRÁULICA (CAPACIDADE DA CAÇAMBA: 0,8 M³ / POTÊNCIA: 111 HP), LARGURA DE 1,5 A 2,5 M, PROFUNDIDADE ATÉ 1,5 M, COM SOLO DE 1ª CATEGORIA EM LOCAIS COM BAIXO NÍVEL DE INTERFERÊNCIA. AF_04/2016</v>
          </cell>
          <cell r="D51" t="str">
            <v>M3</v>
          </cell>
          <cell r="E51">
            <v>26.85</v>
          </cell>
          <cell r="F51">
            <v>22.53</v>
          </cell>
          <cell r="G51">
            <v>27.84</v>
          </cell>
          <cell r="H51">
            <v>747.5</v>
          </cell>
          <cell r="I51">
            <v>23.75</v>
          </cell>
          <cell r="J51">
            <v>27.92</v>
          </cell>
          <cell r="K51">
            <v>749.65</v>
          </cell>
        </row>
        <row r="52">
          <cell r="A52" t="str">
            <v>1.1.6.3</v>
          </cell>
          <cell r="B52" t="str">
            <v>COMP-35145154</v>
          </cell>
          <cell r="C52" t="str">
            <v>CARGA E DESCARGA MECANICA DE SOLO UTILIZANDO CAMINHAO BASCULANTE 14,0M3/36T E PA CARREGADEIRA SOBRE PNEUS 128 HP, CAPACIDADE DA CAÇAMBA 1,7 A 2,8 M3, PESO OPERACIONAL 11632 KH</v>
          </cell>
          <cell r="D52" t="str">
            <v>M3</v>
          </cell>
          <cell r="E52">
            <v>55.95</v>
          </cell>
          <cell r="F52">
            <v>2.83</v>
          </cell>
          <cell r="G52">
            <v>3.5</v>
          </cell>
          <cell r="H52">
            <v>195.83</v>
          </cell>
          <cell r="I52">
            <v>2.9</v>
          </cell>
          <cell r="J52">
            <v>3.41</v>
          </cell>
          <cell r="K52">
            <v>190.79</v>
          </cell>
        </row>
        <row r="53">
          <cell r="A53" t="str">
            <v>1.1.6.4</v>
          </cell>
          <cell r="B53">
            <v>95876</v>
          </cell>
          <cell r="C53" t="str">
            <v>TRANSPORTE COM CAMINHÃO BASCULANTE DE 14 M³, EM VIA URBANA PAVIMENTADA, DMT ATÉ 30 KM (UNIDADE: M3XKM). AF_07/2020</v>
          </cell>
          <cell r="D53" t="str">
            <v>M3XKM</v>
          </cell>
          <cell r="E53">
            <v>117.5</v>
          </cell>
          <cell r="F53">
            <v>2.2400000000000002</v>
          </cell>
          <cell r="G53">
            <v>2.77</v>
          </cell>
          <cell r="H53">
            <v>325.48</v>
          </cell>
          <cell r="I53">
            <v>2.27</v>
          </cell>
          <cell r="J53">
            <v>2.67</v>
          </cell>
          <cell r="K53">
            <v>313.73</v>
          </cell>
        </row>
        <row r="54">
          <cell r="A54" t="str">
            <v>1.1.6.5</v>
          </cell>
          <cell r="B54">
            <v>94971</v>
          </cell>
          <cell r="C54" t="str">
            <v>CONCRETO FCK = 25MPA, TRAÇO 1:2,3:2,7 (EM MASSA SECA DE CIMENTO/ AREIA MÉDIA/ BRITA 1) - PREPARO MECÂNICO COM BETONEIRA 600 L. AF_05/2021</v>
          </cell>
          <cell r="D54" t="str">
            <v>M3</v>
          </cell>
          <cell r="E54">
            <v>38.03</v>
          </cell>
          <cell r="F54">
            <v>464.88</v>
          </cell>
          <cell r="G54">
            <v>574.54999999999995</v>
          </cell>
          <cell r="H54">
            <v>21850.14</v>
          </cell>
          <cell r="I54">
            <v>472.74</v>
          </cell>
          <cell r="J54">
            <v>555.79999999999995</v>
          </cell>
          <cell r="K54">
            <v>21137.07</v>
          </cell>
        </row>
        <row r="55">
          <cell r="A55" t="str">
            <v>1.1.6.6</v>
          </cell>
          <cell r="B55">
            <v>94974</v>
          </cell>
          <cell r="C55" t="str">
            <v>CONCRETO MAGRO PARA LASTRO, TRAÇO 1:4,5:4,5 (EM MASSA SECA DE CIMENTO/ AREIA MÉDIA/ BRITA 1) - PREPARO MANUAL. AF_05/2021</v>
          </cell>
          <cell r="D55" t="str">
            <v>M3</v>
          </cell>
          <cell r="E55">
            <v>29.84</v>
          </cell>
          <cell r="F55">
            <v>423.75</v>
          </cell>
          <cell r="G55">
            <v>523.71</v>
          </cell>
          <cell r="H55">
            <v>15627.51</v>
          </cell>
          <cell r="I55">
            <v>436.13</v>
          </cell>
          <cell r="J55">
            <v>512.76</v>
          </cell>
          <cell r="K55">
            <v>15300.76</v>
          </cell>
        </row>
        <row r="56">
          <cell r="A56" t="str">
            <v>1.1.6.7</v>
          </cell>
          <cell r="B56">
            <v>92771</v>
          </cell>
          <cell r="C56" t="str">
            <v>ARMAÇÃO DE LAJE DE ESTRUTURA CONVENCIONAL DE CONCRETO ARMADO UTILIZANDO AÇO CA-50 DE 10,0 MM - MONTAGEM. AF_06/2022</v>
          </cell>
          <cell r="D56" t="str">
            <v>KG</v>
          </cell>
          <cell r="E56">
            <v>2473.5700000000002</v>
          </cell>
          <cell r="F56">
            <v>15.04</v>
          </cell>
          <cell r="G56">
            <v>18.59</v>
          </cell>
          <cell r="H56">
            <v>45983.67</v>
          </cell>
          <cell r="I56">
            <v>15.14</v>
          </cell>
          <cell r="J56">
            <v>17.8</v>
          </cell>
          <cell r="K56">
            <v>44029.55</v>
          </cell>
        </row>
        <row r="57">
          <cell r="A57" t="str">
            <v>1.1.6.8</v>
          </cell>
          <cell r="B57" t="str">
            <v>CP-92268-29291149</v>
          </cell>
          <cell r="C57" t="str">
            <v>FABRICAÇÃO DE FÔRMA PARA LAJES, EM CHAPA DE MADEIRA COMPENSADA PLASTIFICADA, E = 18 MM - EXCLUINDO O PAINEL DE MADEIRA COMPENSADA PLASTIFICADA DE 2200 x 1100 MM, E = *17* MM</v>
          </cell>
          <cell r="D57" t="str">
            <v>M2</v>
          </cell>
          <cell r="E57">
            <v>179.03</v>
          </cell>
          <cell r="F57">
            <v>0.98</v>
          </cell>
          <cell r="G57">
            <v>1.21</v>
          </cell>
          <cell r="H57">
            <v>216.63</v>
          </cell>
          <cell r="I57">
            <v>1.1000000000000001</v>
          </cell>
          <cell r="J57">
            <v>1.29</v>
          </cell>
          <cell r="K57">
            <v>230.95</v>
          </cell>
        </row>
        <row r="58">
          <cell r="A58" t="str">
            <v>1.1.6.9</v>
          </cell>
          <cell r="B58">
            <v>103320</v>
          </cell>
          <cell r="C58" t="str">
            <v>ALVENARIA DE VEDAÇÃO DE BLOCOS VAZADOS DE CONCRETO DE 19X19X39 CM (ESPESSURA 19 CM) E ARGAMASSA DE ASSENTAMENTO COM PREPARO EM BETONEIRA. AF_12/2021</v>
          </cell>
          <cell r="D58" t="str">
            <v>M2</v>
          </cell>
          <cell r="E58">
            <v>238.7</v>
          </cell>
          <cell r="F58">
            <v>101.36</v>
          </cell>
          <cell r="G58">
            <v>125.27</v>
          </cell>
          <cell r="H58">
            <v>29901.95</v>
          </cell>
          <cell r="I58">
            <v>105.62</v>
          </cell>
          <cell r="J58">
            <v>124.18</v>
          </cell>
          <cell r="K58">
            <v>29641.77</v>
          </cell>
        </row>
        <row r="59">
          <cell r="A59" t="str">
            <v>1.1.6.10</v>
          </cell>
          <cell r="B59">
            <v>87879</v>
          </cell>
          <cell r="C59" t="str">
            <v>CHAPISCO APLICADO EM ALVENARIAS E ESTRUTURAS DE CONCRETO INTERNAS, COM COLHER DE PEDREIRO.  ARGAMASSA TRAÇO 1:3 COM PREPARO EM BETONEIRA 400L. AF_06/2014</v>
          </cell>
          <cell r="D59" t="str">
            <v>M2</v>
          </cell>
          <cell r="E59">
            <v>238.7</v>
          </cell>
          <cell r="F59">
            <v>3.85</v>
          </cell>
          <cell r="G59">
            <v>4.76</v>
          </cell>
          <cell r="H59">
            <v>1136.21</v>
          </cell>
          <cell r="I59">
            <v>4.0999999999999996</v>
          </cell>
          <cell r="J59">
            <v>4.82</v>
          </cell>
          <cell r="K59">
            <v>1150.53</v>
          </cell>
        </row>
        <row r="60">
          <cell r="A60" t="str">
            <v>1.1.6.11</v>
          </cell>
          <cell r="B60">
            <v>87547</v>
          </cell>
          <cell r="C60" t="str">
            <v>MASSA ÚNICA, PARA RECEBIMENTO DE PINTURA, EM ARGAMASSA TRAÇO 1:2:8, PREPARO MECÂNICO COM BETONEIRA 400L, APLICADA MANUALMENTE EM FACES INTERNAS DE PAREDES, ESPESSURA DE 10MM, COM EXECUÇÃO DE TALISCAS. AF_06/2014</v>
          </cell>
          <cell r="D60" t="str">
            <v>M2</v>
          </cell>
          <cell r="E60">
            <v>238.7</v>
          </cell>
          <cell r="F60">
            <v>23.35</v>
          </cell>
          <cell r="G60">
            <v>28.86</v>
          </cell>
          <cell r="H60">
            <v>6888.88</v>
          </cell>
          <cell r="I60">
            <v>24.83</v>
          </cell>
          <cell r="J60">
            <v>29.19</v>
          </cell>
          <cell r="K60">
            <v>6967.65</v>
          </cell>
        </row>
        <row r="61">
          <cell r="A61" t="str">
            <v>1.1.6.12</v>
          </cell>
          <cell r="B61">
            <v>94975</v>
          </cell>
          <cell r="C61" t="str">
            <v>CONCRETO FCK = 15MPA, TRAÇO 1:3,4:3,5 (EM MASSA SECA DE CIMENTO/ AREIA MÉDIA/ BRITA 1) - PREPARO MANUAL. AF_05/2021</v>
          </cell>
          <cell r="D61" t="str">
            <v>M3</v>
          </cell>
          <cell r="E61">
            <v>25.39</v>
          </cell>
          <cell r="F61">
            <v>457.19</v>
          </cell>
          <cell r="G61">
            <v>565.04</v>
          </cell>
          <cell r="H61">
            <v>14346.37</v>
          </cell>
          <cell r="I61">
            <v>469.42</v>
          </cell>
          <cell r="J61">
            <v>551.9</v>
          </cell>
          <cell r="K61">
            <v>14012.74</v>
          </cell>
        </row>
        <row r="62">
          <cell r="A62" t="str">
            <v>1.1.6.13</v>
          </cell>
          <cell r="B62" t="str">
            <v>CP-74157/004-48264518</v>
          </cell>
          <cell r="C62" t="str">
            <v>LANCAMENTO/APLICACAO MANUAL DE CONCRETO EM FUNDACOES (concreto magro)</v>
          </cell>
          <cell r="D62" t="str">
            <v>M3</v>
          </cell>
          <cell r="E62">
            <v>93.26</v>
          </cell>
          <cell r="F62">
            <v>116.59</v>
          </cell>
          <cell r="G62">
            <v>144.09</v>
          </cell>
          <cell r="H62">
            <v>13437.83</v>
          </cell>
          <cell r="I62">
            <v>129.79</v>
          </cell>
          <cell r="J62">
            <v>152.59</v>
          </cell>
          <cell r="K62">
            <v>14230.54</v>
          </cell>
        </row>
        <row r="63">
          <cell r="A63" t="str">
            <v>1.1.7</v>
          </cell>
          <cell r="B63"/>
          <cell r="C63" t="str">
            <v>SINALIZAÇÃO</v>
          </cell>
          <cell r="D63"/>
          <cell r="E63"/>
          <cell r="F63"/>
          <cell r="G63"/>
          <cell r="H63">
            <v>19740.53</v>
          </cell>
          <cell r="I63"/>
          <cell r="J63"/>
          <cell r="K63">
            <v>19447.54</v>
          </cell>
        </row>
        <row r="64">
          <cell r="A64" t="str">
            <v>1.1.7.1</v>
          </cell>
          <cell r="B64">
            <v>5213421</v>
          </cell>
          <cell r="C64" t="str">
            <v>Confecção de placa em aço nº 16 galvanizado, com película tipo I + IV</v>
          </cell>
          <cell r="D64" t="str">
            <v xml:space="preserve">M2    </v>
          </cell>
          <cell r="E64">
            <v>7.3</v>
          </cell>
          <cell r="F64">
            <v>343.8</v>
          </cell>
          <cell r="G64">
            <v>424.9</v>
          </cell>
          <cell r="H64">
            <v>3101.77</v>
          </cell>
          <cell r="I64">
            <v>347.25</v>
          </cell>
          <cell r="J64">
            <v>408.26</v>
          </cell>
          <cell r="K64">
            <v>2980.3</v>
          </cell>
        </row>
        <row r="65">
          <cell r="A65" t="str">
            <v>1.1.7.2</v>
          </cell>
          <cell r="B65">
            <v>5216111</v>
          </cell>
          <cell r="C65" t="str">
            <v>FORNECIMENTO E IMPLANTAÇÃO DE SUPORTE E TRAVESSA PARA PLACA DE SINALIZAÇÃO EM MADEIRA DE LEI TRATADA 8 X 8 CM</v>
          </cell>
          <cell r="D65" t="str">
            <v>UND</v>
          </cell>
          <cell r="E65">
            <v>29</v>
          </cell>
          <cell r="F65">
            <v>119.1379</v>
          </cell>
          <cell r="G65">
            <v>147.24</v>
          </cell>
          <cell r="H65">
            <v>4269.96</v>
          </cell>
          <cell r="I65">
            <v>121.48</v>
          </cell>
          <cell r="J65">
            <v>142.82</v>
          </cell>
          <cell r="K65">
            <v>4141.78</v>
          </cell>
        </row>
        <row r="66">
          <cell r="A66" t="str">
            <v>1.1.7.3</v>
          </cell>
          <cell r="B66" t="str">
            <v>COMP-58084869</v>
          </cell>
          <cell r="C66" t="str">
            <v>PLACA ESMALTADA PARA IDENTIFICAÇÃO NR DE RUA, DIMENSÕES 45X25CM</v>
          </cell>
          <cell r="D66" t="str">
            <v>UND</v>
          </cell>
          <cell r="E66">
            <v>4</v>
          </cell>
          <cell r="F66">
            <v>155.54</v>
          </cell>
          <cell r="G66">
            <v>192.23</v>
          </cell>
          <cell r="H66">
            <v>768.92</v>
          </cell>
          <cell r="I66">
            <v>156.33000000000001</v>
          </cell>
          <cell r="J66">
            <v>183.8</v>
          </cell>
          <cell r="K66">
            <v>735.2</v>
          </cell>
        </row>
        <row r="67">
          <cell r="A67" t="str">
            <v>1.1.7.4</v>
          </cell>
          <cell r="B67">
            <v>102512</v>
          </cell>
          <cell r="C67" t="str">
            <v>PINTURA DE EIXO VIÁRIO SOBRE ASFALTO COM TINTA RETRORREFLETIVA A BASE DE RESINA ACRÍLICA COM MICROESFERAS DE VIDRO, APLICAÇÃO MECÂNICA COM DEMARCADORA AUTOPROPELIDA. AF_05/2021</v>
          </cell>
          <cell r="D67" t="str">
            <v>M</v>
          </cell>
          <cell r="E67">
            <v>1502.34</v>
          </cell>
          <cell r="F67">
            <v>5.22</v>
          </cell>
          <cell r="G67">
            <v>6.45</v>
          </cell>
          <cell r="H67">
            <v>9690.09</v>
          </cell>
          <cell r="I67">
            <v>5.48</v>
          </cell>
          <cell r="J67">
            <v>6.44</v>
          </cell>
          <cell r="K67">
            <v>9675.07</v>
          </cell>
        </row>
        <row r="68">
          <cell r="A68" t="str">
            <v>1.1.7.5</v>
          </cell>
          <cell r="B68">
            <v>102509</v>
          </cell>
          <cell r="C68" t="str">
            <v>PINTURA DE FAIXA DE PEDESTRE OU ZEBRADA TINTA RETRORREFLETIVA A BASE DE RESINA ACRÍLICA COM MICROESFERAS DE VIDRO, E = 30 CM, APLICAÇÃO MANUAL. AF_05/2021</v>
          </cell>
          <cell r="D68" t="str">
            <v>M2</v>
          </cell>
          <cell r="E68">
            <v>67.459999999999994</v>
          </cell>
          <cell r="F68">
            <v>22.91</v>
          </cell>
          <cell r="G68">
            <v>28.31</v>
          </cell>
          <cell r="H68">
            <v>1909.79</v>
          </cell>
          <cell r="I68">
            <v>24.15</v>
          </cell>
          <cell r="J68">
            <v>28.39</v>
          </cell>
          <cell r="K68">
            <v>1915.19</v>
          </cell>
        </row>
        <row r="69">
          <cell r="A69" t="str">
            <v>1.1.8</v>
          </cell>
          <cell r="B69"/>
          <cell r="C69" t="str">
            <v>ACESSIBILIDADE</v>
          </cell>
          <cell r="D69"/>
          <cell r="E69"/>
          <cell r="F69"/>
          <cell r="G69"/>
          <cell r="H69">
            <v>3247.62</v>
          </cell>
          <cell r="I69"/>
          <cell r="J69"/>
          <cell r="K69">
            <v>3193.69</v>
          </cell>
        </row>
        <row r="70">
          <cell r="A70" t="str">
            <v>1.1.8.1</v>
          </cell>
          <cell r="B70" t="str">
            <v>CP-S12039-81921471</v>
          </cell>
          <cell r="C70" t="str">
            <v>Piso tátil direcional e/ou alerta, de concreto, na cor natural, p/deficientes visuais, dimensões 40x40cm, aplicado com argamassa industrializada ac-ii, rejuntado, exclusive regularização de base</v>
          </cell>
          <cell r="D70" t="str">
            <v>M2</v>
          </cell>
          <cell r="E70">
            <v>24.18</v>
          </cell>
          <cell r="F70">
            <v>108.67</v>
          </cell>
          <cell r="G70">
            <v>134.31</v>
          </cell>
          <cell r="H70">
            <v>3247.62</v>
          </cell>
          <cell r="I70">
            <v>112.34</v>
          </cell>
          <cell r="J70">
            <v>132.08000000000001</v>
          </cell>
          <cell r="K70">
            <v>3193.69</v>
          </cell>
        </row>
        <row r="71">
          <cell r="A71" t="str">
            <v>1.1.9</v>
          </cell>
          <cell r="B71"/>
          <cell r="C71" t="str">
            <v>MATERIAIS</v>
          </cell>
          <cell r="D71"/>
          <cell r="E71"/>
          <cell r="F71"/>
          <cell r="G71"/>
          <cell r="H71">
            <v>532853.98</v>
          </cell>
          <cell r="I71"/>
          <cell r="J71"/>
          <cell r="K71">
            <v>508010.04</v>
          </cell>
        </row>
        <row r="72">
          <cell r="A72" t="str">
            <v>1.1.9.1</v>
          </cell>
          <cell r="B72">
            <v>10775</v>
          </cell>
          <cell r="C72" t="str">
            <v xml:space="preserve">LOCACAO DE CONTAINER 2,30 X 6,00 M, ALT. 2,50 M, COM 1 SANITARIO, PARA ESCRITORIO, COMPLETO, SEM DIVISORIAS INTERNAS (NAO INCLUI MOBILIZACAO/DESMOBILIZACAO)                                                                                                                                                                                                                                                                                                                                              </v>
          </cell>
          <cell r="D72" t="str">
            <v xml:space="preserve">MES   </v>
          </cell>
          <cell r="E72">
            <v>6</v>
          </cell>
          <cell r="F72">
            <v>830</v>
          </cell>
          <cell r="G72">
            <v>958.32</v>
          </cell>
          <cell r="H72">
            <v>5749.92</v>
          </cell>
          <cell r="I72">
            <v>830</v>
          </cell>
          <cell r="J72">
            <v>913.58</v>
          </cell>
          <cell r="K72">
            <v>5481.48</v>
          </cell>
        </row>
        <row r="73">
          <cell r="A73" t="str">
            <v>1.1.9.2</v>
          </cell>
          <cell r="B73">
            <v>10776</v>
          </cell>
          <cell r="C73" t="str">
            <v xml:space="preserve">LOCACAO DE CONTAINER 2,30 X 6,00 M, ALT. 2,50 M, PARA ESCRITORIO, SEM DIVISORIAS INTERNAS E SEM SANITARIO (NAO INCLUI MOBILIZACAO/DESMOBILIZACAO)                                                                                                                                                                                                                                                                                                                                                         </v>
          </cell>
          <cell r="D73" t="str">
            <v xml:space="preserve">MES   </v>
          </cell>
          <cell r="E73">
            <v>6</v>
          </cell>
          <cell r="F73">
            <v>648.42999999999995</v>
          </cell>
          <cell r="G73">
            <v>748.68</v>
          </cell>
          <cell r="H73">
            <v>4492.08</v>
          </cell>
          <cell r="I73">
            <v>648.42999999999995</v>
          </cell>
          <cell r="J73">
            <v>713.73</v>
          </cell>
          <cell r="K73">
            <v>4282.38</v>
          </cell>
        </row>
        <row r="74">
          <cell r="A74" t="str">
            <v>1.1.9.3</v>
          </cell>
          <cell r="B74">
            <v>1518</v>
          </cell>
          <cell r="C74" t="str">
            <v xml:space="preserve">CONCRETO BETUMINOSO USINADO A QUENTE (CBUQ) PARA PAVIMENTACAO ASFALTICA, PADRAO DNIT, FAIXA C, COM CAP 50/70 - AQUISICAO POSTO USINA                                                                                                                                                                                                                                                                                                                                                                      </v>
          </cell>
          <cell r="D74" t="str">
            <v xml:space="preserve">T     </v>
          </cell>
          <cell r="E74">
            <v>391.93</v>
          </cell>
          <cell r="F74">
            <v>522.5</v>
          </cell>
          <cell r="G74">
            <v>603.28</v>
          </cell>
          <cell r="H74">
            <v>236443.53</v>
          </cell>
          <cell r="I74">
            <v>522.5</v>
          </cell>
          <cell r="J74">
            <v>575.12</v>
          </cell>
          <cell r="K74">
            <v>225406.78</v>
          </cell>
        </row>
        <row r="75">
          <cell r="A75" t="str">
            <v>1.1.9.4</v>
          </cell>
          <cell r="B75" t="str">
            <v>INS-185032</v>
          </cell>
          <cell r="C75" t="str">
            <v>BRITA GRADUADA SIMPLES (BGS)</v>
          </cell>
          <cell r="D75" t="str">
            <v>M3</v>
          </cell>
          <cell r="E75">
            <v>614.66999999999996</v>
          </cell>
          <cell r="F75">
            <v>56.099999999999994</v>
          </cell>
          <cell r="G75">
            <v>64.77</v>
          </cell>
          <cell r="H75">
            <v>39812.18</v>
          </cell>
          <cell r="I75">
            <v>56.099999999999994</v>
          </cell>
          <cell r="J75">
            <v>61.75</v>
          </cell>
          <cell r="K75">
            <v>37955.870000000003</v>
          </cell>
        </row>
        <row r="76">
          <cell r="A76" t="str">
            <v>1.1.9.5</v>
          </cell>
          <cell r="B76" t="str">
            <v>M0808</v>
          </cell>
          <cell r="C76" t="str">
            <v>Brita 4</v>
          </cell>
          <cell r="D76" t="str">
            <v>M3</v>
          </cell>
          <cell r="E76">
            <v>697.03</v>
          </cell>
          <cell r="F76">
            <v>90.74</v>
          </cell>
          <cell r="G76">
            <v>104.77</v>
          </cell>
          <cell r="H76">
            <v>73027.83</v>
          </cell>
          <cell r="I76">
            <v>90.74</v>
          </cell>
          <cell r="J76">
            <v>99.88</v>
          </cell>
          <cell r="K76">
            <v>69619.360000000001</v>
          </cell>
        </row>
        <row r="77">
          <cell r="A77" t="str">
            <v>1.1.9.6</v>
          </cell>
          <cell r="B77" t="str">
            <v>M1135</v>
          </cell>
          <cell r="C77" t="str">
            <v>Pó de pedra</v>
          </cell>
          <cell r="D77" t="str">
            <v>M3</v>
          </cell>
          <cell r="E77">
            <v>77.45</v>
          </cell>
          <cell r="F77">
            <v>74.53</v>
          </cell>
          <cell r="G77">
            <v>86.05</v>
          </cell>
          <cell r="H77">
            <v>6664.57</v>
          </cell>
          <cell r="I77">
            <v>74.53</v>
          </cell>
          <cell r="J77">
            <v>82.04</v>
          </cell>
          <cell r="K77">
            <v>6354</v>
          </cell>
        </row>
        <row r="78">
          <cell r="A78" t="str">
            <v>1.1.9.7</v>
          </cell>
          <cell r="B78" t="str">
            <v>INS-54745269</v>
          </cell>
          <cell r="C78" t="str">
            <v>ASFALTO DILUÍDO CM - 30 - JUNHO/22</v>
          </cell>
          <cell r="D78" t="str">
            <v>KG</v>
          </cell>
          <cell r="E78">
            <v>3681.8</v>
          </cell>
          <cell r="F78">
            <v>5.32</v>
          </cell>
          <cell r="G78">
            <v>6.14</v>
          </cell>
          <cell r="H78">
            <v>22606.25</v>
          </cell>
          <cell r="I78">
            <v>5.32</v>
          </cell>
          <cell r="J78">
            <v>5.86</v>
          </cell>
          <cell r="K78">
            <v>21575.35</v>
          </cell>
        </row>
        <row r="79">
          <cell r="A79" t="str">
            <v>1.1.9.8</v>
          </cell>
          <cell r="B79">
            <v>34492</v>
          </cell>
          <cell r="C79" t="str">
            <v xml:space="preserve">CONCRETO USINADO BOMBEAVEL, CLASSE DE RESISTENCIA C20, COM BRITA 0 E 1, SLUMP = 100 +/- 20 MM, EXCLUI SERVICO DE BOMBEAMENTO (NBR 8953)                                                                                                                                                                                                                                                                                                                                                                   </v>
          </cell>
          <cell r="D79" t="str">
            <v xml:space="preserve">M3    </v>
          </cell>
          <cell r="E79">
            <v>253.31</v>
          </cell>
          <cell r="F79">
            <v>422.5</v>
          </cell>
          <cell r="G79">
            <v>487.82</v>
          </cell>
          <cell r="H79">
            <v>123569.68</v>
          </cell>
          <cell r="I79">
            <v>422.5</v>
          </cell>
          <cell r="J79">
            <v>465.05</v>
          </cell>
          <cell r="K79">
            <v>117801.82</v>
          </cell>
        </row>
        <row r="80">
          <cell r="A80" t="str">
            <v>1.1.9.9</v>
          </cell>
          <cell r="B80">
            <v>1345</v>
          </cell>
          <cell r="C80" t="str">
            <v xml:space="preserve">CHAPA/PAINEL DE MADEIRA COMPENSADA PLASTIFICADA (MADEIRITE PLASTIFICADO) PARA FORMA DE CONCRETO, DE 2200 x 1100 MM, E = *17* MM                                                                                                                                                                                                                                                                                                                                                                           </v>
          </cell>
          <cell r="D80" t="str">
            <v xml:space="preserve">M2    </v>
          </cell>
          <cell r="E80">
            <v>187.98</v>
          </cell>
          <cell r="F80">
            <v>94.4</v>
          </cell>
          <cell r="G80">
            <v>108.99</v>
          </cell>
          <cell r="H80">
            <v>20487.939999999999</v>
          </cell>
          <cell r="I80">
            <v>94.4</v>
          </cell>
          <cell r="J80">
            <v>103.91</v>
          </cell>
          <cell r="K80">
            <v>19533</v>
          </cell>
        </row>
        <row r="81">
          <cell r="A81" t="str">
            <v>1.2</v>
          </cell>
          <cell r="B81"/>
          <cell r="C81" t="str">
            <v>RUA PASTOS BONS - CAJUEIRO SECO</v>
          </cell>
          <cell r="D81"/>
          <cell r="E81"/>
          <cell r="F81"/>
          <cell r="G81"/>
          <cell r="H81">
            <v>79601.03</v>
          </cell>
          <cell r="I81"/>
          <cell r="J81"/>
          <cell r="K81">
            <v>78047.820000000007</v>
          </cell>
        </row>
        <row r="82">
          <cell r="A82" t="str">
            <v>1.2.1</v>
          </cell>
          <cell r="B82"/>
          <cell r="C82" t="str">
            <v>INSTALAÇÕES PROVISÓRIAS</v>
          </cell>
          <cell r="D82"/>
          <cell r="E82"/>
          <cell r="F82"/>
          <cell r="G82"/>
          <cell r="H82">
            <v>6385.61</v>
          </cell>
          <cell r="I82"/>
          <cell r="J82"/>
          <cell r="K82">
            <v>6137.07</v>
          </cell>
        </row>
        <row r="83">
          <cell r="A83" t="str">
            <v>1.2.1.1</v>
          </cell>
          <cell r="B83" t="str">
            <v>CP-74209/001-15055090</v>
          </cell>
          <cell r="C83" t="str">
            <v>PLACA DE OBRA EM CHAPA DE ACO GALVANIZADO</v>
          </cell>
          <cell r="D83" t="str">
            <v xml:space="preserve">M2    </v>
          </cell>
          <cell r="E83">
            <v>8</v>
          </cell>
          <cell r="F83">
            <v>558.35</v>
          </cell>
          <cell r="G83">
            <v>690.06</v>
          </cell>
          <cell r="H83">
            <v>5520.48</v>
          </cell>
          <cell r="I83">
            <v>564.99</v>
          </cell>
          <cell r="J83">
            <v>664.26</v>
          </cell>
          <cell r="K83">
            <v>5314.08</v>
          </cell>
        </row>
        <row r="84">
          <cell r="A84" t="str">
            <v>1.2.1.2</v>
          </cell>
          <cell r="B84" t="str">
            <v>COMP-07440249</v>
          </cell>
          <cell r="C84" t="str">
            <v>BANHEIRO QUÍMICO, COM LOCAÇÃO, TRANSPORTE E LIMPEZA</v>
          </cell>
          <cell r="D84" t="str">
            <v>MÊS</v>
          </cell>
          <cell r="E84">
            <v>1</v>
          </cell>
          <cell r="F84">
            <v>700</v>
          </cell>
          <cell r="G84">
            <v>865.13</v>
          </cell>
          <cell r="H84">
            <v>865.13</v>
          </cell>
          <cell r="I84">
            <v>700</v>
          </cell>
          <cell r="J84">
            <v>822.99</v>
          </cell>
          <cell r="K84">
            <v>822.99</v>
          </cell>
        </row>
        <row r="85">
          <cell r="A85" t="str">
            <v>1.2.2</v>
          </cell>
          <cell r="B85"/>
          <cell r="C85" t="str">
            <v>ADMINISTRAÇÃO LOCAL</v>
          </cell>
          <cell r="D85"/>
          <cell r="E85"/>
          <cell r="F85"/>
          <cell r="G85"/>
          <cell r="H85">
            <v>3270.86</v>
          </cell>
          <cell r="I85"/>
          <cell r="J85"/>
          <cell r="K85">
            <v>3590.41</v>
          </cell>
        </row>
        <row r="86">
          <cell r="A86" t="str">
            <v>1.2.2.1</v>
          </cell>
          <cell r="B86">
            <v>93565</v>
          </cell>
          <cell r="C86" t="str">
            <v>ENGENHEIRO CIVIL DE OBRA JUNIOR COM ENCARGOS COMPLEMENTARES</v>
          </cell>
          <cell r="D86" t="str">
            <v>MES</v>
          </cell>
          <cell r="E86">
            <v>0.13</v>
          </cell>
          <cell r="F86">
            <v>14549.96</v>
          </cell>
          <cell r="G86">
            <v>17982.3</v>
          </cell>
          <cell r="H86">
            <v>2337.6999999999998</v>
          </cell>
          <cell r="I86">
            <v>16819.14</v>
          </cell>
          <cell r="J86">
            <v>19774.259999999998</v>
          </cell>
          <cell r="K86">
            <v>2570.65</v>
          </cell>
        </row>
        <row r="87">
          <cell r="A87" t="str">
            <v>1.2.2.2</v>
          </cell>
          <cell r="B87">
            <v>93572</v>
          </cell>
          <cell r="C87" t="str">
            <v>ENCARREGADO GERAL DE OBRAS COM ENCARGOS COMPLEMENTARES</v>
          </cell>
          <cell r="D87" t="str">
            <v>MES</v>
          </cell>
          <cell r="E87">
            <v>0.13</v>
          </cell>
          <cell r="F87">
            <v>5808.01</v>
          </cell>
          <cell r="G87">
            <v>7178.12</v>
          </cell>
          <cell r="H87">
            <v>933.16</v>
          </cell>
          <cell r="I87">
            <v>6672</v>
          </cell>
          <cell r="J87">
            <v>7844.27</v>
          </cell>
          <cell r="K87">
            <v>1019.76</v>
          </cell>
        </row>
        <row r="88">
          <cell r="A88" t="str">
            <v>1.2.3</v>
          </cell>
          <cell r="B88"/>
          <cell r="C88" t="str">
            <v>SERVIÇOS PRELIMINARES</v>
          </cell>
          <cell r="D88"/>
          <cell r="E88"/>
          <cell r="F88"/>
          <cell r="G88"/>
          <cell r="H88">
            <v>2993.98</v>
          </cell>
          <cell r="I88"/>
          <cell r="J88"/>
          <cell r="K88">
            <v>3156.04</v>
          </cell>
        </row>
        <row r="89">
          <cell r="A89" t="str">
            <v>1.2.3.1</v>
          </cell>
          <cell r="B89">
            <v>99064</v>
          </cell>
          <cell r="C89" t="str">
            <v>LOCAÇÃO DE PAVIMENTAÇÃO. AF_10/2018</v>
          </cell>
          <cell r="D89" t="str">
            <v>M</v>
          </cell>
          <cell r="E89">
            <v>46.54</v>
          </cell>
          <cell r="F89">
            <v>0.43</v>
          </cell>
          <cell r="G89">
            <v>0.53</v>
          </cell>
          <cell r="H89">
            <v>24.67</v>
          </cell>
          <cell r="I89">
            <v>0.49</v>
          </cell>
          <cell r="J89">
            <v>0.57999999999999996</v>
          </cell>
          <cell r="K89">
            <v>26.99</v>
          </cell>
        </row>
        <row r="90">
          <cell r="A90" t="str">
            <v>1.2.3.2</v>
          </cell>
          <cell r="B90" t="str">
            <v>COMP-17562084</v>
          </cell>
          <cell r="C90" t="str">
            <v>DEMOLIÇÃO MANUAL DE CONCRETO SIMPLES</v>
          </cell>
          <cell r="D90" t="str">
            <v>M3</v>
          </cell>
          <cell r="E90">
            <v>7.32</v>
          </cell>
          <cell r="F90">
            <v>190.89</v>
          </cell>
          <cell r="G90">
            <v>235.92</v>
          </cell>
          <cell r="H90">
            <v>1726.93</v>
          </cell>
          <cell r="I90">
            <v>212.24</v>
          </cell>
          <cell r="J90">
            <v>249.53</v>
          </cell>
          <cell r="K90">
            <v>1826.56</v>
          </cell>
        </row>
        <row r="91">
          <cell r="A91" t="str">
            <v>1.2.3.3</v>
          </cell>
          <cell r="B91" t="str">
            <v>COMP-01471766</v>
          </cell>
          <cell r="C91" t="str">
            <v>DEMOLIÇÃO DE MEIO-FIO</v>
          </cell>
          <cell r="D91" t="str">
            <v>M</v>
          </cell>
          <cell r="E91">
            <v>90.28</v>
          </cell>
          <cell r="F91">
            <v>10.02</v>
          </cell>
          <cell r="G91">
            <v>12.38</v>
          </cell>
          <cell r="H91">
            <v>1117.67</v>
          </cell>
          <cell r="I91">
            <v>11.13</v>
          </cell>
          <cell r="J91">
            <v>13.09</v>
          </cell>
          <cell r="K91">
            <v>1181.77</v>
          </cell>
        </row>
        <row r="92">
          <cell r="A92" t="str">
            <v>1.2.3.4</v>
          </cell>
          <cell r="B92" t="str">
            <v>COMP-35145154</v>
          </cell>
          <cell r="C92" t="str">
            <v>CARGA E DESCARGA MECANICA DE SOLO UTILIZANDO CAMINHAO BASCULANTE 14,0M3/36T E PA CARREGADEIRA SOBRE PNEUS 128 HP, CAPACIDADE DA CAÇAMBA 1,7 A 2,8 M3, PESO OPERACIONAL 11632 KH</v>
          </cell>
          <cell r="D92" t="str">
            <v>M3</v>
          </cell>
          <cell r="E92">
            <v>14.23</v>
          </cell>
          <cell r="F92">
            <v>2.83</v>
          </cell>
          <cell r="G92">
            <v>3.5</v>
          </cell>
          <cell r="H92">
            <v>49.81</v>
          </cell>
          <cell r="I92">
            <v>2.9</v>
          </cell>
          <cell r="J92">
            <v>3.41</v>
          </cell>
          <cell r="K92">
            <v>48.52</v>
          </cell>
        </row>
        <row r="93">
          <cell r="A93" t="str">
            <v>1.2.3.5</v>
          </cell>
          <cell r="B93">
            <v>95876</v>
          </cell>
          <cell r="C93" t="str">
            <v>TRANSPORTE COM CAMINHÃO BASCULANTE DE 14 M³, EM VIA URBANA PAVIMENTADA, DMT ATÉ 30 KM (UNIDADE: M3XKM). AF_07/2020</v>
          </cell>
          <cell r="D93" t="str">
            <v>M3XKM</v>
          </cell>
          <cell r="E93">
            <v>27.04</v>
          </cell>
          <cell r="F93">
            <v>2.2400000000000002</v>
          </cell>
          <cell r="G93">
            <v>2.77</v>
          </cell>
          <cell r="H93">
            <v>74.900000000000006</v>
          </cell>
          <cell r="I93">
            <v>2.27</v>
          </cell>
          <cell r="J93">
            <v>2.67</v>
          </cell>
          <cell r="K93">
            <v>72.2</v>
          </cell>
        </row>
        <row r="94">
          <cell r="A94" t="str">
            <v>1.2.4</v>
          </cell>
          <cell r="B94"/>
          <cell r="C94" t="str">
            <v>TERRAPLANAGEM</v>
          </cell>
          <cell r="D94"/>
          <cell r="E94"/>
          <cell r="F94"/>
          <cell r="G94"/>
          <cell r="H94">
            <v>1484.47</v>
          </cell>
          <cell r="I94"/>
          <cell r="J94"/>
          <cell r="K94">
            <v>1438.12</v>
          </cell>
        </row>
        <row r="95">
          <cell r="A95" t="str">
            <v>1.2.4.1</v>
          </cell>
          <cell r="B95" t="str">
            <v>CP-74205/001-17324935</v>
          </cell>
          <cell r="C95" t="str">
            <v>ESCAVAÇÃO MECÂNICA DE MATERIAL 1A. CATEGORIA, PROVENIENTE DE CORTE DE SUBLEITO (C/TRATOR ESTEIRAS  160HP)</v>
          </cell>
          <cell r="D95" t="str">
            <v>M3</v>
          </cell>
          <cell r="E95">
            <v>105.33</v>
          </cell>
          <cell r="F95">
            <v>2.54</v>
          </cell>
          <cell r="G95">
            <v>3.14</v>
          </cell>
          <cell r="H95">
            <v>330.74</v>
          </cell>
          <cell r="I95">
            <v>2.59</v>
          </cell>
          <cell r="J95">
            <v>3.05</v>
          </cell>
          <cell r="K95">
            <v>321.26</v>
          </cell>
        </row>
        <row r="96">
          <cell r="A96" t="str">
            <v>1.2.4.2</v>
          </cell>
          <cell r="B96" t="str">
            <v>COMP-35145154</v>
          </cell>
          <cell r="C96" t="str">
            <v>CARGA E DESCARGA MECANICA DE SOLO UTILIZANDO CAMINHAO BASCULANTE 14,0M3/36T E PA CARREGADEIRA SOBRE PNEUS 128 HP, CAPACIDADE DA CAÇAMBA 1,7 A 2,8 M3, PESO OPERACIONAL 11632 KH</v>
          </cell>
          <cell r="D96" t="str">
            <v>M3</v>
          </cell>
          <cell r="E96">
            <v>131.66</v>
          </cell>
          <cell r="F96">
            <v>2.83</v>
          </cell>
          <cell r="G96">
            <v>3.5</v>
          </cell>
          <cell r="H96">
            <v>460.81</v>
          </cell>
          <cell r="I96">
            <v>2.9</v>
          </cell>
          <cell r="J96">
            <v>3.41</v>
          </cell>
          <cell r="K96">
            <v>448.96</v>
          </cell>
        </row>
        <row r="97">
          <cell r="A97" t="str">
            <v>1.2.4.3</v>
          </cell>
          <cell r="B97">
            <v>95876</v>
          </cell>
          <cell r="C97" t="str">
            <v>TRANSPORTE COM CAMINHÃO BASCULANTE DE 14 M³, EM VIA URBANA PAVIMENTADA, DMT ATÉ 30 KM (UNIDADE: M3XKM). AF_07/2020</v>
          </cell>
          <cell r="D97" t="str">
            <v>M3XKM</v>
          </cell>
          <cell r="E97">
            <v>250.15</v>
          </cell>
          <cell r="F97">
            <v>2.2400000000000002</v>
          </cell>
          <cell r="G97">
            <v>2.77</v>
          </cell>
          <cell r="H97">
            <v>692.92</v>
          </cell>
          <cell r="I97">
            <v>2.27</v>
          </cell>
          <cell r="J97">
            <v>2.67</v>
          </cell>
          <cell r="K97">
            <v>667.9</v>
          </cell>
        </row>
        <row r="98">
          <cell r="A98" t="str">
            <v>1.2.5</v>
          </cell>
          <cell r="B98"/>
          <cell r="C98" t="str">
            <v>PAVIMENTAÇÃO</v>
          </cell>
          <cell r="D98"/>
          <cell r="E98"/>
          <cell r="F98"/>
          <cell r="G98"/>
          <cell r="H98">
            <v>11082.09</v>
          </cell>
          <cell r="I98"/>
          <cell r="J98"/>
          <cell r="K98">
            <v>10970.73</v>
          </cell>
        </row>
        <row r="99">
          <cell r="A99" t="str">
            <v>1.2.5.1</v>
          </cell>
          <cell r="B99">
            <v>100576</v>
          </cell>
          <cell r="C99" t="str">
            <v>REGULARIZAÇÃO E COMPACTAÇÃO DE SUBLEITO DE SOLO  PREDOMINANTEMENTE ARGILOSO. AF_11/2019</v>
          </cell>
          <cell r="D99" t="str">
            <v>M2</v>
          </cell>
          <cell r="E99">
            <v>232.7</v>
          </cell>
          <cell r="F99">
            <v>2.64</v>
          </cell>
          <cell r="G99">
            <v>3.26</v>
          </cell>
          <cell r="H99">
            <v>758.6</v>
          </cell>
          <cell r="I99">
            <v>2.79</v>
          </cell>
          <cell r="J99">
            <v>3.28</v>
          </cell>
          <cell r="K99">
            <v>763.26</v>
          </cell>
        </row>
        <row r="100">
          <cell r="A100" t="str">
            <v>1.2.5.2</v>
          </cell>
          <cell r="B100" t="str">
            <v>CP-96396-26507981</v>
          </cell>
          <cell r="C100" t="str">
            <v>EXECUÇÃO E COMPACTAÇÃO DE BASE E OU SUB BASE PARA PAVIMENTAÇÃO DE BRITA GRADUADA SIMPLES - EXCLUSIVE MATERIAL, CARGA E TRANSPORTE</v>
          </cell>
          <cell r="D100" t="str">
            <v>M3</v>
          </cell>
          <cell r="E100">
            <v>34.909999999999997</v>
          </cell>
          <cell r="F100">
            <v>13.86</v>
          </cell>
          <cell r="G100">
            <v>17.13</v>
          </cell>
          <cell r="H100">
            <v>598.01</v>
          </cell>
          <cell r="I100">
            <v>14.44</v>
          </cell>
          <cell r="J100">
            <v>16.98</v>
          </cell>
          <cell r="K100">
            <v>592.77</v>
          </cell>
        </row>
        <row r="101">
          <cell r="A101" t="str">
            <v>1.2.5.3</v>
          </cell>
          <cell r="B101" t="str">
            <v>COMP-35145154</v>
          </cell>
          <cell r="C101" t="str">
            <v>CARGA E DESCARGA MECANICA DE SOLO UTILIZANDO CAMINHAO BASCULANTE 14,0M3/36T E PA CARREGADEIRA SOBRE PNEUS 128 HP, CAPACIDADE DA CAÇAMBA 1,7 A 2,8 M3, PESO OPERACIONAL 11632 KH</v>
          </cell>
          <cell r="D101" t="str">
            <v>M3</v>
          </cell>
          <cell r="E101">
            <v>43.64</v>
          </cell>
          <cell r="F101">
            <v>2.83</v>
          </cell>
          <cell r="G101">
            <v>3.5</v>
          </cell>
          <cell r="H101">
            <v>152.74</v>
          </cell>
          <cell r="I101">
            <v>2.9</v>
          </cell>
          <cell r="J101">
            <v>3.41</v>
          </cell>
          <cell r="K101">
            <v>148.81</v>
          </cell>
        </row>
        <row r="102">
          <cell r="A102" t="str">
            <v>1.2.5.4</v>
          </cell>
          <cell r="B102" t="str">
            <v>COMP-83526730</v>
          </cell>
          <cell r="C102" t="str">
            <v>TRANSPORTE COMERCIAL DE BRITA</v>
          </cell>
          <cell r="D102" t="str">
            <v>M3XKM</v>
          </cell>
          <cell r="E102">
            <v>226.93</v>
          </cell>
          <cell r="F102">
            <v>1.36</v>
          </cell>
          <cell r="G102">
            <v>1.68</v>
          </cell>
          <cell r="H102">
            <v>381.24</v>
          </cell>
          <cell r="I102">
            <v>1.37</v>
          </cell>
          <cell r="J102">
            <v>1.61</v>
          </cell>
          <cell r="K102">
            <v>365.36</v>
          </cell>
        </row>
        <row r="103">
          <cell r="A103" t="str">
            <v>1.2.5.5</v>
          </cell>
          <cell r="B103" t="str">
            <v>CP-96401-52745838</v>
          </cell>
          <cell r="C103" t="str">
            <v>EXECUÇÃO DE IMPRIMAÇÃO COM ASFALTO DILUÍDO CM-30, EXCLUSIVE MATERIAL.</v>
          </cell>
          <cell r="D103" t="str">
            <v>M2</v>
          </cell>
          <cell r="E103">
            <v>116.38</v>
          </cell>
          <cell r="F103">
            <v>1.18</v>
          </cell>
          <cell r="G103">
            <v>1.46</v>
          </cell>
          <cell r="H103">
            <v>169.91</v>
          </cell>
          <cell r="I103">
            <v>1.24</v>
          </cell>
          <cell r="J103">
            <v>1.46</v>
          </cell>
          <cell r="K103">
            <v>169.91</v>
          </cell>
        </row>
        <row r="104">
          <cell r="A104" t="str">
            <v>1.2.5.6</v>
          </cell>
          <cell r="B104" t="str">
            <v>CP-95995-51339760</v>
          </cell>
          <cell r="C104" t="str">
            <v>EXECUÇÃO DE PAVIMENTO COM APLICAÇÃO DE CONCRETO ASFÁLTICO, CAMADA DE ROLAMENTO - EXCLUSIVE CARGA E TRANSPORTE E CONCRETO BETUMINOSO</v>
          </cell>
          <cell r="D104" t="str">
            <v>M3</v>
          </cell>
          <cell r="E104">
            <v>5.81</v>
          </cell>
          <cell r="F104">
            <v>127.58</v>
          </cell>
          <cell r="G104">
            <v>157.68</v>
          </cell>
          <cell r="H104">
            <v>916.12</v>
          </cell>
          <cell r="I104">
            <v>133.37</v>
          </cell>
          <cell r="J104">
            <v>156.80000000000001</v>
          </cell>
          <cell r="K104">
            <v>911.01</v>
          </cell>
        </row>
        <row r="105">
          <cell r="A105" t="str">
            <v>1.2.5.7</v>
          </cell>
          <cell r="B105" t="str">
            <v>COMP-10034101</v>
          </cell>
          <cell r="C105" t="str">
            <v>CARGA, MANOBRAS E DESCARGA DE MISTURA BETUMINOSA A QUENTE, COM CAMINHAO BASCULANTE 6 M3, DESCARGA EM VIBRO-ACABADORA</v>
          </cell>
          <cell r="D105" t="str">
            <v>M3</v>
          </cell>
          <cell r="E105">
            <v>5.81</v>
          </cell>
          <cell r="F105">
            <v>7.74</v>
          </cell>
          <cell r="G105">
            <v>9.57</v>
          </cell>
          <cell r="H105">
            <v>55.6</v>
          </cell>
          <cell r="I105">
            <v>7.86</v>
          </cell>
          <cell r="J105">
            <v>9.24</v>
          </cell>
          <cell r="K105">
            <v>53.68</v>
          </cell>
        </row>
        <row r="106">
          <cell r="A106" t="str">
            <v>1.2.5.8</v>
          </cell>
          <cell r="B106" t="str">
            <v>CP-95303-56931542</v>
          </cell>
          <cell r="C106" t="str">
            <v>TRANSPORTE COM CAMINHÃO BASCULANTE 10 M3 DE MASSA ASFALTICA PARA PAVIMENTAÇÃO URBANA</v>
          </cell>
          <cell r="D106" t="str">
            <v>M3XKM</v>
          </cell>
          <cell r="E106">
            <v>93.54</v>
          </cell>
          <cell r="F106">
            <v>1.75</v>
          </cell>
          <cell r="G106">
            <v>2.16</v>
          </cell>
          <cell r="H106">
            <v>202.05</v>
          </cell>
          <cell r="I106">
            <v>1.77</v>
          </cell>
          <cell r="J106">
            <v>2.08</v>
          </cell>
          <cell r="K106">
            <v>194.56</v>
          </cell>
        </row>
        <row r="107">
          <cell r="A107" t="str">
            <v>1.2.5.9</v>
          </cell>
          <cell r="B107" t="str">
            <v>CP-97084-89637704</v>
          </cell>
          <cell r="C107" t="str">
            <v>REGULARIZACAO E COMPACTAÇÃO MANUAL DE TERRENO COM PLACA VIBRATÓRIA</v>
          </cell>
          <cell r="D107" t="str">
            <v>M2</v>
          </cell>
          <cell r="E107">
            <v>123.1</v>
          </cell>
          <cell r="F107">
            <v>0.59</v>
          </cell>
          <cell r="G107">
            <v>0.73</v>
          </cell>
          <cell r="H107">
            <v>89.86</v>
          </cell>
          <cell r="I107">
            <v>0.65</v>
          </cell>
          <cell r="J107">
            <v>0.76</v>
          </cell>
          <cell r="K107">
            <v>93.56</v>
          </cell>
        </row>
        <row r="108">
          <cell r="A108" t="str">
            <v>1.2.5.10</v>
          </cell>
          <cell r="B108" t="str">
            <v>CP-94991-12549457</v>
          </cell>
          <cell r="C108" t="str">
            <v>EXECUÇÃO DE PASSEIO (CALÇADA) OU PISO DE CONCRETO COM CONCRETO MOLDADO IN LOCO, USINADO, ACABAMENTO CONVENCIONAL, NÃO ARMADO - EXCLUINDO O CONCRETO USINADO 20MPA</v>
          </cell>
          <cell r="D108" t="str">
            <v>M3</v>
          </cell>
          <cell r="E108">
            <v>8.0399999999999991</v>
          </cell>
          <cell r="F108">
            <v>104.6</v>
          </cell>
          <cell r="G108">
            <v>129.28</v>
          </cell>
          <cell r="H108">
            <v>1039.4100000000001</v>
          </cell>
          <cell r="I108">
            <v>112.75</v>
          </cell>
          <cell r="J108">
            <v>132.56</v>
          </cell>
          <cell r="K108">
            <v>1065.78</v>
          </cell>
        </row>
        <row r="109">
          <cell r="A109" t="str">
            <v>1.2.5.11</v>
          </cell>
          <cell r="B109">
            <v>94273</v>
          </cell>
          <cell r="C109" t="str">
            <v>ASSENTAMENTO DE GUIA (MEIO-FIO) EM TRECHO RETO, CONFECCIONADA EM CONCRETO PRÉ-FABRICADO, DIMENSÕES 100X15X13X30 CM (COMPRIMENTO X BASE INFERIOR X BASE SUPERIOR X ALTURA), PARA VIAS URBANAS (USO VIÁRIO). AF_06/2016</v>
          </cell>
          <cell r="D109" t="str">
            <v>M</v>
          </cell>
          <cell r="E109">
            <v>89.93</v>
          </cell>
          <cell r="F109">
            <v>54.61</v>
          </cell>
          <cell r="G109">
            <v>67.489999999999995</v>
          </cell>
          <cell r="H109">
            <v>6069.38</v>
          </cell>
          <cell r="I109">
            <v>56.47</v>
          </cell>
          <cell r="J109">
            <v>66.39</v>
          </cell>
          <cell r="K109">
            <v>5970.45</v>
          </cell>
        </row>
        <row r="110">
          <cell r="A110" t="str">
            <v>1.2.5.12</v>
          </cell>
          <cell r="B110">
            <v>94274</v>
          </cell>
          <cell r="C110" t="str">
            <v>ASSENTAMENTO DE GUIA (MEIO-FIO) EM TRECHO CURVO, CONFECCIONADA EM CONCRETO PRÉ-FABRICADO, DIMENSÕES 100X15X13X30 CM (COMPRIMENTO X BASE INFERIOR X BASE SUPERIOR X ALTURA), PARA VIAS URBANAS (USO VIÁRIO). AF_06/2016</v>
          </cell>
          <cell r="D110" t="str">
            <v>M</v>
          </cell>
          <cell r="E110">
            <v>9.0299999999999994</v>
          </cell>
          <cell r="F110">
            <v>58.17</v>
          </cell>
          <cell r="G110">
            <v>71.89</v>
          </cell>
          <cell r="H110">
            <v>649.16999999999996</v>
          </cell>
          <cell r="I110">
            <v>60.43</v>
          </cell>
          <cell r="J110">
            <v>71.05</v>
          </cell>
          <cell r="K110">
            <v>641.58000000000004</v>
          </cell>
        </row>
        <row r="111">
          <cell r="A111" t="str">
            <v>1.2.6</v>
          </cell>
          <cell r="B111"/>
          <cell r="C111" t="str">
            <v>DRENAGEM</v>
          </cell>
          <cell r="D111"/>
          <cell r="E111"/>
          <cell r="F111"/>
          <cell r="G111"/>
          <cell r="H111">
            <v>28637.56</v>
          </cell>
          <cell r="I111"/>
          <cell r="J111"/>
          <cell r="K111">
            <v>28124.68</v>
          </cell>
        </row>
        <row r="112">
          <cell r="A112" t="str">
            <v>1.2.6.1</v>
          </cell>
          <cell r="B112">
            <v>90091</v>
          </cell>
          <cell r="C112" t="str">
            <v>ESCAVAÇÃO MECANIZADA DE VALA COM PROF. ATÉ 1,5 M (MÉDIA MONTANTE E JUSANTE/UMA COMPOSIÇÃO POR TRECHO), ESCAVADEIRA (0,8 M3), LARG. DE 1,5 M A 2,5 M, EM SOLO DE 1A CATEGORIA, LOCAIS COM BAIXO NÍVEL DE INTERFERÊNCIA. AF_02/2021</v>
          </cell>
          <cell r="D112" t="str">
            <v>M3</v>
          </cell>
          <cell r="E112">
            <v>13.56</v>
          </cell>
          <cell r="F112">
            <v>6.24</v>
          </cell>
          <cell r="G112">
            <v>7.71</v>
          </cell>
          <cell r="H112">
            <v>104.55</v>
          </cell>
          <cell r="I112">
            <v>6.48</v>
          </cell>
          <cell r="J112">
            <v>7.62</v>
          </cell>
          <cell r="K112">
            <v>103.33</v>
          </cell>
        </row>
        <row r="113">
          <cell r="A113" t="str">
            <v>1.2.6.2</v>
          </cell>
          <cell r="B113">
            <v>93367</v>
          </cell>
          <cell r="C113" t="str">
            <v>REATERRO MECANIZADO DE VALA COM ESCAVADEIRA HIDRÁULICA (CAPACIDADE DA CAÇAMBA: 0,8 M³ / POTÊNCIA: 111 HP), LARGURA DE 1,5 A 2,5 M, PROFUNDIDADE ATÉ 1,5 M, COM SOLO DE 1ª CATEGORIA EM LOCAIS COM BAIXO NÍVEL DE INTERFERÊNCIA. AF_04/2016</v>
          </cell>
          <cell r="D113" t="str">
            <v>M3</v>
          </cell>
          <cell r="E113">
            <v>5.08</v>
          </cell>
          <cell r="F113">
            <v>22.53</v>
          </cell>
          <cell r="G113">
            <v>27.84</v>
          </cell>
          <cell r="H113">
            <v>141.43</v>
          </cell>
          <cell r="I113">
            <v>23.75</v>
          </cell>
          <cell r="J113">
            <v>27.92</v>
          </cell>
          <cell r="K113">
            <v>141.83000000000001</v>
          </cell>
        </row>
        <row r="114">
          <cell r="A114" t="str">
            <v>1.2.6.3</v>
          </cell>
          <cell r="B114" t="str">
            <v>COMP-35145154</v>
          </cell>
          <cell r="C114" t="str">
            <v>CARGA E DESCARGA MECANICA DE SOLO UTILIZANDO CAMINHAO BASCULANTE 14,0M3/36T E PA CARREGADEIRA SOBRE PNEUS 128 HP, CAPACIDADE DA CAÇAMBA 1,7 A 2,8 M3, PESO OPERACIONAL 11632 KH</v>
          </cell>
          <cell r="D114" t="str">
            <v>M3</v>
          </cell>
          <cell r="E114">
            <v>10.6</v>
          </cell>
          <cell r="F114">
            <v>2.83</v>
          </cell>
          <cell r="G114">
            <v>3.5</v>
          </cell>
          <cell r="H114">
            <v>37.1</v>
          </cell>
          <cell r="I114">
            <v>2.9</v>
          </cell>
          <cell r="J114">
            <v>3.41</v>
          </cell>
          <cell r="K114">
            <v>36.15</v>
          </cell>
        </row>
        <row r="115">
          <cell r="A115" t="str">
            <v>1.2.6.4</v>
          </cell>
          <cell r="B115">
            <v>95876</v>
          </cell>
          <cell r="C115" t="str">
            <v>TRANSPORTE COM CAMINHÃO BASCULANTE DE 14 M³, EM VIA URBANA PAVIMENTADA, DMT ATÉ 30 KM (UNIDADE: M3XKM). AF_07/2020</v>
          </cell>
          <cell r="D115" t="str">
            <v>M3XKM</v>
          </cell>
          <cell r="E115">
            <v>20.14</v>
          </cell>
          <cell r="F115">
            <v>2.2400000000000002</v>
          </cell>
          <cell r="G115">
            <v>2.77</v>
          </cell>
          <cell r="H115">
            <v>55.79</v>
          </cell>
          <cell r="I115">
            <v>2.27</v>
          </cell>
          <cell r="J115">
            <v>2.67</v>
          </cell>
          <cell r="K115">
            <v>53.77</v>
          </cell>
        </row>
        <row r="116">
          <cell r="A116" t="str">
            <v>1.2.6.5</v>
          </cell>
          <cell r="B116">
            <v>94971</v>
          </cell>
          <cell r="C116" t="str">
            <v>CONCRETO FCK = 25MPA, TRAÇO 1:2,3:2,7 (EM MASSA SECA DE CIMENTO/ AREIA MÉDIA/ BRITA 1) - PREPARO MECÂNICO COM BETONEIRA 600 L. AF_05/2021</v>
          </cell>
          <cell r="D116" t="str">
            <v>M3</v>
          </cell>
          <cell r="E116">
            <v>7.21</v>
          </cell>
          <cell r="F116">
            <v>464.88</v>
          </cell>
          <cell r="G116">
            <v>574.54999999999995</v>
          </cell>
          <cell r="H116">
            <v>4142.51</v>
          </cell>
          <cell r="I116">
            <v>472.74</v>
          </cell>
          <cell r="J116">
            <v>555.79999999999995</v>
          </cell>
          <cell r="K116">
            <v>4007.32</v>
          </cell>
        </row>
        <row r="117">
          <cell r="A117" t="str">
            <v>1.2.6.6</v>
          </cell>
          <cell r="B117">
            <v>94974</v>
          </cell>
          <cell r="C117" t="str">
            <v>CONCRETO MAGRO PARA LASTRO, TRAÇO 1:4,5:4,5 (EM MASSA SECA DE CIMENTO/ AREIA MÉDIA/ BRITA 1) - PREPARO MANUAL. AF_05/2021</v>
          </cell>
          <cell r="D117" t="str">
            <v>M3</v>
          </cell>
          <cell r="E117">
            <v>5.65</v>
          </cell>
          <cell r="F117">
            <v>423.75</v>
          </cell>
          <cell r="G117">
            <v>523.71</v>
          </cell>
          <cell r="H117">
            <v>2958.96</v>
          </cell>
          <cell r="I117">
            <v>436.13</v>
          </cell>
          <cell r="J117">
            <v>512.76</v>
          </cell>
          <cell r="K117">
            <v>2897.09</v>
          </cell>
        </row>
        <row r="118">
          <cell r="A118" t="str">
            <v>1.2.6.7</v>
          </cell>
          <cell r="B118">
            <v>92771</v>
          </cell>
          <cell r="C118" t="str">
            <v>ARMAÇÃO DE LAJE DE ESTRUTURA CONVENCIONAL DE CONCRETO ARMADO UTILIZANDO AÇO CA-50 DE 10,0 MM - MONTAGEM. AF_06/2022</v>
          </cell>
          <cell r="D118" t="str">
            <v>KG</v>
          </cell>
          <cell r="E118">
            <v>468.47</v>
          </cell>
          <cell r="F118">
            <v>15.04</v>
          </cell>
          <cell r="G118">
            <v>18.59</v>
          </cell>
          <cell r="H118">
            <v>8708.86</v>
          </cell>
          <cell r="I118">
            <v>15.14</v>
          </cell>
          <cell r="J118">
            <v>17.8</v>
          </cell>
          <cell r="K118">
            <v>8338.77</v>
          </cell>
        </row>
        <row r="119">
          <cell r="A119" t="str">
            <v>1.2.6.8</v>
          </cell>
          <cell r="B119" t="str">
            <v>CP-92268-29291149</v>
          </cell>
          <cell r="C119" t="str">
            <v>FABRICAÇÃO DE FÔRMA PARA LAJES, EM CHAPA DE MADEIRA COMPENSADA PLASTIFICADA, E = 18 MM - EXCLUINDO O PAINEL DE MADEIRA COMPENSADA PLASTIFICADA DE 2200 x 1100 MM, E = *17* MM</v>
          </cell>
          <cell r="D119" t="str">
            <v>M2</v>
          </cell>
          <cell r="E119">
            <v>33.909999999999997</v>
          </cell>
          <cell r="F119">
            <v>0.98</v>
          </cell>
          <cell r="G119">
            <v>1.21</v>
          </cell>
          <cell r="H119">
            <v>41.03</v>
          </cell>
          <cell r="I119">
            <v>1.1000000000000001</v>
          </cell>
          <cell r="J119">
            <v>1.29</v>
          </cell>
          <cell r="K119">
            <v>43.74</v>
          </cell>
        </row>
        <row r="120">
          <cell r="A120" t="str">
            <v>1.2.6.9</v>
          </cell>
          <cell r="B120">
            <v>103320</v>
          </cell>
          <cell r="C120" t="str">
            <v>ALVENARIA DE VEDAÇÃO DE BLOCOS VAZADOS DE CONCRETO DE 19X19X39 CM (ESPESSURA 19 CM) E ARGAMASSA DE ASSENTAMENTO COM PREPARO EM BETONEIRA. AF_12/2021</v>
          </cell>
          <cell r="D120" t="str">
            <v>M2</v>
          </cell>
          <cell r="E120">
            <v>45.21</v>
          </cell>
          <cell r="F120">
            <v>101.36</v>
          </cell>
          <cell r="G120">
            <v>125.27</v>
          </cell>
          <cell r="H120">
            <v>5663.46</v>
          </cell>
          <cell r="I120">
            <v>105.62</v>
          </cell>
          <cell r="J120">
            <v>124.18</v>
          </cell>
          <cell r="K120">
            <v>5614.18</v>
          </cell>
        </row>
        <row r="121">
          <cell r="A121" t="str">
            <v>1.2.6.10</v>
          </cell>
          <cell r="B121">
            <v>87879</v>
          </cell>
          <cell r="C121" t="str">
            <v>CHAPISCO APLICADO EM ALVENARIAS E ESTRUTURAS DE CONCRETO INTERNAS, COM COLHER DE PEDREIRO.  ARGAMASSA TRAÇO 1:3 COM PREPARO EM BETONEIRA 400L. AF_06/2014</v>
          </cell>
          <cell r="D121" t="str">
            <v>M2</v>
          </cell>
          <cell r="E121">
            <v>45.21</v>
          </cell>
          <cell r="F121">
            <v>3.85</v>
          </cell>
          <cell r="G121">
            <v>4.76</v>
          </cell>
          <cell r="H121">
            <v>215.2</v>
          </cell>
          <cell r="I121">
            <v>4.0999999999999996</v>
          </cell>
          <cell r="J121">
            <v>4.82</v>
          </cell>
          <cell r="K121">
            <v>217.91</v>
          </cell>
        </row>
        <row r="122">
          <cell r="A122" t="str">
            <v>1.2.6.11</v>
          </cell>
          <cell r="B122">
            <v>87547</v>
          </cell>
          <cell r="C122" t="str">
            <v>MASSA ÚNICA, PARA RECEBIMENTO DE PINTURA, EM ARGAMASSA TRAÇO 1:2:8, PREPARO MECÂNICO COM BETONEIRA 400L, APLICADA MANUALMENTE EM FACES INTERNAS DE PAREDES, ESPESSURA DE 10MM, COM EXECUÇÃO DE TALISCAS. AF_06/2014</v>
          </cell>
          <cell r="D122" t="str">
            <v>M2</v>
          </cell>
          <cell r="E122">
            <v>45.21</v>
          </cell>
          <cell r="F122">
            <v>23.35</v>
          </cell>
          <cell r="G122">
            <v>28.86</v>
          </cell>
          <cell r="H122">
            <v>1304.76</v>
          </cell>
          <cell r="I122">
            <v>24.83</v>
          </cell>
          <cell r="J122">
            <v>29.19</v>
          </cell>
          <cell r="K122">
            <v>1319.68</v>
          </cell>
        </row>
        <row r="123">
          <cell r="A123" t="str">
            <v>1.2.6.12</v>
          </cell>
          <cell r="B123">
            <v>94975</v>
          </cell>
          <cell r="C123" t="str">
            <v>CONCRETO FCK = 15MPA, TRAÇO 1:3,4:3,5 (EM MASSA SECA DE CIMENTO/ AREIA MÉDIA/ BRITA 1) - PREPARO MANUAL. AF_05/2021</v>
          </cell>
          <cell r="D123" t="str">
            <v>M3</v>
          </cell>
          <cell r="E123">
            <v>4.8099999999999996</v>
          </cell>
          <cell r="F123">
            <v>457.19</v>
          </cell>
          <cell r="G123">
            <v>565.04</v>
          </cell>
          <cell r="H123">
            <v>2717.84</v>
          </cell>
          <cell r="I123">
            <v>469.42</v>
          </cell>
          <cell r="J123">
            <v>551.9</v>
          </cell>
          <cell r="K123">
            <v>2654.64</v>
          </cell>
        </row>
        <row r="124">
          <cell r="A124" t="str">
            <v>1.2.6.13</v>
          </cell>
          <cell r="B124" t="str">
            <v>CP-74157/004-48264518</v>
          </cell>
          <cell r="C124" t="str">
            <v>LANCAMENTO/APLICACAO MANUAL DE CONCRETO EM FUNDACOES (concreto magro)</v>
          </cell>
          <cell r="D124" t="str">
            <v>M3</v>
          </cell>
          <cell r="E124">
            <v>17.670000000000002</v>
          </cell>
          <cell r="F124">
            <v>116.59</v>
          </cell>
          <cell r="G124">
            <v>144.09</v>
          </cell>
          <cell r="H124">
            <v>2546.0700000000002</v>
          </cell>
          <cell r="I124">
            <v>129.79</v>
          </cell>
          <cell r="J124">
            <v>152.59</v>
          </cell>
          <cell r="K124">
            <v>2696.27</v>
          </cell>
        </row>
        <row r="125">
          <cell r="A125" t="str">
            <v>1.2.7</v>
          </cell>
          <cell r="B125"/>
          <cell r="C125" t="str">
            <v>SINALIZAÇÃO</v>
          </cell>
          <cell r="D125"/>
          <cell r="E125"/>
          <cell r="F125"/>
          <cell r="G125"/>
          <cell r="H125">
            <v>2224.06</v>
          </cell>
          <cell r="I125"/>
          <cell r="J125"/>
          <cell r="K125">
            <v>2171.7600000000002</v>
          </cell>
        </row>
        <row r="126">
          <cell r="A126" t="str">
            <v>1.2.7.1</v>
          </cell>
          <cell r="B126">
            <v>5213421</v>
          </cell>
          <cell r="C126" t="str">
            <v>Confecção de placa em aço nº 16 galvanizado, com película tipo I + IV</v>
          </cell>
          <cell r="D126" t="str">
            <v xml:space="preserve">M2    </v>
          </cell>
          <cell r="E126">
            <v>0.99</v>
          </cell>
          <cell r="F126">
            <v>343.8</v>
          </cell>
          <cell r="G126">
            <v>424.9</v>
          </cell>
          <cell r="H126">
            <v>420.65</v>
          </cell>
          <cell r="I126">
            <v>347.25</v>
          </cell>
          <cell r="J126">
            <v>408.26</v>
          </cell>
          <cell r="K126">
            <v>404.18</v>
          </cell>
        </row>
        <row r="127">
          <cell r="A127" t="str">
            <v>1.2.7.2</v>
          </cell>
          <cell r="B127">
            <v>5216111</v>
          </cell>
          <cell r="C127" t="str">
            <v>FORNECIMENTO E IMPLANTAÇÃO DE SUPORTE E TRAVESSA PARA PLACA DE SINALIZAÇÃO EM MADEIRA DE LEI TRATADA 8 X 8 CM</v>
          </cell>
          <cell r="D127" t="str">
            <v>UND</v>
          </cell>
          <cell r="E127">
            <v>4</v>
          </cell>
          <cell r="F127">
            <v>119.1379</v>
          </cell>
          <cell r="G127">
            <v>147.24</v>
          </cell>
          <cell r="H127">
            <v>588.96</v>
          </cell>
          <cell r="I127">
            <v>121.48</v>
          </cell>
          <cell r="J127">
            <v>142.82</v>
          </cell>
          <cell r="K127">
            <v>571.28</v>
          </cell>
        </row>
        <row r="128">
          <cell r="A128" t="str">
            <v>1.2.7.3</v>
          </cell>
          <cell r="B128" t="str">
            <v>COMP-58084869</v>
          </cell>
          <cell r="C128" t="str">
            <v>PLACA ESMALTADA PARA IDENTIFICAÇÃO NR DE RUA, DIMENSÕES 45X25CM</v>
          </cell>
          <cell r="D128" t="str">
            <v>UND</v>
          </cell>
          <cell r="E128">
            <v>2</v>
          </cell>
          <cell r="F128">
            <v>155.54</v>
          </cell>
          <cell r="G128">
            <v>192.23</v>
          </cell>
          <cell r="H128">
            <v>384.46</v>
          </cell>
          <cell r="I128">
            <v>156.33000000000001</v>
          </cell>
          <cell r="J128">
            <v>183.8</v>
          </cell>
          <cell r="K128">
            <v>367.6</v>
          </cell>
        </row>
        <row r="129">
          <cell r="A129" t="str">
            <v>1.2.7.4</v>
          </cell>
          <cell r="B129">
            <v>102512</v>
          </cell>
          <cell r="C129" t="str">
            <v>PINTURA DE EIXO VIÁRIO SOBRE ASFALTO COM TINTA RETRORREFLETIVA A BASE DE RESINA ACRÍLICA COM MICROESFERAS DE VIDRO, APLICAÇÃO MECÂNICA COM DEMARCADORA AUTOPROPELIDA. AF_05/2021</v>
          </cell>
          <cell r="D129" t="str">
            <v>M</v>
          </cell>
          <cell r="E129">
            <v>128.68</v>
          </cell>
          <cell r="F129">
            <v>5.22</v>
          </cell>
          <cell r="G129">
            <v>6.45</v>
          </cell>
          <cell r="H129">
            <v>829.99</v>
          </cell>
          <cell r="I129">
            <v>5.48</v>
          </cell>
          <cell r="J129">
            <v>6.44</v>
          </cell>
          <cell r="K129">
            <v>828.7</v>
          </cell>
        </row>
        <row r="130">
          <cell r="A130" t="str">
            <v>1.2.8</v>
          </cell>
          <cell r="B130"/>
          <cell r="C130" t="str">
            <v>ACESSIBILIDADE</v>
          </cell>
          <cell r="D130"/>
          <cell r="E130"/>
          <cell r="F130"/>
          <cell r="G130"/>
          <cell r="H130">
            <v>1106.71</v>
          </cell>
          <cell r="I130"/>
          <cell r="J130"/>
          <cell r="K130">
            <v>1088.3399999999999</v>
          </cell>
        </row>
        <row r="131">
          <cell r="A131" t="str">
            <v>1.2.8.1</v>
          </cell>
          <cell r="B131" t="str">
            <v>CP-S12039-81921471</v>
          </cell>
          <cell r="C131" t="str">
            <v>Piso tátil direcional e/ou alerta, de concreto, na cor natural, p/deficientes visuais, dimensões 40x40cm, aplicado com argamassa industrializada ac-ii, rejuntado, exclusive regularização de base</v>
          </cell>
          <cell r="D131" t="str">
            <v>M2</v>
          </cell>
          <cell r="E131">
            <v>8.24</v>
          </cell>
          <cell r="F131">
            <v>108.67</v>
          </cell>
          <cell r="G131">
            <v>134.31</v>
          </cell>
          <cell r="H131">
            <v>1106.71</v>
          </cell>
          <cell r="I131">
            <v>112.34</v>
          </cell>
          <cell r="J131">
            <v>132.08000000000001</v>
          </cell>
          <cell r="K131">
            <v>1088.3399999999999</v>
          </cell>
        </row>
        <row r="132">
          <cell r="A132" t="str">
            <v>1.2.9</v>
          </cell>
          <cell r="B132"/>
          <cell r="C132" t="str">
            <v>MATERIAIS</v>
          </cell>
          <cell r="D132"/>
          <cell r="E132"/>
          <cell r="F132"/>
          <cell r="G132"/>
          <cell r="H132">
            <v>22415.69</v>
          </cell>
          <cell r="I132"/>
          <cell r="J132"/>
          <cell r="K132">
            <v>21370.67</v>
          </cell>
        </row>
        <row r="133">
          <cell r="A133" t="str">
            <v>1.2.9.1</v>
          </cell>
          <cell r="B133">
            <v>10775</v>
          </cell>
          <cell r="C133" t="str">
            <v xml:space="preserve">LOCACAO DE CONTAINER 2,30 X 6,00 M, ALT. 2,50 M, COM 1 SANITARIO, PARA ESCRITORIO, COMPLETO, SEM DIVISORIAS INTERNAS (NAO INCLUI MOBILIZACAO/DESMOBILIZACAO)                                                                                                                                                                                                                                                                                                                                              </v>
          </cell>
          <cell r="D133" t="str">
            <v xml:space="preserve">MES   </v>
          </cell>
          <cell r="E133">
            <v>1</v>
          </cell>
          <cell r="F133">
            <v>830</v>
          </cell>
          <cell r="G133">
            <v>958.32</v>
          </cell>
          <cell r="H133">
            <v>958.32</v>
          </cell>
          <cell r="I133">
            <v>830</v>
          </cell>
          <cell r="J133">
            <v>913.58</v>
          </cell>
          <cell r="K133">
            <v>913.58</v>
          </cell>
        </row>
        <row r="134">
          <cell r="A134" t="str">
            <v>1.2.9.2</v>
          </cell>
          <cell r="B134">
            <v>10776</v>
          </cell>
          <cell r="C134" t="str">
            <v xml:space="preserve">LOCACAO DE CONTAINER 2,30 X 6,00 M, ALT. 2,50 M, PARA ESCRITORIO, SEM DIVISORIAS INTERNAS E SEM SANITARIO (NAO INCLUI MOBILIZACAO/DESMOBILIZACAO)                                                                                                                                                                                                                                                                                                                                                         </v>
          </cell>
          <cell r="D134" t="str">
            <v xml:space="preserve">MES   </v>
          </cell>
          <cell r="E134">
            <v>1</v>
          </cell>
          <cell r="F134">
            <v>648.42999999999995</v>
          </cell>
          <cell r="G134">
            <v>748.68</v>
          </cell>
          <cell r="H134">
            <v>748.68</v>
          </cell>
          <cell r="I134">
            <v>648.42999999999995</v>
          </cell>
          <cell r="J134">
            <v>713.73</v>
          </cell>
          <cell r="K134">
            <v>713.73</v>
          </cell>
        </row>
        <row r="135">
          <cell r="A135" t="str">
            <v>1.2.9.3</v>
          </cell>
          <cell r="B135">
            <v>1518</v>
          </cell>
          <cell r="C135" t="str">
            <v xml:space="preserve">CONCRETO BETUMINOSO USINADO A QUENTE (CBUQ) PARA PAVIMENTACAO ASFALTICA, PADRAO DNIT, FAIXA C, COM CAP 50/70 - AQUISICAO POSTO USINA                                                                                                                                                                                                                                                                                                                                                                      </v>
          </cell>
          <cell r="D135" t="str">
            <v xml:space="preserve">T     </v>
          </cell>
          <cell r="E135">
            <v>14.84</v>
          </cell>
          <cell r="F135">
            <v>522.5</v>
          </cell>
          <cell r="G135">
            <v>603.28</v>
          </cell>
          <cell r="H135">
            <v>8952.68</v>
          </cell>
          <cell r="I135">
            <v>522.5</v>
          </cell>
          <cell r="J135">
            <v>575.12</v>
          </cell>
          <cell r="K135">
            <v>8534.7800000000007</v>
          </cell>
        </row>
        <row r="136">
          <cell r="A136" t="str">
            <v>1.2.9.4</v>
          </cell>
          <cell r="B136" t="str">
            <v>INS-185032</v>
          </cell>
          <cell r="C136" t="str">
            <v>BRITA GRADUADA SIMPLES (BGS)</v>
          </cell>
          <cell r="D136" t="str">
            <v>M3</v>
          </cell>
          <cell r="E136">
            <v>34.909999999999997</v>
          </cell>
          <cell r="F136">
            <v>56.099999999999994</v>
          </cell>
          <cell r="G136">
            <v>64.77</v>
          </cell>
          <cell r="H136">
            <v>2261.12</v>
          </cell>
          <cell r="I136">
            <v>56.099999999999994</v>
          </cell>
          <cell r="J136">
            <v>61.75</v>
          </cell>
          <cell r="K136">
            <v>2155.69</v>
          </cell>
        </row>
        <row r="137">
          <cell r="A137" t="str">
            <v>1.2.9.5</v>
          </cell>
          <cell r="B137" t="str">
            <v>INS-54745269</v>
          </cell>
          <cell r="C137" t="str">
            <v>ASFALTO DILUÍDO CM - 30 - JUNHO/22</v>
          </cell>
          <cell r="D137" t="str">
            <v>KG</v>
          </cell>
          <cell r="E137">
            <v>139.66</v>
          </cell>
          <cell r="F137">
            <v>5.32</v>
          </cell>
          <cell r="G137">
            <v>6.14</v>
          </cell>
          <cell r="H137">
            <v>857.51</v>
          </cell>
          <cell r="I137">
            <v>5.32</v>
          </cell>
          <cell r="J137">
            <v>5.86</v>
          </cell>
          <cell r="K137">
            <v>818.41</v>
          </cell>
        </row>
        <row r="138">
          <cell r="A138" t="str">
            <v>1.2.9.6</v>
          </cell>
          <cell r="B138">
            <v>34492</v>
          </cell>
          <cell r="C138" t="str">
            <v xml:space="preserve">CONCRETO USINADO BOMBEAVEL, CLASSE DE RESISTENCIA C20, COM BRITA 0 E 1, SLUMP = 100 +/- 20 MM, EXCLUI SERVICO DE BOMBEAMENTO (NBR 8953)                                                                                                                                                                                                                                                                                                                                                                   </v>
          </cell>
          <cell r="D138" t="str">
            <v xml:space="preserve">M3    </v>
          </cell>
          <cell r="E138">
            <v>9.75</v>
          </cell>
          <cell r="F138">
            <v>422.5</v>
          </cell>
          <cell r="G138">
            <v>487.82</v>
          </cell>
          <cell r="H138">
            <v>4756.25</v>
          </cell>
          <cell r="I138">
            <v>422.5</v>
          </cell>
          <cell r="J138">
            <v>465.05</v>
          </cell>
          <cell r="K138">
            <v>4534.24</v>
          </cell>
        </row>
        <row r="139">
          <cell r="A139" t="str">
            <v>1.2.9.7</v>
          </cell>
          <cell r="B139">
            <v>1345</v>
          </cell>
          <cell r="C139" t="str">
            <v xml:space="preserve">CHAPA/PAINEL DE MADEIRA COMPENSADA PLASTIFICADA (MADEIRITE PLASTIFICADO) PARA FORMA DE CONCRETO, DE 2200 x 1100 MM, E = *17* MM                                                                                                                                                                                                                                                                                                                                                                           </v>
          </cell>
          <cell r="D139" t="str">
            <v xml:space="preserve">M2    </v>
          </cell>
          <cell r="E139">
            <v>35.61</v>
          </cell>
          <cell r="F139">
            <v>94.4</v>
          </cell>
          <cell r="G139">
            <v>108.99</v>
          </cell>
          <cell r="H139">
            <v>3881.13</v>
          </cell>
          <cell r="I139">
            <v>94.4</v>
          </cell>
          <cell r="J139">
            <v>103.91</v>
          </cell>
          <cell r="K139">
            <v>3700.24</v>
          </cell>
        </row>
        <row r="140">
          <cell r="A140" t="str">
            <v>1.3</v>
          </cell>
          <cell r="B140"/>
          <cell r="C140" t="str">
            <v>RUA VICÊNCIA - CAJUEIRO SECO</v>
          </cell>
          <cell r="D140"/>
          <cell r="E140"/>
          <cell r="F140"/>
          <cell r="G140"/>
          <cell r="H140">
            <v>149847.15</v>
          </cell>
          <cell r="I140"/>
          <cell r="J140"/>
          <cell r="K140">
            <v>146237.70000000001</v>
          </cell>
        </row>
        <row r="141">
          <cell r="A141" t="str">
            <v>1.3.1</v>
          </cell>
          <cell r="B141"/>
          <cell r="C141" t="str">
            <v>INSTALAÇÕES PROVISÓRIAS</v>
          </cell>
          <cell r="D141"/>
          <cell r="E141"/>
          <cell r="F141"/>
          <cell r="G141"/>
          <cell r="H141">
            <v>6385.61</v>
          </cell>
          <cell r="I141"/>
          <cell r="J141"/>
          <cell r="K141">
            <v>6137.07</v>
          </cell>
        </row>
        <row r="142">
          <cell r="A142" t="str">
            <v>1.3.1.1</v>
          </cell>
          <cell r="B142" t="str">
            <v>CP-74209/001-15055090</v>
          </cell>
          <cell r="C142" t="str">
            <v>PLACA DE OBRA EM CHAPA DE ACO GALVANIZADO</v>
          </cell>
          <cell r="D142" t="str">
            <v xml:space="preserve">M2    </v>
          </cell>
          <cell r="E142">
            <v>8</v>
          </cell>
          <cell r="F142">
            <v>558.35</v>
          </cell>
          <cell r="G142">
            <v>690.06</v>
          </cell>
          <cell r="H142">
            <v>5520.48</v>
          </cell>
          <cell r="I142">
            <v>564.99</v>
          </cell>
          <cell r="J142">
            <v>664.26</v>
          </cell>
          <cell r="K142">
            <v>5314.08</v>
          </cell>
        </row>
        <row r="143">
          <cell r="A143" t="str">
            <v>1.3.1.2</v>
          </cell>
          <cell r="B143" t="str">
            <v>COMP-07440249</v>
          </cell>
          <cell r="C143" t="str">
            <v>BANHEIRO QUÍMICO, COM LOCAÇÃO, TRANSPORTE E LIMPEZA</v>
          </cell>
          <cell r="D143" t="str">
            <v>MÊS</v>
          </cell>
          <cell r="E143">
            <v>1</v>
          </cell>
          <cell r="F143">
            <v>700</v>
          </cell>
          <cell r="G143">
            <v>865.13</v>
          </cell>
          <cell r="H143">
            <v>865.13</v>
          </cell>
          <cell r="I143">
            <v>700</v>
          </cell>
          <cell r="J143">
            <v>822.99</v>
          </cell>
          <cell r="K143">
            <v>822.99</v>
          </cell>
        </row>
        <row r="144">
          <cell r="A144" t="str">
            <v>1.3.2</v>
          </cell>
          <cell r="B144"/>
          <cell r="C144" t="str">
            <v>ADMINISTRAÇÃO LOCAL</v>
          </cell>
          <cell r="D144"/>
          <cell r="E144"/>
          <cell r="F144"/>
          <cell r="G144"/>
          <cell r="H144">
            <v>5926.76</v>
          </cell>
          <cell r="I144"/>
          <cell r="J144"/>
          <cell r="K144">
            <v>6492.79</v>
          </cell>
        </row>
        <row r="145">
          <cell r="A145" t="str">
            <v>1.3.2.1</v>
          </cell>
          <cell r="B145">
            <v>93565</v>
          </cell>
          <cell r="C145" t="str">
            <v>ENGENHEIRO CIVIL DE OBRA JUNIOR COM ENCARGOS COMPLEMENTARES</v>
          </cell>
          <cell r="D145" t="str">
            <v>MES</v>
          </cell>
          <cell r="E145">
            <v>0.13</v>
          </cell>
          <cell r="F145">
            <v>14549.96</v>
          </cell>
          <cell r="G145">
            <v>17982.3</v>
          </cell>
          <cell r="H145">
            <v>2337.6999999999998</v>
          </cell>
          <cell r="I145">
            <v>16819.14</v>
          </cell>
          <cell r="J145">
            <v>19774.259999999998</v>
          </cell>
          <cell r="K145">
            <v>2570.65</v>
          </cell>
        </row>
        <row r="146">
          <cell r="A146" t="str">
            <v>1.3.2.2</v>
          </cell>
          <cell r="B146">
            <v>93572</v>
          </cell>
          <cell r="C146" t="str">
            <v>ENCARREGADO GERAL DE OBRAS COM ENCARGOS COMPLEMENTARES</v>
          </cell>
          <cell r="D146" t="str">
            <v>MES</v>
          </cell>
          <cell r="E146">
            <v>0.5</v>
          </cell>
          <cell r="F146">
            <v>5808.01</v>
          </cell>
          <cell r="G146">
            <v>7178.12</v>
          </cell>
          <cell r="H146">
            <v>3589.06</v>
          </cell>
          <cell r="I146">
            <v>6672</v>
          </cell>
          <cell r="J146">
            <v>7844.27</v>
          </cell>
          <cell r="K146">
            <v>3922.14</v>
          </cell>
        </row>
        <row r="147">
          <cell r="A147" t="str">
            <v>1.3.3</v>
          </cell>
          <cell r="B147"/>
          <cell r="C147" t="str">
            <v>SERVIÇOS PRELIMINARES</v>
          </cell>
          <cell r="D147"/>
          <cell r="E147"/>
          <cell r="F147"/>
          <cell r="G147"/>
          <cell r="H147">
            <v>910.55</v>
          </cell>
          <cell r="I147"/>
          <cell r="J147"/>
          <cell r="K147">
            <v>960.1</v>
          </cell>
        </row>
        <row r="148">
          <cell r="A148" t="str">
            <v>1.3.3.1</v>
          </cell>
          <cell r="B148">
            <v>99064</v>
          </cell>
          <cell r="C148" t="str">
            <v>LOCAÇÃO DE PAVIMENTAÇÃO. AF_10/2018</v>
          </cell>
          <cell r="D148" t="str">
            <v>M</v>
          </cell>
          <cell r="E148">
            <v>50.44</v>
          </cell>
          <cell r="F148">
            <v>0.43</v>
          </cell>
          <cell r="G148">
            <v>0.53</v>
          </cell>
          <cell r="H148">
            <v>26.73</v>
          </cell>
          <cell r="I148">
            <v>0.49</v>
          </cell>
          <cell r="J148">
            <v>0.57999999999999996</v>
          </cell>
          <cell r="K148">
            <v>29.26</v>
          </cell>
        </row>
        <row r="149">
          <cell r="A149" t="str">
            <v>1.3.3.2</v>
          </cell>
          <cell r="B149" t="str">
            <v>COMP-17562084</v>
          </cell>
          <cell r="C149" t="str">
            <v>DEMOLIÇÃO MANUAL DE CONCRETO SIMPLES</v>
          </cell>
          <cell r="D149" t="str">
            <v>M3</v>
          </cell>
          <cell r="E149">
            <v>3.56</v>
          </cell>
          <cell r="F149">
            <v>190.89</v>
          </cell>
          <cell r="G149">
            <v>235.92</v>
          </cell>
          <cell r="H149">
            <v>839.88</v>
          </cell>
          <cell r="I149">
            <v>212.24</v>
          </cell>
          <cell r="J149">
            <v>249.53</v>
          </cell>
          <cell r="K149">
            <v>888.33</v>
          </cell>
        </row>
        <row r="150">
          <cell r="A150" t="str">
            <v>1.3.3.3</v>
          </cell>
          <cell r="B150" t="str">
            <v>COMP-35145154</v>
          </cell>
          <cell r="C150" t="str">
            <v>CARGA E DESCARGA MECANICA DE SOLO UTILIZANDO CAMINHAO BASCULANTE 14,0M3/36T E PA CARREGADEIRA SOBRE PNEUS 128 HP, CAPACIDADE DA CAÇAMBA 1,7 A 2,8 M3, PESO OPERACIONAL 11632 KH</v>
          </cell>
          <cell r="D150" t="str">
            <v>M3</v>
          </cell>
          <cell r="E150">
            <v>4.45</v>
          </cell>
          <cell r="F150">
            <v>2.83</v>
          </cell>
          <cell r="G150">
            <v>3.5</v>
          </cell>
          <cell r="H150">
            <v>15.58</v>
          </cell>
          <cell r="I150">
            <v>2.9</v>
          </cell>
          <cell r="J150">
            <v>3.41</v>
          </cell>
          <cell r="K150">
            <v>15.17</v>
          </cell>
        </row>
        <row r="151">
          <cell r="A151" t="str">
            <v>1.3.3.4</v>
          </cell>
          <cell r="B151">
            <v>95876</v>
          </cell>
          <cell r="C151" t="str">
            <v>TRANSPORTE COM CAMINHÃO BASCULANTE DE 14 M³, EM VIA URBANA PAVIMENTADA, DMT ATÉ 30 KM (UNIDADE: M3XKM). AF_07/2020</v>
          </cell>
          <cell r="D151" t="str">
            <v>M3XKM</v>
          </cell>
          <cell r="E151">
            <v>10.24</v>
          </cell>
          <cell r="F151">
            <v>2.2400000000000002</v>
          </cell>
          <cell r="G151">
            <v>2.77</v>
          </cell>
          <cell r="H151">
            <v>28.36</v>
          </cell>
          <cell r="I151">
            <v>2.27</v>
          </cell>
          <cell r="J151">
            <v>2.67</v>
          </cell>
          <cell r="K151">
            <v>27.34</v>
          </cell>
        </row>
        <row r="152">
          <cell r="A152" t="str">
            <v>1.3.4</v>
          </cell>
          <cell r="B152"/>
          <cell r="C152" t="str">
            <v>TERRAPLANAGEM</v>
          </cell>
          <cell r="D152"/>
          <cell r="E152"/>
          <cell r="F152"/>
          <cell r="G152"/>
          <cell r="H152">
            <v>3115.93</v>
          </cell>
          <cell r="I152"/>
          <cell r="J152"/>
          <cell r="K152">
            <v>3017.29</v>
          </cell>
        </row>
        <row r="153">
          <cell r="A153" t="str">
            <v>1.3.4.1</v>
          </cell>
          <cell r="B153" t="str">
            <v>CP-74205/001-17324935</v>
          </cell>
          <cell r="C153" t="str">
            <v>ESCAVAÇÃO MECÂNICA DE MATERIAL 1A. CATEGORIA, PROVENIENTE DE CORTE DE SUBLEITO (C/TRATOR ESTEIRAS  160HP)</v>
          </cell>
          <cell r="D153" t="str">
            <v>M3</v>
          </cell>
          <cell r="E153">
            <v>201.3</v>
          </cell>
          <cell r="F153">
            <v>2.54</v>
          </cell>
          <cell r="G153">
            <v>3.14</v>
          </cell>
          <cell r="H153">
            <v>632.08000000000004</v>
          </cell>
          <cell r="I153">
            <v>2.59</v>
          </cell>
          <cell r="J153">
            <v>3.05</v>
          </cell>
          <cell r="K153">
            <v>613.97</v>
          </cell>
        </row>
        <row r="154">
          <cell r="A154" t="str">
            <v>1.3.4.2</v>
          </cell>
          <cell r="B154" t="str">
            <v>COMP-35145154</v>
          </cell>
          <cell r="C154" t="str">
            <v>CARGA E DESCARGA MECANICA DE SOLO UTILIZANDO CAMINHAO BASCULANTE 14,0M3/36T E PA CARREGADEIRA SOBRE PNEUS 128 HP, CAPACIDADE DA CAÇAMBA 1,7 A 2,8 M3, PESO OPERACIONAL 11632 KH</v>
          </cell>
          <cell r="D154" t="str">
            <v>M3</v>
          </cell>
          <cell r="E154">
            <v>251.63</v>
          </cell>
          <cell r="F154">
            <v>2.83</v>
          </cell>
          <cell r="G154">
            <v>3.5</v>
          </cell>
          <cell r="H154">
            <v>880.71</v>
          </cell>
          <cell r="I154">
            <v>2.9</v>
          </cell>
          <cell r="J154">
            <v>3.41</v>
          </cell>
          <cell r="K154">
            <v>858.06</v>
          </cell>
        </row>
        <row r="155">
          <cell r="A155" t="str">
            <v>1.3.4.3</v>
          </cell>
          <cell r="B155">
            <v>95876</v>
          </cell>
          <cell r="C155" t="str">
            <v>TRANSPORTE COM CAMINHÃO BASCULANTE DE 14 M³, EM VIA URBANA PAVIMENTADA, DMT ATÉ 30 KM (UNIDADE: M3XKM). AF_07/2020</v>
          </cell>
          <cell r="D155" t="str">
            <v>M3XKM</v>
          </cell>
          <cell r="E155">
            <v>578.75</v>
          </cell>
          <cell r="F155">
            <v>2.2400000000000002</v>
          </cell>
          <cell r="G155">
            <v>2.77</v>
          </cell>
          <cell r="H155">
            <v>1603.14</v>
          </cell>
          <cell r="I155">
            <v>2.27</v>
          </cell>
          <cell r="J155">
            <v>2.67</v>
          </cell>
          <cell r="K155">
            <v>1545.26</v>
          </cell>
        </row>
        <row r="156">
          <cell r="A156" t="str">
            <v>1.3.5</v>
          </cell>
          <cell r="B156"/>
          <cell r="C156" t="str">
            <v>PAVIMENTAÇÃO</v>
          </cell>
          <cell r="D156"/>
          <cell r="E156"/>
          <cell r="F156"/>
          <cell r="G156"/>
          <cell r="H156">
            <v>22210.33</v>
          </cell>
          <cell r="I156"/>
          <cell r="J156"/>
          <cell r="K156">
            <v>22021.22</v>
          </cell>
        </row>
        <row r="157">
          <cell r="A157" t="str">
            <v>1.3.5.1</v>
          </cell>
          <cell r="B157">
            <v>100576</v>
          </cell>
          <cell r="C157" t="str">
            <v>REGULARIZAÇÃO E COMPACTAÇÃO DE SUBLEITO DE SOLO  PREDOMINANTEMENTE ARGILOSO. AF_11/2019</v>
          </cell>
          <cell r="D157" t="str">
            <v>M2</v>
          </cell>
          <cell r="E157">
            <v>353.08</v>
          </cell>
          <cell r="F157">
            <v>2.64</v>
          </cell>
          <cell r="G157">
            <v>3.26</v>
          </cell>
          <cell r="H157">
            <v>1151.04</v>
          </cell>
          <cell r="I157">
            <v>2.79</v>
          </cell>
          <cell r="J157">
            <v>3.28</v>
          </cell>
          <cell r="K157">
            <v>1158.0999999999999</v>
          </cell>
        </row>
        <row r="158">
          <cell r="A158" t="str">
            <v>1.3.5.2</v>
          </cell>
          <cell r="B158" t="str">
            <v>COMP-28881239</v>
          </cell>
          <cell r="C158" t="str">
            <v>Base ou sub-base de macadame hidráulico com brita comercial - EXCLUSIVE MATERIAL, CARGA E TRANSPORTE - NÃO DESONERADO</v>
          </cell>
          <cell r="D158" t="str">
            <v>M3</v>
          </cell>
          <cell r="E158">
            <v>52.96</v>
          </cell>
          <cell r="F158">
            <v>11.24</v>
          </cell>
          <cell r="G158">
            <v>13.89</v>
          </cell>
          <cell r="H158">
            <v>735.61</v>
          </cell>
          <cell r="I158">
            <v>11.4</v>
          </cell>
          <cell r="J158">
            <v>13.4</v>
          </cell>
          <cell r="K158">
            <v>709.66</v>
          </cell>
        </row>
        <row r="159">
          <cell r="A159" t="str">
            <v>1.3.5.3</v>
          </cell>
          <cell r="B159" t="str">
            <v>CP-96396-26507981</v>
          </cell>
          <cell r="C159" t="str">
            <v>EXECUÇÃO E COMPACTAÇÃO DE BASE E OU SUB BASE PARA PAVIMENTAÇÃO DE BRITA GRADUADA SIMPLES - EXCLUSIVE MATERIAL, CARGA E TRANSPORTE</v>
          </cell>
          <cell r="D159" t="str">
            <v>M3</v>
          </cell>
          <cell r="E159">
            <v>60.53</v>
          </cell>
          <cell r="F159">
            <v>13.86</v>
          </cell>
          <cell r="G159">
            <v>17.13</v>
          </cell>
          <cell r="H159">
            <v>1036.8800000000001</v>
          </cell>
          <cell r="I159">
            <v>14.44</v>
          </cell>
          <cell r="J159">
            <v>16.98</v>
          </cell>
          <cell r="K159">
            <v>1027.8</v>
          </cell>
        </row>
        <row r="160">
          <cell r="A160" t="str">
            <v>1.3.5.4</v>
          </cell>
          <cell r="B160" t="str">
            <v>COMP-35145154</v>
          </cell>
          <cell r="C160" t="str">
            <v>CARGA E DESCARGA MECANICA DE SOLO UTILIZANDO CAMINHAO BASCULANTE 14,0M3/36T E PA CARREGADEIRA SOBRE PNEUS 128 HP, CAPACIDADE DA CAÇAMBA 1,7 A 2,8 M3, PESO OPERACIONAL 11632 KH</v>
          </cell>
          <cell r="D160" t="str">
            <v>M3</v>
          </cell>
          <cell r="E160">
            <v>141.86000000000001</v>
          </cell>
          <cell r="F160">
            <v>2.83</v>
          </cell>
          <cell r="G160">
            <v>3.5</v>
          </cell>
          <cell r="H160">
            <v>496.51</v>
          </cell>
          <cell r="I160">
            <v>2.9</v>
          </cell>
          <cell r="J160">
            <v>3.41</v>
          </cell>
          <cell r="K160">
            <v>483.74</v>
          </cell>
        </row>
        <row r="161">
          <cell r="A161" t="str">
            <v>1.3.5.5</v>
          </cell>
          <cell r="B161" t="str">
            <v>COMP-83526730</v>
          </cell>
          <cell r="C161" t="str">
            <v>TRANSPORTE COMERCIAL DE BRITA</v>
          </cell>
          <cell r="D161" t="str">
            <v>M3XKM</v>
          </cell>
          <cell r="E161">
            <v>1021.39</v>
          </cell>
          <cell r="F161">
            <v>1.36</v>
          </cell>
          <cell r="G161">
            <v>1.68</v>
          </cell>
          <cell r="H161">
            <v>1715.94</v>
          </cell>
          <cell r="I161">
            <v>1.37</v>
          </cell>
          <cell r="J161">
            <v>1.61</v>
          </cell>
          <cell r="K161">
            <v>1644.44</v>
          </cell>
        </row>
        <row r="162">
          <cell r="A162" t="str">
            <v>1.3.5.6</v>
          </cell>
          <cell r="B162" t="str">
            <v>CP-96401-52745838</v>
          </cell>
          <cell r="C162" t="str">
            <v>EXECUÇÃO DE IMPRIMAÇÃO COM ASFALTO DILUÍDO CM-30, EXCLUSIVE MATERIAL.</v>
          </cell>
          <cell r="D162" t="str">
            <v>M2</v>
          </cell>
          <cell r="E162">
            <v>280.07</v>
          </cell>
          <cell r="F162">
            <v>1.18</v>
          </cell>
          <cell r="G162">
            <v>1.46</v>
          </cell>
          <cell r="H162">
            <v>408.9</v>
          </cell>
          <cell r="I162">
            <v>1.24</v>
          </cell>
          <cell r="J162">
            <v>1.46</v>
          </cell>
          <cell r="K162">
            <v>408.9</v>
          </cell>
        </row>
        <row r="163">
          <cell r="A163" t="str">
            <v>1.3.5.7</v>
          </cell>
          <cell r="B163" t="str">
            <v>CP-95995-51339760</v>
          </cell>
          <cell r="C163" t="str">
            <v>EXECUÇÃO DE PAVIMENTO COM APLICAÇÃO DE CONCRETO ASFÁLTICO, CAMADA DE ROLAMENTO - EXCLUSIVE CARGA E TRANSPORTE E CONCRETO BETUMINOSO</v>
          </cell>
          <cell r="D163" t="str">
            <v>M3</v>
          </cell>
          <cell r="E163">
            <v>14</v>
          </cell>
          <cell r="F163">
            <v>127.58</v>
          </cell>
          <cell r="G163">
            <v>157.68</v>
          </cell>
          <cell r="H163">
            <v>2207.52</v>
          </cell>
          <cell r="I163">
            <v>133.37</v>
          </cell>
          <cell r="J163">
            <v>156.80000000000001</v>
          </cell>
          <cell r="K163">
            <v>2195.1999999999998</v>
          </cell>
        </row>
        <row r="164">
          <cell r="A164" t="str">
            <v>1.3.5.8</v>
          </cell>
          <cell r="B164" t="str">
            <v>COMP-10034101</v>
          </cell>
          <cell r="C164" t="str">
            <v>CARGA, MANOBRAS E DESCARGA DE MISTURA BETUMINOSA A QUENTE, COM CAMINHAO BASCULANTE 6 M3, DESCARGA EM VIBRO-ACABADORA</v>
          </cell>
          <cell r="D164" t="str">
            <v>M3</v>
          </cell>
          <cell r="E164">
            <v>14</v>
          </cell>
          <cell r="F164">
            <v>7.74</v>
          </cell>
          <cell r="G164">
            <v>9.57</v>
          </cell>
          <cell r="H164">
            <v>133.97999999999999</v>
          </cell>
          <cell r="I164">
            <v>7.86</v>
          </cell>
          <cell r="J164">
            <v>9.24</v>
          </cell>
          <cell r="K164">
            <v>129.36000000000001</v>
          </cell>
        </row>
        <row r="165">
          <cell r="A165" t="str">
            <v>1.3.5.9</v>
          </cell>
          <cell r="B165" t="str">
            <v>CP-95303-56931542</v>
          </cell>
          <cell r="C165" t="str">
            <v>TRANSPORTE COM CAMINHÃO BASCULANTE 10 M3 DE MASSA ASFALTICA PARA PAVIMENTAÇÃO URBANA</v>
          </cell>
          <cell r="D165" t="str">
            <v>M3XKM</v>
          </cell>
          <cell r="E165">
            <v>228.2</v>
          </cell>
          <cell r="F165">
            <v>1.75</v>
          </cell>
          <cell r="G165">
            <v>2.16</v>
          </cell>
          <cell r="H165">
            <v>492.91</v>
          </cell>
          <cell r="I165">
            <v>1.77</v>
          </cell>
          <cell r="J165">
            <v>2.08</v>
          </cell>
          <cell r="K165">
            <v>474.66</v>
          </cell>
        </row>
        <row r="166">
          <cell r="A166" t="str">
            <v>1.3.5.10</v>
          </cell>
          <cell r="B166" t="str">
            <v>CP-97084-89637704</v>
          </cell>
          <cell r="C166" t="str">
            <v>REGULARIZACAO E COMPACTAÇÃO MANUAL DE TERRENO COM PLACA VIBRATÓRIA</v>
          </cell>
          <cell r="D166" t="str">
            <v>M2</v>
          </cell>
          <cell r="E166">
            <v>212.65</v>
          </cell>
          <cell r="F166">
            <v>0.59</v>
          </cell>
          <cell r="G166">
            <v>0.73</v>
          </cell>
          <cell r="H166">
            <v>155.22999999999999</v>
          </cell>
          <cell r="I166">
            <v>0.65</v>
          </cell>
          <cell r="J166">
            <v>0.76</v>
          </cell>
          <cell r="K166">
            <v>161.61000000000001</v>
          </cell>
        </row>
        <row r="167">
          <cell r="A167" t="str">
            <v>1.3.5.11</v>
          </cell>
          <cell r="B167" t="str">
            <v>CP-94991-12549457</v>
          </cell>
          <cell r="C167" t="str">
            <v>EXECUÇÃO DE PASSEIO (CALÇADA) OU PISO DE CONCRETO COM CONCRETO MOLDADO IN LOCO, USINADO, ACABAMENTO CONVENCIONAL, NÃO ARMADO - EXCLUINDO O CONCRETO USINADO 20MPA</v>
          </cell>
          <cell r="D167" t="str">
            <v>M3</v>
          </cell>
          <cell r="E167">
            <v>14.38</v>
          </cell>
          <cell r="F167">
            <v>104.6</v>
          </cell>
          <cell r="G167">
            <v>129.28</v>
          </cell>
          <cell r="H167">
            <v>1859.05</v>
          </cell>
          <cell r="I167">
            <v>112.75</v>
          </cell>
          <cell r="J167">
            <v>132.56</v>
          </cell>
          <cell r="K167">
            <v>1906.21</v>
          </cell>
        </row>
        <row r="168">
          <cell r="A168" t="str">
            <v>1.3.5.12</v>
          </cell>
          <cell r="B168">
            <v>94273</v>
          </cell>
          <cell r="C168" t="str">
            <v>ASSENTAMENTO DE GUIA (MEIO-FIO) EM TRECHO RETO, CONFECCIONADA EM CONCRETO PRÉ-FABRICADO, DIMENSÕES 100X15X13X30 CM (COMPRIMENTO X BASE INFERIOR X BASE SUPERIOR X ALTURA), PARA VIAS URBANAS (USO VIÁRIO). AF_06/2016</v>
          </cell>
          <cell r="D168" t="str">
            <v>M</v>
          </cell>
          <cell r="E168">
            <v>99.93</v>
          </cell>
          <cell r="F168">
            <v>54.61</v>
          </cell>
          <cell r="G168">
            <v>67.489999999999995</v>
          </cell>
          <cell r="H168">
            <v>6744.28</v>
          </cell>
          <cell r="I168">
            <v>56.47</v>
          </cell>
          <cell r="J168">
            <v>66.39</v>
          </cell>
          <cell r="K168">
            <v>6634.35</v>
          </cell>
        </row>
        <row r="169">
          <cell r="A169" t="str">
            <v>1.3.5.13</v>
          </cell>
          <cell r="B169">
            <v>94274</v>
          </cell>
          <cell r="C169" t="str">
            <v>ASSENTAMENTO DE GUIA (MEIO-FIO) EM TRECHO CURVO, CONFECCIONADA EM CONCRETO PRÉ-FABRICADO, DIMENSÕES 100X15X13X30 CM (COMPRIMENTO X BASE INFERIOR X BASE SUPERIOR X ALTURA), PARA VIAS URBANAS (USO VIÁRIO). AF_06/2016</v>
          </cell>
          <cell r="D169" t="str">
            <v>M</v>
          </cell>
          <cell r="E169">
            <v>1.81</v>
          </cell>
          <cell r="F169">
            <v>58.17</v>
          </cell>
          <cell r="G169">
            <v>71.89</v>
          </cell>
          <cell r="H169">
            <v>130.12</v>
          </cell>
          <cell r="I169">
            <v>60.43</v>
          </cell>
          <cell r="J169">
            <v>71.05</v>
          </cell>
          <cell r="K169">
            <v>128.6</v>
          </cell>
        </row>
        <row r="170">
          <cell r="A170" t="str">
            <v>1.3.5.14</v>
          </cell>
          <cell r="B170">
            <v>94275</v>
          </cell>
          <cell r="C170" t="str">
            <v>ASSENTAMENTO DE GUIA (MEIO-FIO) EM TRECHO RETO, CONFECCIONADA EM CONCRETO PRÉ-FABRICADO, DIMENSÕES 100X15X13X20 CM (COMPRIMENTO X BASE INFERIOR X BASE SUPERIOR X ALTURA), PARA URBANIZAÇÃO INTERNA DE EMPREENDIMENTOS. AF_06/2016_P</v>
          </cell>
          <cell r="D170" t="str">
            <v>M</v>
          </cell>
          <cell r="E170">
            <v>2.8</v>
          </cell>
          <cell r="F170">
            <v>52.64</v>
          </cell>
          <cell r="G170">
            <v>65.06</v>
          </cell>
          <cell r="H170">
            <v>182.17</v>
          </cell>
          <cell r="I170">
            <v>54.31</v>
          </cell>
          <cell r="J170">
            <v>63.85</v>
          </cell>
          <cell r="K170">
            <v>178.78</v>
          </cell>
        </row>
        <row r="171">
          <cell r="A171" t="str">
            <v>1.3.5.15</v>
          </cell>
          <cell r="B171">
            <v>94287</v>
          </cell>
          <cell r="C171" t="str">
            <v>EXECUÇÃO DE SARJETA DE CONCRETO USINADO, MOLDADA  IN LOCO  EM TRECHO RETO, 30 CM BASE X 10 CM ALTURA. AF_06/2016</v>
          </cell>
          <cell r="D171" t="str">
            <v>M</v>
          </cell>
          <cell r="E171">
            <v>99.93</v>
          </cell>
          <cell r="F171">
            <v>37.69</v>
          </cell>
          <cell r="G171">
            <v>46.58</v>
          </cell>
          <cell r="H171">
            <v>4654.74</v>
          </cell>
          <cell r="I171">
            <v>39.770000000000003</v>
          </cell>
          <cell r="J171">
            <v>46.76</v>
          </cell>
          <cell r="K171">
            <v>4672.7299999999996</v>
          </cell>
        </row>
        <row r="172">
          <cell r="A172" t="str">
            <v>1.3.5.16</v>
          </cell>
          <cell r="B172">
            <v>94288</v>
          </cell>
          <cell r="C172" t="str">
            <v>EXECUÇÃO DE SARJETA DE CONCRETO USINADO, MOLDADA  IN LOCO  EM TRECHO CURVO, 30 CM BASE X 10 CM ALTURA. AF_06/2016</v>
          </cell>
          <cell r="D172" t="str">
            <v>M</v>
          </cell>
          <cell r="E172">
            <v>1.81</v>
          </cell>
          <cell r="F172">
            <v>47.14</v>
          </cell>
          <cell r="G172">
            <v>58.26</v>
          </cell>
          <cell r="H172">
            <v>105.45</v>
          </cell>
          <cell r="I172">
            <v>50.32</v>
          </cell>
          <cell r="J172">
            <v>59.16</v>
          </cell>
          <cell r="K172">
            <v>107.08</v>
          </cell>
        </row>
        <row r="173">
          <cell r="A173" t="str">
            <v>1.3.6</v>
          </cell>
          <cell r="B173"/>
          <cell r="C173" t="str">
            <v>DRENAGEM</v>
          </cell>
          <cell r="D173"/>
          <cell r="E173"/>
          <cell r="F173"/>
          <cell r="G173"/>
          <cell r="H173">
            <v>29637.69</v>
          </cell>
          <cell r="I173"/>
          <cell r="J173"/>
          <cell r="K173">
            <v>29633.46</v>
          </cell>
        </row>
        <row r="174">
          <cell r="A174" t="str">
            <v>1.3.6.1</v>
          </cell>
          <cell r="B174">
            <v>90106</v>
          </cell>
          <cell r="C174" t="str">
            <v>ESCAVAÇÃO MECANIZADA DE VALA COM PROFUNDIDADE ATÉ 1,5 M (MÉDIA MONTANTE E JUSANTE/UMA COMPOSIÇÃO POR TRECHO), RETROESCAV. (0,26 M3), LARGURA DE 0,8 M A 1,5 M, EM SOLO DE 1A CATEGORIA, LOCAIS COM BAIXO NÍVEL DE INTERFERÊNCIA. AF_02/2021</v>
          </cell>
          <cell r="D174" t="str">
            <v>M3</v>
          </cell>
          <cell r="E174">
            <v>90.75</v>
          </cell>
          <cell r="F174">
            <v>8.15</v>
          </cell>
          <cell r="G174">
            <v>10.07</v>
          </cell>
          <cell r="H174">
            <v>913.85</v>
          </cell>
          <cell r="I174">
            <v>8.5399999999999991</v>
          </cell>
          <cell r="J174">
            <v>10.039999999999999</v>
          </cell>
          <cell r="K174">
            <v>911.13</v>
          </cell>
        </row>
        <row r="175">
          <cell r="A175" t="str">
            <v>1.3.6.2</v>
          </cell>
          <cell r="B175">
            <v>90105</v>
          </cell>
          <cell r="C175" t="str">
            <v>ESCAVAÇÃO MECANIZADA DE VALA COM PROFUNDIDADE ATÉ 1,5 M (MÉDIA MONTANTE E JUSANTE/UMA COMPOSIÇÃO POR TRECHO), RETROESCAV. (0,26 M3), LARGURA MENOR QUE 0,8 M, EM SOLO DE 1A CATEGORIA, LOCAIS COM BAIXO NÍVEL DE INTERFERÊNCIA. AF_02/2021</v>
          </cell>
          <cell r="D175" t="str">
            <v>M3</v>
          </cell>
          <cell r="E175">
            <v>15.4</v>
          </cell>
          <cell r="F175">
            <v>9.58</v>
          </cell>
          <cell r="G175">
            <v>11.84</v>
          </cell>
          <cell r="H175">
            <v>182.34</v>
          </cell>
          <cell r="I175">
            <v>10.039999999999999</v>
          </cell>
          <cell r="J175">
            <v>11.8</v>
          </cell>
          <cell r="K175">
            <v>181.72</v>
          </cell>
        </row>
        <row r="176">
          <cell r="A176" t="str">
            <v>1.3.6.3</v>
          </cell>
          <cell r="B176">
            <v>93378</v>
          </cell>
          <cell r="C176" t="str">
            <v>REATERRO MECANIZADO DE VALA COM RETROESCAVADEIRA (CAPACIDADE DA CAÇAMBA DA RETRO: 0,26 M³ / POTÊNCIA: 88 HP), LARGURA ATÉ 0,8 M, PROFUNDIDADE ATÉ 1,5 M, COM SOLO DE 1ª CATEGORIA EM LOCAIS COM BAIXO NÍVEL DE INTERFERÊNCIA. AF_04/2016</v>
          </cell>
          <cell r="D176" t="str">
            <v>M3</v>
          </cell>
          <cell r="E176">
            <v>13.07</v>
          </cell>
          <cell r="F176">
            <v>27.22</v>
          </cell>
          <cell r="G176">
            <v>33.64</v>
          </cell>
          <cell r="H176">
            <v>439.67</v>
          </cell>
          <cell r="I176">
            <v>29.29</v>
          </cell>
          <cell r="J176">
            <v>34.44</v>
          </cell>
          <cell r="K176">
            <v>450.13</v>
          </cell>
        </row>
        <row r="177">
          <cell r="A177" t="str">
            <v>1.3.6.4</v>
          </cell>
          <cell r="B177">
            <v>93379</v>
          </cell>
          <cell r="C177" t="str">
            <v>REATERRO MECANIZADO DE VALA COM RETROESCAVADEIRA (CAPACIDADE DA CAÇAMBA DA RETRO: 0,26 M³ / POTÊNCIA: 88 HP), LARGURA DE 0,8 A 1,5 M, PROFUNDIDADE ATÉ 1,5 M, COM SOLO DE 1ª CATEGORIA EM LOCAIS COM BAIXO NÍVEL DE INTERFERÊNCIA. AF_04/2016</v>
          </cell>
          <cell r="D177" t="str">
            <v>M3</v>
          </cell>
          <cell r="E177">
            <v>56.12</v>
          </cell>
          <cell r="F177">
            <v>21.03</v>
          </cell>
          <cell r="G177">
            <v>25.99</v>
          </cell>
          <cell r="H177">
            <v>1458.56</v>
          </cell>
          <cell r="I177">
            <v>22.62</v>
          </cell>
          <cell r="J177">
            <v>26.59</v>
          </cell>
          <cell r="K177">
            <v>1492.23</v>
          </cell>
        </row>
        <row r="178">
          <cell r="A178" t="str">
            <v>1.3.6.5</v>
          </cell>
          <cell r="B178" t="str">
            <v>COMP-35145154</v>
          </cell>
          <cell r="C178" t="str">
            <v>CARGA E DESCARGA MECANICA DE SOLO UTILIZANDO CAMINHAO BASCULANTE 14,0M3/36T E PA CARREGADEIRA SOBRE PNEUS 128 HP, CAPACIDADE DA CAÇAMBA 1,7 A 2,8 M3, PESO OPERACIONAL 11632 KH</v>
          </cell>
          <cell r="D178" t="str">
            <v>M3</v>
          </cell>
          <cell r="E178">
            <v>46.2</v>
          </cell>
          <cell r="F178">
            <v>2.83</v>
          </cell>
          <cell r="G178">
            <v>3.5</v>
          </cell>
          <cell r="H178">
            <v>161.69999999999999</v>
          </cell>
          <cell r="I178">
            <v>2.9</v>
          </cell>
          <cell r="J178">
            <v>3.41</v>
          </cell>
          <cell r="K178">
            <v>157.54</v>
          </cell>
        </row>
        <row r="179">
          <cell r="A179" t="str">
            <v>1.3.6.6</v>
          </cell>
          <cell r="B179">
            <v>95876</v>
          </cell>
          <cell r="C179" t="str">
            <v>TRANSPORTE COM CAMINHÃO BASCULANTE DE 14 M³, EM VIA URBANA PAVIMENTADA, DMT ATÉ 30 KM (UNIDADE: M3XKM). AF_07/2020</v>
          </cell>
          <cell r="D179" t="str">
            <v>M3XKM</v>
          </cell>
          <cell r="E179">
            <v>106.26</v>
          </cell>
          <cell r="F179">
            <v>2.2400000000000002</v>
          </cell>
          <cell r="G179">
            <v>2.77</v>
          </cell>
          <cell r="H179">
            <v>294.33999999999997</v>
          </cell>
          <cell r="I179">
            <v>2.27</v>
          </cell>
          <cell r="J179">
            <v>2.67</v>
          </cell>
          <cell r="K179">
            <v>283.70999999999998</v>
          </cell>
        </row>
        <row r="180">
          <cell r="A180" t="str">
            <v>1.3.6.7</v>
          </cell>
          <cell r="B180">
            <v>94974</v>
          </cell>
          <cell r="C180" t="str">
            <v>CONCRETO MAGRO PARA LASTRO, TRAÇO 1:4,5:4,5 (EM MASSA SECA DE CIMENTO/ AREIA MÉDIA/ BRITA 1) - PREPARO MANUAL. AF_05/2021</v>
          </cell>
          <cell r="D180" t="str">
            <v>M3</v>
          </cell>
          <cell r="E180">
            <v>3.51</v>
          </cell>
          <cell r="F180">
            <v>423.75</v>
          </cell>
          <cell r="G180">
            <v>523.71</v>
          </cell>
          <cell r="H180">
            <v>1838.22</v>
          </cell>
          <cell r="I180">
            <v>436.13</v>
          </cell>
          <cell r="J180">
            <v>512.76</v>
          </cell>
          <cell r="K180">
            <v>1799.79</v>
          </cell>
        </row>
        <row r="181">
          <cell r="A181" t="str">
            <v>1.3.6.8</v>
          </cell>
          <cell r="B181" t="str">
            <v>COMP-47781585</v>
          </cell>
          <cell r="C181" t="str">
            <v>BOCA DE LOBO SIMPLES COM CHAPÉU E TAMPA DE CONCRETO - BLS 01 (H=1,00m)</v>
          </cell>
          <cell r="D181" t="str">
            <v>UND</v>
          </cell>
          <cell r="E181">
            <v>6</v>
          </cell>
          <cell r="F181">
            <v>1361.5</v>
          </cell>
          <cell r="G181">
            <v>1682.68</v>
          </cell>
          <cell r="H181">
            <v>10096.08</v>
          </cell>
          <cell r="I181">
            <v>1436.65</v>
          </cell>
          <cell r="J181">
            <v>1689.07</v>
          </cell>
          <cell r="K181">
            <v>10134.42</v>
          </cell>
        </row>
        <row r="182">
          <cell r="A182" t="str">
            <v>1.3.6.9</v>
          </cell>
          <cell r="B182">
            <v>97994</v>
          </cell>
          <cell r="C182" t="str">
            <v>BASE PARA POÇO DE VISITA RETANGULAR PARA  ESGOTO, EM ALVENARIA COM BLOCOS DE CONCRETO, DIMENSÕES INTERNAS = 1X1 M, PROFUNDIDADE = 1,40 M, EXCLUINDO TAMPÃO. AF_12/2020</v>
          </cell>
          <cell r="D182" t="str">
            <v>UN</v>
          </cell>
          <cell r="E182">
            <v>4</v>
          </cell>
          <cell r="F182">
            <v>2465.7199999999998</v>
          </cell>
          <cell r="G182">
            <v>3047.38</v>
          </cell>
          <cell r="H182">
            <v>12189.52</v>
          </cell>
          <cell r="I182">
            <v>2575.58</v>
          </cell>
          <cell r="J182">
            <v>3028.11</v>
          </cell>
          <cell r="K182">
            <v>12112.44</v>
          </cell>
        </row>
        <row r="183">
          <cell r="A183" t="str">
            <v>1.3.6.10</v>
          </cell>
          <cell r="B183">
            <v>98115</v>
          </cell>
          <cell r="C183" t="str">
            <v>TAMPA CIRCULAR PARA ESGOTO E DRENAGEM, EM CONCRETO PRÉ-MOLDADO, DIÂMETRO INTERNO = 0,60 M E ALTURA = 0,10 M. AF_12/2020</v>
          </cell>
          <cell r="D183" t="str">
            <v>UN</v>
          </cell>
          <cell r="E183">
            <v>4</v>
          </cell>
          <cell r="F183">
            <v>90.01</v>
          </cell>
          <cell r="G183">
            <v>111.24</v>
          </cell>
          <cell r="H183">
            <v>444.96</v>
          </cell>
          <cell r="I183">
            <v>96.01</v>
          </cell>
          <cell r="J183">
            <v>112.88</v>
          </cell>
          <cell r="K183">
            <v>451.52</v>
          </cell>
        </row>
        <row r="184">
          <cell r="A184" t="str">
            <v>1.3.6.11</v>
          </cell>
          <cell r="B184" t="str">
            <v>CP-74157/004-48264518</v>
          </cell>
          <cell r="C184" t="str">
            <v>LANCAMENTO/APLICACAO MANUAL DE CONCRETO EM FUNDACOES (concreto magro)</v>
          </cell>
          <cell r="D184" t="str">
            <v>M3</v>
          </cell>
          <cell r="E184">
            <v>3.51</v>
          </cell>
          <cell r="F184">
            <v>116.59</v>
          </cell>
          <cell r="G184">
            <v>144.09</v>
          </cell>
          <cell r="H184">
            <v>505.76</v>
          </cell>
          <cell r="I184">
            <v>129.79</v>
          </cell>
          <cell r="J184">
            <v>152.59</v>
          </cell>
          <cell r="K184">
            <v>535.59</v>
          </cell>
        </row>
        <row r="185">
          <cell r="A185" t="str">
            <v>1.3.6.12</v>
          </cell>
          <cell r="B185">
            <v>90746</v>
          </cell>
          <cell r="C185" t="str">
            <v>ASSENTAMENTO DE TUBO DE PEAD CORRUGADO DE DUPLA PAREDE PARA REDE COLETORA DE ESGOTO, DN 450 MM, JUNTA ELÁSTICA INTEGRADA (NÃO INCLUI FORNECIMENTO). AF_01/2021</v>
          </cell>
          <cell r="D185" t="str">
            <v>M</v>
          </cell>
          <cell r="E185">
            <v>14.67</v>
          </cell>
          <cell r="F185">
            <v>3.54</v>
          </cell>
          <cell r="G185">
            <v>4.38</v>
          </cell>
          <cell r="H185">
            <v>64.25</v>
          </cell>
          <cell r="I185">
            <v>3.97</v>
          </cell>
          <cell r="J185">
            <v>4.67</v>
          </cell>
          <cell r="K185">
            <v>68.510000000000005</v>
          </cell>
        </row>
        <row r="186">
          <cell r="A186" t="str">
            <v>1.3.6.13</v>
          </cell>
          <cell r="B186">
            <v>90747</v>
          </cell>
          <cell r="C186" t="str">
            <v>ASSENTAMENTO DE TUBO DE PEAD CORRUGADO DE DUPLA PAREDE PARA REDE COLETORA DE ESGOTO, DN 600 MM, JUNTA ELÁSTICA INTEGRADA (NÃO INCLUI FORNECIMENTO). AF_01/2021</v>
          </cell>
          <cell r="D186" t="str">
            <v>M</v>
          </cell>
          <cell r="E186">
            <v>48.36</v>
          </cell>
          <cell r="F186">
            <v>17.54</v>
          </cell>
          <cell r="G186">
            <v>21.68</v>
          </cell>
          <cell r="H186">
            <v>1048.44</v>
          </cell>
          <cell r="I186">
            <v>18.55</v>
          </cell>
          <cell r="J186">
            <v>21.81</v>
          </cell>
          <cell r="K186">
            <v>1054.73</v>
          </cell>
        </row>
        <row r="187">
          <cell r="A187" t="str">
            <v>1.3.7</v>
          </cell>
          <cell r="B187"/>
          <cell r="C187" t="str">
            <v>SINALIZAÇÃO</v>
          </cell>
          <cell r="D187"/>
          <cell r="E187"/>
          <cell r="F187"/>
          <cell r="G187"/>
          <cell r="H187">
            <v>3422.35</v>
          </cell>
          <cell r="I187"/>
          <cell r="J187"/>
          <cell r="K187">
            <v>3358.29</v>
          </cell>
        </row>
        <row r="188">
          <cell r="A188" t="str">
            <v>1.3.7.1</v>
          </cell>
          <cell r="B188">
            <v>5213421</v>
          </cell>
          <cell r="C188" t="str">
            <v>Confecção de placa em aço nº 16 galvanizado, com película tipo I + IV</v>
          </cell>
          <cell r="D188" t="str">
            <v xml:space="preserve">M2    </v>
          </cell>
          <cell r="E188">
            <v>1.29</v>
          </cell>
          <cell r="F188">
            <v>343.8</v>
          </cell>
          <cell r="G188">
            <v>424.9</v>
          </cell>
          <cell r="H188">
            <v>548.12</v>
          </cell>
          <cell r="I188">
            <v>347.25</v>
          </cell>
          <cell r="J188">
            <v>408.26</v>
          </cell>
          <cell r="K188">
            <v>526.66</v>
          </cell>
        </row>
        <row r="189">
          <cell r="A189" t="str">
            <v>1.3.7.2</v>
          </cell>
          <cell r="B189">
            <v>5216111</v>
          </cell>
          <cell r="C189" t="str">
            <v>FORNECIMENTO E IMPLANTAÇÃO DE SUPORTE E TRAVESSA PARA PLACA DE SINALIZAÇÃO EM MADEIRA DE LEI TRATADA 8 X 8 CM</v>
          </cell>
          <cell r="D189" t="str">
            <v>UND</v>
          </cell>
          <cell r="E189">
            <v>6</v>
          </cell>
          <cell r="F189">
            <v>119.1379</v>
          </cell>
          <cell r="G189">
            <v>147.24</v>
          </cell>
          <cell r="H189">
            <v>883.44</v>
          </cell>
          <cell r="I189">
            <v>121.48</v>
          </cell>
          <cell r="J189">
            <v>142.82</v>
          </cell>
          <cell r="K189">
            <v>856.92</v>
          </cell>
        </row>
        <row r="190">
          <cell r="A190" t="str">
            <v>1.3.7.3</v>
          </cell>
          <cell r="B190" t="str">
            <v>COMP-58084869</v>
          </cell>
          <cell r="C190" t="str">
            <v>PLACA ESMALTADA PARA IDENTIFICAÇÃO NR DE RUA, DIMENSÕES 45X25CM</v>
          </cell>
          <cell r="D190" t="str">
            <v>UND</v>
          </cell>
          <cell r="E190">
            <v>2</v>
          </cell>
          <cell r="F190">
            <v>155.54</v>
          </cell>
          <cell r="G190">
            <v>192.23</v>
          </cell>
          <cell r="H190">
            <v>384.46</v>
          </cell>
          <cell r="I190">
            <v>156.33000000000001</v>
          </cell>
          <cell r="J190">
            <v>183.8</v>
          </cell>
          <cell r="K190">
            <v>367.6</v>
          </cell>
        </row>
        <row r="191">
          <cell r="A191" t="str">
            <v>1.3.7.4</v>
          </cell>
          <cell r="B191">
            <v>102512</v>
          </cell>
          <cell r="C191" t="str">
            <v>PINTURA DE EIXO VIÁRIO SOBRE ASFALTO COM TINTA RETRORREFLETIVA A BASE DE RESINA ACRÍLICA COM MICROESFERAS DE VIDRO, APLICAÇÃO MECÂNICA COM DEMARCADORA AUTOPROPELIDA. AF_05/2021</v>
          </cell>
          <cell r="D191" t="str">
            <v>M</v>
          </cell>
          <cell r="E191">
            <v>133.16999999999999</v>
          </cell>
          <cell r="F191">
            <v>5.22</v>
          </cell>
          <cell r="G191">
            <v>6.45</v>
          </cell>
          <cell r="H191">
            <v>858.95</v>
          </cell>
          <cell r="I191">
            <v>5.48</v>
          </cell>
          <cell r="J191">
            <v>6.44</v>
          </cell>
          <cell r="K191">
            <v>857.61</v>
          </cell>
        </row>
        <row r="192">
          <cell r="A192" t="str">
            <v>1.3.7.5</v>
          </cell>
          <cell r="B192">
            <v>102509</v>
          </cell>
          <cell r="C192" t="str">
            <v>PINTURA DE FAIXA DE PEDESTRE OU ZEBRADA TINTA RETRORREFLETIVA A BASE DE RESINA ACRÍLICA COM MICROESFERAS DE VIDRO, E = 30 CM, APLICAÇÃO MANUAL. AF_05/2021</v>
          </cell>
          <cell r="D192" t="str">
            <v>M2</v>
          </cell>
          <cell r="E192">
            <v>26.4</v>
          </cell>
          <cell r="F192">
            <v>22.91</v>
          </cell>
          <cell r="G192">
            <v>28.31</v>
          </cell>
          <cell r="H192">
            <v>747.38</v>
          </cell>
          <cell r="I192">
            <v>24.15</v>
          </cell>
          <cell r="J192">
            <v>28.39</v>
          </cell>
          <cell r="K192">
            <v>749.5</v>
          </cell>
        </row>
        <row r="193">
          <cell r="A193" t="str">
            <v>1.3.8</v>
          </cell>
          <cell r="B193"/>
          <cell r="C193" t="str">
            <v>ACESSIBILIDADE</v>
          </cell>
          <cell r="D193"/>
          <cell r="E193"/>
          <cell r="F193"/>
          <cell r="G193"/>
          <cell r="H193">
            <v>971.06</v>
          </cell>
          <cell r="I193"/>
          <cell r="J193"/>
          <cell r="K193">
            <v>954.94</v>
          </cell>
        </row>
        <row r="194">
          <cell r="A194" t="str">
            <v>1.3.8.1</v>
          </cell>
          <cell r="B194" t="str">
            <v>CP-S12039-81921471</v>
          </cell>
          <cell r="C194" t="str">
            <v>Piso tátil direcional e/ou alerta, de concreto, na cor natural, p/deficientes visuais, dimensões 40x40cm, aplicado com argamassa industrializada ac-ii, rejuntado, exclusive regularização de base</v>
          </cell>
          <cell r="D194" t="str">
            <v>M2</v>
          </cell>
          <cell r="E194">
            <v>7.23</v>
          </cell>
          <cell r="F194">
            <v>108.67</v>
          </cell>
          <cell r="G194">
            <v>134.31</v>
          </cell>
          <cell r="H194">
            <v>971.06</v>
          </cell>
          <cell r="I194">
            <v>112.34</v>
          </cell>
          <cell r="J194">
            <v>132.08000000000001</v>
          </cell>
          <cell r="K194">
            <v>954.94</v>
          </cell>
        </row>
        <row r="195">
          <cell r="A195" t="str">
            <v>1.3.9</v>
          </cell>
          <cell r="B195"/>
          <cell r="C195" t="str">
            <v>MATERIAIS</v>
          </cell>
          <cell r="D195"/>
          <cell r="E195"/>
          <cell r="F195"/>
          <cell r="G195"/>
          <cell r="H195">
            <v>77266.87</v>
          </cell>
          <cell r="I195"/>
          <cell r="J195"/>
          <cell r="K195">
            <v>73662.539999999994</v>
          </cell>
        </row>
        <row r="196">
          <cell r="A196" t="str">
            <v>1.3.9.1</v>
          </cell>
          <cell r="B196">
            <v>10775</v>
          </cell>
          <cell r="C196" t="str">
            <v xml:space="preserve">LOCACAO DE CONTAINER 2,30 X 6,00 M, ALT. 2,50 M, COM 1 SANITARIO, PARA ESCRITORIO, COMPLETO, SEM DIVISORIAS INTERNAS (NAO INCLUI MOBILIZACAO/DESMOBILIZACAO)                                                                                                                                                                                                                                                                                                                                              </v>
          </cell>
          <cell r="D196" t="str">
            <v xml:space="preserve">MES   </v>
          </cell>
          <cell r="E196">
            <v>1</v>
          </cell>
          <cell r="F196">
            <v>830</v>
          </cell>
          <cell r="G196">
            <v>958.32</v>
          </cell>
          <cell r="H196">
            <v>958.32</v>
          </cell>
          <cell r="I196">
            <v>830</v>
          </cell>
          <cell r="J196">
            <v>913.58</v>
          </cell>
          <cell r="K196">
            <v>913.58</v>
          </cell>
        </row>
        <row r="197">
          <cell r="A197" t="str">
            <v>1.3.9.2</v>
          </cell>
          <cell r="B197">
            <v>10776</v>
          </cell>
          <cell r="C197" t="str">
            <v xml:space="preserve">LOCACAO DE CONTAINER 2,30 X 6,00 M, ALT. 2,50 M, PARA ESCRITORIO, SEM DIVISORIAS INTERNAS E SEM SANITARIO (NAO INCLUI MOBILIZACAO/DESMOBILIZACAO)                                                                                                                                                                                                                                                                                                                                                         </v>
          </cell>
          <cell r="D197" t="str">
            <v xml:space="preserve">MES   </v>
          </cell>
          <cell r="E197">
            <v>1</v>
          </cell>
          <cell r="F197">
            <v>648.42999999999995</v>
          </cell>
          <cell r="G197">
            <v>748.68</v>
          </cell>
          <cell r="H197">
            <v>748.68</v>
          </cell>
          <cell r="I197">
            <v>648.42999999999995</v>
          </cell>
          <cell r="J197">
            <v>713.73</v>
          </cell>
          <cell r="K197">
            <v>713.73</v>
          </cell>
        </row>
        <row r="198">
          <cell r="A198" t="str">
            <v>1.3.9.3</v>
          </cell>
          <cell r="B198">
            <v>1518</v>
          </cell>
          <cell r="C198" t="str">
            <v xml:space="preserve">CONCRETO BETUMINOSO USINADO A QUENTE (CBUQ) PARA PAVIMENTACAO ASFALTICA, PADRAO DNIT, FAIXA C, COM CAP 50/70 - AQUISICAO POSTO USINA                                                                                                                                                                                                                                                                                                                                                                      </v>
          </cell>
          <cell r="D198" t="str">
            <v xml:space="preserve">T     </v>
          </cell>
          <cell r="E198">
            <v>35.770000000000003</v>
          </cell>
          <cell r="F198">
            <v>522.5</v>
          </cell>
          <cell r="G198">
            <v>603.28</v>
          </cell>
          <cell r="H198">
            <v>21579.33</v>
          </cell>
          <cell r="I198">
            <v>522.5</v>
          </cell>
          <cell r="J198">
            <v>575.12</v>
          </cell>
          <cell r="K198">
            <v>20572.04</v>
          </cell>
        </row>
        <row r="199">
          <cell r="A199" t="str">
            <v>1.3.9.4</v>
          </cell>
          <cell r="B199" t="str">
            <v>M0132</v>
          </cell>
          <cell r="C199" t="str">
            <v xml:space="preserve">	Tubo PEAD corrugado com paredes estruturadas para drenagem - D = 450 mm</v>
          </cell>
          <cell r="D199" t="str">
            <v>M</v>
          </cell>
          <cell r="E199">
            <v>14.67</v>
          </cell>
          <cell r="F199">
            <v>227.86</v>
          </cell>
          <cell r="G199">
            <v>263.08999999999997</v>
          </cell>
          <cell r="H199">
            <v>3859.53</v>
          </cell>
          <cell r="I199">
            <v>227.86</v>
          </cell>
          <cell r="J199">
            <v>250.81</v>
          </cell>
          <cell r="K199">
            <v>3679.38</v>
          </cell>
        </row>
        <row r="200">
          <cell r="A200" t="str">
            <v>1.3.9.5</v>
          </cell>
          <cell r="B200" t="str">
            <v>M0134</v>
          </cell>
          <cell r="C200" t="str">
            <v>Tubo PEAD corrugado com paredes estruturadas para drenagem - D = 600 mm</v>
          </cell>
          <cell r="D200" t="str">
            <v>M</v>
          </cell>
          <cell r="E200">
            <v>48.36</v>
          </cell>
          <cell r="F200">
            <v>501.47</v>
          </cell>
          <cell r="G200">
            <v>579</v>
          </cell>
          <cell r="H200">
            <v>28000.44</v>
          </cell>
          <cell r="I200">
            <v>501.47</v>
          </cell>
          <cell r="J200">
            <v>551.97</v>
          </cell>
          <cell r="K200">
            <v>26693.27</v>
          </cell>
        </row>
        <row r="201">
          <cell r="A201" t="str">
            <v>1.3.9.6</v>
          </cell>
          <cell r="B201" t="str">
            <v>INS-185032</v>
          </cell>
          <cell r="C201" t="str">
            <v>BRITA GRADUADA SIMPLES (BGS)</v>
          </cell>
          <cell r="D201" t="str">
            <v>M3</v>
          </cell>
          <cell r="E201">
            <v>60.53</v>
          </cell>
          <cell r="F201">
            <v>56.099999999999994</v>
          </cell>
          <cell r="G201">
            <v>64.77</v>
          </cell>
          <cell r="H201">
            <v>3920.53</v>
          </cell>
          <cell r="I201">
            <v>56.099999999999994</v>
          </cell>
          <cell r="J201">
            <v>61.75</v>
          </cell>
          <cell r="K201">
            <v>3737.73</v>
          </cell>
        </row>
        <row r="202">
          <cell r="A202" t="str">
            <v>1.3.9.7</v>
          </cell>
          <cell r="B202" t="str">
            <v>M0808</v>
          </cell>
          <cell r="C202" t="str">
            <v>Brita 4</v>
          </cell>
          <cell r="D202" t="str">
            <v>M3</v>
          </cell>
          <cell r="E202">
            <v>66.73</v>
          </cell>
          <cell r="F202">
            <v>90.74</v>
          </cell>
          <cell r="G202">
            <v>104.77</v>
          </cell>
          <cell r="H202">
            <v>6991.3</v>
          </cell>
          <cell r="I202">
            <v>90.74</v>
          </cell>
          <cell r="J202">
            <v>99.88</v>
          </cell>
          <cell r="K202">
            <v>6664.99</v>
          </cell>
        </row>
        <row r="203">
          <cell r="A203" t="str">
            <v>1.3.9.8</v>
          </cell>
          <cell r="B203" t="str">
            <v>M1135</v>
          </cell>
          <cell r="C203" t="str">
            <v>Pó de pedra</v>
          </cell>
          <cell r="D203" t="str">
            <v>M3</v>
          </cell>
          <cell r="E203">
            <v>7.41</v>
          </cell>
          <cell r="F203">
            <v>74.53</v>
          </cell>
          <cell r="G203">
            <v>86.05</v>
          </cell>
          <cell r="H203">
            <v>637.63</v>
          </cell>
          <cell r="I203">
            <v>74.53</v>
          </cell>
          <cell r="J203">
            <v>82.04</v>
          </cell>
          <cell r="K203">
            <v>607.91999999999996</v>
          </cell>
        </row>
        <row r="204">
          <cell r="A204" t="str">
            <v>1.3.9.9</v>
          </cell>
          <cell r="B204" t="str">
            <v>INS-54745269</v>
          </cell>
          <cell r="C204" t="str">
            <v>ASFALTO DILUÍDO CM - 30 - JUNHO/22</v>
          </cell>
          <cell r="D204" t="str">
            <v>KG</v>
          </cell>
          <cell r="E204">
            <v>336.08</v>
          </cell>
          <cell r="F204">
            <v>5.32</v>
          </cell>
          <cell r="G204">
            <v>6.14</v>
          </cell>
          <cell r="H204">
            <v>2063.5300000000002</v>
          </cell>
          <cell r="I204">
            <v>5.32</v>
          </cell>
          <cell r="J204">
            <v>5.86</v>
          </cell>
          <cell r="K204">
            <v>1969.43</v>
          </cell>
        </row>
        <row r="205">
          <cell r="A205" t="str">
            <v>1.3.9.10</v>
          </cell>
          <cell r="B205">
            <v>34492</v>
          </cell>
          <cell r="C205" t="str">
            <v xml:space="preserve">CONCRETO USINADO BOMBEAVEL, CLASSE DE RESISTENCIA C20, COM BRITA 0 E 1, SLUMP = 100 +/- 20 MM, EXCLUI SERVICO DE BOMBEAMENTO (NBR 8953)                                                                                                                                                                                                                                                                                                                                                                   </v>
          </cell>
          <cell r="D205" t="str">
            <v xml:space="preserve">M3    </v>
          </cell>
          <cell r="E205">
            <v>17.440000000000001</v>
          </cell>
          <cell r="F205">
            <v>422.5</v>
          </cell>
          <cell r="G205">
            <v>487.82</v>
          </cell>
          <cell r="H205">
            <v>8507.58</v>
          </cell>
          <cell r="I205">
            <v>422.5</v>
          </cell>
          <cell r="J205">
            <v>465.05</v>
          </cell>
          <cell r="K205">
            <v>8110.47</v>
          </cell>
        </row>
        <row r="206">
          <cell r="A206" t="str">
            <v>1.4</v>
          </cell>
          <cell r="B206"/>
          <cell r="C206" t="str">
            <v>RUA LUÍS GONZAGA - BARRA DE JANGADA</v>
          </cell>
          <cell r="D206"/>
          <cell r="E206"/>
          <cell r="F206"/>
          <cell r="G206"/>
          <cell r="H206">
            <v>111287.35</v>
          </cell>
          <cell r="I206"/>
          <cell r="J206"/>
          <cell r="K206">
            <v>108371.72</v>
          </cell>
        </row>
        <row r="207">
          <cell r="A207" t="str">
            <v>1.4.1</v>
          </cell>
          <cell r="B207"/>
          <cell r="C207" t="str">
            <v>INSTALAÇÕES PROVISÓRIAS</v>
          </cell>
          <cell r="D207"/>
          <cell r="E207"/>
          <cell r="F207"/>
          <cell r="G207"/>
          <cell r="H207">
            <v>6385.61</v>
          </cell>
          <cell r="I207"/>
          <cell r="J207"/>
          <cell r="K207">
            <v>6137.07</v>
          </cell>
        </row>
        <row r="208">
          <cell r="A208" t="str">
            <v>1.4.1.1</v>
          </cell>
          <cell r="B208" t="str">
            <v>CP-74209/001-15055090</v>
          </cell>
          <cell r="C208" t="str">
            <v>PLACA DE OBRA EM CHAPA DE ACO GALVANIZADO</v>
          </cell>
          <cell r="D208" t="str">
            <v xml:space="preserve">M2    </v>
          </cell>
          <cell r="E208">
            <v>8</v>
          </cell>
          <cell r="F208">
            <v>558.35</v>
          </cell>
          <cell r="G208">
            <v>690.06</v>
          </cell>
          <cell r="H208">
            <v>5520.48</v>
          </cell>
          <cell r="I208">
            <v>564.99</v>
          </cell>
          <cell r="J208">
            <v>664.26</v>
          </cell>
          <cell r="K208">
            <v>5314.08</v>
          </cell>
        </row>
        <row r="209">
          <cell r="A209" t="str">
            <v>1.4.1.2</v>
          </cell>
          <cell r="B209" t="str">
            <v>COMP-07440249</v>
          </cell>
          <cell r="C209" t="str">
            <v>BANHEIRO QUÍMICO, COM LOCAÇÃO, TRANSPORTE E LIMPEZA</v>
          </cell>
          <cell r="D209" t="str">
            <v>MÊS</v>
          </cell>
          <cell r="E209">
            <v>1</v>
          </cell>
          <cell r="F209">
            <v>700</v>
          </cell>
          <cell r="G209">
            <v>865.13</v>
          </cell>
          <cell r="H209">
            <v>865.13</v>
          </cell>
          <cell r="I209">
            <v>700</v>
          </cell>
          <cell r="J209">
            <v>822.99</v>
          </cell>
          <cell r="K209">
            <v>822.99</v>
          </cell>
        </row>
        <row r="210">
          <cell r="A210" t="str">
            <v>1.4.2</v>
          </cell>
          <cell r="B210"/>
          <cell r="C210" t="str">
            <v>ADMINISTRAÇÃO LOCAL</v>
          </cell>
          <cell r="D210"/>
          <cell r="E210"/>
          <cell r="F210"/>
          <cell r="G210"/>
          <cell r="H210">
            <v>4132.2299999999996</v>
          </cell>
          <cell r="I210"/>
          <cell r="J210"/>
          <cell r="K210">
            <v>4531.72</v>
          </cell>
        </row>
        <row r="211">
          <cell r="A211" t="str">
            <v>1.4.2.1</v>
          </cell>
          <cell r="B211">
            <v>93565</v>
          </cell>
          <cell r="C211" t="str">
            <v>ENGENHEIRO CIVIL DE OBRA JUNIOR COM ENCARGOS COMPLEMENTARES</v>
          </cell>
          <cell r="D211" t="str">
            <v>MES</v>
          </cell>
          <cell r="E211">
            <v>0.13</v>
          </cell>
          <cell r="F211">
            <v>14549.96</v>
          </cell>
          <cell r="G211">
            <v>17982.3</v>
          </cell>
          <cell r="H211">
            <v>2337.6999999999998</v>
          </cell>
          <cell r="I211">
            <v>16819.14</v>
          </cell>
          <cell r="J211">
            <v>19774.259999999998</v>
          </cell>
          <cell r="K211">
            <v>2570.65</v>
          </cell>
        </row>
        <row r="212">
          <cell r="A212" t="str">
            <v>1.4.2.2</v>
          </cell>
          <cell r="B212">
            <v>93572</v>
          </cell>
          <cell r="C212" t="str">
            <v>ENCARREGADO GERAL DE OBRAS COM ENCARGOS COMPLEMENTARES</v>
          </cell>
          <cell r="D212" t="str">
            <v>MES</v>
          </cell>
          <cell r="E212">
            <v>0.25</v>
          </cell>
          <cell r="F212">
            <v>5808.01</v>
          </cell>
          <cell r="G212">
            <v>7178.12</v>
          </cell>
          <cell r="H212">
            <v>1794.53</v>
          </cell>
          <cell r="I212">
            <v>6672</v>
          </cell>
          <cell r="J212">
            <v>7844.27</v>
          </cell>
          <cell r="K212">
            <v>1961.07</v>
          </cell>
        </row>
        <row r="213">
          <cell r="A213" t="str">
            <v>1.4.3</v>
          </cell>
          <cell r="B213"/>
          <cell r="C213" t="str">
            <v>SERVIÇOS PRELIMINARES</v>
          </cell>
          <cell r="D213"/>
          <cell r="E213"/>
          <cell r="F213"/>
          <cell r="G213"/>
          <cell r="H213">
            <v>669.94</v>
          </cell>
          <cell r="I213"/>
          <cell r="J213"/>
          <cell r="K213">
            <v>701.87</v>
          </cell>
        </row>
        <row r="214">
          <cell r="A214" t="str">
            <v>1.4.3.1</v>
          </cell>
          <cell r="B214">
            <v>99064</v>
          </cell>
          <cell r="C214" t="str">
            <v>LOCAÇÃO DE PAVIMENTAÇÃO. AF_10/2018</v>
          </cell>
          <cell r="D214" t="str">
            <v>M</v>
          </cell>
          <cell r="E214">
            <v>53.88</v>
          </cell>
          <cell r="F214">
            <v>0.43</v>
          </cell>
          <cell r="G214">
            <v>0.53</v>
          </cell>
          <cell r="H214">
            <v>28.56</v>
          </cell>
          <cell r="I214">
            <v>0.49</v>
          </cell>
          <cell r="J214">
            <v>0.57999999999999996</v>
          </cell>
          <cell r="K214">
            <v>31.25</v>
          </cell>
        </row>
        <row r="215">
          <cell r="A215" t="str">
            <v>1.4.3.2</v>
          </cell>
          <cell r="B215" t="str">
            <v>COMP-01471766</v>
          </cell>
          <cell r="C215" t="str">
            <v>DEMOLIÇÃO DE MEIO-FIO</v>
          </cell>
          <cell r="D215" t="str">
            <v>M</v>
          </cell>
          <cell r="E215">
            <v>4.66</v>
          </cell>
          <cell r="F215">
            <v>10.02</v>
          </cell>
          <cell r="G215">
            <v>12.38</v>
          </cell>
          <cell r="H215">
            <v>57.69</v>
          </cell>
          <cell r="I215">
            <v>11.13</v>
          </cell>
          <cell r="J215">
            <v>13.09</v>
          </cell>
          <cell r="K215">
            <v>61</v>
          </cell>
        </row>
        <row r="216">
          <cell r="A216" t="str">
            <v>1.4.3.3</v>
          </cell>
          <cell r="B216" t="str">
            <v>COMP-17562084</v>
          </cell>
          <cell r="C216" t="str">
            <v>DEMOLIÇÃO MANUAL DE CONCRETO SIMPLES</v>
          </cell>
          <cell r="D216" t="str">
            <v>M3</v>
          </cell>
          <cell r="E216">
            <v>2.12</v>
          </cell>
          <cell r="F216">
            <v>190.89</v>
          </cell>
          <cell r="G216">
            <v>235.92</v>
          </cell>
          <cell r="H216">
            <v>500.15</v>
          </cell>
          <cell r="I216">
            <v>212.24</v>
          </cell>
          <cell r="J216">
            <v>249.53</v>
          </cell>
          <cell r="K216">
            <v>529</v>
          </cell>
        </row>
        <row r="217">
          <cell r="A217" t="str">
            <v>1.4.3.4</v>
          </cell>
          <cell r="B217" t="str">
            <v>COMP-35145154</v>
          </cell>
          <cell r="C217" t="str">
            <v>CARGA E DESCARGA MECANICA DE SOLO UTILIZANDO CAMINHAO BASCULANTE 14,0M3/36T E PA CARREGADEIRA SOBRE PNEUS 128 HP, CAPACIDADE DA CAÇAMBA 1,7 A 2,8 M3, PESO OPERACIONAL 11632 KH</v>
          </cell>
          <cell r="D217" t="str">
            <v>M3</v>
          </cell>
          <cell r="E217">
            <v>2.91</v>
          </cell>
          <cell r="F217">
            <v>2.83</v>
          </cell>
          <cell r="G217">
            <v>3.5</v>
          </cell>
          <cell r="H217">
            <v>10.19</v>
          </cell>
          <cell r="I217">
            <v>2.9</v>
          </cell>
          <cell r="J217">
            <v>3.41</v>
          </cell>
          <cell r="K217">
            <v>9.92</v>
          </cell>
        </row>
        <row r="218">
          <cell r="A218" t="str">
            <v>1.4.3.5</v>
          </cell>
          <cell r="B218">
            <v>95876</v>
          </cell>
          <cell r="C218" t="str">
            <v>TRANSPORTE COM CAMINHÃO BASCULANTE DE 14 M³, EM VIA URBANA PAVIMENTADA, DMT ATÉ 30 KM (UNIDADE: M3XKM). AF_07/2020</v>
          </cell>
          <cell r="D218" t="str">
            <v>M3XKM</v>
          </cell>
          <cell r="E218">
            <v>26.48</v>
          </cell>
          <cell r="F218">
            <v>2.2400000000000002</v>
          </cell>
          <cell r="G218">
            <v>2.77</v>
          </cell>
          <cell r="H218">
            <v>73.349999999999994</v>
          </cell>
          <cell r="I218">
            <v>2.27</v>
          </cell>
          <cell r="J218">
            <v>2.67</v>
          </cell>
          <cell r="K218">
            <v>70.7</v>
          </cell>
        </row>
        <row r="219">
          <cell r="A219" t="str">
            <v>1.4.4</v>
          </cell>
          <cell r="B219"/>
          <cell r="C219" t="str">
            <v>TERRAPLANAGEM</v>
          </cell>
          <cell r="D219"/>
          <cell r="E219"/>
          <cell r="F219"/>
          <cell r="G219"/>
          <cell r="H219">
            <v>5349.05</v>
          </cell>
          <cell r="I219"/>
          <cell r="J219"/>
          <cell r="K219">
            <v>5165.37</v>
          </cell>
        </row>
        <row r="220">
          <cell r="A220" t="str">
            <v>1.4.4.1</v>
          </cell>
          <cell r="B220" t="str">
            <v>CP-74205/001-17324935</v>
          </cell>
          <cell r="C220" t="str">
            <v>ESCAVAÇÃO MECÂNICA DE MATERIAL 1A. CATEGORIA, PROVENIENTE DE CORTE DE SUBLEITO (C/TRATOR ESTEIRAS  160HP)</v>
          </cell>
          <cell r="D220" t="str">
            <v>M3</v>
          </cell>
          <cell r="E220">
            <v>137.07</v>
          </cell>
          <cell r="F220">
            <v>2.54</v>
          </cell>
          <cell r="G220">
            <v>3.14</v>
          </cell>
          <cell r="H220">
            <v>430.4</v>
          </cell>
          <cell r="I220">
            <v>2.59</v>
          </cell>
          <cell r="J220">
            <v>3.05</v>
          </cell>
          <cell r="K220">
            <v>418.06</v>
          </cell>
        </row>
        <row r="221">
          <cell r="A221" t="str">
            <v>1.4.4.2</v>
          </cell>
          <cell r="B221" t="str">
            <v>COMP-35145154</v>
          </cell>
          <cell r="C221" t="str">
            <v>CARGA E DESCARGA MECANICA DE SOLO UTILIZANDO CAMINHAO BASCULANTE 14,0M3/36T E PA CARREGADEIRA SOBRE PNEUS 128 HP, CAPACIDADE DA CAÇAMBA 1,7 A 2,8 M3, PESO OPERACIONAL 11632 KH</v>
          </cell>
          <cell r="D221" t="str">
            <v>M3</v>
          </cell>
          <cell r="E221">
            <v>171.34</v>
          </cell>
          <cell r="F221">
            <v>2.83</v>
          </cell>
          <cell r="G221">
            <v>3.5</v>
          </cell>
          <cell r="H221">
            <v>599.69000000000005</v>
          </cell>
          <cell r="I221">
            <v>2.9</v>
          </cell>
          <cell r="J221">
            <v>3.41</v>
          </cell>
          <cell r="K221">
            <v>584.27</v>
          </cell>
        </row>
        <row r="222">
          <cell r="A222" t="str">
            <v>1.4.4.3</v>
          </cell>
          <cell r="B222">
            <v>95876</v>
          </cell>
          <cell r="C222" t="str">
            <v>TRANSPORTE COM CAMINHÃO BASCULANTE DE 14 M³, EM VIA URBANA PAVIMENTADA, DMT ATÉ 30 KM (UNIDADE: M3XKM). AF_07/2020</v>
          </cell>
          <cell r="D222" t="str">
            <v>M3XKM</v>
          </cell>
          <cell r="E222">
            <v>1559.19</v>
          </cell>
          <cell r="F222">
            <v>2.2400000000000002</v>
          </cell>
          <cell r="G222">
            <v>2.77</v>
          </cell>
          <cell r="H222">
            <v>4318.96</v>
          </cell>
          <cell r="I222">
            <v>2.27</v>
          </cell>
          <cell r="J222">
            <v>2.67</v>
          </cell>
          <cell r="K222">
            <v>4163.04</v>
          </cell>
        </row>
        <row r="223">
          <cell r="A223" t="str">
            <v>1.4.5</v>
          </cell>
          <cell r="B223"/>
          <cell r="C223" t="str">
            <v>PAVIMENTAÇÃO</v>
          </cell>
          <cell r="D223"/>
          <cell r="E223"/>
          <cell r="F223"/>
          <cell r="G223"/>
          <cell r="H223">
            <v>22913.040000000001</v>
          </cell>
          <cell r="I223"/>
          <cell r="J223"/>
          <cell r="K223">
            <v>22458.51</v>
          </cell>
        </row>
        <row r="224">
          <cell r="A224" t="str">
            <v>1.4.5.1</v>
          </cell>
          <cell r="B224">
            <v>100576</v>
          </cell>
          <cell r="C224" t="str">
            <v>REGULARIZAÇÃO E COMPACTAÇÃO DE SUBLEITO DE SOLO  PREDOMINANTEMENTE ARGILOSO. AF_11/2019</v>
          </cell>
          <cell r="D224" t="str">
            <v>M2</v>
          </cell>
          <cell r="E224">
            <v>323.27999999999997</v>
          </cell>
          <cell r="F224">
            <v>2.64</v>
          </cell>
          <cell r="G224">
            <v>3.26</v>
          </cell>
          <cell r="H224">
            <v>1053.8900000000001</v>
          </cell>
          <cell r="I224">
            <v>2.79</v>
          </cell>
          <cell r="J224">
            <v>3.28</v>
          </cell>
          <cell r="K224">
            <v>1060.3599999999999</v>
          </cell>
        </row>
        <row r="225">
          <cell r="A225" t="str">
            <v>1.4.5.2</v>
          </cell>
          <cell r="B225" t="str">
            <v>COMP-47176600</v>
          </cell>
          <cell r="C225" t="str">
            <v xml:space="preserve">EXEC. DE ATERRO COM AREIA COM ADENSAMENTO HIDRAULICO </v>
          </cell>
          <cell r="D225" t="str">
            <v xml:space="preserve">M3    </v>
          </cell>
          <cell r="E225">
            <v>40.409999999999997</v>
          </cell>
          <cell r="F225">
            <v>103.23</v>
          </cell>
          <cell r="G225">
            <v>127.58</v>
          </cell>
          <cell r="H225">
            <v>5155.51</v>
          </cell>
          <cell r="I225">
            <v>104.33</v>
          </cell>
          <cell r="J225">
            <v>122.66</v>
          </cell>
          <cell r="K225">
            <v>4956.6899999999996</v>
          </cell>
        </row>
        <row r="226">
          <cell r="A226" t="str">
            <v>1.4.5.3</v>
          </cell>
          <cell r="B226" t="str">
            <v>COMP-28881239</v>
          </cell>
          <cell r="C226" t="str">
            <v>Base ou sub-base de macadame hidráulico com brita comercial - EXCLUSIVE MATERIAL, CARGA E TRANSPORTE - NÃO DESONERADO</v>
          </cell>
          <cell r="D226" t="str">
            <v>M3</v>
          </cell>
          <cell r="E226">
            <v>40.409999999999997</v>
          </cell>
          <cell r="F226">
            <v>11.24</v>
          </cell>
          <cell r="G226">
            <v>13.89</v>
          </cell>
          <cell r="H226">
            <v>561.29</v>
          </cell>
          <cell r="I226">
            <v>11.4</v>
          </cell>
          <cell r="J226">
            <v>13.4</v>
          </cell>
          <cell r="K226">
            <v>541.49</v>
          </cell>
        </row>
        <row r="227">
          <cell r="A227" t="str">
            <v>1.4.5.4</v>
          </cell>
          <cell r="B227" t="str">
            <v>CP-96396-26507981</v>
          </cell>
          <cell r="C227" t="str">
            <v>EXECUÇÃO E COMPACTAÇÃO DE BASE E OU SUB BASE PARA PAVIMENTAÇÃO DE BRITA GRADUADA SIMPLES - EXCLUSIVE MATERIAL, CARGA E TRANSPORTE</v>
          </cell>
          <cell r="D227" t="str">
            <v>M3</v>
          </cell>
          <cell r="E227">
            <v>43.1</v>
          </cell>
          <cell r="F227">
            <v>13.86</v>
          </cell>
          <cell r="G227">
            <v>17.13</v>
          </cell>
          <cell r="H227">
            <v>738.3</v>
          </cell>
          <cell r="I227">
            <v>14.44</v>
          </cell>
          <cell r="J227">
            <v>16.98</v>
          </cell>
          <cell r="K227">
            <v>731.84</v>
          </cell>
        </row>
        <row r="228">
          <cell r="A228" t="str">
            <v>1.4.5.5</v>
          </cell>
          <cell r="B228" t="str">
            <v>COMP-35145154</v>
          </cell>
          <cell r="C228" t="str">
            <v>CARGA E DESCARGA MECANICA DE SOLO UTILIZANDO CAMINHAO BASCULANTE 14,0M3/36T E PA CARREGADEIRA SOBRE PNEUS 128 HP, CAPACIDADE DA CAÇAMBA 1,7 A 2,8 M3, PESO OPERACIONAL 11632 KH</v>
          </cell>
          <cell r="D228" t="str">
            <v>M3</v>
          </cell>
          <cell r="E228">
            <v>104.39</v>
          </cell>
          <cell r="F228">
            <v>2.83</v>
          </cell>
          <cell r="G228">
            <v>3.5</v>
          </cell>
          <cell r="H228">
            <v>365.37</v>
          </cell>
          <cell r="I228">
            <v>2.9</v>
          </cell>
          <cell r="J228">
            <v>3.41</v>
          </cell>
          <cell r="K228">
            <v>355.97</v>
          </cell>
        </row>
        <row r="229">
          <cell r="A229" t="str">
            <v>1.4.5.6</v>
          </cell>
          <cell r="B229" t="str">
            <v>COMP-83526730</v>
          </cell>
          <cell r="C229" t="str">
            <v>TRANSPORTE COMERCIAL DE BRITA</v>
          </cell>
          <cell r="D229" t="str">
            <v>M3XKM</v>
          </cell>
          <cell r="E229">
            <v>1503.22</v>
          </cell>
          <cell r="F229">
            <v>1.36</v>
          </cell>
          <cell r="G229">
            <v>1.68</v>
          </cell>
          <cell r="H229">
            <v>2525.41</v>
          </cell>
          <cell r="I229">
            <v>1.37</v>
          </cell>
          <cell r="J229">
            <v>1.61</v>
          </cell>
          <cell r="K229">
            <v>2420.1799999999998</v>
          </cell>
        </row>
        <row r="230">
          <cell r="A230" t="str">
            <v>1.4.5.7</v>
          </cell>
          <cell r="B230" t="str">
            <v>CP-96401-52745838</v>
          </cell>
          <cell r="C230" t="str">
            <v>EXECUÇÃO DE IMPRIMAÇÃO COM ASFALTO DILUÍDO CM-30, EXCLUSIVE MATERIAL.</v>
          </cell>
          <cell r="D230" t="str">
            <v>M2</v>
          </cell>
          <cell r="E230">
            <v>184.36</v>
          </cell>
          <cell r="F230">
            <v>1.18</v>
          </cell>
          <cell r="G230">
            <v>1.46</v>
          </cell>
          <cell r="H230">
            <v>269.17</v>
          </cell>
          <cell r="I230">
            <v>1.24</v>
          </cell>
          <cell r="J230">
            <v>1.46</v>
          </cell>
          <cell r="K230">
            <v>269.17</v>
          </cell>
        </row>
        <row r="231">
          <cell r="A231" t="str">
            <v>1.4.5.8</v>
          </cell>
          <cell r="B231" t="str">
            <v>CP-95995-51339760</v>
          </cell>
          <cell r="C231" t="str">
            <v>EXECUÇÃO DE PAVIMENTO COM APLICAÇÃO DE CONCRETO ASFÁLTICO, CAMADA DE ROLAMENTO - EXCLUSIVE CARGA E TRANSPORTE E CONCRETO BETUMINOSO</v>
          </cell>
          <cell r="D231" t="str">
            <v>M3</v>
          </cell>
          <cell r="E231">
            <v>9.2200000000000006</v>
          </cell>
          <cell r="F231">
            <v>127.58</v>
          </cell>
          <cell r="G231">
            <v>157.68</v>
          </cell>
          <cell r="H231">
            <v>1453.81</v>
          </cell>
          <cell r="I231">
            <v>133.37</v>
          </cell>
          <cell r="J231">
            <v>156.80000000000001</v>
          </cell>
          <cell r="K231">
            <v>1445.7</v>
          </cell>
        </row>
        <row r="232">
          <cell r="A232" t="str">
            <v>1.4.5.9</v>
          </cell>
          <cell r="B232" t="str">
            <v>COMP-10034101</v>
          </cell>
          <cell r="C232" t="str">
            <v>CARGA, MANOBRAS E DESCARGA DE MISTURA BETUMINOSA A QUENTE, COM CAMINHAO BASCULANTE 6 M3, DESCARGA EM VIBRO-ACABADORA</v>
          </cell>
          <cell r="D232" t="str">
            <v>M3</v>
          </cell>
          <cell r="E232">
            <v>9.2200000000000006</v>
          </cell>
          <cell r="F232">
            <v>7.74</v>
          </cell>
          <cell r="G232">
            <v>9.57</v>
          </cell>
          <cell r="H232">
            <v>88.24</v>
          </cell>
          <cell r="I232">
            <v>7.86</v>
          </cell>
          <cell r="J232">
            <v>9.24</v>
          </cell>
          <cell r="K232">
            <v>85.19</v>
          </cell>
        </row>
        <row r="233">
          <cell r="A233" t="str">
            <v>1.4.5.10</v>
          </cell>
          <cell r="B233" t="str">
            <v>CP-95303-56931542</v>
          </cell>
          <cell r="C233" t="str">
            <v>TRANSPORTE COM CAMINHÃO BASCULANTE 10 M3 DE MASSA ASFALTICA PARA PAVIMENTAÇÃO URBANA</v>
          </cell>
          <cell r="D233" t="str">
            <v>M3XKM</v>
          </cell>
          <cell r="E233">
            <v>203.76</v>
          </cell>
          <cell r="F233">
            <v>1.75</v>
          </cell>
          <cell r="G233">
            <v>2.16</v>
          </cell>
          <cell r="H233">
            <v>440.12</v>
          </cell>
          <cell r="I233">
            <v>1.77</v>
          </cell>
          <cell r="J233">
            <v>2.08</v>
          </cell>
          <cell r="K233">
            <v>423.82</v>
          </cell>
        </row>
        <row r="234">
          <cell r="A234" t="str">
            <v>1.4.5.11</v>
          </cell>
          <cell r="B234" t="str">
            <v>CP-97084-89637704</v>
          </cell>
          <cell r="C234" t="str">
            <v>REGULARIZACAO E COMPACTAÇÃO MANUAL DE TERRENO COM PLACA VIBRATÓRIA</v>
          </cell>
          <cell r="D234" t="str">
            <v>M2</v>
          </cell>
          <cell r="E234">
            <v>179.25</v>
          </cell>
          <cell r="F234">
            <v>0.59</v>
          </cell>
          <cell r="G234">
            <v>0.73</v>
          </cell>
          <cell r="H234">
            <v>130.85</v>
          </cell>
          <cell r="I234">
            <v>0.65</v>
          </cell>
          <cell r="J234">
            <v>0.76</v>
          </cell>
          <cell r="K234">
            <v>136.22999999999999</v>
          </cell>
        </row>
        <row r="235">
          <cell r="A235" t="str">
            <v>1.4.5.12</v>
          </cell>
          <cell r="B235" t="str">
            <v>CP-94991-12549457</v>
          </cell>
          <cell r="C235" t="str">
            <v>EXECUÇÃO DE PASSEIO (CALÇADA) OU PISO DE CONCRETO COM CONCRETO MOLDADO IN LOCO, USINADO, ACABAMENTO CONVENCIONAL, NÃO ARMADO - EXCLUINDO O CONCRETO USINADO 20MPA</v>
          </cell>
          <cell r="D235" t="str">
            <v>M3</v>
          </cell>
          <cell r="E235">
            <v>11.9</v>
          </cell>
          <cell r="F235">
            <v>104.6</v>
          </cell>
          <cell r="G235">
            <v>129.28</v>
          </cell>
          <cell r="H235">
            <v>1538.43</v>
          </cell>
          <cell r="I235">
            <v>112.75</v>
          </cell>
          <cell r="J235">
            <v>132.56</v>
          </cell>
          <cell r="K235">
            <v>1577.46</v>
          </cell>
        </row>
        <row r="236">
          <cell r="A236" t="str">
            <v>1.4.5.13</v>
          </cell>
          <cell r="B236">
            <v>94273</v>
          </cell>
          <cell r="C236" t="str">
            <v>ASSENTAMENTO DE GUIA (MEIO-FIO) EM TRECHO RETO, CONFECCIONADA EM CONCRETO PRÉ-FABRICADO, DIMENSÕES 100X15X13X30 CM (COMPRIMENTO X BASE INFERIOR X BASE SUPERIOR X ALTURA), PARA VIAS URBANAS (USO VIÁRIO). AF_06/2016</v>
          </cell>
          <cell r="D236" t="str">
            <v>M</v>
          </cell>
          <cell r="E236">
            <v>121.48</v>
          </cell>
          <cell r="F236">
            <v>54.61</v>
          </cell>
          <cell r="G236">
            <v>67.489999999999995</v>
          </cell>
          <cell r="H236">
            <v>8198.69</v>
          </cell>
          <cell r="I236">
            <v>56.47</v>
          </cell>
          <cell r="J236">
            <v>66.39</v>
          </cell>
          <cell r="K236">
            <v>8065.06</v>
          </cell>
        </row>
        <row r="237">
          <cell r="A237" t="str">
            <v>1.4.5.14</v>
          </cell>
          <cell r="B237">
            <v>94274</v>
          </cell>
          <cell r="C237" t="str">
            <v>ASSENTAMENTO DE GUIA (MEIO-FIO) EM TRECHO CURVO, CONFECCIONADA EM CONCRETO PRÉ-FABRICADO, DIMENSÕES 100X15X13X30 CM (COMPRIMENTO X BASE INFERIOR X BASE SUPERIOR X ALTURA), PARA VIAS URBANAS (USO VIÁRIO). AF_06/2016</v>
          </cell>
          <cell r="D237" t="str">
            <v>M</v>
          </cell>
          <cell r="E237">
            <v>5.48</v>
          </cell>
          <cell r="F237">
            <v>58.17</v>
          </cell>
          <cell r="G237">
            <v>71.89</v>
          </cell>
          <cell r="H237">
            <v>393.96</v>
          </cell>
          <cell r="I237">
            <v>60.43</v>
          </cell>
          <cell r="J237">
            <v>71.05</v>
          </cell>
          <cell r="K237">
            <v>389.35</v>
          </cell>
        </row>
        <row r="238">
          <cell r="A238" t="str">
            <v>1.4.6</v>
          </cell>
          <cell r="B238"/>
          <cell r="C238" t="str">
            <v>DRENAGEM</v>
          </cell>
          <cell r="D238"/>
          <cell r="E238"/>
          <cell r="F238"/>
          <cell r="G238"/>
          <cell r="H238">
            <v>30896.26</v>
          </cell>
          <cell r="I238"/>
          <cell r="J238"/>
          <cell r="K238">
            <v>30220.080000000002</v>
          </cell>
        </row>
        <row r="239">
          <cell r="A239" t="str">
            <v>1.4.6.1</v>
          </cell>
          <cell r="B239">
            <v>94971</v>
          </cell>
          <cell r="C239" t="str">
            <v>CONCRETO FCK = 25MPA, TRAÇO 1:2,3:2,7 (EM MASSA SECA DE CIMENTO/ AREIA MÉDIA/ BRITA 1) - PREPARO MECÂNICO COM BETONEIRA 600 L. AF_05/2021</v>
          </cell>
          <cell r="D239" t="str">
            <v>M3</v>
          </cell>
          <cell r="E239">
            <v>6.86</v>
          </cell>
          <cell r="F239">
            <v>464.88</v>
          </cell>
          <cell r="G239">
            <v>574.54999999999995</v>
          </cell>
          <cell r="H239">
            <v>3941.41</v>
          </cell>
          <cell r="I239">
            <v>472.74</v>
          </cell>
          <cell r="J239">
            <v>555.79999999999995</v>
          </cell>
          <cell r="K239">
            <v>3812.79</v>
          </cell>
        </row>
        <row r="240">
          <cell r="A240" t="str">
            <v>1.4.6.2</v>
          </cell>
          <cell r="B240">
            <v>94974</v>
          </cell>
          <cell r="C240" t="str">
            <v>CONCRETO MAGRO PARA LASTRO, TRAÇO 1:4,5:4,5 (EM MASSA SECA DE CIMENTO/ AREIA MÉDIA/ BRITA 1) - PREPARO MANUAL. AF_05/2021</v>
          </cell>
          <cell r="D240" t="str">
            <v>M3</v>
          </cell>
          <cell r="E240">
            <v>5.38</v>
          </cell>
          <cell r="F240">
            <v>423.75</v>
          </cell>
          <cell r="G240">
            <v>523.71</v>
          </cell>
          <cell r="H240">
            <v>2817.56</v>
          </cell>
          <cell r="I240">
            <v>436.13</v>
          </cell>
          <cell r="J240">
            <v>512.76</v>
          </cell>
          <cell r="K240">
            <v>2758.65</v>
          </cell>
        </row>
        <row r="241">
          <cell r="A241" t="str">
            <v>1.4.6.3</v>
          </cell>
          <cell r="B241">
            <v>92771</v>
          </cell>
          <cell r="C241" t="str">
            <v>ARMAÇÃO DE LAJE DE ESTRUTURA CONVENCIONAL DE CONCRETO ARMADO UTILIZANDO AÇO CA-50 DE 10,0 MM - MONTAGEM. AF_06/2022</v>
          </cell>
          <cell r="D241" t="str">
            <v>KG</v>
          </cell>
          <cell r="E241">
            <v>446.08</v>
          </cell>
          <cell r="F241">
            <v>15.04</v>
          </cell>
          <cell r="G241">
            <v>18.59</v>
          </cell>
          <cell r="H241">
            <v>8292.6299999999992</v>
          </cell>
          <cell r="I241">
            <v>15.14</v>
          </cell>
          <cell r="J241">
            <v>17.8</v>
          </cell>
          <cell r="K241">
            <v>7940.22</v>
          </cell>
        </row>
        <row r="242">
          <cell r="A242" t="str">
            <v>1.4.6.4</v>
          </cell>
          <cell r="B242">
            <v>92268</v>
          </cell>
          <cell r="C242" t="str">
            <v>FABRICAÇÃO DE FÔRMA PARA LAJES, EM CHAPA DE MADEIRA COMPENSADA PLASTIFICADA, E = 18 MM. AF_09/2020</v>
          </cell>
          <cell r="D242" t="str">
            <v>M2</v>
          </cell>
          <cell r="E242">
            <v>32.29</v>
          </cell>
          <cell r="F242">
            <v>100.06</v>
          </cell>
          <cell r="G242">
            <v>123.66</v>
          </cell>
          <cell r="H242">
            <v>3992.98</v>
          </cell>
          <cell r="I242">
            <v>100.2</v>
          </cell>
          <cell r="J242">
            <v>117.81</v>
          </cell>
          <cell r="K242">
            <v>3804.08</v>
          </cell>
        </row>
        <row r="243">
          <cell r="A243" t="str">
            <v>1.4.6.5</v>
          </cell>
          <cell r="B243">
            <v>103320</v>
          </cell>
          <cell r="C243" t="str">
            <v>ALVENARIA DE VEDAÇÃO DE BLOCOS VAZADOS DE CONCRETO DE 19X19X39 CM (ESPESSURA 19 CM) E ARGAMASSA DE ASSENTAMENTO COM PREPARO EM BETONEIRA. AF_12/2021</v>
          </cell>
          <cell r="D243" t="str">
            <v>M2</v>
          </cell>
          <cell r="E243">
            <v>43.05</v>
          </cell>
          <cell r="F243">
            <v>101.36</v>
          </cell>
          <cell r="G243">
            <v>125.27</v>
          </cell>
          <cell r="H243">
            <v>5392.87</v>
          </cell>
          <cell r="I243">
            <v>105.62</v>
          </cell>
          <cell r="J243">
            <v>124.18</v>
          </cell>
          <cell r="K243">
            <v>5345.95</v>
          </cell>
        </row>
        <row r="244">
          <cell r="A244" t="str">
            <v>1.4.6.6</v>
          </cell>
          <cell r="B244">
            <v>87879</v>
          </cell>
          <cell r="C244" t="str">
            <v>CHAPISCO APLICADO EM ALVENARIAS E ESTRUTURAS DE CONCRETO INTERNAS, COM COLHER DE PEDREIRO.  ARGAMASSA TRAÇO 1:3 COM PREPARO EM BETONEIRA 400L. AF_06/2014</v>
          </cell>
          <cell r="D244" t="str">
            <v>M2</v>
          </cell>
          <cell r="E244">
            <v>43.05</v>
          </cell>
          <cell r="F244">
            <v>3.85</v>
          </cell>
          <cell r="G244">
            <v>4.76</v>
          </cell>
          <cell r="H244">
            <v>204.92</v>
          </cell>
          <cell r="I244">
            <v>4.0999999999999996</v>
          </cell>
          <cell r="J244">
            <v>4.82</v>
          </cell>
          <cell r="K244">
            <v>207.5</v>
          </cell>
        </row>
        <row r="245">
          <cell r="A245" t="str">
            <v>1.4.6.7</v>
          </cell>
          <cell r="B245">
            <v>87547</v>
          </cell>
          <cell r="C245" t="str">
            <v>MASSA ÚNICA, PARA RECEBIMENTO DE PINTURA, EM ARGAMASSA TRAÇO 1:2:8, PREPARO MECÂNICO COM BETONEIRA 400L, APLICADA MANUALMENTE EM FACES INTERNAS DE PAREDES, ESPESSURA DE 10MM, COM EXECUÇÃO DE TALISCAS. AF_06/2014</v>
          </cell>
          <cell r="D245" t="str">
            <v>M2</v>
          </cell>
          <cell r="E245">
            <v>43.05</v>
          </cell>
          <cell r="F245">
            <v>23.35</v>
          </cell>
          <cell r="G245">
            <v>28.86</v>
          </cell>
          <cell r="H245">
            <v>1242.42</v>
          </cell>
          <cell r="I245">
            <v>24.83</v>
          </cell>
          <cell r="J245">
            <v>29.19</v>
          </cell>
          <cell r="K245">
            <v>1256.6300000000001</v>
          </cell>
        </row>
        <row r="246">
          <cell r="A246" t="str">
            <v>1.4.6.8</v>
          </cell>
          <cell r="B246">
            <v>94975</v>
          </cell>
          <cell r="C246" t="str">
            <v>CONCRETO FCK = 15MPA, TRAÇO 1:3,4:3,5 (EM MASSA SECA DE CIMENTO/ AREIA MÉDIA/ BRITA 1) - PREPARO MANUAL. AF_05/2021</v>
          </cell>
          <cell r="D246" t="str">
            <v>M3</v>
          </cell>
          <cell r="E246">
            <v>4.58</v>
          </cell>
          <cell r="F246">
            <v>457.19</v>
          </cell>
          <cell r="G246">
            <v>565.04</v>
          </cell>
          <cell r="H246">
            <v>2587.88</v>
          </cell>
          <cell r="I246">
            <v>469.42</v>
          </cell>
          <cell r="J246">
            <v>551.9</v>
          </cell>
          <cell r="K246">
            <v>2527.6999999999998</v>
          </cell>
        </row>
        <row r="247">
          <cell r="A247" t="str">
            <v>1.4.6.9</v>
          </cell>
          <cell r="B247" t="str">
            <v>CP-74157/004-48264518</v>
          </cell>
          <cell r="C247" t="str">
            <v>LANCAMENTO/APLICACAO MANUAL DE CONCRETO EM FUNDACOES (concreto magro)</v>
          </cell>
          <cell r="D247" t="str">
            <v>M3</v>
          </cell>
          <cell r="E247">
            <v>16.82</v>
          </cell>
          <cell r="F247">
            <v>116.59</v>
          </cell>
          <cell r="G247">
            <v>144.09</v>
          </cell>
          <cell r="H247">
            <v>2423.59</v>
          </cell>
          <cell r="I247">
            <v>129.79</v>
          </cell>
          <cell r="J247">
            <v>152.59</v>
          </cell>
          <cell r="K247">
            <v>2566.56</v>
          </cell>
        </row>
        <row r="248">
          <cell r="A248" t="str">
            <v>1.4.7</v>
          </cell>
          <cell r="B248"/>
          <cell r="C248" t="str">
            <v>SINALIZAÇÃO</v>
          </cell>
          <cell r="D248"/>
          <cell r="E248"/>
          <cell r="F248"/>
          <cell r="G248"/>
          <cell r="H248">
            <v>3072.7</v>
          </cell>
          <cell r="I248"/>
          <cell r="J248"/>
          <cell r="K248">
            <v>3016.92</v>
          </cell>
        </row>
        <row r="249">
          <cell r="A249" t="str">
            <v>1.4.7.1</v>
          </cell>
          <cell r="B249">
            <v>5213421</v>
          </cell>
          <cell r="C249" t="str">
            <v>Confecção de placa em aço nº 16 galvanizado, com película tipo I + IV</v>
          </cell>
          <cell r="D249" t="str">
            <v xml:space="preserve">M2    </v>
          </cell>
          <cell r="E249">
            <v>1.29</v>
          </cell>
          <cell r="F249">
            <v>343.8</v>
          </cell>
          <cell r="G249">
            <v>424.9</v>
          </cell>
          <cell r="H249">
            <v>548.12</v>
          </cell>
          <cell r="I249">
            <v>347.25</v>
          </cell>
          <cell r="J249">
            <v>408.26</v>
          </cell>
          <cell r="K249">
            <v>526.66</v>
          </cell>
        </row>
        <row r="250">
          <cell r="A250" t="str">
            <v>1.4.7.2</v>
          </cell>
          <cell r="B250">
            <v>5216111</v>
          </cell>
          <cell r="C250" t="str">
            <v>FORNECIMENTO E IMPLANTAÇÃO DE SUPORTE E TRAVESSA PARA PLACA DE SINALIZAÇÃO EM MADEIRA DE LEI TRATADA 8 X 8 CM</v>
          </cell>
          <cell r="D250" t="str">
            <v>UND</v>
          </cell>
          <cell r="E250">
            <v>4</v>
          </cell>
          <cell r="F250">
            <v>119.1379</v>
          </cell>
          <cell r="G250">
            <v>147.24</v>
          </cell>
          <cell r="H250">
            <v>588.96</v>
          </cell>
          <cell r="I250">
            <v>121.48</v>
          </cell>
          <cell r="J250">
            <v>142.82</v>
          </cell>
          <cell r="K250">
            <v>571.28</v>
          </cell>
        </row>
        <row r="251">
          <cell r="A251" t="str">
            <v>1.4.7.3</v>
          </cell>
          <cell r="B251" t="str">
            <v>COMP-58084869</v>
          </cell>
          <cell r="C251" t="str">
            <v>PLACA ESMALTADA PARA IDENTIFICAÇÃO NR DE RUA, DIMENSÕES 45X25CM</v>
          </cell>
          <cell r="D251" t="str">
            <v>UND</v>
          </cell>
          <cell r="E251">
            <v>2</v>
          </cell>
          <cell r="F251">
            <v>155.54</v>
          </cell>
          <cell r="G251">
            <v>192.23</v>
          </cell>
          <cell r="H251">
            <v>384.46</v>
          </cell>
          <cell r="I251">
            <v>156.33000000000001</v>
          </cell>
          <cell r="J251">
            <v>183.8</v>
          </cell>
          <cell r="K251">
            <v>367.6</v>
          </cell>
        </row>
        <row r="252">
          <cell r="A252" t="str">
            <v>1.4.7.4</v>
          </cell>
          <cell r="B252">
            <v>102512</v>
          </cell>
          <cell r="C252" t="str">
            <v>PINTURA DE EIXO VIÁRIO SOBRE ASFALTO COM TINTA RETRORREFLETIVA A BASE DE RESINA ACRÍLICA COM MICROESFERAS DE VIDRO, APLICAÇÃO MECÂNICA COM DEMARCADORA AUTOPROPELIDA. AF_05/2021</v>
          </cell>
          <cell r="D252" t="str">
            <v>M</v>
          </cell>
          <cell r="E252">
            <v>147.44</v>
          </cell>
          <cell r="F252">
            <v>5.22</v>
          </cell>
          <cell r="G252">
            <v>6.45</v>
          </cell>
          <cell r="H252">
            <v>950.99</v>
          </cell>
          <cell r="I252">
            <v>5.48</v>
          </cell>
          <cell r="J252">
            <v>6.44</v>
          </cell>
          <cell r="K252">
            <v>949.51</v>
          </cell>
        </row>
        <row r="253">
          <cell r="A253" t="str">
            <v>1.4.7.5</v>
          </cell>
          <cell r="B253">
            <v>102509</v>
          </cell>
          <cell r="C253" t="str">
            <v>PINTURA DE FAIXA DE PEDESTRE OU ZEBRADA TINTA RETRORREFLETIVA A BASE DE RESINA ACRÍLICA COM MICROESFERAS DE VIDRO, E = 30 CM, APLICAÇÃO MANUAL. AF_05/2021</v>
          </cell>
          <cell r="D253" t="str">
            <v>M2</v>
          </cell>
          <cell r="E253">
            <v>21.2</v>
          </cell>
          <cell r="F253">
            <v>22.91</v>
          </cell>
          <cell r="G253">
            <v>28.31</v>
          </cell>
          <cell r="H253">
            <v>600.16999999999996</v>
          </cell>
          <cell r="I253">
            <v>24.15</v>
          </cell>
          <cell r="J253">
            <v>28.39</v>
          </cell>
          <cell r="K253">
            <v>601.87</v>
          </cell>
        </row>
        <row r="254">
          <cell r="A254" t="str">
            <v>1.4.8</v>
          </cell>
          <cell r="B254"/>
          <cell r="C254" t="str">
            <v>ACESSIBILIDADE</v>
          </cell>
          <cell r="D254"/>
          <cell r="E254"/>
          <cell r="F254"/>
          <cell r="G254"/>
          <cell r="H254">
            <v>1242.3699999999999</v>
          </cell>
          <cell r="I254"/>
          <cell r="J254"/>
          <cell r="K254">
            <v>1221.74</v>
          </cell>
        </row>
        <row r="255">
          <cell r="A255" t="str">
            <v>1.4.8.1</v>
          </cell>
          <cell r="B255" t="str">
            <v>CP-S12039-81921471</v>
          </cell>
          <cell r="C255" t="str">
            <v>Piso tátil direcional e/ou alerta, de concreto, na cor natural, p/deficientes visuais, dimensões 40x40cm, aplicado com argamassa industrializada ac-ii, rejuntado, exclusive regularização de base</v>
          </cell>
          <cell r="D255" t="str">
            <v>M2</v>
          </cell>
          <cell r="E255">
            <v>9.25</v>
          </cell>
          <cell r="F255">
            <v>108.67</v>
          </cell>
          <cell r="G255">
            <v>134.31</v>
          </cell>
          <cell r="H255">
            <v>1242.3699999999999</v>
          </cell>
          <cell r="I255">
            <v>112.34</v>
          </cell>
          <cell r="J255">
            <v>132.08000000000001</v>
          </cell>
          <cell r="K255">
            <v>1221.74</v>
          </cell>
        </row>
        <row r="256">
          <cell r="A256" t="str">
            <v>1.4.9</v>
          </cell>
          <cell r="B256"/>
          <cell r="C256" t="str">
            <v>MATERIAIS</v>
          </cell>
          <cell r="D256"/>
          <cell r="E256"/>
          <cell r="F256"/>
          <cell r="G256"/>
          <cell r="H256">
            <v>36626.15</v>
          </cell>
          <cell r="I256"/>
          <cell r="J256"/>
          <cell r="K256">
            <v>34918.44</v>
          </cell>
        </row>
        <row r="257">
          <cell r="A257" t="str">
            <v>1.4.9.1</v>
          </cell>
          <cell r="B257">
            <v>10775</v>
          </cell>
          <cell r="C257" t="str">
            <v xml:space="preserve">LOCACAO DE CONTAINER 2,30 X 6,00 M, ALT. 2,50 M, COM 1 SANITARIO, PARA ESCRITORIO, COMPLETO, SEM DIVISORIAS INTERNAS (NAO INCLUI MOBILIZACAO/DESMOBILIZACAO)                                                                                                                                                                                                                                                                                                                                              </v>
          </cell>
          <cell r="D257" t="str">
            <v xml:space="preserve">MES   </v>
          </cell>
          <cell r="E257">
            <v>1</v>
          </cell>
          <cell r="F257">
            <v>830</v>
          </cell>
          <cell r="G257">
            <v>958.32</v>
          </cell>
          <cell r="H257">
            <v>958.32</v>
          </cell>
          <cell r="I257">
            <v>830</v>
          </cell>
          <cell r="J257">
            <v>913.58</v>
          </cell>
          <cell r="K257">
            <v>913.58</v>
          </cell>
        </row>
        <row r="258">
          <cell r="A258" t="str">
            <v>1.4.9.2</v>
          </cell>
          <cell r="B258">
            <v>10776</v>
          </cell>
          <cell r="C258" t="str">
            <v xml:space="preserve">LOCACAO DE CONTAINER 2,30 X 6,00 M, ALT. 2,50 M, PARA ESCRITORIO, SEM DIVISORIAS INTERNAS E SEM SANITARIO (NAO INCLUI MOBILIZACAO/DESMOBILIZACAO)                                                                                                                                                                                                                                                                                                                                                         </v>
          </cell>
          <cell r="D258" t="str">
            <v xml:space="preserve">MES   </v>
          </cell>
          <cell r="E258">
            <v>1</v>
          </cell>
          <cell r="F258">
            <v>648.42999999999995</v>
          </cell>
          <cell r="G258">
            <v>748.68</v>
          </cell>
          <cell r="H258">
            <v>748.68</v>
          </cell>
          <cell r="I258">
            <v>648.42999999999995</v>
          </cell>
          <cell r="J258">
            <v>713.73</v>
          </cell>
          <cell r="K258">
            <v>713.73</v>
          </cell>
        </row>
        <row r="259">
          <cell r="A259" t="str">
            <v>1.4.9.3</v>
          </cell>
          <cell r="B259">
            <v>1518</v>
          </cell>
          <cell r="C259" t="str">
            <v xml:space="preserve">CONCRETO BETUMINOSO USINADO A QUENTE (CBUQ) PARA PAVIMENTACAO ASFALTICA, PADRAO DNIT, FAIXA C, COM CAP 50/70 - AQUISICAO POSTO USINA                                                                                                                                                                                                                                                                                                                                                                      </v>
          </cell>
          <cell r="D259" t="str">
            <v xml:space="preserve">T     </v>
          </cell>
          <cell r="E259">
            <v>23.56</v>
          </cell>
          <cell r="F259">
            <v>522.5</v>
          </cell>
          <cell r="G259">
            <v>603.28</v>
          </cell>
          <cell r="H259">
            <v>14213.28</v>
          </cell>
          <cell r="I259">
            <v>522.5</v>
          </cell>
          <cell r="J259">
            <v>575.12</v>
          </cell>
          <cell r="K259">
            <v>13549.83</v>
          </cell>
        </row>
        <row r="260">
          <cell r="A260" t="str">
            <v>1.4.9.4</v>
          </cell>
          <cell r="B260" t="str">
            <v>INS-185032</v>
          </cell>
          <cell r="C260" t="str">
            <v>BRITA GRADUADA SIMPLES (BGS)</v>
          </cell>
          <cell r="D260" t="str">
            <v>M3</v>
          </cell>
          <cell r="E260">
            <v>43.1</v>
          </cell>
          <cell r="F260">
            <v>56.099999999999994</v>
          </cell>
          <cell r="G260">
            <v>64.77</v>
          </cell>
          <cell r="H260">
            <v>2791.59</v>
          </cell>
          <cell r="I260">
            <v>56.099999999999994</v>
          </cell>
          <cell r="J260">
            <v>61.75</v>
          </cell>
          <cell r="K260">
            <v>2661.43</v>
          </cell>
        </row>
        <row r="261">
          <cell r="A261" t="str">
            <v>1.4.9.5</v>
          </cell>
          <cell r="B261" t="str">
            <v>M0808</v>
          </cell>
          <cell r="C261" t="str">
            <v>Brita 4</v>
          </cell>
          <cell r="D261" t="str">
            <v>M3</v>
          </cell>
          <cell r="E261">
            <v>50.92</v>
          </cell>
          <cell r="F261">
            <v>90.74</v>
          </cell>
          <cell r="G261">
            <v>104.77</v>
          </cell>
          <cell r="H261">
            <v>5334.89</v>
          </cell>
          <cell r="I261">
            <v>90.74</v>
          </cell>
          <cell r="J261">
            <v>99.88</v>
          </cell>
          <cell r="K261">
            <v>5085.8900000000003</v>
          </cell>
        </row>
        <row r="262">
          <cell r="A262" t="str">
            <v>1.4.9.6</v>
          </cell>
          <cell r="B262" t="str">
            <v>M1135</v>
          </cell>
          <cell r="C262" t="str">
            <v>Pó de pedra</v>
          </cell>
          <cell r="D262" t="str">
            <v>M3</v>
          </cell>
          <cell r="E262">
            <v>5.66</v>
          </cell>
          <cell r="F262">
            <v>74.53</v>
          </cell>
          <cell r="G262">
            <v>86.05</v>
          </cell>
          <cell r="H262">
            <v>487.04</v>
          </cell>
          <cell r="I262">
            <v>74.53</v>
          </cell>
          <cell r="J262">
            <v>82.04</v>
          </cell>
          <cell r="K262">
            <v>464.35</v>
          </cell>
        </row>
        <row r="263">
          <cell r="A263" t="str">
            <v>1.4.9.7</v>
          </cell>
          <cell r="B263" t="str">
            <v>INS-54745269</v>
          </cell>
          <cell r="C263" t="str">
            <v>ASFALTO DILUÍDO CM - 30 - JUNHO/22</v>
          </cell>
          <cell r="D263" t="str">
            <v>KG</v>
          </cell>
          <cell r="E263">
            <v>221.23</v>
          </cell>
          <cell r="F263">
            <v>5.32</v>
          </cell>
          <cell r="G263">
            <v>6.14</v>
          </cell>
          <cell r="H263">
            <v>1358.35</v>
          </cell>
          <cell r="I263">
            <v>5.32</v>
          </cell>
          <cell r="J263">
            <v>5.86</v>
          </cell>
          <cell r="K263">
            <v>1296.4100000000001</v>
          </cell>
        </row>
        <row r="264">
          <cell r="A264" t="str">
            <v>1.4.9.8</v>
          </cell>
          <cell r="B264">
            <v>34492</v>
          </cell>
          <cell r="C264" t="str">
            <v xml:space="preserve">CONCRETO USINADO BOMBEAVEL, CLASSE DE RESISTENCIA C20, COM BRITA 0 E 1, SLUMP = 100 +/- 20 MM, EXCLUI SERVICO DE BOMBEAMENTO (NBR 8953)                                                                                                                                                                                                                                                                                                                                                                   </v>
          </cell>
          <cell r="D264" t="str">
            <v xml:space="preserve">M3    </v>
          </cell>
          <cell r="E264">
            <v>14.43</v>
          </cell>
          <cell r="F264">
            <v>422.5</v>
          </cell>
          <cell r="G264">
            <v>487.82</v>
          </cell>
          <cell r="H264">
            <v>7039.24</v>
          </cell>
          <cell r="I264">
            <v>422.5</v>
          </cell>
          <cell r="J264">
            <v>465.05</v>
          </cell>
          <cell r="K264">
            <v>6710.67</v>
          </cell>
        </row>
        <row r="265">
          <cell r="A265" t="str">
            <v>1.4.9.9</v>
          </cell>
          <cell r="B265">
            <v>1345</v>
          </cell>
          <cell r="C265" t="str">
            <v xml:space="preserve">CHAPA/PAINEL DE MADEIRA COMPENSADA PLASTIFICADA (MADEIRITE PLASTIFICADO) PARA FORMA DE CONCRETO, DE 2200 x 1100 MM, E = *17* MM                                                                                                                                                                                                                                                                                                                                                                           </v>
          </cell>
          <cell r="D265" t="str">
            <v xml:space="preserve">M2    </v>
          </cell>
          <cell r="E265">
            <v>33.9</v>
          </cell>
          <cell r="F265">
            <v>94.4</v>
          </cell>
          <cell r="G265">
            <v>108.99</v>
          </cell>
          <cell r="H265">
            <v>3694.76</v>
          </cell>
          <cell r="I265">
            <v>94.4</v>
          </cell>
          <cell r="J265">
            <v>103.91</v>
          </cell>
          <cell r="K265">
            <v>3522.55</v>
          </cell>
        </row>
        <row r="266">
          <cell r="A266" t="str">
            <v>1.5</v>
          </cell>
          <cell r="B266"/>
          <cell r="C266" t="str">
            <v>RUA PLANALTINA - PIEDADE</v>
          </cell>
          <cell r="D266"/>
          <cell r="E266"/>
          <cell r="F266"/>
          <cell r="G266"/>
          <cell r="H266">
            <v>565399.31999999995</v>
          </cell>
          <cell r="I266"/>
          <cell r="J266"/>
          <cell r="K266">
            <v>548707.43000000005</v>
          </cell>
        </row>
        <row r="267">
          <cell r="A267" t="str">
            <v>1.5.1</v>
          </cell>
          <cell r="B267"/>
          <cell r="C267" t="str">
            <v>INSTALAÇÕES PROVISÓRIAS</v>
          </cell>
          <cell r="D267"/>
          <cell r="E267"/>
          <cell r="F267"/>
          <cell r="G267"/>
          <cell r="H267">
            <v>8115.87</v>
          </cell>
          <cell r="I267"/>
          <cell r="J267"/>
          <cell r="K267">
            <v>7783.05</v>
          </cell>
        </row>
        <row r="268">
          <cell r="A268" t="str">
            <v>1.5.1.1</v>
          </cell>
          <cell r="B268" t="str">
            <v>CP-74209/001-15055090</v>
          </cell>
          <cell r="C268" t="str">
            <v>PLACA DE OBRA EM CHAPA DE ACO GALVANIZADO</v>
          </cell>
          <cell r="D268" t="str">
            <v xml:space="preserve">M2    </v>
          </cell>
          <cell r="E268">
            <v>8</v>
          </cell>
          <cell r="F268">
            <v>558.35</v>
          </cell>
          <cell r="G268">
            <v>690.06</v>
          </cell>
          <cell r="H268">
            <v>5520.48</v>
          </cell>
          <cell r="I268">
            <v>564.99</v>
          </cell>
          <cell r="J268">
            <v>664.26</v>
          </cell>
          <cell r="K268">
            <v>5314.08</v>
          </cell>
        </row>
        <row r="269">
          <cell r="A269" t="str">
            <v>1.5.1.2</v>
          </cell>
          <cell r="B269" t="str">
            <v>COMP-07440249</v>
          </cell>
          <cell r="C269" t="str">
            <v>BANHEIRO QUÍMICO, COM LOCAÇÃO, TRANSPORTE E LIMPEZA</v>
          </cell>
          <cell r="D269" t="str">
            <v>MÊS</v>
          </cell>
          <cell r="E269">
            <v>3</v>
          </cell>
          <cell r="F269">
            <v>700</v>
          </cell>
          <cell r="G269">
            <v>865.13</v>
          </cell>
          <cell r="H269">
            <v>2595.39</v>
          </cell>
          <cell r="I269">
            <v>700</v>
          </cell>
          <cell r="J269">
            <v>822.99</v>
          </cell>
          <cell r="K269">
            <v>2468.9699999999998</v>
          </cell>
        </row>
        <row r="270">
          <cell r="A270" t="str">
            <v>1.5.2</v>
          </cell>
          <cell r="B270"/>
          <cell r="C270" t="str">
            <v>ADMINISTRAÇÃO LOCAL</v>
          </cell>
          <cell r="D270"/>
          <cell r="E270"/>
          <cell r="F270"/>
          <cell r="G270"/>
          <cell r="H270">
            <v>17600.45</v>
          </cell>
          <cell r="I270"/>
          <cell r="J270"/>
          <cell r="K270">
            <v>19280.63</v>
          </cell>
        </row>
        <row r="271">
          <cell r="A271" t="str">
            <v>1.5.2.1</v>
          </cell>
          <cell r="B271">
            <v>93565</v>
          </cell>
          <cell r="C271" t="str">
            <v>ENGENHEIRO CIVIL DE OBRA JUNIOR COM ENCARGOS COMPLEMENTARES</v>
          </cell>
          <cell r="D271" t="str">
            <v>MES</v>
          </cell>
          <cell r="E271">
            <v>0.38</v>
          </cell>
          <cell r="F271">
            <v>14549.96</v>
          </cell>
          <cell r="G271">
            <v>17982.3</v>
          </cell>
          <cell r="H271">
            <v>6833.27</v>
          </cell>
          <cell r="I271">
            <v>16819.14</v>
          </cell>
          <cell r="J271">
            <v>19774.259999999998</v>
          </cell>
          <cell r="K271">
            <v>7514.22</v>
          </cell>
        </row>
        <row r="272">
          <cell r="A272" t="str">
            <v>1.5.2.2</v>
          </cell>
          <cell r="B272">
            <v>93572</v>
          </cell>
          <cell r="C272" t="str">
            <v>ENCARREGADO GERAL DE OBRAS COM ENCARGOS COMPLEMENTARES</v>
          </cell>
          <cell r="D272" t="str">
            <v>MES</v>
          </cell>
          <cell r="E272">
            <v>1.5</v>
          </cell>
          <cell r="F272">
            <v>5808.01</v>
          </cell>
          <cell r="G272">
            <v>7178.12</v>
          </cell>
          <cell r="H272">
            <v>10767.18</v>
          </cell>
          <cell r="I272">
            <v>6672</v>
          </cell>
          <cell r="J272">
            <v>7844.27</v>
          </cell>
          <cell r="K272">
            <v>11766.41</v>
          </cell>
        </row>
        <row r="273">
          <cell r="A273" t="str">
            <v>1.5.3</v>
          </cell>
          <cell r="B273"/>
          <cell r="C273" t="str">
            <v>SERVIÇOS PRELIMINARES</v>
          </cell>
          <cell r="D273"/>
          <cell r="E273"/>
          <cell r="F273"/>
          <cell r="G273"/>
          <cell r="H273">
            <v>13779.21</v>
          </cell>
          <cell r="I273"/>
          <cell r="J273"/>
          <cell r="K273">
            <v>14484.16</v>
          </cell>
        </row>
        <row r="274">
          <cell r="A274" t="str">
            <v>1.5.3.1</v>
          </cell>
          <cell r="B274">
            <v>99064</v>
          </cell>
          <cell r="C274" t="str">
            <v>LOCAÇÃO DE PAVIMENTAÇÃO. AF_10/2018</v>
          </cell>
          <cell r="D274" t="str">
            <v>M</v>
          </cell>
          <cell r="E274">
            <v>269.74</v>
          </cell>
          <cell r="F274">
            <v>0.43</v>
          </cell>
          <cell r="G274">
            <v>0.53</v>
          </cell>
          <cell r="H274">
            <v>142.96</v>
          </cell>
          <cell r="I274">
            <v>0.49</v>
          </cell>
          <cell r="J274">
            <v>0.57999999999999996</v>
          </cell>
          <cell r="K274">
            <v>156.44999999999999</v>
          </cell>
        </row>
        <row r="275">
          <cell r="A275" t="str">
            <v>1.5.3.2</v>
          </cell>
          <cell r="B275" t="str">
            <v>COMP-17562084</v>
          </cell>
          <cell r="C275" t="str">
            <v>DEMOLIÇÃO MANUAL DE CONCRETO SIMPLES</v>
          </cell>
          <cell r="D275" t="str">
            <v>M3</v>
          </cell>
          <cell r="E275">
            <v>50.01</v>
          </cell>
          <cell r="F275">
            <v>190.89</v>
          </cell>
          <cell r="G275">
            <v>235.92</v>
          </cell>
          <cell r="H275">
            <v>11798.36</v>
          </cell>
          <cell r="I275">
            <v>212.24</v>
          </cell>
          <cell r="J275">
            <v>249.53</v>
          </cell>
          <cell r="K275">
            <v>12479</v>
          </cell>
        </row>
        <row r="276">
          <cell r="A276" t="str">
            <v>1.5.3.3</v>
          </cell>
          <cell r="B276" t="str">
            <v>COMP-01471766</v>
          </cell>
          <cell r="C276" t="str">
            <v>DEMOLIÇÃO DE MEIO-FIO</v>
          </cell>
          <cell r="D276" t="str">
            <v>M</v>
          </cell>
          <cell r="E276">
            <v>64.63</v>
          </cell>
          <cell r="F276">
            <v>10.02</v>
          </cell>
          <cell r="G276">
            <v>12.38</v>
          </cell>
          <cell r="H276">
            <v>800.12</v>
          </cell>
          <cell r="I276">
            <v>11.13</v>
          </cell>
          <cell r="J276">
            <v>13.09</v>
          </cell>
          <cell r="K276">
            <v>846.01</v>
          </cell>
        </row>
        <row r="277">
          <cell r="A277" t="str">
            <v>1.5.3.4</v>
          </cell>
          <cell r="B277" t="str">
            <v>COMP-35145154</v>
          </cell>
          <cell r="C277" t="str">
            <v>CARGA E DESCARGA MECANICA DE SOLO UTILIZANDO CAMINHAO BASCULANTE 14,0M3/36T E PA CARREGADEIRA SOBRE PNEUS 128 HP, CAPACIDADE DA CAÇAMBA 1,7 A 2,8 M3, PESO OPERACIONAL 11632 KH</v>
          </cell>
          <cell r="D277" t="str">
            <v>M3</v>
          </cell>
          <cell r="E277">
            <v>66.150000000000006</v>
          </cell>
          <cell r="F277">
            <v>2.83</v>
          </cell>
          <cell r="G277">
            <v>3.5</v>
          </cell>
          <cell r="H277">
            <v>231.53</v>
          </cell>
          <cell r="I277">
            <v>2.9</v>
          </cell>
          <cell r="J277">
            <v>3.41</v>
          </cell>
          <cell r="K277">
            <v>225.57</v>
          </cell>
        </row>
        <row r="278">
          <cell r="A278" t="str">
            <v>1.5.3.5</v>
          </cell>
          <cell r="B278">
            <v>95876</v>
          </cell>
          <cell r="C278" t="str">
            <v>TRANSPORTE COM CAMINHÃO BASCULANTE DE 14 M³, EM VIA URBANA PAVIMENTADA, DMT ATÉ 30 KM (UNIDADE: M3XKM). AF_07/2020</v>
          </cell>
          <cell r="D278" t="str">
            <v>M3XKM</v>
          </cell>
          <cell r="E278">
            <v>291.06</v>
          </cell>
          <cell r="F278">
            <v>2.2400000000000002</v>
          </cell>
          <cell r="G278">
            <v>2.77</v>
          </cell>
          <cell r="H278">
            <v>806.24</v>
          </cell>
          <cell r="I278">
            <v>2.27</v>
          </cell>
          <cell r="J278">
            <v>2.67</v>
          </cell>
          <cell r="K278">
            <v>777.13</v>
          </cell>
        </row>
        <row r="279">
          <cell r="A279" t="str">
            <v>1.5.4</v>
          </cell>
          <cell r="B279"/>
          <cell r="C279" t="str">
            <v>TERRAPLENAGEM</v>
          </cell>
          <cell r="D279"/>
          <cell r="E279"/>
          <cell r="F279"/>
          <cell r="G279"/>
          <cell r="H279">
            <v>36839.15</v>
          </cell>
          <cell r="I279"/>
          <cell r="J279"/>
          <cell r="K279">
            <v>35620.620000000003</v>
          </cell>
        </row>
        <row r="280">
          <cell r="A280" t="str">
            <v>1.5.4.1</v>
          </cell>
          <cell r="B280" t="str">
            <v>CP-74205/001-17324935</v>
          </cell>
          <cell r="C280" t="str">
            <v>ESCAVAÇÃO MECÂNICA DE MATERIAL 1A. CATEGORIA, PROVENIENTE DE CORTE DE SUBLEITO (C/TRATOR ESTEIRAS  160HP)</v>
          </cell>
          <cell r="D280" t="str">
            <v>M3</v>
          </cell>
          <cell r="E280">
            <v>1619.3</v>
          </cell>
          <cell r="F280">
            <v>2.54</v>
          </cell>
          <cell r="G280">
            <v>3.14</v>
          </cell>
          <cell r="H280">
            <v>5084.6000000000004</v>
          </cell>
          <cell r="I280">
            <v>2.59</v>
          </cell>
          <cell r="J280">
            <v>3.05</v>
          </cell>
          <cell r="K280">
            <v>4938.87</v>
          </cell>
        </row>
        <row r="281">
          <cell r="A281" t="str">
            <v>1.5.4.2</v>
          </cell>
          <cell r="B281" t="str">
            <v>COMP-35145154</v>
          </cell>
          <cell r="C281" t="str">
            <v>CARGA E DESCARGA MECANICA DE SOLO UTILIZANDO CAMINHAO BASCULANTE 14,0M3/36T E PA CARREGADEIRA SOBRE PNEUS 128 HP, CAPACIDADE DA CAÇAMBA 1,7 A 2,8 M3, PESO OPERACIONAL 11632 KH</v>
          </cell>
          <cell r="D281" t="str">
            <v>M3</v>
          </cell>
          <cell r="E281">
            <v>2024.13</v>
          </cell>
          <cell r="F281">
            <v>2.83</v>
          </cell>
          <cell r="G281">
            <v>3.5</v>
          </cell>
          <cell r="H281">
            <v>7084.46</v>
          </cell>
          <cell r="I281">
            <v>2.9</v>
          </cell>
          <cell r="J281">
            <v>3.41</v>
          </cell>
          <cell r="K281">
            <v>6902.28</v>
          </cell>
        </row>
        <row r="282">
          <cell r="A282" t="str">
            <v>1.5.4.3</v>
          </cell>
          <cell r="B282">
            <v>95876</v>
          </cell>
          <cell r="C282" t="str">
            <v>TRANSPORTE COM CAMINHÃO BASCULANTE DE 14 M³, EM VIA URBANA PAVIMENTADA, DMT ATÉ 30 KM (UNIDADE: M3XKM). AF_07/2020</v>
          </cell>
          <cell r="D282" t="str">
            <v>M3XKM</v>
          </cell>
          <cell r="E282">
            <v>8906.17</v>
          </cell>
          <cell r="F282">
            <v>2.2400000000000002</v>
          </cell>
          <cell r="G282">
            <v>2.77</v>
          </cell>
          <cell r="H282">
            <v>24670.09</v>
          </cell>
          <cell r="I282">
            <v>2.27</v>
          </cell>
          <cell r="J282">
            <v>2.67</v>
          </cell>
          <cell r="K282">
            <v>23779.47</v>
          </cell>
        </row>
        <row r="283">
          <cell r="A283" t="str">
            <v>1.5.5</v>
          </cell>
          <cell r="B283"/>
          <cell r="C283" t="str">
            <v>PAVIMENTAÇÃO</v>
          </cell>
          <cell r="D283"/>
          <cell r="E283"/>
          <cell r="F283"/>
          <cell r="G283"/>
          <cell r="H283">
            <v>181997.19</v>
          </cell>
          <cell r="I283"/>
          <cell r="J283"/>
          <cell r="K283">
            <v>178342.65</v>
          </cell>
        </row>
        <row r="284">
          <cell r="A284" t="str">
            <v>1.5.5.1</v>
          </cell>
          <cell r="B284">
            <v>100576</v>
          </cell>
          <cell r="C284" t="str">
            <v>REGULARIZAÇÃO E COMPACTAÇÃO DE SUBLEITO DE SOLO  PREDOMINANTEMENTE ARGILOSO. AF_11/2019</v>
          </cell>
          <cell r="D284" t="str">
            <v>M2</v>
          </cell>
          <cell r="E284">
            <v>2157.92</v>
          </cell>
          <cell r="F284">
            <v>2.64</v>
          </cell>
          <cell r="G284">
            <v>3.26</v>
          </cell>
          <cell r="H284">
            <v>7034.82</v>
          </cell>
          <cell r="I284">
            <v>2.79</v>
          </cell>
          <cell r="J284">
            <v>3.28</v>
          </cell>
          <cell r="K284">
            <v>7077.98</v>
          </cell>
        </row>
        <row r="285">
          <cell r="A285" t="str">
            <v>1.5.5.2</v>
          </cell>
          <cell r="B285" t="str">
            <v>COMP-47176600</v>
          </cell>
          <cell r="C285" t="str">
            <v xml:space="preserve">EXEC. DE ATERRO COM AREIA COM ADENSAMENTO HIDRAULICO </v>
          </cell>
          <cell r="D285" t="str">
            <v xml:space="preserve">M3    </v>
          </cell>
          <cell r="E285">
            <v>431.58</v>
          </cell>
          <cell r="F285">
            <v>103.23</v>
          </cell>
          <cell r="G285">
            <v>127.58</v>
          </cell>
          <cell r="H285">
            <v>55060.98</v>
          </cell>
          <cell r="I285">
            <v>104.33</v>
          </cell>
          <cell r="J285">
            <v>122.66</v>
          </cell>
          <cell r="K285">
            <v>52937.599999999999</v>
          </cell>
        </row>
        <row r="286">
          <cell r="A286" t="str">
            <v>1.5.5.3</v>
          </cell>
          <cell r="B286" t="str">
            <v>COMP-28881239</v>
          </cell>
          <cell r="C286" t="str">
            <v>Base ou sub-base de macadame hidráulico com brita comercial - EXCLUSIVE MATERIAL, CARGA E TRANSPORTE - NÃO DESONERADO</v>
          </cell>
          <cell r="D286" t="str">
            <v>M3</v>
          </cell>
          <cell r="E286">
            <v>431.58</v>
          </cell>
          <cell r="F286">
            <v>11.24</v>
          </cell>
          <cell r="G286">
            <v>13.89</v>
          </cell>
          <cell r="H286">
            <v>5994.65</v>
          </cell>
          <cell r="I286">
            <v>11.4</v>
          </cell>
          <cell r="J286">
            <v>13.4</v>
          </cell>
          <cell r="K286">
            <v>5783.17</v>
          </cell>
        </row>
        <row r="287">
          <cell r="A287" t="str">
            <v>1.5.5.4</v>
          </cell>
          <cell r="B287" t="str">
            <v>CP-96396-26507981</v>
          </cell>
          <cell r="C287" t="str">
            <v>EXECUÇÃO E COMPACTAÇÃO DE BASE E OU SUB BASE PARA PAVIMENTAÇÃO DE BRITA GRADUADA SIMPLES - EXCLUSIVE MATERIAL, CARGA E TRANSPORTE</v>
          </cell>
          <cell r="D287" t="str">
            <v>M3</v>
          </cell>
          <cell r="E287">
            <v>404.61</v>
          </cell>
          <cell r="F287">
            <v>13.86</v>
          </cell>
          <cell r="G287">
            <v>17.13</v>
          </cell>
          <cell r="H287">
            <v>6930.97</v>
          </cell>
          <cell r="I287">
            <v>14.44</v>
          </cell>
          <cell r="J287">
            <v>16.98</v>
          </cell>
          <cell r="K287">
            <v>6870.28</v>
          </cell>
        </row>
        <row r="288">
          <cell r="A288" t="str">
            <v>1.5.5.5</v>
          </cell>
          <cell r="B288" t="str">
            <v>COMP-35145154</v>
          </cell>
          <cell r="C288" t="str">
            <v>CARGA E DESCARGA MECANICA DE SOLO UTILIZANDO CAMINHAO BASCULANTE 14,0M3/36T E PA CARREGADEIRA SOBRE PNEUS 128 HP, CAPACIDADE DA CAÇAMBA 1,7 A 2,8 M3, PESO OPERACIONAL 11632 KH</v>
          </cell>
          <cell r="D288" t="str">
            <v>M3</v>
          </cell>
          <cell r="E288">
            <v>1045.24</v>
          </cell>
          <cell r="F288">
            <v>2.83</v>
          </cell>
          <cell r="G288">
            <v>3.5</v>
          </cell>
          <cell r="H288">
            <v>3658.34</v>
          </cell>
          <cell r="I288">
            <v>2.9</v>
          </cell>
          <cell r="J288">
            <v>3.41</v>
          </cell>
          <cell r="K288">
            <v>3564.27</v>
          </cell>
        </row>
        <row r="289">
          <cell r="A289" t="str">
            <v>1.5.5.6</v>
          </cell>
          <cell r="B289" t="str">
            <v>COMP-83526730</v>
          </cell>
          <cell r="C289" t="str">
            <v>TRANSPORTE COMERCIAL DE BRITA</v>
          </cell>
          <cell r="D289" t="str">
            <v>M3XKM</v>
          </cell>
          <cell r="E289">
            <v>10452.4</v>
          </cell>
          <cell r="F289">
            <v>1.36</v>
          </cell>
          <cell r="G289">
            <v>1.68</v>
          </cell>
          <cell r="H289">
            <v>17560.03</v>
          </cell>
          <cell r="I289">
            <v>1.37</v>
          </cell>
          <cell r="J289">
            <v>1.61</v>
          </cell>
          <cell r="K289">
            <v>16828.36</v>
          </cell>
        </row>
        <row r="290">
          <cell r="A290" t="str">
            <v>1.5.5.7</v>
          </cell>
          <cell r="B290" t="str">
            <v>CP-96401-52745838</v>
          </cell>
          <cell r="C290" t="str">
            <v>EXECUÇÃO DE IMPRIMAÇÃO COM ASFALTO DILUÍDO CM-30, EXCLUSIVE MATERIAL.</v>
          </cell>
          <cell r="D290" t="str">
            <v>M2</v>
          </cell>
          <cell r="E290">
            <v>1726.62</v>
          </cell>
          <cell r="F290">
            <v>1.18</v>
          </cell>
          <cell r="G290">
            <v>1.46</v>
          </cell>
          <cell r="H290">
            <v>2520.87</v>
          </cell>
          <cell r="I290">
            <v>1.24</v>
          </cell>
          <cell r="J290">
            <v>1.46</v>
          </cell>
          <cell r="K290">
            <v>2520.87</v>
          </cell>
        </row>
        <row r="291">
          <cell r="A291" t="str">
            <v>1.5.5.8</v>
          </cell>
          <cell r="B291" t="str">
            <v>CP-95995-51339760</v>
          </cell>
          <cell r="C291" t="str">
            <v>EXECUÇÃO DE PAVIMENTO COM APLICAÇÃO DE CONCRETO ASFÁLTICO, CAMADA DE ROLAMENTO - EXCLUSIVE CARGA E TRANSPORTE E CONCRETO BETUMINOSO</v>
          </cell>
          <cell r="D291" t="str">
            <v>M3</v>
          </cell>
          <cell r="E291">
            <v>86.33</v>
          </cell>
          <cell r="F291">
            <v>127.58</v>
          </cell>
          <cell r="G291">
            <v>157.68</v>
          </cell>
          <cell r="H291">
            <v>13612.51</v>
          </cell>
          <cell r="I291">
            <v>133.37</v>
          </cell>
          <cell r="J291">
            <v>156.80000000000001</v>
          </cell>
          <cell r="K291">
            <v>13536.54</v>
          </cell>
        </row>
        <row r="292">
          <cell r="A292" t="str">
            <v>1.5.5.9</v>
          </cell>
          <cell r="B292" t="str">
            <v>COMP-10034101</v>
          </cell>
          <cell r="C292" t="str">
            <v>CARGA, MANOBRAS E DESCARGA DE MISTURA BETUMINOSA A QUENTE, COM CAMINHAO BASCULANTE 6 M3, DESCARGA EM VIBRO-ACABADORA</v>
          </cell>
          <cell r="D292" t="str">
            <v>M3</v>
          </cell>
          <cell r="E292">
            <v>86.33</v>
          </cell>
          <cell r="F292">
            <v>7.74</v>
          </cell>
          <cell r="G292">
            <v>9.57</v>
          </cell>
          <cell r="H292">
            <v>826.18</v>
          </cell>
          <cell r="I292">
            <v>7.86</v>
          </cell>
          <cell r="J292">
            <v>9.24</v>
          </cell>
          <cell r="K292">
            <v>797.69</v>
          </cell>
        </row>
        <row r="293">
          <cell r="A293" t="str">
            <v>1.5.5.10</v>
          </cell>
          <cell r="B293" t="str">
            <v>CP-95303-56931542</v>
          </cell>
          <cell r="C293" t="str">
            <v>TRANSPORTE COM CAMINHÃO BASCULANTE 10 M3 DE MASSA ASFALTICA PARA PAVIMENTAÇÃO URBANA</v>
          </cell>
          <cell r="D293" t="str">
            <v>M3XKM</v>
          </cell>
          <cell r="E293">
            <v>1493.51</v>
          </cell>
          <cell r="F293">
            <v>1.75</v>
          </cell>
          <cell r="G293">
            <v>2.16</v>
          </cell>
          <cell r="H293">
            <v>3225.98</v>
          </cell>
          <cell r="I293">
            <v>1.77</v>
          </cell>
          <cell r="J293">
            <v>2.08</v>
          </cell>
          <cell r="K293">
            <v>3106.5</v>
          </cell>
        </row>
        <row r="294">
          <cell r="A294" t="str">
            <v>1.5.5.11</v>
          </cell>
          <cell r="B294" t="str">
            <v>CP-97084-89637704</v>
          </cell>
          <cell r="C294" t="str">
            <v>REGULARIZACAO E COMPACTAÇÃO MANUAL DE TERRENO COM PLACA VIBRATÓRIA</v>
          </cell>
          <cell r="D294" t="str">
            <v>M2</v>
          </cell>
          <cell r="E294">
            <v>1305.7</v>
          </cell>
          <cell r="F294">
            <v>0.59</v>
          </cell>
          <cell r="G294">
            <v>0.73</v>
          </cell>
          <cell r="H294">
            <v>953.16</v>
          </cell>
          <cell r="I294">
            <v>0.65</v>
          </cell>
          <cell r="J294">
            <v>0.76</v>
          </cell>
          <cell r="K294">
            <v>992.33</v>
          </cell>
        </row>
        <row r="295">
          <cell r="A295" t="str">
            <v>1.5.5.12</v>
          </cell>
          <cell r="B295" t="str">
            <v>CP-94991-12549457</v>
          </cell>
          <cell r="C295" t="str">
            <v>EXECUÇÃO DE PASSEIO (CALÇADA) OU PISO DE CONCRETO COM CONCRETO MOLDADO IN LOCO, USINADO, ACABAMENTO CONVENCIONAL, NÃO ARMADO - EXCLUINDO O CONCRETO USINADO 20MPA</v>
          </cell>
          <cell r="D295" t="str">
            <v>M3</v>
          </cell>
          <cell r="E295">
            <v>89.76</v>
          </cell>
          <cell r="F295">
            <v>104.6</v>
          </cell>
          <cell r="G295">
            <v>129.28</v>
          </cell>
          <cell r="H295">
            <v>11604.17</v>
          </cell>
          <cell r="I295">
            <v>112.75</v>
          </cell>
          <cell r="J295">
            <v>132.56</v>
          </cell>
          <cell r="K295">
            <v>11898.59</v>
          </cell>
        </row>
        <row r="296">
          <cell r="A296" t="str">
            <v>1.5.5.13</v>
          </cell>
          <cell r="B296">
            <v>94273</v>
          </cell>
          <cell r="C296" t="str">
            <v>ASSENTAMENTO DE GUIA (MEIO-FIO) EM TRECHO RETO, CONFECCIONADA EM CONCRETO PRÉ-FABRICADO, DIMENSÕES 100X15X13X30 CM (COMPRIMENTO X BASE INFERIOR X BASE SUPERIOR X ALTURA), PARA VIAS URBANAS (USO VIÁRIO). AF_06/2016</v>
          </cell>
          <cell r="D296" t="str">
            <v>M</v>
          </cell>
          <cell r="E296">
            <v>541.19000000000005</v>
          </cell>
          <cell r="F296">
            <v>54.61</v>
          </cell>
          <cell r="G296">
            <v>67.489999999999995</v>
          </cell>
          <cell r="H296">
            <v>36524.910000000003</v>
          </cell>
          <cell r="I296">
            <v>56.47</v>
          </cell>
          <cell r="J296">
            <v>66.39</v>
          </cell>
          <cell r="K296">
            <v>35929.599999999999</v>
          </cell>
        </row>
        <row r="297">
          <cell r="A297" t="str">
            <v>1.5.5.14</v>
          </cell>
          <cell r="B297">
            <v>94274</v>
          </cell>
          <cell r="C297" t="str">
            <v>ASSENTAMENTO DE GUIA (MEIO-FIO) EM TRECHO CURVO, CONFECCIONADA EM CONCRETO PRÉ-FABRICADO, DIMENSÕES 100X15X13X30 CM (COMPRIMENTO X BASE INFERIOR X BASE SUPERIOR X ALTURA), PARA VIAS URBANAS (USO VIÁRIO). AF_06/2016</v>
          </cell>
          <cell r="D297" t="str">
            <v>M</v>
          </cell>
          <cell r="E297">
            <v>34.54</v>
          </cell>
          <cell r="F297">
            <v>58.17</v>
          </cell>
          <cell r="G297">
            <v>71.89</v>
          </cell>
          <cell r="H297">
            <v>2483.08</v>
          </cell>
          <cell r="I297">
            <v>60.43</v>
          </cell>
          <cell r="J297">
            <v>71.05</v>
          </cell>
          <cell r="K297">
            <v>2454.0700000000002</v>
          </cell>
        </row>
        <row r="298">
          <cell r="A298" t="str">
            <v>1.5.5.15</v>
          </cell>
          <cell r="B298">
            <v>94275</v>
          </cell>
          <cell r="C298" t="str">
            <v>ASSENTAMENTO DE GUIA (MEIO-FIO) EM TRECHO RETO, CONFECCIONADA EM CONCRETO PRÉ-FABRICADO, DIMENSÕES 100X15X13X20 CM (COMPRIMENTO X BASE INFERIOR X BASE SUPERIOR X ALTURA), PARA URBANIZAÇÃO INTERNA DE EMPREENDIMENTOS. AF_06/2016_P</v>
          </cell>
          <cell r="D298" t="str">
            <v>M</v>
          </cell>
          <cell r="E298">
            <v>19</v>
          </cell>
          <cell r="F298">
            <v>52.64</v>
          </cell>
          <cell r="G298">
            <v>65.06</v>
          </cell>
          <cell r="H298">
            <v>1236.1400000000001</v>
          </cell>
          <cell r="I298">
            <v>54.31</v>
          </cell>
          <cell r="J298">
            <v>63.85</v>
          </cell>
          <cell r="K298">
            <v>1213.1500000000001</v>
          </cell>
        </row>
        <row r="299">
          <cell r="A299" t="str">
            <v>1.5.5.16</v>
          </cell>
          <cell r="B299">
            <v>94287</v>
          </cell>
          <cell r="C299" t="str">
            <v>EXECUÇÃO DE SARJETA DE CONCRETO USINADO, MOLDADA  IN LOCO  EM TRECHO RETO, 30 CM BASE X 10 CM ALTURA. AF_06/2016</v>
          </cell>
          <cell r="D299" t="str">
            <v>M</v>
          </cell>
          <cell r="E299">
            <v>252.11</v>
          </cell>
          <cell r="F299">
            <v>37.69</v>
          </cell>
          <cell r="G299">
            <v>46.58</v>
          </cell>
          <cell r="H299">
            <v>11743.28</v>
          </cell>
          <cell r="I299">
            <v>39.770000000000003</v>
          </cell>
          <cell r="J299">
            <v>46.76</v>
          </cell>
          <cell r="K299">
            <v>11788.66</v>
          </cell>
        </row>
        <row r="300">
          <cell r="A300" t="str">
            <v>1.5.5.17</v>
          </cell>
          <cell r="B300">
            <v>94288</v>
          </cell>
          <cell r="C300" t="str">
            <v>EXECUÇÃO DE SARJETA DE CONCRETO USINADO, MOLDADA  IN LOCO  EM TRECHO CURVO, 30 CM BASE X 10 CM ALTURA. AF_06/2016</v>
          </cell>
          <cell r="D300" t="str">
            <v>M</v>
          </cell>
          <cell r="E300">
            <v>17.63</v>
          </cell>
          <cell r="F300">
            <v>47.14</v>
          </cell>
          <cell r="G300">
            <v>58.26</v>
          </cell>
          <cell r="H300">
            <v>1027.1199999999999</v>
          </cell>
          <cell r="I300">
            <v>50.32</v>
          </cell>
          <cell r="J300">
            <v>59.16</v>
          </cell>
          <cell r="K300">
            <v>1042.99</v>
          </cell>
        </row>
        <row r="301">
          <cell r="A301" t="str">
            <v>1.5.6</v>
          </cell>
          <cell r="B301"/>
          <cell r="C301" t="str">
            <v>SINALIZAÇÃO</v>
          </cell>
          <cell r="D301"/>
          <cell r="E301"/>
          <cell r="F301"/>
          <cell r="G301"/>
          <cell r="H301">
            <v>11531.34</v>
          </cell>
          <cell r="I301"/>
          <cell r="J301"/>
          <cell r="K301">
            <v>11345.08</v>
          </cell>
        </row>
        <row r="302">
          <cell r="A302" t="str">
            <v>1.5.6.1</v>
          </cell>
          <cell r="B302">
            <v>5213421</v>
          </cell>
          <cell r="C302" t="str">
            <v>Confecção de placa em aço nº 16 galvanizado, com película tipo I + IV</v>
          </cell>
          <cell r="D302" t="str">
            <v xml:space="preserve">M2    </v>
          </cell>
          <cell r="E302">
            <v>3.6</v>
          </cell>
          <cell r="F302">
            <v>343.8</v>
          </cell>
          <cell r="G302">
            <v>424.9</v>
          </cell>
          <cell r="H302">
            <v>1529.64</v>
          </cell>
          <cell r="I302">
            <v>347.25</v>
          </cell>
          <cell r="J302">
            <v>408.26</v>
          </cell>
          <cell r="K302">
            <v>1469.74</v>
          </cell>
        </row>
        <row r="303">
          <cell r="A303" t="str">
            <v>1.5.6.2</v>
          </cell>
          <cell r="B303">
            <v>5216111</v>
          </cell>
          <cell r="C303" t="str">
            <v>FORNECIMENTO E IMPLANTAÇÃO DE SUPORTE E TRAVESSA PARA PLACA DE SINALIZAÇÃO EM MADEIRA DE LEI TRATADA 8 X 8 CM</v>
          </cell>
          <cell r="D303" t="str">
            <v>UND</v>
          </cell>
          <cell r="E303">
            <v>13</v>
          </cell>
          <cell r="F303">
            <v>119.1379</v>
          </cell>
          <cell r="G303">
            <v>147.24</v>
          </cell>
          <cell r="H303">
            <v>1914.12</v>
          </cell>
          <cell r="I303">
            <v>121.48</v>
          </cell>
          <cell r="J303">
            <v>142.82</v>
          </cell>
          <cell r="K303">
            <v>1856.66</v>
          </cell>
        </row>
        <row r="304">
          <cell r="A304" t="str">
            <v>1.5.6.3</v>
          </cell>
          <cell r="B304" t="str">
            <v>COMP-58084869</v>
          </cell>
          <cell r="C304" t="str">
            <v>PLACA ESMALTADA PARA IDENTIFICAÇÃO NR DE RUA, DIMENSÕES 45X25CM</v>
          </cell>
          <cell r="D304" t="str">
            <v>UND</v>
          </cell>
          <cell r="E304">
            <v>8</v>
          </cell>
          <cell r="F304">
            <v>155.54</v>
          </cell>
          <cell r="G304">
            <v>192.23</v>
          </cell>
          <cell r="H304">
            <v>1537.84</v>
          </cell>
          <cell r="I304">
            <v>156.33000000000001</v>
          </cell>
          <cell r="J304">
            <v>183.8</v>
          </cell>
          <cell r="K304">
            <v>1470.4</v>
          </cell>
        </row>
        <row r="305">
          <cell r="A305" t="str">
            <v>1.5.6.4</v>
          </cell>
          <cell r="B305">
            <v>102512</v>
          </cell>
          <cell r="C305" t="str">
            <v>PINTURA DE EIXO VIÁRIO SOBRE ASFALTO COM TINTA RETRORREFLETIVA A BASE DE RESINA ACRÍLICA COM MICROESFERAS DE VIDRO, APLICAÇÃO MECÂNICA COM DEMARCADORA AUTOPROPELIDA. AF_05/2021</v>
          </cell>
          <cell r="D305" t="str">
            <v>M</v>
          </cell>
          <cell r="E305">
            <v>707.17</v>
          </cell>
          <cell r="F305">
            <v>5.22</v>
          </cell>
          <cell r="G305">
            <v>6.45</v>
          </cell>
          <cell r="H305">
            <v>4561.25</v>
          </cell>
          <cell r="I305">
            <v>5.48</v>
          </cell>
          <cell r="J305">
            <v>6.44</v>
          </cell>
          <cell r="K305">
            <v>4554.17</v>
          </cell>
        </row>
        <row r="306">
          <cell r="A306" t="str">
            <v>1.5.6.5</v>
          </cell>
          <cell r="B306">
            <v>102509</v>
          </cell>
          <cell r="C306" t="str">
            <v>PINTURA DE FAIXA DE PEDESTRE OU ZEBRADA TINTA RETRORREFLETIVA A BASE DE RESINA ACRÍLICA COM MICROESFERAS DE VIDRO, E = 30 CM, APLICAÇÃO MANUAL. AF_05/2021</v>
          </cell>
          <cell r="D306" t="str">
            <v>M2</v>
          </cell>
          <cell r="E306">
            <v>70.239999999999995</v>
          </cell>
          <cell r="F306">
            <v>22.91</v>
          </cell>
          <cell r="G306">
            <v>28.31</v>
          </cell>
          <cell r="H306">
            <v>1988.49</v>
          </cell>
          <cell r="I306">
            <v>24.15</v>
          </cell>
          <cell r="J306">
            <v>28.39</v>
          </cell>
          <cell r="K306">
            <v>1994.11</v>
          </cell>
        </row>
        <row r="307">
          <cell r="A307" t="str">
            <v>1.5.7</v>
          </cell>
          <cell r="B307"/>
          <cell r="C307" t="str">
            <v>ACESSIBILIDADE</v>
          </cell>
          <cell r="D307"/>
          <cell r="E307"/>
          <cell r="F307"/>
          <cell r="G307"/>
          <cell r="H307">
            <v>3141.51</v>
          </cell>
          <cell r="I307"/>
          <cell r="J307"/>
          <cell r="K307">
            <v>3089.35</v>
          </cell>
        </row>
        <row r="308">
          <cell r="A308" t="str">
            <v>1.5.7.1</v>
          </cell>
          <cell r="B308" t="str">
            <v>CP-S12039-81921471</v>
          </cell>
          <cell r="C308" t="str">
            <v>Piso tátil direcional e/ou alerta, de concreto, na cor natural, p/deficientes visuais, dimensões 40x40cm, aplicado com argamassa industrializada ac-ii, rejuntado, exclusive regularização de base</v>
          </cell>
          <cell r="D308" t="str">
            <v>M2</v>
          </cell>
          <cell r="E308">
            <v>23.39</v>
          </cell>
          <cell r="F308">
            <v>108.67</v>
          </cell>
          <cell r="G308">
            <v>134.31</v>
          </cell>
          <cell r="H308">
            <v>3141.51</v>
          </cell>
          <cell r="I308">
            <v>112.34</v>
          </cell>
          <cell r="J308">
            <v>132.08000000000001</v>
          </cell>
          <cell r="K308">
            <v>3089.35</v>
          </cell>
        </row>
        <row r="309">
          <cell r="A309" t="str">
            <v>1.5.8</v>
          </cell>
          <cell r="B309"/>
          <cell r="C309" t="str">
            <v>MATERIAIS</v>
          </cell>
          <cell r="D309"/>
          <cell r="E309"/>
          <cell r="F309"/>
          <cell r="G309"/>
          <cell r="H309">
            <v>292394.59999999998</v>
          </cell>
          <cell r="I309"/>
          <cell r="J309"/>
          <cell r="K309">
            <v>278761.89</v>
          </cell>
        </row>
        <row r="310">
          <cell r="A310" t="str">
            <v>1.5.8.1</v>
          </cell>
          <cell r="B310">
            <v>10775</v>
          </cell>
          <cell r="C310" t="str">
            <v xml:space="preserve">LOCACAO DE CONTAINER 2,30 X 6,00 M, ALT. 2,50 M, COM 1 SANITARIO, PARA ESCRITORIO, COMPLETO, SEM DIVISORIAS INTERNAS (NAO INCLUI MOBILIZACAO/DESMOBILIZACAO)                                                                                                                                                                                                                                                                                                                                              </v>
          </cell>
          <cell r="D310" t="str">
            <v xml:space="preserve">MES   </v>
          </cell>
          <cell r="E310">
            <v>3</v>
          </cell>
          <cell r="F310">
            <v>830</v>
          </cell>
          <cell r="G310">
            <v>958.32</v>
          </cell>
          <cell r="H310">
            <v>2874.96</v>
          </cell>
          <cell r="I310">
            <v>830</v>
          </cell>
          <cell r="J310">
            <v>913.58</v>
          </cell>
          <cell r="K310">
            <v>2740.74</v>
          </cell>
        </row>
        <row r="311">
          <cell r="A311" t="str">
            <v>1.5.8.2</v>
          </cell>
          <cell r="B311">
            <v>10776</v>
          </cell>
          <cell r="C311" t="str">
            <v xml:space="preserve">LOCACAO DE CONTAINER 2,30 X 6,00 M, ALT. 2,50 M, PARA ESCRITORIO, SEM DIVISORIAS INTERNAS E SEM SANITARIO (NAO INCLUI MOBILIZACAO/DESMOBILIZACAO)                                                                                                                                                                                                                                                                                                                                                         </v>
          </cell>
          <cell r="D311" t="str">
            <v xml:space="preserve">MES   </v>
          </cell>
          <cell r="E311">
            <v>3</v>
          </cell>
          <cell r="F311">
            <v>648.42999999999995</v>
          </cell>
          <cell r="G311">
            <v>748.68</v>
          </cell>
          <cell r="H311">
            <v>2246.04</v>
          </cell>
          <cell r="I311">
            <v>648.42999999999995</v>
          </cell>
          <cell r="J311">
            <v>713.73</v>
          </cell>
          <cell r="K311">
            <v>2141.19</v>
          </cell>
        </row>
        <row r="312">
          <cell r="A312" t="str">
            <v>1.5.8.3</v>
          </cell>
          <cell r="B312">
            <v>1518</v>
          </cell>
          <cell r="C312" t="str">
            <v xml:space="preserve">CONCRETO BETUMINOSO USINADO A QUENTE (CBUQ) PARA PAVIMENTACAO ASFALTICA, PADRAO DNIT, FAIXA C, COM CAP 50/70 - AQUISICAO POSTO USINA                                                                                                                                                                                                                                                                                                                                                                      </v>
          </cell>
          <cell r="D312" t="str">
            <v xml:space="preserve">T     </v>
          </cell>
          <cell r="E312">
            <v>220.56</v>
          </cell>
          <cell r="F312">
            <v>522.5</v>
          </cell>
          <cell r="G312">
            <v>603.28</v>
          </cell>
          <cell r="H312">
            <v>133059.44</v>
          </cell>
          <cell r="I312">
            <v>522.5</v>
          </cell>
          <cell r="J312">
            <v>575.12</v>
          </cell>
          <cell r="K312">
            <v>126848.47</v>
          </cell>
        </row>
        <row r="313">
          <cell r="A313" t="str">
            <v>1.5.8.4</v>
          </cell>
          <cell r="B313" t="str">
            <v>INS-185032</v>
          </cell>
          <cell r="C313" t="str">
            <v>BRITA GRADUADA SIMPLES (BGS)</v>
          </cell>
          <cell r="D313" t="str">
            <v>M3</v>
          </cell>
          <cell r="E313">
            <v>404.61</v>
          </cell>
          <cell r="F313">
            <v>56.099999999999994</v>
          </cell>
          <cell r="G313">
            <v>64.77</v>
          </cell>
          <cell r="H313">
            <v>26206.59</v>
          </cell>
          <cell r="I313">
            <v>56.099999999999994</v>
          </cell>
          <cell r="J313">
            <v>61.75</v>
          </cell>
          <cell r="K313">
            <v>24984.67</v>
          </cell>
        </row>
        <row r="314">
          <cell r="A314" t="str">
            <v>1.5.8.5</v>
          </cell>
          <cell r="B314" t="str">
            <v>M0808</v>
          </cell>
          <cell r="C314" t="str">
            <v>Brita 4</v>
          </cell>
          <cell r="D314" t="str">
            <v>M3</v>
          </cell>
          <cell r="E314">
            <v>543.79</v>
          </cell>
          <cell r="F314">
            <v>90.74</v>
          </cell>
          <cell r="G314">
            <v>104.77</v>
          </cell>
          <cell r="H314">
            <v>56972.88</v>
          </cell>
          <cell r="I314">
            <v>90.74</v>
          </cell>
          <cell r="J314">
            <v>99.88</v>
          </cell>
          <cell r="K314">
            <v>54313.75</v>
          </cell>
        </row>
        <row r="315">
          <cell r="A315" t="str">
            <v>1.5.8.6</v>
          </cell>
          <cell r="B315" t="str">
            <v>M1135</v>
          </cell>
          <cell r="C315" t="str">
            <v>Pó de pedra</v>
          </cell>
          <cell r="D315" t="str">
            <v>M3</v>
          </cell>
          <cell r="E315">
            <v>60.42</v>
          </cell>
          <cell r="F315">
            <v>74.53</v>
          </cell>
          <cell r="G315">
            <v>86.05</v>
          </cell>
          <cell r="H315">
            <v>5199.1400000000003</v>
          </cell>
          <cell r="I315">
            <v>74.53</v>
          </cell>
          <cell r="J315">
            <v>82.04</v>
          </cell>
          <cell r="K315">
            <v>4956.8599999999997</v>
          </cell>
        </row>
        <row r="316">
          <cell r="A316" t="str">
            <v>1.5.8.7</v>
          </cell>
          <cell r="B316" t="str">
            <v>INS-54745269</v>
          </cell>
          <cell r="C316" t="str">
            <v>ASFALTO DILUÍDO CM - 30 - JUNHO/22</v>
          </cell>
          <cell r="D316" t="str">
            <v>KG</v>
          </cell>
          <cell r="E316">
            <v>2071.94</v>
          </cell>
          <cell r="F316">
            <v>5.32</v>
          </cell>
          <cell r="G316">
            <v>6.14</v>
          </cell>
          <cell r="H316">
            <v>12721.71</v>
          </cell>
          <cell r="I316">
            <v>5.32</v>
          </cell>
          <cell r="J316">
            <v>5.86</v>
          </cell>
          <cell r="K316">
            <v>12141.57</v>
          </cell>
        </row>
        <row r="317">
          <cell r="A317" t="str">
            <v>1.5.8.8</v>
          </cell>
          <cell r="B317">
            <v>34492</v>
          </cell>
          <cell r="C317" t="str">
            <v xml:space="preserve">CONCRETO USINADO BOMBEAVEL, CLASSE DE RESISTENCIA C20, COM BRITA 0 E 1, SLUMP = 100 +/- 20 MM, EXCLUI SERVICO DE BOMBEAMENTO (NBR 8953)                                                                                                                                                                                                                                                                                                                                                                   </v>
          </cell>
          <cell r="D317" t="str">
            <v xml:space="preserve">M3    </v>
          </cell>
          <cell r="E317">
            <v>108.88</v>
          </cell>
          <cell r="F317">
            <v>422.5</v>
          </cell>
          <cell r="G317">
            <v>487.82</v>
          </cell>
          <cell r="H317">
            <v>53113.84</v>
          </cell>
          <cell r="I317">
            <v>422.5</v>
          </cell>
          <cell r="J317">
            <v>465.05</v>
          </cell>
          <cell r="K317">
            <v>50634.64</v>
          </cell>
        </row>
        <row r="318">
          <cell r="A318" t="str">
            <v>1.6</v>
          </cell>
          <cell r="B318"/>
          <cell r="C318" t="str">
            <v>RUA JESUS DE NAZARÉ - CURADO IV</v>
          </cell>
          <cell r="D318"/>
          <cell r="E318"/>
          <cell r="F318"/>
          <cell r="G318"/>
          <cell r="H318">
            <v>737513.62</v>
          </cell>
          <cell r="I318"/>
          <cell r="J318"/>
          <cell r="K318">
            <v>721603.77</v>
          </cell>
        </row>
        <row r="319">
          <cell r="A319" t="str">
            <v>1.6.1</v>
          </cell>
          <cell r="B319"/>
          <cell r="C319" t="str">
            <v>INSTALAÇÕES PROVISÓRIAS</v>
          </cell>
          <cell r="D319"/>
          <cell r="E319"/>
          <cell r="F319"/>
          <cell r="G319"/>
          <cell r="H319">
            <v>10711.26</v>
          </cell>
          <cell r="I319"/>
          <cell r="J319"/>
          <cell r="K319">
            <v>10252.02</v>
          </cell>
        </row>
        <row r="320">
          <cell r="A320" t="str">
            <v>1.6.1.1</v>
          </cell>
          <cell r="B320" t="str">
            <v>CP-74209/001-15055090</v>
          </cell>
          <cell r="C320" t="str">
            <v>PLACA DE OBRA EM CHAPA DE ACO GALVANIZADO</v>
          </cell>
          <cell r="D320" t="str">
            <v xml:space="preserve">M2    </v>
          </cell>
          <cell r="E320">
            <v>8</v>
          </cell>
          <cell r="F320">
            <v>558.35</v>
          </cell>
          <cell r="G320">
            <v>690.06</v>
          </cell>
          <cell r="H320">
            <v>5520.48</v>
          </cell>
          <cell r="I320">
            <v>564.99</v>
          </cell>
          <cell r="J320">
            <v>664.26</v>
          </cell>
          <cell r="K320">
            <v>5314.08</v>
          </cell>
        </row>
        <row r="321">
          <cell r="A321" t="str">
            <v>1.6.1.2</v>
          </cell>
          <cell r="B321" t="str">
            <v>COMP-07440249</v>
          </cell>
          <cell r="C321" t="str">
            <v>BANHEIRO QUÍMICO, COM LOCAÇÃO, TRANSPORTE E LIMPEZA</v>
          </cell>
          <cell r="D321" t="str">
            <v>MÊS</v>
          </cell>
          <cell r="E321">
            <v>6</v>
          </cell>
          <cell r="F321">
            <v>700</v>
          </cell>
          <cell r="G321">
            <v>865.13</v>
          </cell>
          <cell r="H321">
            <v>5190.78</v>
          </cell>
          <cell r="I321">
            <v>700</v>
          </cell>
          <cell r="J321">
            <v>822.99</v>
          </cell>
          <cell r="K321">
            <v>4937.9399999999996</v>
          </cell>
        </row>
        <row r="322">
          <cell r="A322" t="str">
            <v>1.6.2</v>
          </cell>
          <cell r="B322"/>
          <cell r="C322" t="str">
            <v>ADMINISTRAÇÃO LOCAL</v>
          </cell>
          <cell r="D322"/>
          <cell r="E322"/>
          <cell r="F322"/>
          <cell r="G322"/>
          <cell r="H322">
            <v>29637.5</v>
          </cell>
          <cell r="I322"/>
          <cell r="J322"/>
          <cell r="K322">
            <v>32480.31</v>
          </cell>
        </row>
        <row r="323">
          <cell r="A323" t="str">
            <v>1.6.2.1</v>
          </cell>
          <cell r="B323">
            <v>93565</v>
          </cell>
          <cell r="C323" t="str">
            <v>ENGENHEIRO CIVIL DE OBRA JUNIOR COM ENCARGOS COMPLEMENTARES</v>
          </cell>
          <cell r="D323" t="str">
            <v>MES</v>
          </cell>
          <cell r="E323">
            <v>0.75</v>
          </cell>
          <cell r="F323">
            <v>14549.96</v>
          </cell>
          <cell r="G323">
            <v>17982.3</v>
          </cell>
          <cell r="H323">
            <v>13486.73</v>
          </cell>
          <cell r="I323">
            <v>16819.14</v>
          </cell>
          <cell r="J323">
            <v>19774.259999999998</v>
          </cell>
          <cell r="K323">
            <v>14830.7</v>
          </cell>
        </row>
        <row r="324">
          <cell r="A324" t="str">
            <v>1.6.2.2</v>
          </cell>
          <cell r="B324">
            <v>93572</v>
          </cell>
          <cell r="C324" t="str">
            <v>ENCARREGADO GERAL DE OBRAS COM ENCARGOS COMPLEMENTARES</v>
          </cell>
          <cell r="D324" t="str">
            <v>MES</v>
          </cell>
          <cell r="E324">
            <v>2.25</v>
          </cell>
          <cell r="F324">
            <v>5808.01</v>
          </cell>
          <cell r="G324">
            <v>7178.12</v>
          </cell>
          <cell r="H324">
            <v>16150.77</v>
          </cell>
          <cell r="I324">
            <v>6672</v>
          </cell>
          <cell r="J324">
            <v>7844.27</v>
          </cell>
          <cell r="K324">
            <v>17649.61</v>
          </cell>
        </row>
        <row r="325">
          <cell r="A325" t="str">
            <v>1.6.3</v>
          </cell>
          <cell r="B325"/>
          <cell r="C325" t="str">
            <v>SERVIÇOS PRELIMINARES</v>
          </cell>
          <cell r="D325"/>
          <cell r="E325"/>
          <cell r="F325"/>
          <cell r="G325"/>
          <cell r="H325">
            <v>8629.7199999999993</v>
          </cell>
          <cell r="I325"/>
          <cell r="J325"/>
          <cell r="K325">
            <v>8949.52</v>
          </cell>
        </row>
        <row r="326">
          <cell r="A326" t="str">
            <v>1.6.3.1</v>
          </cell>
          <cell r="B326">
            <v>99064</v>
          </cell>
          <cell r="C326" t="str">
            <v>LOCAÇÃO DE PAVIMENTAÇÃO. AF_10/2018</v>
          </cell>
          <cell r="D326" t="str">
            <v>M</v>
          </cell>
          <cell r="E326">
            <v>614.01</v>
          </cell>
          <cell r="F326">
            <v>0.43</v>
          </cell>
          <cell r="G326">
            <v>0.53</v>
          </cell>
          <cell r="H326">
            <v>325.43</v>
          </cell>
          <cell r="I326">
            <v>0.49</v>
          </cell>
          <cell r="J326">
            <v>0.57999999999999996</v>
          </cell>
          <cell r="K326">
            <v>356.13</v>
          </cell>
        </row>
        <row r="327">
          <cell r="A327" t="str">
            <v>1.6.3.2</v>
          </cell>
          <cell r="B327" t="str">
            <v>COMP-17562084</v>
          </cell>
          <cell r="C327" t="str">
            <v>DEMOLIÇÃO MANUAL DE CONCRETO SIMPLES</v>
          </cell>
          <cell r="D327" t="str">
            <v>M3</v>
          </cell>
          <cell r="E327">
            <v>26.56</v>
          </cell>
          <cell r="F327">
            <v>190.89</v>
          </cell>
          <cell r="G327">
            <v>235.92</v>
          </cell>
          <cell r="H327">
            <v>6266.04</v>
          </cell>
          <cell r="I327">
            <v>212.24</v>
          </cell>
          <cell r="J327">
            <v>249.53</v>
          </cell>
          <cell r="K327">
            <v>6627.52</v>
          </cell>
        </row>
        <row r="328">
          <cell r="A328" t="str">
            <v>1.6.3.3</v>
          </cell>
          <cell r="B328" t="str">
            <v>COMP-35145154</v>
          </cell>
          <cell r="C328" t="str">
            <v>CARGA E DESCARGA MECANICA DE SOLO UTILIZANDO CAMINHAO BASCULANTE 14,0M3/36T E PA CARREGADEIRA SOBRE PNEUS 128 HP, CAPACIDADE DA CAÇAMBA 1,7 A 2,8 M3, PESO OPERACIONAL 11632 KH</v>
          </cell>
          <cell r="D328" t="str">
            <v>M3</v>
          </cell>
          <cell r="E328">
            <v>33.200000000000003</v>
          </cell>
          <cell r="F328">
            <v>2.83</v>
          </cell>
          <cell r="G328">
            <v>3.5</v>
          </cell>
          <cell r="H328">
            <v>116.2</v>
          </cell>
          <cell r="I328">
            <v>2.9</v>
          </cell>
          <cell r="J328">
            <v>3.41</v>
          </cell>
          <cell r="K328">
            <v>113.21</v>
          </cell>
        </row>
        <row r="329">
          <cell r="A329" t="str">
            <v>1.6.3.4</v>
          </cell>
          <cell r="B329">
            <v>95876</v>
          </cell>
          <cell r="C329" t="str">
            <v>TRANSPORTE COM CAMINHÃO BASCULANTE DE 14 M³, EM VIA URBANA PAVIMENTADA, DMT ATÉ 30 KM (UNIDADE: M3XKM). AF_07/2020</v>
          </cell>
          <cell r="D329" t="str">
            <v>M3XKM</v>
          </cell>
          <cell r="E329">
            <v>693.88</v>
          </cell>
          <cell r="F329">
            <v>2.2400000000000002</v>
          </cell>
          <cell r="G329">
            <v>2.77</v>
          </cell>
          <cell r="H329">
            <v>1922.05</v>
          </cell>
          <cell r="I329">
            <v>2.27</v>
          </cell>
          <cell r="J329">
            <v>2.67</v>
          </cell>
          <cell r="K329">
            <v>1852.66</v>
          </cell>
        </row>
        <row r="330">
          <cell r="A330" t="str">
            <v>1.6.4</v>
          </cell>
          <cell r="B330"/>
          <cell r="C330" t="str">
            <v>TERRAPLENAGEM</v>
          </cell>
          <cell r="D330"/>
          <cell r="E330"/>
          <cell r="F330"/>
          <cell r="G330"/>
          <cell r="H330">
            <v>79238.14</v>
          </cell>
          <cell r="I330"/>
          <cell r="J330"/>
          <cell r="K330">
            <v>76447.929999999993</v>
          </cell>
        </row>
        <row r="331">
          <cell r="A331" t="str">
            <v>1.6.4.1</v>
          </cell>
          <cell r="B331" t="str">
            <v>CP-74205/001-17324935</v>
          </cell>
          <cell r="C331" t="str">
            <v>ESCAVAÇÃO MECÂNICA DE MATERIAL 1A. CATEGORIA, PROVENIENTE DE CORTE DE SUBLEITO (C/TRATOR ESTEIRAS  160HP)</v>
          </cell>
          <cell r="D331" t="str">
            <v>M3</v>
          </cell>
          <cell r="E331">
            <v>995.02</v>
          </cell>
          <cell r="F331">
            <v>2.54</v>
          </cell>
          <cell r="G331">
            <v>3.14</v>
          </cell>
          <cell r="H331">
            <v>3124.36</v>
          </cell>
          <cell r="I331">
            <v>2.59</v>
          </cell>
          <cell r="J331">
            <v>3.05</v>
          </cell>
          <cell r="K331">
            <v>3034.81</v>
          </cell>
        </row>
        <row r="332">
          <cell r="A332" t="str">
            <v>1.6.4.2</v>
          </cell>
          <cell r="B332" t="str">
            <v>COMP-35145154</v>
          </cell>
          <cell r="C332" t="str">
            <v>CARGA E DESCARGA MECANICA DE SOLO UTILIZANDO CAMINHAO BASCULANTE 14,0M3/36T E PA CARREGADEIRA SOBRE PNEUS 128 HP, CAPACIDADE DA CAÇAMBA 1,7 A 2,8 M3, PESO OPERACIONAL 11632 KH</v>
          </cell>
          <cell r="D332" t="str">
            <v>M3</v>
          </cell>
          <cell r="E332">
            <v>1238.78</v>
          </cell>
          <cell r="F332">
            <v>2.83</v>
          </cell>
          <cell r="G332">
            <v>3.5</v>
          </cell>
          <cell r="H332">
            <v>4335.7299999999996</v>
          </cell>
          <cell r="I332">
            <v>2.9</v>
          </cell>
          <cell r="J332">
            <v>3.41</v>
          </cell>
          <cell r="K332">
            <v>4224.24</v>
          </cell>
        </row>
        <row r="333">
          <cell r="A333" t="str">
            <v>1.6.4.3</v>
          </cell>
          <cell r="B333">
            <v>95876</v>
          </cell>
          <cell r="C333" t="str">
            <v>TRANSPORTE COM CAMINHÃO BASCULANTE DE 14 M³, EM VIA URBANA PAVIMENTADA, DMT ATÉ 30 KM (UNIDADE: M3XKM). AF_07/2020</v>
          </cell>
          <cell r="D333" t="str">
            <v>M3XKM</v>
          </cell>
          <cell r="E333">
            <v>25890.5</v>
          </cell>
          <cell r="F333">
            <v>2.2400000000000002</v>
          </cell>
          <cell r="G333">
            <v>2.77</v>
          </cell>
          <cell r="H333">
            <v>71716.69</v>
          </cell>
          <cell r="I333">
            <v>2.27</v>
          </cell>
          <cell r="J333">
            <v>2.67</v>
          </cell>
          <cell r="K333">
            <v>69127.64</v>
          </cell>
        </row>
        <row r="334">
          <cell r="A334" t="str">
            <v>1.6.4.4</v>
          </cell>
          <cell r="B334">
            <v>96385</v>
          </cell>
          <cell r="C334" t="str">
            <v>EXECUÇÃO E COMPACTAÇÃO DE ATERRO COM SOLO PREDOMINANTEMENTE ARGILOSO - EXCLUSIVE SOLO, ESCAVAÇÃO, CARGA E TRANSPORTE. AF_11/2019</v>
          </cell>
          <cell r="D334" t="str">
            <v>M3</v>
          </cell>
          <cell r="E334">
            <v>4</v>
          </cell>
          <cell r="F334">
            <v>12.41</v>
          </cell>
          <cell r="G334">
            <v>15.34</v>
          </cell>
          <cell r="H334">
            <v>61.36</v>
          </cell>
          <cell r="I334">
            <v>13.02</v>
          </cell>
          <cell r="J334">
            <v>15.31</v>
          </cell>
          <cell r="K334">
            <v>61.24</v>
          </cell>
        </row>
        <row r="335">
          <cell r="A335" t="str">
            <v>1.6.5</v>
          </cell>
          <cell r="B335"/>
          <cell r="C335" t="str">
            <v>PAVIMENTAÇÃO</v>
          </cell>
          <cell r="D335"/>
          <cell r="E335"/>
          <cell r="F335"/>
          <cell r="G335"/>
          <cell r="H335">
            <v>198646.97</v>
          </cell>
          <cell r="I335"/>
          <cell r="J335"/>
          <cell r="K335">
            <v>197326.92</v>
          </cell>
        </row>
        <row r="336">
          <cell r="A336" t="str">
            <v>1.6.5.1</v>
          </cell>
          <cell r="B336">
            <v>100576</v>
          </cell>
          <cell r="C336" t="str">
            <v>REGULARIZAÇÃO E COMPACTAÇÃO DE SUBLEITO DE SOLO  PREDOMINANTEMENTE ARGILOSO. AF_11/2019</v>
          </cell>
          <cell r="D336" t="str">
            <v>M2</v>
          </cell>
          <cell r="E336">
            <v>3261.9</v>
          </cell>
          <cell r="F336">
            <v>2.64</v>
          </cell>
          <cell r="G336">
            <v>3.26</v>
          </cell>
          <cell r="H336">
            <v>10633.79</v>
          </cell>
          <cell r="I336">
            <v>2.79</v>
          </cell>
          <cell r="J336">
            <v>3.28</v>
          </cell>
          <cell r="K336">
            <v>10699.03</v>
          </cell>
        </row>
        <row r="337">
          <cell r="A337" t="str">
            <v>1.6.5.2</v>
          </cell>
          <cell r="B337" t="str">
            <v>CP-96396-26507981</v>
          </cell>
          <cell r="C337" t="str">
            <v>EXECUÇÃO E COMPACTAÇÃO DE BASE E OU SUB BASE PARA PAVIMENTAÇÃO DE BRITA GRADUADA SIMPLES - EXCLUSIVE MATERIAL, CARGA E TRANSPORTE</v>
          </cell>
          <cell r="D337" t="str">
            <v>M3</v>
          </cell>
          <cell r="E337">
            <v>610.41</v>
          </cell>
          <cell r="F337">
            <v>13.86</v>
          </cell>
          <cell r="G337">
            <v>17.13</v>
          </cell>
          <cell r="H337">
            <v>10456.32</v>
          </cell>
          <cell r="I337">
            <v>14.44</v>
          </cell>
          <cell r="J337">
            <v>16.98</v>
          </cell>
          <cell r="K337">
            <v>10364.76</v>
          </cell>
        </row>
        <row r="338">
          <cell r="A338" t="str">
            <v>1.6.5.3</v>
          </cell>
          <cell r="B338" t="str">
            <v>COMP-35145154</v>
          </cell>
          <cell r="C338" t="str">
            <v>CARGA E DESCARGA MECANICA DE SOLO UTILIZANDO CAMINHAO BASCULANTE 14,0M3/36T E PA CARREGADEIRA SOBRE PNEUS 128 HP, CAPACIDADE DA CAÇAMBA 1,7 A 2,8 M3, PESO OPERACIONAL 11632 KH</v>
          </cell>
          <cell r="D338" t="str">
            <v>M3</v>
          </cell>
          <cell r="E338">
            <v>763.01</v>
          </cell>
          <cell r="F338">
            <v>2.83</v>
          </cell>
          <cell r="G338">
            <v>3.5</v>
          </cell>
          <cell r="H338">
            <v>2670.54</v>
          </cell>
          <cell r="I338">
            <v>2.9</v>
          </cell>
          <cell r="J338">
            <v>3.41</v>
          </cell>
          <cell r="K338">
            <v>2601.86</v>
          </cell>
        </row>
        <row r="339">
          <cell r="A339" t="str">
            <v>1.6.5.4</v>
          </cell>
          <cell r="B339" t="str">
            <v>COMP-83526730</v>
          </cell>
          <cell r="C339" t="str">
            <v>TRANSPORTE COMERCIAL DE BRITA</v>
          </cell>
          <cell r="D339" t="str">
            <v>M3XKM</v>
          </cell>
          <cell r="E339">
            <v>10987.34</v>
          </cell>
          <cell r="F339">
            <v>1.36</v>
          </cell>
          <cell r="G339">
            <v>1.68</v>
          </cell>
          <cell r="H339">
            <v>18458.73</v>
          </cell>
          <cell r="I339">
            <v>1.37</v>
          </cell>
          <cell r="J339">
            <v>1.61</v>
          </cell>
          <cell r="K339">
            <v>17689.62</v>
          </cell>
        </row>
        <row r="340">
          <cell r="A340" t="str">
            <v>1.6.5.5</v>
          </cell>
          <cell r="B340" t="str">
            <v>CP-92399-27762594</v>
          </cell>
          <cell r="C340" t="str">
            <v>EXECUÇÃO DE VIA EM PISO INTERTRAVADO, COM BLOCO RETANGULAR COR NATURAL/COLORIDO DE 20 X 10 CM, ESPESSURA 8 CM - (SEM O MATERIAL BLOQUETE/PISO INTERTRAVADO)</v>
          </cell>
          <cell r="D340" t="str">
            <v>M2</v>
          </cell>
          <cell r="E340">
            <v>3007.59</v>
          </cell>
          <cell r="F340">
            <v>19.170000000000002</v>
          </cell>
          <cell r="G340">
            <v>23.69</v>
          </cell>
          <cell r="H340">
            <v>71249.81</v>
          </cell>
          <cell r="I340">
            <v>20.41</v>
          </cell>
          <cell r="J340">
            <v>24</v>
          </cell>
          <cell r="K340">
            <v>72182.16</v>
          </cell>
        </row>
        <row r="341">
          <cell r="A341" t="str">
            <v>1.6.5.6</v>
          </cell>
          <cell r="B341">
            <v>94273</v>
          </cell>
          <cell r="C341" t="str">
            <v>ASSENTAMENTO DE GUIA (MEIO-FIO) EM TRECHO RETO, CONFECCIONADA EM CONCRETO PRÉ-FABRICADO, DIMENSÕES 100X15X13X30 CM (COMPRIMENTO X BASE INFERIOR X BASE SUPERIOR X ALTURA), PARA VIAS URBANAS (USO VIÁRIO). AF_06/2016</v>
          </cell>
          <cell r="D341" t="str">
            <v>M</v>
          </cell>
          <cell r="E341">
            <v>1262.08</v>
          </cell>
          <cell r="F341">
            <v>54.61</v>
          </cell>
          <cell r="G341">
            <v>67.489999999999995</v>
          </cell>
          <cell r="H341">
            <v>85177.78</v>
          </cell>
          <cell r="I341">
            <v>56.47</v>
          </cell>
          <cell r="J341">
            <v>66.39</v>
          </cell>
          <cell r="K341">
            <v>83789.490000000005</v>
          </cell>
        </row>
        <row r="342">
          <cell r="A342" t="str">
            <v>1.6.6</v>
          </cell>
          <cell r="B342"/>
          <cell r="C342" t="str">
            <v>DRENAGEM</v>
          </cell>
          <cell r="D342"/>
          <cell r="E342"/>
          <cell r="F342"/>
          <cell r="G342"/>
          <cell r="H342">
            <v>161924.62</v>
          </cell>
          <cell r="I342"/>
          <cell r="J342"/>
          <cell r="K342">
            <v>159009.18</v>
          </cell>
        </row>
        <row r="343">
          <cell r="A343" t="str">
            <v>1.6.6.1</v>
          </cell>
          <cell r="B343">
            <v>93358</v>
          </cell>
          <cell r="C343" t="str">
            <v>ESCAVAÇÃO MANUAL DE VALA COM PROFUNDIDADE MENOR OU IGUAL A 1,30 M. AF_02/2021</v>
          </cell>
          <cell r="D343" t="str">
            <v>M3</v>
          </cell>
          <cell r="E343">
            <v>12.97</v>
          </cell>
          <cell r="F343">
            <v>70.53</v>
          </cell>
          <cell r="G343">
            <v>87.17</v>
          </cell>
          <cell r="H343">
            <v>1130.5899999999999</v>
          </cell>
          <cell r="I343">
            <v>78.319999999999993</v>
          </cell>
          <cell r="J343">
            <v>92.08</v>
          </cell>
          <cell r="K343">
            <v>1194.28</v>
          </cell>
        </row>
        <row r="344">
          <cell r="A344" t="str">
            <v>1.6.6.2</v>
          </cell>
          <cell r="B344">
            <v>90091</v>
          </cell>
          <cell r="C344" t="str">
            <v>ESCAVAÇÃO MECANIZADA DE VALA COM PROF. ATÉ 1,5 M (MÉDIA MONTANTE E JUSANTE/UMA COMPOSIÇÃO POR TRECHO), ESCAVADEIRA (0,8 M3), LARG. DE 1,5 M A 2,5 M, EM SOLO DE 1A CATEGORIA, LOCAIS COM BAIXO NÍVEL DE INTERFERÊNCIA. AF_02/2021</v>
          </cell>
          <cell r="D344" t="str">
            <v>M3</v>
          </cell>
          <cell r="E344">
            <v>89.52</v>
          </cell>
          <cell r="F344">
            <v>6.24</v>
          </cell>
          <cell r="G344">
            <v>7.71</v>
          </cell>
          <cell r="H344">
            <v>690.2</v>
          </cell>
          <cell r="I344">
            <v>6.48</v>
          </cell>
          <cell r="J344">
            <v>7.62</v>
          </cell>
          <cell r="K344">
            <v>682.14</v>
          </cell>
        </row>
        <row r="345">
          <cell r="A345" t="str">
            <v>1.6.6.3</v>
          </cell>
          <cell r="B345">
            <v>93367</v>
          </cell>
          <cell r="C345" t="str">
            <v>REATERRO MECANIZADO DE VALA COM ESCAVADEIRA HIDRÁULICA (CAPACIDADE DA CAÇAMBA: 0,8 M³ / POTÊNCIA: 111 HP), LARGURA DE 1,5 A 2,5 M, PROFUNDIDADE ATÉ 1,5 M, COM SOLO DE 1ª CATEGORIA EM LOCAIS COM BAIXO NÍVEL DE INTERFERÊNCIA. AF_04/2016</v>
          </cell>
          <cell r="D345" t="str">
            <v>M3</v>
          </cell>
          <cell r="E345">
            <v>33.57</v>
          </cell>
          <cell r="F345">
            <v>22.53</v>
          </cell>
          <cell r="G345">
            <v>27.84</v>
          </cell>
          <cell r="H345">
            <v>934.59</v>
          </cell>
          <cell r="I345">
            <v>23.75</v>
          </cell>
          <cell r="J345">
            <v>27.92</v>
          </cell>
          <cell r="K345">
            <v>937.27</v>
          </cell>
        </row>
        <row r="346">
          <cell r="A346" t="str">
            <v>1.6.6.4</v>
          </cell>
          <cell r="B346" t="str">
            <v>COMP-35145154</v>
          </cell>
          <cell r="C346" t="str">
            <v>CARGA E DESCARGA MECANICA DE SOLO UTILIZANDO CAMINHAO BASCULANTE 14,0M3/36T E PA CARREGADEIRA SOBRE PNEUS 128 HP, CAPACIDADE DA CAÇAMBA 1,7 A 2,8 M3, PESO OPERACIONAL 11632 KH</v>
          </cell>
          <cell r="D346" t="str">
            <v>M3</v>
          </cell>
          <cell r="E346">
            <v>69.94</v>
          </cell>
          <cell r="F346">
            <v>2.83</v>
          </cell>
          <cell r="G346">
            <v>3.5</v>
          </cell>
          <cell r="H346">
            <v>244.79</v>
          </cell>
          <cell r="I346">
            <v>2.9</v>
          </cell>
          <cell r="J346">
            <v>3.41</v>
          </cell>
          <cell r="K346">
            <v>238.5</v>
          </cell>
        </row>
        <row r="347">
          <cell r="A347" t="str">
            <v>1.6.6.5</v>
          </cell>
          <cell r="B347">
            <v>95876</v>
          </cell>
          <cell r="C347" t="str">
            <v>TRANSPORTE COM CAMINHÃO BASCULANTE DE 14 M³, EM VIA URBANA PAVIMENTADA, DMT ATÉ 30 KM (UNIDADE: M3XKM). AF_07/2020</v>
          </cell>
          <cell r="D347" t="str">
            <v>M3XKM</v>
          </cell>
          <cell r="E347">
            <v>1461.75</v>
          </cell>
          <cell r="F347">
            <v>2.2400000000000002</v>
          </cell>
          <cell r="G347">
            <v>2.77</v>
          </cell>
          <cell r="H347">
            <v>4049.05</v>
          </cell>
          <cell r="I347">
            <v>2.27</v>
          </cell>
          <cell r="J347">
            <v>2.67</v>
          </cell>
          <cell r="K347">
            <v>3902.87</v>
          </cell>
        </row>
        <row r="348">
          <cell r="A348" t="str">
            <v>1.6.6.6</v>
          </cell>
          <cell r="B348">
            <v>94971</v>
          </cell>
          <cell r="C348" t="str">
            <v>CONCRETO FCK = 25MPA, TRAÇO 1:2,3:2,7 (EM MASSA SECA DE CIMENTO/ AREIA MÉDIA/ BRITA 1) - PREPARO MECÂNICO COM BETONEIRA 600 L. AF_05/2021</v>
          </cell>
          <cell r="D348" t="str">
            <v>M3</v>
          </cell>
          <cell r="E348">
            <v>45.38</v>
          </cell>
          <cell r="F348">
            <v>464.88</v>
          </cell>
          <cell r="G348">
            <v>574.54999999999995</v>
          </cell>
          <cell r="H348">
            <v>26073.08</v>
          </cell>
          <cell r="I348">
            <v>472.74</v>
          </cell>
          <cell r="J348">
            <v>555.79999999999995</v>
          </cell>
          <cell r="K348">
            <v>25222.2</v>
          </cell>
        </row>
        <row r="349">
          <cell r="A349" t="str">
            <v>1.6.6.7</v>
          </cell>
          <cell r="B349" t="str">
            <v>CP-S03639-45770834</v>
          </cell>
          <cell r="C349" t="str">
            <v>Fornecimento e instalação de tela aço soldada nervurada CA-60, Q-283, malha 10x10cm, ferro 6.02mm (4,48 kg/m2), painel 2,45x6,0m, Telcon ou similar</v>
          </cell>
          <cell r="D349" t="str">
            <v>M2</v>
          </cell>
          <cell r="E349">
            <v>162.16</v>
          </cell>
          <cell r="F349">
            <v>63.95</v>
          </cell>
          <cell r="G349">
            <v>79.040000000000006</v>
          </cell>
          <cell r="H349">
            <v>12817.13</v>
          </cell>
          <cell r="I349">
            <v>65.25</v>
          </cell>
          <cell r="J349">
            <v>76.709999999999994</v>
          </cell>
          <cell r="K349">
            <v>12439.29</v>
          </cell>
        </row>
        <row r="350">
          <cell r="A350" t="str">
            <v>1.6.6.8</v>
          </cell>
          <cell r="B350">
            <v>94974</v>
          </cell>
          <cell r="C350" t="str">
            <v>CONCRETO MAGRO PARA LASTRO, TRAÇO 1:4,5:4,5 (EM MASSA SECA DE CIMENTO/ AREIA MÉDIA/ BRITA 1) - PREPARO MANUAL. AF_05/2021</v>
          </cell>
          <cell r="D350" t="str">
            <v>M3</v>
          </cell>
          <cell r="E350">
            <v>33.54</v>
          </cell>
          <cell r="F350">
            <v>423.75</v>
          </cell>
          <cell r="G350">
            <v>523.71</v>
          </cell>
          <cell r="H350">
            <v>17565.23</v>
          </cell>
          <cell r="I350">
            <v>436.13</v>
          </cell>
          <cell r="J350">
            <v>512.76</v>
          </cell>
          <cell r="K350">
            <v>17197.97</v>
          </cell>
        </row>
        <row r="351">
          <cell r="A351" t="str">
            <v>1.6.6.9</v>
          </cell>
          <cell r="B351">
            <v>92771</v>
          </cell>
          <cell r="C351" t="str">
            <v>ARMAÇÃO DE LAJE DE ESTRUTURA CONVENCIONAL DE CONCRETO ARMADO UTILIZANDO AÇO CA-50 DE 10,0 MM - MONTAGEM. AF_06/2022</v>
          </cell>
          <cell r="D351" t="str">
            <v>KG</v>
          </cell>
          <cell r="E351">
            <v>2108.23</v>
          </cell>
          <cell r="F351">
            <v>15.04</v>
          </cell>
          <cell r="G351">
            <v>18.59</v>
          </cell>
          <cell r="H351">
            <v>39192</v>
          </cell>
          <cell r="I351">
            <v>15.14</v>
          </cell>
          <cell r="J351">
            <v>17.8</v>
          </cell>
          <cell r="K351">
            <v>37526.49</v>
          </cell>
        </row>
        <row r="352">
          <cell r="A352" t="str">
            <v>1.6.6.10</v>
          </cell>
          <cell r="B352" t="str">
            <v>CP-92268-29291149</v>
          </cell>
          <cell r="C352" t="str">
            <v>FABRICAÇÃO DE FÔRMA PARA LAJES, EM CHAPA DE MADEIRA COMPENSADA PLASTIFICADA, E = 18 MM - EXCLUINDO O PAINEL DE MADEIRA COMPENSADA PLASTIFICADA DE 2200 x 1100 MM, E = *17* MM</v>
          </cell>
          <cell r="D352" t="str">
            <v>M2</v>
          </cell>
          <cell r="E352">
            <v>152.59</v>
          </cell>
          <cell r="F352">
            <v>0.98</v>
          </cell>
          <cell r="G352">
            <v>1.21</v>
          </cell>
          <cell r="H352">
            <v>184.63</v>
          </cell>
          <cell r="I352">
            <v>1.1000000000000001</v>
          </cell>
          <cell r="J352">
            <v>1.29</v>
          </cell>
          <cell r="K352">
            <v>196.84</v>
          </cell>
        </row>
        <row r="353">
          <cell r="A353" t="str">
            <v>1.6.6.11</v>
          </cell>
          <cell r="B353">
            <v>103320</v>
          </cell>
          <cell r="C353" t="str">
            <v>ALVENARIA DE VEDAÇÃO DE BLOCOS VAZADOS DE CONCRETO DE 19X19X39 CM (ESPESSURA 19 CM) E ARGAMASSA DE ASSENTAMENTO COM PREPARO EM BETONEIRA. AF_12/2021</v>
          </cell>
          <cell r="D353" t="str">
            <v>M2</v>
          </cell>
          <cell r="E353">
            <v>203.45</v>
          </cell>
          <cell r="F353">
            <v>101.36</v>
          </cell>
          <cell r="G353">
            <v>125.27</v>
          </cell>
          <cell r="H353">
            <v>25486.18</v>
          </cell>
          <cell r="I353">
            <v>105.62</v>
          </cell>
          <cell r="J353">
            <v>124.18</v>
          </cell>
          <cell r="K353">
            <v>25264.42</v>
          </cell>
        </row>
        <row r="354">
          <cell r="A354" t="str">
            <v>1.6.6.12</v>
          </cell>
          <cell r="B354">
            <v>87879</v>
          </cell>
          <cell r="C354" t="str">
            <v>CHAPISCO APLICADO EM ALVENARIAS E ESTRUTURAS DE CONCRETO INTERNAS, COM COLHER DE PEDREIRO.  ARGAMASSA TRAÇO 1:3 COM PREPARO EM BETONEIRA 400L. AF_06/2014</v>
          </cell>
          <cell r="D354" t="str">
            <v>M2</v>
          </cell>
          <cell r="E354">
            <v>203.45</v>
          </cell>
          <cell r="F354">
            <v>3.85</v>
          </cell>
          <cell r="G354">
            <v>4.76</v>
          </cell>
          <cell r="H354">
            <v>968.42</v>
          </cell>
          <cell r="I354">
            <v>4.0999999999999996</v>
          </cell>
          <cell r="J354">
            <v>4.82</v>
          </cell>
          <cell r="K354">
            <v>980.63</v>
          </cell>
        </row>
        <row r="355">
          <cell r="A355" t="str">
            <v>1.6.6.13</v>
          </cell>
          <cell r="B355">
            <v>87547</v>
          </cell>
          <cell r="C355" t="str">
            <v>MASSA ÚNICA, PARA RECEBIMENTO DE PINTURA, EM ARGAMASSA TRAÇO 1:2:8, PREPARO MECÂNICO COM BETONEIRA 400L, APLICADA MANUALMENTE EM FACES INTERNAS DE PAREDES, ESPESSURA DE 10MM, COM EXECUÇÃO DE TALISCAS. AF_06/2014</v>
          </cell>
          <cell r="D355" t="str">
            <v>M2</v>
          </cell>
          <cell r="E355">
            <v>203.45</v>
          </cell>
          <cell r="F355">
            <v>23.35</v>
          </cell>
          <cell r="G355">
            <v>28.86</v>
          </cell>
          <cell r="H355">
            <v>5871.57</v>
          </cell>
          <cell r="I355">
            <v>24.83</v>
          </cell>
          <cell r="J355">
            <v>29.19</v>
          </cell>
          <cell r="K355">
            <v>5938.71</v>
          </cell>
        </row>
        <row r="356">
          <cell r="A356" t="str">
            <v>1.6.6.14</v>
          </cell>
          <cell r="B356">
            <v>94975</v>
          </cell>
          <cell r="C356" t="str">
            <v>CONCRETO FCK = 15MPA, TRAÇO 1:3,4:3,5 (EM MASSA SECA DE CIMENTO/ AREIA MÉDIA/ BRITA 1) - PREPARO MANUAL. AF_05/2021</v>
          </cell>
          <cell r="D356" t="str">
            <v>M3</v>
          </cell>
          <cell r="E356">
            <v>21.64</v>
          </cell>
          <cell r="F356">
            <v>457.19</v>
          </cell>
          <cell r="G356">
            <v>565.04</v>
          </cell>
          <cell r="H356">
            <v>12227.47</v>
          </cell>
          <cell r="I356">
            <v>469.42</v>
          </cell>
          <cell r="J356">
            <v>551.9</v>
          </cell>
          <cell r="K356">
            <v>11943.12</v>
          </cell>
        </row>
        <row r="357">
          <cell r="A357" t="str">
            <v>1.6.6.15</v>
          </cell>
          <cell r="B357" t="str">
            <v>CP-74157/004-48264518</v>
          </cell>
          <cell r="C357" t="str">
            <v>LANCAMENTO/APLICACAO MANUAL DE CONCRETO EM FUNDACOES (concreto magro)</v>
          </cell>
          <cell r="D357" t="str">
            <v>M3</v>
          </cell>
          <cell r="E357">
            <v>100.56</v>
          </cell>
          <cell r="F357">
            <v>116.59</v>
          </cell>
          <cell r="G357">
            <v>144.09</v>
          </cell>
          <cell r="H357">
            <v>14489.69</v>
          </cell>
          <cell r="I357">
            <v>129.79</v>
          </cell>
          <cell r="J357">
            <v>152.59</v>
          </cell>
          <cell r="K357">
            <v>15344.45</v>
          </cell>
        </row>
        <row r="358">
          <cell r="A358" t="str">
            <v>1.6.7</v>
          </cell>
          <cell r="B358"/>
          <cell r="C358" t="str">
            <v>SINALIZAÇÃO</v>
          </cell>
          <cell r="D358"/>
          <cell r="E358"/>
          <cell r="F358"/>
          <cell r="G358"/>
          <cell r="H358">
            <v>4454.66</v>
          </cell>
          <cell r="I358"/>
          <cell r="J358"/>
          <cell r="K358">
            <v>4289.16</v>
          </cell>
        </row>
        <row r="359">
          <cell r="A359" t="str">
            <v>1.6.7.1</v>
          </cell>
          <cell r="B359">
            <v>5213416</v>
          </cell>
          <cell r="C359" t="str">
            <v>Confecção de placa em aço nº 16 galvanizado, com película tipo I + I</v>
          </cell>
          <cell r="D359" t="str">
            <v xml:space="preserve">M2    </v>
          </cell>
          <cell r="E359">
            <v>1.2</v>
          </cell>
          <cell r="F359">
            <v>351.9</v>
          </cell>
          <cell r="G359">
            <v>434.91</v>
          </cell>
          <cell r="H359">
            <v>521.89</v>
          </cell>
          <cell r="I359">
            <v>355.35</v>
          </cell>
          <cell r="J359">
            <v>417.78</v>
          </cell>
          <cell r="K359">
            <v>501.34</v>
          </cell>
        </row>
        <row r="360">
          <cell r="A360" t="str">
            <v>1.6.7.2</v>
          </cell>
          <cell r="B360">
            <v>5213421</v>
          </cell>
          <cell r="C360" t="str">
            <v>Confecção de placa em aço nº 16 galvanizado, com película tipo I + IV</v>
          </cell>
          <cell r="D360" t="str">
            <v xml:space="preserve">M2    </v>
          </cell>
          <cell r="E360">
            <v>3.6</v>
          </cell>
          <cell r="F360">
            <v>343.8</v>
          </cell>
          <cell r="G360">
            <v>424.9</v>
          </cell>
          <cell r="H360">
            <v>1529.64</v>
          </cell>
          <cell r="I360">
            <v>347.25</v>
          </cell>
          <cell r="J360">
            <v>408.26</v>
          </cell>
          <cell r="K360">
            <v>1469.74</v>
          </cell>
        </row>
        <row r="361">
          <cell r="A361" t="str">
            <v>1.6.7.3</v>
          </cell>
          <cell r="B361">
            <v>5216111</v>
          </cell>
          <cell r="C361" t="str">
            <v>FORNECIMENTO E IMPLANTAÇÃO DE SUPORTE E TRAVESSA PARA PLACA DE SINALIZAÇÃO EM MADEIRA DE LEI TRATADA 8 X 8 CM</v>
          </cell>
          <cell r="D361" t="str">
            <v>UND</v>
          </cell>
          <cell r="E361">
            <v>10</v>
          </cell>
          <cell r="F361">
            <v>119.1379</v>
          </cell>
          <cell r="G361">
            <v>147.24</v>
          </cell>
          <cell r="H361">
            <v>1472.4</v>
          </cell>
          <cell r="I361">
            <v>121.48</v>
          </cell>
          <cell r="J361">
            <v>142.82</v>
          </cell>
          <cell r="K361">
            <v>1428.2</v>
          </cell>
        </row>
        <row r="362">
          <cell r="A362" t="str">
            <v>1.6.7.4</v>
          </cell>
          <cell r="B362" t="str">
            <v>COMP-58084869</v>
          </cell>
          <cell r="C362" t="str">
            <v>PLACA ESMALTADA PARA IDENTIFICAÇÃO NR DE RUA, DIMENSÕES 45X25CM</v>
          </cell>
          <cell r="D362" t="str">
            <v>UND</v>
          </cell>
          <cell r="E362">
            <v>4</v>
          </cell>
          <cell r="F362">
            <v>155.54</v>
          </cell>
          <cell r="G362">
            <v>192.23</v>
          </cell>
          <cell r="H362">
            <v>768.92</v>
          </cell>
          <cell r="I362">
            <v>156.33000000000001</v>
          </cell>
          <cell r="J362">
            <v>183.8</v>
          </cell>
          <cell r="K362">
            <v>735.2</v>
          </cell>
        </row>
        <row r="363">
          <cell r="A363" t="str">
            <v>1.6.7.5</v>
          </cell>
          <cell r="B363" t="str">
            <v>CP-72947-21572945</v>
          </cell>
          <cell r="C363" t="str">
            <v>SINALIZACAO HORIZONTAL COM TINTA RETRORREFLETIVA A BASE DE RESINA ACRILICA COM MICROESFERAS DE VIDRO</v>
          </cell>
          <cell r="D363" t="str">
            <v>M2</v>
          </cell>
          <cell r="E363">
            <v>6.48</v>
          </cell>
          <cell r="F363">
            <v>20.2</v>
          </cell>
          <cell r="G363">
            <v>24.97</v>
          </cell>
          <cell r="H363">
            <v>161.81</v>
          </cell>
          <cell r="I363">
            <v>20.3</v>
          </cell>
          <cell r="J363">
            <v>23.87</v>
          </cell>
          <cell r="K363">
            <v>154.68</v>
          </cell>
        </row>
        <row r="364">
          <cell r="A364" t="str">
            <v>1.6.8</v>
          </cell>
          <cell r="B364"/>
          <cell r="C364" t="str">
            <v>MATERIAIS</v>
          </cell>
          <cell r="D364"/>
          <cell r="E364"/>
          <cell r="F364"/>
          <cell r="G364"/>
          <cell r="H364">
            <v>244270.75</v>
          </cell>
          <cell r="I364"/>
          <cell r="J364"/>
          <cell r="K364">
            <v>232848.73</v>
          </cell>
        </row>
        <row r="365">
          <cell r="A365" t="str">
            <v>1.6.8.1</v>
          </cell>
          <cell r="B365">
            <v>10775</v>
          </cell>
          <cell r="C365" t="str">
            <v xml:space="preserve">LOCACAO DE CONTAINER 2,30 X 6,00 M, ALT. 2,50 M, COM 1 SANITARIO, PARA ESCRITORIO, COMPLETO, SEM DIVISORIAS INTERNAS (NAO INCLUI MOBILIZACAO/DESMOBILIZACAO)                                                                                                                                                                                                                                                                                                                                              </v>
          </cell>
          <cell r="D365" t="str">
            <v xml:space="preserve">MES   </v>
          </cell>
          <cell r="E365">
            <v>6</v>
          </cell>
          <cell r="F365">
            <v>830</v>
          </cell>
          <cell r="G365">
            <v>958.32</v>
          </cell>
          <cell r="H365">
            <v>5749.92</v>
          </cell>
          <cell r="I365">
            <v>830</v>
          </cell>
          <cell r="J365">
            <v>913.58</v>
          </cell>
          <cell r="K365">
            <v>5481.48</v>
          </cell>
        </row>
        <row r="366">
          <cell r="A366" t="str">
            <v>1.6.8.2</v>
          </cell>
          <cell r="B366">
            <v>10776</v>
          </cell>
          <cell r="C366" t="str">
            <v xml:space="preserve">LOCACAO DE CONTAINER 2,30 X 6,00 M, ALT. 2,50 M, PARA ESCRITORIO, SEM DIVISORIAS INTERNAS E SEM SANITARIO (NAO INCLUI MOBILIZACAO/DESMOBILIZACAO)                                                                                                                                                                                                                                                                                                                                                         </v>
          </cell>
          <cell r="D366" t="str">
            <v xml:space="preserve">MES   </v>
          </cell>
          <cell r="E366">
            <v>6</v>
          </cell>
          <cell r="F366">
            <v>648.42999999999995</v>
          </cell>
          <cell r="G366">
            <v>748.68</v>
          </cell>
          <cell r="H366">
            <v>4492.08</v>
          </cell>
          <cell r="I366">
            <v>648.42999999999995</v>
          </cell>
          <cell r="J366">
            <v>713.73</v>
          </cell>
          <cell r="K366">
            <v>4282.38</v>
          </cell>
        </row>
        <row r="367">
          <cell r="A367" t="str">
            <v>1.6.8.3</v>
          </cell>
          <cell r="B367">
            <v>36170</v>
          </cell>
          <cell r="C367" t="str">
            <v xml:space="preserve">BLOQUETE/PISO INTERTRAVADO DE CONCRETO - MODELO ONDA/16 FACES/RETANGULAR/TIJOLINHO/PAVER/HOLANDES/PARALELEPIPEDO, *22 CM X 11* CM, E = 8 CM, RESISTENCIA DE 35 MPA (NBR 9781), COR NATURAL                                                                                                                                                                                                                                                                                                                </v>
          </cell>
          <cell r="D367" t="str">
            <v xml:space="preserve">M2    </v>
          </cell>
          <cell r="E367">
            <v>2231.6</v>
          </cell>
          <cell r="F367">
            <v>49</v>
          </cell>
          <cell r="G367">
            <v>56.58</v>
          </cell>
          <cell r="H367">
            <v>126263.93</v>
          </cell>
          <cell r="I367">
            <v>49</v>
          </cell>
          <cell r="J367">
            <v>53.93</v>
          </cell>
          <cell r="K367">
            <v>120350.19</v>
          </cell>
        </row>
        <row r="368">
          <cell r="A368" t="str">
            <v>1.6.8.4</v>
          </cell>
          <cell r="B368">
            <v>36154</v>
          </cell>
          <cell r="C368" t="str">
            <v xml:space="preserve">BLOQUETE/PISO INTERTRAVADO DE CONCRETO - MODELO ONDA/16 FACES/RETANGULAR/TIJOLINHO/PAVER/HOLANDES/PARALELEPIPEDO, 20 CM X 10 CM, E = 8 CM, RESISTENCIA DE 35 MPA (NBR 9781), COLORIDO                                                                                                                                                                                                                                                                                                                     </v>
          </cell>
          <cell r="D368" t="str">
            <v xml:space="preserve">M2    </v>
          </cell>
          <cell r="E368">
            <v>815.39</v>
          </cell>
          <cell r="F368">
            <v>53.92</v>
          </cell>
          <cell r="G368">
            <v>62.26</v>
          </cell>
          <cell r="H368">
            <v>50766.18</v>
          </cell>
          <cell r="I368">
            <v>53.92</v>
          </cell>
          <cell r="J368">
            <v>59.35</v>
          </cell>
          <cell r="K368">
            <v>48393.4</v>
          </cell>
        </row>
        <row r="369">
          <cell r="A369" t="str">
            <v>1.6.8.5</v>
          </cell>
          <cell r="B369" t="str">
            <v>INS-185032</v>
          </cell>
          <cell r="C369" t="str">
            <v>BRITA GRADUADA SIMPLES (BGS)</v>
          </cell>
          <cell r="D369" t="str">
            <v>M3</v>
          </cell>
          <cell r="E369">
            <v>610.41</v>
          </cell>
          <cell r="F369">
            <v>56.099999999999994</v>
          </cell>
          <cell r="G369">
            <v>64.77</v>
          </cell>
          <cell r="H369">
            <v>39536.26</v>
          </cell>
          <cell r="I369">
            <v>56.099999999999994</v>
          </cell>
          <cell r="J369">
            <v>61.75</v>
          </cell>
          <cell r="K369">
            <v>37692.82</v>
          </cell>
        </row>
        <row r="370">
          <cell r="A370" t="str">
            <v>1.6.8.6</v>
          </cell>
          <cell r="B370">
            <v>1345</v>
          </cell>
          <cell r="C370" t="str">
            <v xml:space="preserve">CHAPA/PAINEL DE MADEIRA COMPENSADA PLASTIFICADA (MADEIRITE PLASTIFICADO) PARA FORMA DE CONCRETO, DE 2200 x 1100 MM, E = *17* MM                                                                                                                                                                                                                                                                                                                                                                           </v>
          </cell>
          <cell r="D370" t="str">
            <v xml:space="preserve">M2    </v>
          </cell>
          <cell r="E370">
            <v>160.22</v>
          </cell>
          <cell r="F370">
            <v>94.4</v>
          </cell>
          <cell r="G370">
            <v>108.99</v>
          </cell>
          <cell r="H370">
            <v>17462.38</v>
          </cell>
          <cell r="I370">
            <v>94.4</v>
          </cell>
          <cell r="J370">
            <v>103.91</v>
          </cell>
          <cell r="K370">
            <v>16648.46</v>
          </cell>
        </row>
        <row r="371">
          <cell r="A371" t="str">
            <v>1.7</v>
          </cell>
          <cell r="B371"/>
          <cell r="C371" t="str">
            <v>RUA TALCI - DOIS CARNEIROS</v>
          </cell>
          <cell r="D371"/>
          <cell r="E371"/>
          <cell r="F371"/>
          <cell r="G371"/>
          <cell r="H371">
            <v>350482</v>
          </cell>
          <cell r="I371"/>
          <cell r="J371"/>
          <cell r="K371">
            <v>339989.1</v>
          </cell>
        </row>
        <row r="372">
          <cell r="A372" t="str">
            <v>1.7.1</v>
          </cell>
          <cell r="B372"/>
          <cell r="C372" t="str">
            <v>INSTALAÇÕES PROVISÓRIAS</v>
          </cell>
          <cell r="D372"/>
          <cell r="E372"/>
          <cell r="F372"/>
          <cell r="G372"/>
          <cell r="H372">
            <v>7250.74</v>
          </cell>
          <cell r="I372"/>
          <cell r="J372"/>
          <cell r="K372">
            <v>6960.06</v>
          </cell>
        </row>
        <row r="373">
          <cell r="A373" t="str">
            <v>1.7.1.1</v>
          </cell>
          <cell r="B373" t="str">
            <v>CP-74209/001-15055090</v>
          </cell>
          <cell r="C373" t="str">
            <v>PLACA DE OBRA EM CHAPA DE ACO GALVANIZADO</v>
          </cell>
          <cell r="D373" t="str">
            <v xml:space="preserve">M2    </v>
          </cell>
          <cell r="E373">
            <v>8</v>
          </cell>
          <cell r="F373">
            <v>558.35</v>
          </cell>
          <cell r="G373">
            <v>690.06</v>
          </cell>
          <cell r="H373">
            <v>5520.48</v>
          </cell>
          <cell r="I373">
            <v>564.99</v>
          </cell>
          <cell r="J373">
            <v>664.26</v>
          </cell>
          <cell r="K373">
            <v>5314.08</v>
          </cell>
        </row>
        <row r="374">
          <cell r="A374" t="str">
            <v>1.7.1.2</v>
          </cell>
          <cell r="B374" t="str">
            <v>COMP-07440249</v>
          </cell>
          <cell r="C374" t="str">
            <v>BANHEIRO QUÍMICO, COM LOCAÇÃO, TRANSPORTE E LIMPEZA</v>
          </cell>
          <cell r="D374" t="str">
            <v>MÊS</v>
          </cell>
          <cell r="E374">
            <v>2</v>
          </cell>
          <cell r="F374">
            <v>700</v>
          </cell>
          <cell r="G374">
            <v>865.13</v>
          </cell>
          <cell r="H374">
            <v>1730.26</v>
          </cell>
          <cell r="I374">
            <v>700</v>
          </cell>
          <cell r="J374">
            <v>822.99</v>
          </cell>
          <cell r="K374">
            <v>1645.98</v>
          </cell>
        </row>
        <row r="375">
          <cell r="A375" t="str">
            <v>1.7.2</v>
          </cell>
          <cell r="B375"/>
          <cell r="C375" t="str">
            <v>ADMINISTRAÇÃO LOCAL</v>
          </cell>
          <cell r="D375"/>
          <cell r="E375"/>
          <cell r="F375"/>
          <cell r="G375"/>
          <cell r="H375">
            <v>11673.7</v>
          </cell>
          <cell r="I375"/>
          <cell r="J375"/>
          <cell r="K375">
            <v>12787.84</v>
          </cell>
        </row>
        <row r="376">
          <cell r="A376" t="str">
            <v>1.7.2.1</v>
          </cell>
          <cell r="B376">
            <v>93565</v>
          </cell>
          <cell r="C376" t="str">
            <v>ENGENHEIRO CIVIL DE OBRA JUNIOR COM ENCARGOS COMPLEMENTARES</v>
          </cell>
          <cell r="D376" t="str">
            <v>MES</v>
          </cell>
          <cell r="E376">
            <v>0.25</v>
          </cell>
          <cell r="F376">
            <v>14549.96</v>
          </cell>
          <cell r="G376">
            <v>17982.3</v>
          </cell>
          <cell r="H376">
            <v>4495.58</v>
          </cell>
          <cell r="I376">
            <v>16819.14</v>
          </cell>
          <cell r="J376">
            <v>19774.259999999998</v>
          </cell>
          <cell r="K376">
            <v>4943.57</v>
          </cell>
        </row>
        <row r="377">
          <cell r="A377" t="str">
            <v>1.7.2.2</v>
          </cell>
          <cell r="B377">
            <v>93572</v>
          </cell>
          <cell r="C377" t="str">
            <v>ENCARREGADO GERAL DE OBRAS COM ENCARGOS COMPLEMENTARES</v>
          </cell>
          <cell r="D377" t="str">
            <v>MES</v>
          </cell>
          <cell r="E377">
            <v>1</v>
          </cell>
          <cell r="F377">
            <v>5808.01</v>
          </cell>
          <cell r="G377">
            <v>7178.12</v>
          </cell>
          <cell r="H377">
            <v>7178.12</v>
          </cell>
          <cell r="I377">
            <v>6672</v>
          </cell>
          <cell r="J377">
            <v>7844.27</v>
          </cell>
          <cell r="K377">
            <v>7844.27</v>
          </cell>
        </row>
        <row r="378">
          <cell r="A378" t="str">
            <v>1.7.3</v>
          </cell>
          <cell r="B378"/>
          <cell r="C378" t="str">
            <v>SERVIÇOS PRELIMINARES</v>
          </cell>
          <cell r="D378"/>
          <cell r="E378"/>
          <cell r="F378"/>
          <cell r="G378"/>
          <cell r="H378">
            <v>4271.34</v>
          </cell>
          <cell r="I378"/>
          <cell r="J378"/>
          <cell r="K378">
            <v>4462.5600000000004</v>
          </cell>
        </row>
        <row r="379">
          <cell r="A379" t="str">
            <v>1.7.3.1</v>
          </cell>
          <cell r="B379">
            <v>99064</v>
          </cell>
          <cell r="C379" t="str">
            <v>LOCAÇÃO DE PAVIMENTAÇÃO. AF_10/2018</v>
          </cell>
          <cell r="D379" t="str">
            <v>M</v>
          </cell>
          <cell r="E379">
            <v>179.37</v>
          </cell>
          <cell r="F379">
            <v>0.43</v>
          </cell>
          <cell r="G379">
            <v>0.53</v>
          </cell>
          <cell r="H379">
            <v>95.07</v>
          </cell>
          <cell r="I379">
            <v>0.49</v>
          </cell>
          <cell r="J379">
            <v>0.57999999999999996</v>
          </cell>
          <cell r="K379">
            <v>104.03</v>
          </cell>
        </row>
        <row r="380">
          <cell r="A380" t="str">
            <v>1.7.3.2</v>
          </cell>
          <cell r="B380" t="str">
            <v>COMP-17562084</v>
          </cell>
          <cell r="C380" t="str">
            <v>DEMOLIÇÃO MANUAL DE CONCRETO SIMPLES</v>
          </cell>
          <cell r="D380" t="str">
            <v>M3</v>
          </cell>
          <cell r="E380">
            <v>15.02</v>
          </cell>
          <cell r="F380">
            <v>190.89</v>
          </cell>
          <cell r="G380">
            <v>235.92</v>
          </cell>
          <cell r="H380">
            <v>3543.52</v>
          </cell>
          <cell r="I380">
            <v>212.24</v>
          </cell>
          <cell r="J380">
            <v>249.53</v>
          </cell>
          <cell r="K380">
            <v>3747.94</v>
          </cell>
        </row>
        <row r="381">
          <cell r="A381" t="str">
            <v>1.7.3.3</v>
          </cell>
          <cell r="B381" t="str">
            <v>COMP-35145154</v>
          </cell>
          <cell r="C381" t="str">
            <v>CARGA E DESCARGA MECANICA DE SOLO UTILIZANDO CAMINHAO BASCULANTE 14,0M3/36T E PA CARREGADEIRA SOBRE PNEUS 128 HP, CAPACIDADE DA CAÇAMBA 1,7 A 2,8 M3, PESO OPERACIONAL 11632 KH</v>
          </cell>
          <cell r="D381" t="str">
            <v>M3</v>
          </cell>
          <cell r="E381">
            <v>18.78</v>
          </cell>
          <cell r="F381">
            <v>2.83</v>
          </cell>
          <cell r="G381">
            <v>3.5</v>
          </cell>
          <cell r="H381">
            <v>65.73</v>
          </cell>
          <cell r="I381">
            <v>2.9</v>
          </cell>
          <cell r="J381">
            <v>3.41</v>
          </cell>
          <cell r="K381">
            <v>64.040000000000006</v>
          </cell>
        </row>
        <row r="382">
          <cell r="A382" t="str">
            <v>1.7.3.4</v>
          </cell>
          <cell r="B382">
            <v>95876</v>
          </cell>
          <cell r="C382" t="str">
            <v>TRANSPORTE COM CAMINHÃO BASCULANTE DE 14 M³, EM VIA URBANA PAVIMENTADA, DMT ATÉ 30 KM (UNIDADE: M3XKM). AF_07/2020</v>
          </cell>
          <cell r="D382" t="str">
            <v>M3XKM</v>
          </cell>
          <cell r="E382">
            <v>204.7</v>
          </cell>
          <cell r="F382">
            <v>2.2400000000000002</v>
          </cell>
          <cell r="G382">
            <v>2.77</v>
          </cell>
          <cell r="H382">
            <v>567.02</v>
          </cell>
          <cell r="I382">
            <v>2.27</v>
          </cell>
          <cell r="J382">
            <v>2.67</v>
          </cell>
          <cell r="K382">
            <v>546.54999999999995</v>
          </cell>
        </row>
        <row r="383">
          <cell r="A383" t="str">
            <v>1.7.4</v>
          </cell>
          <cell r="B383"/>
          <cell r="C383" t="str">
            <v>TERRAPLENAGEM</v>
          </cell>
          <cell r="D383"/>
          <cell r="E383"/>
          <cell r="F383"/>
          <cell r="G383"/>
          <cell r="H383">
            <v>36193.78</v>
          </cell>
          <cell r="I383"/>
          <cell r="J383"/>
          <cell r="K383">
            <v>34942.160000000003</v>
          </cell>
        </row>
        <row r="384">
          <cell r="A384" t="str">
            <v>1.7.4.1</v>
          </cell>
          <cell r="B384" t="str">
            <v>CP-74205/001-17324935</v>
          </cell>
          <cell r="C384" t="str">
            <v>ESCAVAÇÃO MECÂNICA DE MATERIAL 1A. CATEGORIA, PROVENIENTE DE CORTE DE SUBLEITO (C/TRATOR ESTEIRAS  160HP)</v>
          </cell>
          <cell r="D384" t="str">
            <v>M3</v>
          </cell>
          <cell r="E384">
            <v>799.75</v>
          </cell>
          <cell r="F384">
            <v>2.54</v>
          </cell>
          <cell r="G384">
            <v>3.14</v>
          </cell>
          <cell r="H384">
            <v>2511.2199999999998</v>
          </cell>
          <cell r="I384">
            <v>2.59</v>
          </cell>
          <cell r="J384">
            <v>3.05</v>
          </cell>
          <cell r="K384">
            <v>2439.2399999999998</v>
          </cell>
        </row>
        <row r="385">
          <cell r="A385" t="str">
            <v>1.7.4.2</v>
          </cell>
          <cell r="B385" t="str">
            <v>COMP-35145154</v>
          </cell>
          <cell r="C385" t="str">
            <v>CARGA E DESCARGA MECANICA DE SOLO UTILIZANDO CAMINHAO BASCULANTE 14,0M3/36T E PA CARREGADEIRA SOBRE PNEUS 128 HP, CAPACIDADE DA CAÇAMBA 1,7 A 2,8 M3, PESO OPERACIONAL 11632 KH</v>
          </cell>
          <cell r="D385" t="str">
            <v>M3</v>
          </cell>
          <cell r="E385">
            <v>999.69</v>
          </cell>
          <cell r="F385">
            <v>2.83</v>
          </cell>
          <cell r="G385">
            <v>3.5</v>
          </cell>
          <cell r="H385">
            <v>3498.92</v>
          </cell>
          <cell r="I385">
            <v>2.9</v>
          </cell>
          <cell r="J385">
            <v>3.41</v>
          </cell>
          <cell r="K385">
            <v>3408.94</v>
          </cell>
        </row>
        <row r="386">
          <cell r="A386" t="str">
            <v>1.7.4.3</v>
          </cell>
          <cell r="B386">
            <v>95876</v>
          </cell>
          <cell r="C386" t="str">
            <v>TRANSPORTE COM CAMINHÃO BASCULANTE DE 14 M³, EM VIA URBANA PAVIMENTADA, DMT ATÉ 30 KM (UNIDADE: M3XKM). AF_07/2020</v>
          </cell>
          <cell r="D386" t="str">
            <v>M3XKM</v>
          </cell>
          <cell r="E386">
            <v>10896.62</v>
          </cell>
          <cell r="F386">
            <v>2.2400000000000002</v>
          </cell>
          <cell r="G386">
            <v>2.77</v>
          </cell>
          <cell r="H386">
            <v>30183.64</v>
          </cell>
          <cell r="I386">
            <v>2.27</v>
          </cell>
          <cell r="J386">
            <v>2.67</v>
          </cell>
          <cell r="K386">
            <v>29093.98</v>
          </cell>
        </row>
        <row r="387">
          <cell r="A387" t="str">
            <v>1.7.5</v>
          </cell>
          <cell r="B387"/>
          <cell r="C387" t="str">
            <v>PAVIMENTAÇÃO</v>
          </cell>
          <cell r="D387"/>
          <cell r="E387"/>
          <cell r="F387"/>
          <cell r="G387"/>
          <cell r="H387">
            <v>105201.2</v>
          </cell>
          <cell r="I387"/>
          <cell r="J387"/>
          <cell r="K387">
            <v>103277.81</v>
          </cell>
        </row>
        <row r="388">
          <cell r="A388" t="str">
            <v>1.7.5.1</v>
          </cell>
          <cell r="B388">
            <v>100576</v>
          </cell>
          <cell r="C388" t="str">
            <v>REGULARIZAÇÃO E COMPACTAÇÃO DE SUBLEITO DE SOLO  PREDOMINANTEMENTE ARGILOSO. AF_11/2019</v>
          </cell>
          <cell r="D388" t="str">
            <v>M2</v>
          </cell>
          <cell r="E388">
            <v>1255.5899999999999</v>
          </cell>
          <cell r="F388">
            <v>2.64</v>
          </cell>
          <cell r="G388">
            <v>3.26</v>
          </cell>
          <cell r="H388">
            <v>4093.22</v>
          </cell>
          <cell r="I388">
            <v>2.79</v>
          </cell>
          <cell r="J388">
            <v>3.28</v>
          </cell>
          <cell r="K388">
            <v>4118.34</v>
          </cell>
        </row>
        <row r="389">
          <cell r="A389" t="str">
            <v>1.7.5.2</v>
          </cell>
          <cell r="B389" t="str">
            <v>COMP-47176600</v>
          </cell>
          <cell r="C389" t="str">
            <v xml:space="preserve">EXEC. DE ATERRO COM AREIA COM ADENSAMENTO HIDRAULICO </v>
          </cell>
          <cell r="D389" t="str">
            <v xml:space="preserve">M3    </v>
          </cell>
          <cell r="E389">
            <v>188.34</v>
          </cell>
          <cell r="F389">
            <v>103.23</v>
          </cell>
          <cell r="G389">
            <v>127.58</v>
          </cell>
          <cell r="H389">
            <v>24028.42</v>
          </cell>
          <cell r="I389">
            <v>104.33</v>
          </cell>
          <cell r="J389">
            <v>122.66</v>
          </cell>
          <cell r="K389">
            <v>23101.78</v>
          </cell>
        </row>
        <row r="390">
          <cell r="A390" t="str">
            <v>1.7.5.3</v>
          </cell>
          <cell r="B390" t="str">
            <v>COMP-28881239</v>
          </cell>
          <cell r="C390" t="str">
            <v>Base ou sub-base de macadame hidráulico com brita comercial - EXCLUSIVE MATERIAL, CARGA E TRANSPORTE - NÃO DESONERADO</v>
          </cell>
          <cell r="D390" t="str">
            <v>M3</v>
          </cell>
          <cell r="E390">
            <v>188.34</v>
          </cell>
          <cell r="F390">
            <v>11.24</v>
          </cell>
          <cell r="G390">
            <v>13.89</v>
          </cell>
          <cell r="H390">
            <v>2616.04</v>
          </cell>
          <cell r="I390">
            <v>11.4</v>
          </cell>
          <cell r="J390">
            <v>13.4</v>
          </cell>
          <cell r="K390">
            <v>2523.7600000000002</v>
          </cell>
        </row>
        <row r="391">
          <cell r="A391" t="str">
            <v>1.7.5.4</v>
          </cell>
          <cell r="B391" t="str">
            <v>CP-96396-26507981</v>
          </cell>
          <cell r="C391" t="str">
            <v>EXECUÇÃO E COMPACTAÇÃO DE BASE E OU SUB BASE PARA PAVIMENTAÇÃO DE BRITA GRADUADA SIMPLES - EXCLUSIVE MATERIAL, CARGA E TRANSPORTE</v>
          </cell>
          <cell r="D391" t="str">
            <v>M3</v>
          </cell>
          <cell r="E391">
            <v>215.24</v>
          </cell>
          <cell r="F391">
            <v>13.86</v>
          </cell>
          <cell r="G391">
            <v>17.13</v>
          </cell>
          <cell r="H391">
            <v>3687.06</v>
          </cell>
          <cell r="I391">
            <v>14.44</v>
          </cell>
          <cell r="J391">
            <v>16.98</v>
          </cell>
          <cell r="K391">
            <v>3654.78</v>
          </cell>
        </row>
        <row r="392">
          <cell r="A392" t="str">
            <v>1.7.5.5</v>
          </cell>
          <cell r="B392" t="str">
            <v>COMP-35145154</v>
          </cell>
          <cell r="C392" t="str">
            <v>CARGA E DESCARGA MECANICA DE SOLO UTILIZANDO CAMINHAO BASCULANTE 14,0M3/36T E PA CARREGADEIRA SOBRE PNEUS 128 HP, CAPACIDADE DA CAÇAMBA 1,7 A 2,8 M3, PESO OPERACIONAL 11632 KH</v>
          </cell>
          <cell r="D392" t="str">
            <v>M3</v>
          </cell>
          <cell r="E392">
            <v>504.48</v>
          </cell>
          <cell r="F392">
            <v>2.83</v>
          </cell>
          <cell r="G392">
            <v>3.5</v>
          </cell>
          <cell r="H392">
            <v>1765.68</v>
          </cell>
          <cell r="I392">
            <v>2.9</v>
          </cell>
          <cell r="J392">
            <v>3.41</v>
          </cell>
          <cell r="K392">
            <v>1720.28</v>
          </cell>
        </row>
        <row r="393">
          <cell r="A393" t="str">
            <v>1.7.5.6</v>
          </cell>
          <cell r="B393" t="str">
            <v>COMP-83526730</v>
          </cell>
          <cell r="C393" t="str">
            <v>TRANSPORTE COMERCIAL DE BRITA</v>
          </cell>
          <cell r="D393" t="str">
            <v>M3XKM</v>
          </cell>
          <cell r="E393">
            <v>7668.1</v>
          </cell>
          <cell r="F393">
            <v>1.36</v>
          </cell>
          <cell r="G393">
            <v>1.68</v>
          </cell>
          <cell r="H393">
            <v>12882.41</v>
          </cell>
          <cell r="I393">
            <v>1.37</v>
          </cell>
          <cell r="J393">
            <v>1.61</v>
          </cell>
          <cell r="K393">
            <v>12345.64</v>
          </cell>
        </row>
        <row r="394">
          <cell r="A394" t="str">
            <v>1.7.5.7</v>
          </cell>
          <cell r="B394" t="str">
            <v>CP-96401-52745838</v>
          </cell>
          <cell r="C394" t="str">
            <v>EXECUÇÃO DE IMPRIMAÇÃO COM ASFALTO DILUÍDO CM-30, EXCLUSIVE MATERIAL.</v>
          </cell>
          <cell r="D394" t="str">
            <v>M2</v>
          </cell>
          <cell r="E394">
            <v>1196.9100000000001</v>
          </cell>
          <cell r="F394">
            <v>1.18</v>
          </cell>
          <cell r="G394">
            <v>1.46</v>
          </cell>
          <cell r="H394">
            <v>1747.49</v>
          </cell>
          <cell r="I394">
            <v>1.24</v>
          </cell>
          <cell r="J394">
            <v>1.46</v>
          </cell>
          <cell r="K394">
            <v>1747.49</v>
          </cell>
        </row>
        <row r="395">
          <cell r="A395" t="str">
            <v>1.7.5.8</v>
          </cell>
          <cell r="B395" t="str">
            <v>CP-95995-51339760</v>
          </cell>
          <cell r="C395" t="str">
            <v>EXECUÇÃO DE PAVIMENTO COM APLICAÇÃO DE CONCRETO ASFÁLTICO, CAMADA DE ROLAMENTO - EXCLUSIVE CARGA E TRANSPORTE E CONCRETO BETUMINOSO</v>
          </cell>
          <cell r="D395" t="str">
            <v>M3</v>
          </cell>
          <cell r="E395">
            <v>59.85</v>
          </cell>
          <cell r="F395">
            <v>127.58</v>
          </cell>
          <cell r="G395">
            <v>157.68</v>
          </cell>
          <cell r="H395">
            <v>9437.15</v>
          </cell>
          <cell r="I395">
            <v>133.37</v>
          </cell>
          <cell r="J395">
            <v>156.80000000000001</v>
          </cell>
          <cell r="K395">
            <v>9384.48</v>
          </cell>
        </row>
        <row r="396">
          <cell r="A396" t="str">
            <v>1.7.5.9</v>
          </cell>
          <cell r="B396" t="str">
            <v>COMP-10034101</v>
          </cell>
          <cell r="C396" t="str">
            <v>CARGA, MANOBRAS E DESCARGA DE MISTURA BETUMINOSA A QUENTE, COM CAMINHAO BASCULANTE 6 M3, DESCARGA EM VIBRO-ACABADORA</v>
          </cell>
          <cell r="D396" t="str">
            <v>M3</v>
          </cell>
          <cell r="E396">
            <v>59.85</v>
          </cell>
          <cell r="F396">
            <v>7.74</v>
          </cell>
          <cell r="G396">
            <v>9.57</v>
          </cell>
          <cell r="H396">
            <v>572.76</v>
          </cell>
          <cell r="I396">
            <v>7.86</v>
          </cell>
          <cell r="J396">
            <v>9.24</v>
          </cell>
          <cell r="K396">
            <v>553.01</v>
          </cell>
        </row>
        <row r="397">
          <cell r="A397" t="str">
            <v>1.7.5.10</v>
          </cell>
          <cell r="B397" t="str">
            <v>CP-95303-56931542</v>
          </cell>
          <cell r="C397" t="str">
            <v>TRANSPORTE COM CAMINHÃO BASCULANTE 10 M3 DE MASSA ASFALTICA PARA PAVIMENTAÇÃO URBANA</v>
          </cell>
          <cell r="D397" t="str">
            <v>M3XKM</v>
          </cell>
          <cell r="E397">
            <v>389.03</v>
          </cell>
          <cell r="F397">
            <v>1.75</v>
          </cell>
          <cell r="G397">
            <v>2.16</v>
          </cell>
          <cell r="H397">
            <v>840.3</v>
          </cell>
          <cell r="I397">
            <v>1.77</v>
          </cell>
          <cell r="J397">
            <v>2.08</v>
          </cell>
          <cell r="K397">
            <v>809.18</v>
          </cell>
        </row>
        <row r="398">
          <cell r="A398" t="str">
            <v>1.7.5.11</v>
          </cell>
          <cell r="B398" t="str">
            <v>CP-97084-89637704</v>
          </cell>
          <cell r="C398" t="str">
            <v>REGULARIZACAO E COMPACTAÇÃO MANUAL DE TERRENO COM PLACA VIBRATÓRIA</v>
          </cell>
          <cell r="D398" t="str">
            <v>M2</v>
          </cell>
          <cell r="E398">
            <v>727.35</v>
          </cell>
          <cell r="F398">
            <v>0.59</v>
          </cell>
          <cell r="G398">
            <v>0.73</v>
          </cell>
          <cell r="H398">
            <v>530.97</v>
          </cell>
          <cell r="I398">
            <v>0.65</v>
          </cell>
          <cell r="J398">
            <v>0.76</v>
          </cell>
          <cell r="K398">
            <v>552.79</v>
          </cell>
        </row>
        <row r="399">
          <cell r="A399" t="str">
            <v>1.7.5.12</v>
          </cell>
          <cell r="B399" t="str">
            <v>CP-94991-12549457</v>
          </cell>
          <cell r="C399" t="str">
            <v>EXECUÇÃO DE PASSEIO (CALÇADA) OU PISO DE CONCRETO COM CONCRETO MOLDADO IN LOCO, USINADO, ACABAMENTO CONVENCIONAL, NÃO ARMADO - EXCLUINDO O CONCRETO USINADO 20MPA</v>
          </cell>
          <cell r="D399" t="str">
            <v>M3</v>
          </cell>
          <cell r="E399">
            <v>49.14</v>
          </cell>
          <cell r="F399">
            <v>104.6</v>
          </cell>
          <cell r="G399">
            <v>129.28</v>
          </cell>
          <cell r="H399">
            <v>6352.82</v>
          </cell>
          <cell r="I399">
            <v>112.75</v>
          </cell>
          <cell r="J399">
            <v>132.56</v>
          </cell>
          <cell r="K399">
            <v>6514</v>
          </cell>
        </row>
        <row r="400">
          <cell r="A400" t="str">
            <v>1.7.5.13</v>
          </cell>
          <cell r="B400">
            <v>94273</v>
          </cell>
          <cell r="C400" t="str">
            <v>ASSENTAMENTO DE GUIA (MEIO-FIO) EM TRECHO RETO, CONFECCIONADA EM CONCRETO PRÉ-FABRICADO, DIMENSÕES 100X15X13X30 CM (COMPRIMENTO X BASE INFERIOR X BASE SUPERIOR X ALTURA), PARA VIAS URBANAS (USO VIÁRIO). AF_06/2016</v>
          </cell>
          <cell r="D400" t="str">
            <v>M</v>
          </cell>
          <cell r="E400">
            <v>365.51</v>
          </cell>
          <cell r="F400">
            <v>54.61</v>
          </cell>
          <cell r="G400">
            <v>67.489999999999995</v>
          </cell>
          <cell r="H400">
            <v>24668.27</v>
          </cell>
          <cell r="I400">
            <v>56.47</v>
          </cell>
          <cell r="J400">
            <v>66.39</v>
          </cell>
          <cell r="K400">
            <v>24266.21</v>
          </cell>
        </row>
        <row r="401">
          <cell r="A401" t="str">
            <v>1.7.5.14</v>
          </cell>
          <cell r="B401">
            <v>94274</v>
          </cell>
          <cell r="C401" t="str">
            <v>ASSENTAMENTO DE GUIA (MEIO-FIO) EM TRECHO CURVO, CONFECCIONADA EM CONCRETO PRÉ-FABRICADO, DIMENSÕES 100X15X13X30 CM (COMPRIMENTO X BASE INFERIOR X BASE SUPERIOR X ALTURA), PARA VIAS URBANAS (USO VIÁRIO). AF_06/2016</v>
          </cell>
          <cell r="D401" t="str">
            <v>M</v>
          </cell>
          <cell r="E401">
            <v>47.08</v>
          </cell>
          <cell r="F401">
            <v>58.17</v>
          </cell>
          <cell r="G401">
            <v>71.89</v>
          </cell>
          <cell r="H401">
            <v>3384.58</v>
          </cell>
          <cell r="I401">
            <v>60.43</v>
          </cell>
          <cell r="J401">
            <v>71.05</v>
          </cell>
          <cell r="K401">
            <v>3345.03</v>
          </cell>
        </row>
        <row r="402">
          <cell r="A402" t="str">
            <v>1.7.5.15</v>
          </cell>
          <cell r="B402">
            <v>94287</v>
          </cell>
          <cell r="C402" t="str">
            <v>EXECUÇÃO DE SARJETA DE CONCRETO USINADO, MOLDADA  IN LOCO  EM TRECHO RETO, 30 CM BASE X 10 CM ALTURA. AF_06/2016</v>
          </cell>
          <cell r="D402" t="str">
            <v>M</v>
          </cell>
          <cell r="E402">
            <v>158.91</v>
          </cell>
          <cell r="F402">
            <v>37.69</v>
          </cell>
          <cell r="G402">
            <v>46.58</v>
          </cell>
          <cell r="H402">
            <v>7402.03</v>
          </cell>
          <cell r="I402">
            <v>39.770000000000003</v>
          </cell>
          <cell r="J402">
            <v>46.76</v>
          </cell>
          <cell r="K402">
            <v>7430.63</v>
          </cell>
        </row>
        <row r="403">
          <cell r="A403" t="str">
            <v>1.7.5.16</v>
          </cell>
          <cell r="B403">
            <v>94288</v>
          </cell>
          <cell r="C403" t="str">
            <v>EXECUÇÃO DE SARJETA DE CONCRETO USINADO, MOLDADA  IN LOCO  EM TRECHO CURVO, 30 CM BASE X 10 CM ALTURA. AF_06/2016</v>
          </cell>
          <cell r="D403" t="str">
            <v>M</v>
          </cell>
          <cell r="E403">
            <v>20.46</v>
          </cell>
          <cell r="F403">
            <v>47.14</v>
          </cell>
          <cell r="G403">
            <v>58.26</v>
          </cell>
          <cell r="H403">
            <v>1192</v>
          </cell>
          <cell r="I403">
            <v>50.32</v>
          </cell>
          <cell r="J403">
            <v>59.16</v>
          </cell>
          <cell r="K403">
            <v>1210.4100000000001</v>
          </cell>
        </row>
        <row r="404">
          <cell r="A404" t="str">
            <v>1.7.6</v>
          </cell>
          <cell r="B404"/>
          <cell r="C404" t="str">
            <v>SINALIZAÇÃO</v>
          </cell>
          <cell r="D404"/>
          <cell r="E404"/>
          <cell r="F404"/>
          <cell r="G404"/>
          <cell r="H404">
            <v>7869.4</v>
          </cell>
          <cell r="I404"/>
          <cell r="J404"/>
          <cell r="K404">
            <v>7733.95</v>
          </cell>
        </row>
        <row r="405">
          <cell r="A405" t="str">
            <v>1.7.6.1</v>
          </cell>
          <cell r="B405">
            <v>5213416</v>
          </cell>
          <cell r="C405" t="str">
            <v>Confecção de placa em aço nº 16 galvanizado, com película tipo I + I</v>
          </cell>
          <cell r="D405" t="str">
            <v xml:space="preserve">M2    </v>
          </cell>
          <cell r="E405">
            <v>3</v>
          </cell>
          <cell r="F405">
            <v>351.9</v>
          </cell>
          <cell r="G405">
            <v>434.91</v>
          </cell>
          <cell r="H405">
            <v>1304.73</v>
          </cell>
          <cell r="I405">
            <v>355.35</v>
          </cell>
          <cell r="J405">
            <v>417.78</v>
          </cell>
          <cell r="K405">
            <v>1253.3399999999999</v>
          </cell>
        </row>
        <row r="406">
          <cell r="A406" t="str">
            <v>1.7.6.2</v>
          </cell>
          <cell r="B406">
            <v>5213421</v>
          </cell>
          <cell r="C406" t="str">
            <v>Confecção de placa em aço nº 16 galvanizado, com película tipo I + IV</v>
          </cell>
          <cell r="D406" t="str">
            <v xml:space="preserve">M2    </v>
          </cell>
          <cell r="E406">
            <v>1.55</v>
          </cell>
          <cell r="F406">
            <v>343.8</v>
          </cell>
          <cell r="G406">
            <v>424.9</v>
          </cell>
          <cell r="H406">
            <v>658.6</v>
          </cell>
          <cell r="I406">
            <v>347.25</v>
          </cell>
          <cell r="J406">
            <v>408.26</v>
          </cell>
          <cell r="K406">
            <v>632.79999999999995</v>
          </cell>
        </row>
        <row r="407">
          <cell r="A407" t="str">
            <v>1.7.6.3</v>
          </cell>
          <cell r="B407">
            <v>5216111</v>
          </cell>
          <cell r="C407" t="str">
            <v>FORNECIMENTO E IMPLANTAÇÃO DE SUPORTE E TRAVESSA PARA PLACA DE SINALIZAÇÃO EM MADEIRA DE LEI TRATADA 8 X 8 CM</v>
          </cell>
          <cell r="D407" t="str">
            <v>UND</v>
          </cell>
          <cell r="E407">
            <v>9</v>
          </cell>
          <cell r="F407">
            <v>119.1379</v>
          </cell>
          <cell r="G407">
            <v>147.24</v>
          </cell>
          <cell r="H407">
            <v>1325.16</v>
          </cell>
          <cell r="I407">
            <v>121.48</v>
          </cell>
          <cell r="J407">
            <v>142.82</v>
          </cell>
          <cell r="K407">
            <v>1285.3800000000001</v>
          </cell>
        </row>
        <row r="408">
          <cell r="A408" t="str">
            <v>1.7.6.4</v>
          </cell>
          <cell r="B408" t="str">
            <v>COMP-58084869</v>
          </cell>
          <cell r="C408" t="str">
            <v>PLACA ESMALTADA PARA IDENTIFICAÇÃO NR DE RUA, DIMENSÕES 45X25CM</v>
          </cell>
          <cell r="D408" t="str">
            <v>UND</v>
          </cell>
          <cell r="E408">
            <v>2</v>
          </cell>
          <cell r="F408">
            <v>155.54</v>
          </cell>
          <cell r="G408">
            <v>192.23</v>
          </cell>
          <cell r="H408">
            <v>384.46</v>
          </cell>
          <cell r="I408">
            <v>156.33000000000001</v>
          </cell>
          <cell r="J408">
            <v>183.8</v>
          </cell>
          <cell r="K408">
            <v>367.6</v>
          </cell>
        </row>
        <row r="409">
          <cell r="A409" t="str">
            <v>1.7.6.5</v>
          </cell>
          <cell r="B409">
            <v>102512</v>
          </cell>
          <cell r="C409" t="str">
            <v>PINTURA DE EIXO VIÁRIO SOBRE ASFALTO COM TINTA RETRORREFLETIVA A BASE DE RESINA ACRÍLICA COM MICROESFERAS DE VIDRO, APLICAÇÃO MECÂNICA COM DEMARCADORA AUTOPROPELIDA. AF_05/2021</v>
          </cell>
          <cell r="D409" t="str">
            <v>M</v>
          </cell>
          <cell r="E409">
            <v>477.68</v>
          </cell>
          <cell r="F409">
            <v>5.22</v>
          </cell>
          <cell r="G409">
            <v>6.45</v>
          </cell>
          <cell r="H409">
            <v>3081.04</v>
          </cell>
          <cell r="I409">
            <v>5.48</v>
          </cell>
          <cell r="J409">
            <v>6.44</v>
          </cell>
          <cell r="K409">
            <v>3076.26</v>
          </cell>
        </row>
        <row r="410">
          <cell r="A410" t="str">
            <v>1.7.6.6</v>
          </cell>
          <cell r="B410">
            <v>102509</v>
          </cell>
          <cell r="C410" t="str">
            <v>PINTURA DE FAIXA DE PEDESTRE OU ZEBRADA TINTA RETRORREFLETIVA A BASE DE RESINA ACRÍLICA COM MICROESFERAS DE VIDRO, E = 30 CM, APLICAÇÃO MANUAL. AF_05/2021</v>
          </cell>
          <cell r="D410" t="str">
            <v>M2</v>
          </cell>
          <cell r="E410">
            <v>39.4</v>
          </cell>
          <cell r="F410">
            <v>22.91</v>
          </cell>
          <cell r="G410">
            <v>28.31</v>
          </cell>
          <cell r="H410">
            <v>1115.4100000000001</v>
          </cell>
          <cell r="I410">
            <v>24.15</v>
          </cell>
          <cell r="J410">
            <v>28.39</v>
          </cell>
          <cell r="K410">
            <v>1118.57</v>
          </cell>
        </row>
        <row r="411">
          <cell r="A411" t="str">
            <v>1.7.7</v>
          </cell>
          <cell r="B411"/>
          <cell r="C411" t="str">
            <v>ACESSIBILIDADE</v>
          </cell>
          <cell r="D411"/>
          <cell r="E411"/>
          <cell r="F411"/>
          <cell r="G411"/>
          <cell r="H411">
            <v>3395.36</v>
          </cell>
          <cell r="I411"/>
          <cell r="J411"/>
          <cell r="K411">
            <v>3338.98</v>
          </cell>
        </row>
        <row r="412">
          <cell r="A412" t="str">
            <v>1.7.7.1</v>
          </cell>
          <cell r="B412" t="str">
            <v>CP-S12039-81921471</v>
          </cell>
          <cell r="C412" t="str">
            <v>Piso tátil direcional e/ou alerta, de concreto, na cor natural, p/deficientes visuais, dimensões 40x40cm, aplicado com argamassa industrializada ac-ii, rejuntado, exclusive regularização de base</v>
          </cell>
          <cell r="D412" t="str">
            <v>M2</v>
          </cell>
          <cell r="E412">
            <v>25.28</v>
          </cell>
          <cell r="F412">
            <v>108.67</v>
          </cell>
          <cell r="G412">
            <v>134.31</v>
          </cell>
          <cell r="H412">
            <v>3395.36</v>
          </cell>
          <cell r="I412">
            <v>112.34</v>
          </cell>
          <cell r="J412">
            <v>132.08000000000001</v>
          </cell>
          <cell r="K412">
            <v>3338.98</v>
          </cell>
        </row>
        <row r="413">
          <cell r="A413" t="str">
            <v>1.7.8</v>
          </cell>
          <cell r="B413"/>
          <cell r="C413" t="str">
            <v>MATERIAIS</v>
          </cell>
          <cell r="D413"/>
          <cell r="E413"/>
          <cell r="F413"/>
          <cell r="G413"/>
          <cell r="H413">
            <v>174626.48</v>
          </cell>
          <cell r="I413"/>
          <cell r="J413"/>
          <cell r="K413">
            <v>166485.74</v>
          </cell>
        </row>
        <row r="414">
          <cell r="A414" t="str">
            <v>1.7.8.1</v>
          </cell>
          <cell r="B414">
            <v>10775</v>
          </cell>
          <cell r="C414" t="str">
            <v xml:space="preserve">LOCACAO DE CONTAINER 2,30 X 6,00 M, ALT. 2,50 M, COM 1 SANITARIO, PARA ESCRITORIO, COMPLETO, SEM DIVISORIAS INTERNAS (NAO INCLUI MOBILIZACAO/DESMOBILIZACAO)                                                                                                                                                                                                                                                                                                                                              </v>
          </cell>
          <cell r="D414" t="str">
            <v xml:space="preserve">MES   </v>
          </cell>
          <cell r="E414">
            <v>2</v>
          </cell>
          <cell r="F414">
            <v>830</v>
          </cell>
          <cell r="G414">
            <v>958.32</v>
          </cell>
          <cell r="H414">
            <v>1916.64</v>
          </cell>
          <cell r="I414">
            <v>830</v>
          </cell>
          <cell r="J414">
            <v>913.58</v>
          </cell>
          <cell r="K414">
            <v>1827.16</v>
          </cell>
        </row>
        <row r="415">
          <cell r="A415" t="str">
            <v>1.7.8.2</v>
          </cell>
          <cell r="B415">
            <v>10776</v>
          </cell>
          <cell r="C415" t="str">
            <v xml:space="preserve">LOCACAO DE CONTAINER 2,30 X 6,00 M, ALT. 2,50 M, PARA ESCRITORIO, SEM DIVISORIAS INTERNAS E SEM SANITARIO (NAO INCLUI MOBILIZACAO/DESMOBILIZACAO)                                                                                                                                                                                                                                                                                                                                                         </v>
          </cell>
          <cell r="D415" t="str">
            <v xml:space="preserve">MES   </v>
          </cell>
          <cell r="E415">
            <v>2</v>
          </cell>
          <cell r="F415">
            <v>648.42999999999995</v>
          </cell>
          <cell r="G415">
            <v>748.68</v>
          </cell>
          <cell r="H415">
            <v>1497.36</v>
          </cell>
          <cell r="I415">
            <v>648.42999999999995</v>
          </cell>
          <cell r="J415">
            <v>713.73</v>
          </cell>
          <cell r="K415">
            <v>1427.46</v>
          </cell>
        </row>
        <row r="416">
          <cell r="A416" t="str">
            <v>1.7.8.3</v>
          </cell>
          <cell r="B416">
            <v>1518</v>
          </cell>
          <cell r="C416" t="str">
            <v xml:space="preserve">CONCRETO BETUMINOSO USINADO A QUENTE (CBUQ) PARA PAVIMENTACAO ASFALTICA, PADRAO DNIT, FAIXA C, COM CAP 50/70 - AQUISICAO POSTO USINA                                                                                                                                                                                                                                                                                                                                                                      </v>
          </cell>
          <cell r="D416" t="str">
            <v xml:space="preserve">T     </v>
          </cell>
          <cell r="E416">
            <v>152.9</v>
          </cell>
          <cell r="F416">
            <v>522.5</v>
          </cell>
          <cell r="G416">
            <v>603.28</v>
          </cell>
          <cell r="H416">
            <v>92241.51</v>
          </cell>
          <cell r="I416">
            <v>522.5</v>
          </cell>
          <cell r="J416">
            <v>575.12</v>
          </cell>
          <cell r="K416">
            <v>87935.85</v>
          </cell>
        </row>
        <row r="417">
          <cell r="A417" t="str">
            <v>1.7.8.4</v>
          </cell>
          <cell r="B417" t="str">
            <v>INS-185032</v>
          </cell>
          <cell r="C417" t="str">
            <v>BRITA GRADUADA SIMPLES (BGS)</v>
          </cell>
          <cell r="D417" t="str">
            <v>M3</v>
          </cell>
          <cell r="E417">
            <v>215.24</v>
          </cell>
          <cell r="F417">
            <v>56.099999999999994</v>
          </cell>
          <cell r="G417">
            <v>64.77</v>
          </cell>
          <cell r="H417">
            <v>13941.09</v>
          </cell>
          <cell r="I417">
            <v>56.099999999999994</v>
          </cell>
          <cell r="J417">
            <v>61.75</v>
          </cell>
          <cell r="K417">
            <v>13291.07</v>
          </cell>
        </row>
        <row r="418">
          <cell r="A418" t="str">
            <v>1.7.8.5</v>
          </cell>
          <cell r="B418" t="str">
            <v>M0808</v>
          </cell>
          <cell r="C418" t="str">
            <v>Brita 4</v>
          </cell>
          <cell r="D418" t="str">
            <v>M3</v>
          </cell>
          <cell r="E418">
            <v>237.31</v>
          </cell>
          <cell r="F418">
            <v>90.74</v>
          </cell>
          <cell r="G418">
            <v>104.77</v>
          </cell>
          <cell r="H418">
            <v>24862.97</v>
          </cell>
          <cell r="I418">
            <v>90.74</v>
          </cell>
          <cell r="J418">
            <v>99.88</v>
          </cell>
          <cell r="K418">
            <v>23702.52</v>
          </cell>
        </row>
        <row r="419">
          <cell r="A419" t="str">
            <v>1.7.8.6</v>
          </cell>
          <cell r="B419" t="str">
            <v>M1135</v>
          </cell>
          <cell r="C419" t="str">
            <v>Pó de pedra</v>
          </cell>
          <cell r="D419" t="str">
            <v>M3</v>
          </cell>
          <cell r="E419">
            <v>26.37</v>
          </cell>
          <cell r="F419">
            <v>74.53</v>
          </cell>
          <cell r="G419">
            <v>86.05</v>
          </cell>
          <cell r="H419">
            <v>2269.14</v>
          </cell>
          <cell r="I419">
            <v>74.53</v>
          </cell>
          <cell r="J419">
            <v>82.04</v>
          </cell>
          <cell r="K419">
            <v>2163.39</v>
          </cell>
        </row>
        <row r="420">
          <cell r="A420" t="str">
            <v>1.7.8.7</v>
          </cell>
          <cell r="B420" t="str">
            <v>INS-54745269</v>
          </cell>
          <cell r="C420" t="str">
            <v>ASFALTO DILUÍDO CM - 30 - JUNHO/22</v>
          </cell>
          <cell r="D420" t="str">
            <v>KG</v>
          </cell>
          <cell r="E420">
            <v>1436.29</v>
          </cell>
          <cell r="F420">
            <v>5.32</v>
          </cell>
          <cell r="G420">
            <v>6.14</v>
          </cell>
          <cell r="H420">
            <v>8818.82</v>
          </cell>
          <cell r="I420">
            <v>5.32</v>
          </cell>
          <cell r="J420">
            <v>5.86</v>
          </cell>
          <cell r="K420">
            <v>8416.66</v>
          </cell>
        </row>
        <row r="421">
          <cell r="A421" t="str">
            <v>1.7.8.8</v>
          </cell>
          <cell r="B421">
            <v>34492</v>
          </cell>
          <cell r="C421" t="str">
            <v xml:space="preserve">CONCRETO USINADO BOMBEAVEL, CLASSE DE RESISTENCIA C20, COM BRITA 0 E 1, SLUMP = 100 +/- 20 MM, EXCLUI SERVICO DE BOMBEAMENTO (NBR 8953)                                                                                                                                                                                                                                                                                                                                                                   </v>
          </cell>
          <cell r="D421" t="str">
            <v xml:space="preserve">M3    </v>
          </cell>
          <cell r="E421">
            <v>59.61</v>
          </cell>
          <cell r="F421">
            <v>422.5</v>
          </cell>
          <cell r="G421">
            <v>487.82</v>
          </cell>
          <cell r="H421">
            <v>29078.95</v>
          </cell>
          <cell r="I421">
            <v>422.5</v>
          </cell>
          <cell r="J421">
            <v>465.05</v>
          </cell>
          <cell r="K421">
            <v>27721.63</v>
          </cell>
        </row>
        <row r="422">
          <cell r="A422" t="str">
            <v>1.8</v>
          </cell>
          <cell r="B422"/>
          <cell r="C422" t="str">
            <v>RUA LEÃO MARINHO - DOIS CARNEIROS</v>
          </cell>
          <cell r="D422"/>
          <cell r="E422"/>
          <cell r="F422"/>
          <cell r="G422"/>
          <cell r="H422">
            <v>242579.99</v>
          </cell>
          <cell r="I422"/>
          <cell r="J422"/>
          <cell r="K422">
            <v>236285.57</v>
          </cell>
        </row>
        <row r="423">
          <cell r="A423" t="str">
            <v>1.8.1</v>
          </cell>
          <cell r="B423"/>
          <cell r="C423" t="str">
            <v>INSTALAÇÕES PROVISÓRIAS</v>
          </cell>
          <cell r="D423"/>
          <cell r="E423"/>
          <cell r="F423"/>
          <cell r="G423"/>
          <cell r="H423">
            <v>7250.74</v>
          </cell>
          <cell r="I423"/>
          <cell r="J423"/>
          <cell r="K423">
            <v>6960.06</v>
          </cell>
        </row>
        <row r="424">
          <cell r="A424" t="str">
            <v>1.8.1.1</v>
          </cell>
          <cell r="B424" t="str">
            <v>CP-74209/001-15055090</v>
          </cell>
          <cell r="C424" t="str">
            <v>PLACA DE OBRA EM CHAPA DE ACO GALVANIZADO</v>
          </cell>
          <cell r="D424" t="str">
            <v xml:space="preserve">M2    </v>
          </cell>
          <cell r="E424">
            <v>8</v>
          </cell>
          <cell r="F424">
            <v>558.35</v>
          </cell>
          <cell r="G424">
            <v>690.06</v>
          </cell>
          <cell r="H424">
            <v>5520.48</v>
          </cell>
          <cell r="I424">
            <v>564.99</v>
          </cell>
          <cell r="J424">
            <v>664.26</v>
          </cell>
          <cell r="K424">
            <v>5314.08</v>
          </cell>
        </row>
        <row r="425">
          <cell r="A425" t="str">
            <v>1.8.1.2</v>
          </cell>
          <cell r="B425" t="str">
            <v>COMP-07440249</v>
          </cell>
          <cell r="C425" t="str">
            <v>BANHEIRO QUÍMICO, COM LOCAÇÃO, TRANSPORTE E LIMPEZA</v>
          </cell>
          <cell r="D425" t="str">
            <v>MÊS</v>
          </cell>
          <cell r="E425">
            <v>2</v>
          </cell>
          <cell r="F425">
            <v>700</v>
          </cell>
          <cell r="G425">
            <v>865.13</v>
          </cell>
          <cell r="H425">
            <v>1730.26</v>
          </cell>
          <cell r="I425">
            <v>700</v>
          </cell>
          <cell r="J425">
            <v>822.99</v>
          </cell>
          <cell r="K425">
            <v>1645.98</v>
          </cell>
        </row>
        <row r="426">
          <cell r="A426" t="str">
            <v>1.8.2</v>
          </cell>
          <cell r="B426"/>
          <cell r="C426" t="str">
            <v>ADMINISTRAÇÃO LOCAL</v>
          </cell>
          <cell r="D426"/>
          <cell r="E426"/>
          <cell r="F426"/>
          <cell r="G426"/>
          <cell r="H426">
            <v>9879.17</v>
          </cell>
          <cell r="I426"/>
          <cell r="J426"/>
          <cell r="K426">
            <v>10826.77</v>
          </cell>
        </row>
        <row r="427">
          <cell r="A427" t="str">
            <v>1.8.2.1</v>
          </cell>
          <cell r="B427">
            <v>93565</v>
          </cell>
          <cell r="C427" t="str">
            <v>ENGENHEIRO CIVIL DE OBRA JUNIOR COM ENCARGOS COMPLEMENTARES</v>
          </cell>
          <cell r="D427" t="str">
            <v>MES</v>
          </cell>
          <cell r="E427">
            <v>0.25</v>
          </cell>
          <cell r="F427">
            <v>14549.96</v>
          </cell>
          <cell r="G427">
            <v>17982.3</v>
          </cell>
          <cell r="H427">
            <v>4495.58</v>
          </cell>
          <cell r="I427">
            <v>16819.14</v>
          </cell>
          <cell r="J427">
            <v>19774.259999999998</v>
          </cell>
          <cell r="K427">
            <v>4943.57</v>
          </cell>
        </row>
        <row r="428">
          <cell r="A428" t="str">
            <v>1.8.2.2</v>
          </cell>
          <cell r="B428">
            <v>93572</v>
          </cell>
          <cell r="C428" t="str">
            <v>ENCARREGADO GERAL DE OBRAS COM ENCARGOS COMPLEMENTARES</v>
          </cell>
          <cell r="D428" t="str">
            <v>MES</v>
          </cell>
          <cell r="E428">
            <v>0.75</v>
          </cell>
          <cell r="F428">
            <v>5808.01</v>
          </cell>
          <cell r="G428">
            <v>7178.12</v>
          </cell>
          <cell r="H428">
            <v>5383.59</v>
          </cell>
          <cell r="I428">
            <v>6672</v>
          </cell>
          <cell r="J428">
            <v>7844.27</v>
          </cell>
          <cell r="K428">
            <v>5883.2</v>
          </cell>
        </row>
        <row r="429">
          <cell r="A429" t="str">
            <v>1.8.3</v>
          </cell>
          <cell r="B429"/>
          <cell r="C429" t="str">
            <v>SERVIÇOS PRELIMINARES</v>
          </cell>
          <cell r="D429"/>
          <cell r="E429"/>
          <cell r="F429"/>
          <cell r="G429"/>
          <cell r="H429">
            <v>2077.3200000000002</v>
          </cell>
          <cell r="I429"/>
          <cell r="J429"/>
          <cell r="K429">
            <v>2181.81</v>
          </cell>
        </row>
        <row r="430">
          <cell r="A430" t="str">
            <v>1.8.3.1</v>
          </cell>
          <cell r="B430">
            <v>99064</v>
          </cell>
          <cell r="C430" t="str">
            <v>LOCAÇÃO DE PAVIMENTAÇÃO. AF_10/2018</v>
          </cell>
          <cell r="D430" t="str">
            <v>M</v>
          </cell>
          <cell r="E430">
            <v>116.97</v>
          </cell>
          <cell r="F430">
            <v>0.43</v>
          </cell>
          <cell r="G430">
            <v>0.53</v>
          </cell>
          <cell r="H430">
            <v>61.99</v>
          </cell>
          <cell r="I430">
            <v>0.49</v>
          </cell>
          <cell r="J430">
            <v>0.57999999999999996</v>
          </cell>
          <cell r="K430">
            <v>67.84</v>
          </cell>
        </row>
        <row r="431">
          <cell r="A431" t="str">
            <v>1.8.3.2</v>
          </cell>
          <cell r="B431" t="str">
            <v>COMP-17562084</v>
          </cell>
          <cell r="C431" t="str">
            <v>DEMOLIÇÃO MANUAL DE CONCRETO SIMPLES</v>
          </cell>
          <cell r="D431" t="str">
            <v>M3</v>
          </cell>
          <cell r="E431">
            <v>7.73</v>
          </cell>
          <cell r="F431">
            <v>190.89</v>
          </cell>
          <cell r="G431">
            <v>235.92</v>
          </cell>
          <cell r="H431">
            <v>1823.66</v>
          </cell>
          <cell r="I431">
            <v>212.24</v>
          </cell>
          <cell r="J431">
            <v>249.53</v>
          </cell>
          <cell r="K431">
            <v>1928.87</v>
          </cell>
        </row>
        <row r="432">
          <cell r="A432" t="str">
            <v>1.8.3.3</v>
          </cell>
          <cell r="B432" t="str">
            <v>COMP-35145154</v>
          </cell>
          <cell r="C432" t="str">
            <v>CARGA E DESCARGA MECANICA DE SOLO UTILIZANDO CAMINHAO BASCULANTE 14,0M3/36T E PA CARREGADEIRA SOBRE PNEUS 128 HP, CAPACIDADE DA CAÇAMBA 1,7 A 2,8 M3, PESO OPERACIONAL 11632 KH</v>
          </cell>
          <cell r="D432" t="str">
            <v>M3</v>
          </cell>
          <cell r="E432">
            <v>9.66</v>
          </cell>
          <cell r="F432">
            <v>2.83</v>
          </cell>
          <cell r="G432">
            <v>3.5</v>
          </cell>
          <cell r="H432">
            <v>33.81</v>
          </cell>
          <cell r="I432">
            <v>2.9</v>
          </cell>
          <cell r="J432">
            <v>3.41</v>
          </cell>
          <cell r="K432">
            <v>32.94</v>
          </cell>
        </row>
        <row r="433">
          <cell r="A433" t="str">
            <v>1.8.3.4</v>
          </cell>
          <cell r="B433">
            <v>95876</v>
          </cell>
          <cell r="C433" t="str">
            <v>TRANSPORTE COM CAMINHÃO BASCULANTE DE 14 M³, EM VIA URBANA PAVIMENTADA, DMT ATÉ 30 KM (UNIDADE: M3XKM). AF_07/2020</v>
          </cell>
          <cell r="D433" t="str">
            <v>M3XKM</v>
          </cell>
          <cell r="E433">
            <v>56.99</v>
          </cell>
          <cell r="F433">
            <v>2.2400000000000002</v>
          </cell>
          <cell r="G433">
            <v>2.77</v>
          </cell>
          <cell r="H433">
            <v>157.86000000000001</v>
          </cell>
          <cell r="I433">
            <v>2.27</v>
          </cell>
          <cell r="J433">
            <v>2.67</v>
          </cell>
          <cell r="K433">
            <v>152.16</v>
          </cell>
        </row>
        <row r="434">
          <cell r="A434" t="str">
            <v>1.8.4</v>
          </cell>
          <cell r="B434"/>
          <cell r="C434" t="str">
            <v>TERRAPLENAGEM</v>
          </cell>
          <cell r="D434"/>
          <cell r="E434"/>
          <cell r="F434"/>
          <cell r="G434"/>
          <cell r="H434">
            <v>15630.27</v>
          </cell>
          <cell r="I434"/>
          <cell r="J434"/>
          <cell r="K434">
            <v>15104.51</v>
          </cell>
        </row>
        <row r="435">
          <cell r="A435" t="str">
            <v>1.8.4.1</v>
          </cell>
          <cell r="B435" t="str">
            <v>CP-74205/001-17324935</v>
          </cell>
          <cell r="C435" t="str">
            <v>ESCAVAÇÃO MECÂNICA DE MATERIAL 1A. CATEGORIA, PROVENIENTE DE CORTE DE SUBLEITO (C/TRATOR ESTEIRAS  160HP)</v>
          </cell>
          <cell r="D435" t="str">
            <v>M3</v>
          </cell>
          <cell r="E435">
            <v>559.36</v>
          </cell>
          <cell r="F435">
            <v>2.54</v>
          </cell>
          <cell r="G435">
            <v>3.14</v>
          </cell>
          <cell r="H435">
            <v>1756.39</v>
          </cell>
          <cell r="I435">
            <v>2.59</v>
          </cell>
          <cell r="J435">
            <v>3.05</v>
          </cell>
          <cell r="K435">
            <v>1706.05</v>
          </cell>
        </row>
        <row r="436">
          <cell r="A436" t="str">
            <v>1.8.4.2</v>
          </cell>
          <cell r="B436" t="str">
            <v>COMP-35145154</v>
          </cell>
          <cell r="C436" t="str">
            <v>CARGA E DESCARGA MECANICA DE SOLO UTILIZANDO CAMINHAO BASCULANTE 14,0M3/36T E PA CARREGADEIRA SOBRE PNEUS 128 HP, CAPACIDADE DA CAÇAMBA 1,7 A 2,8 M3, PESO OPERACIONAL 11632 KH</v>
          </cell>
          <cell r="D436" t="str">
            <v>M3</v>
          </cell>
          <cell r="E436">
            <v>699.16</v>
          </cell>
          <cell r="F436">
            <v>2.83</v>
          </cell>
          <cell r="G436">
            <v>3.5</v>
          </cell>
          <cell r="H436">
            <v>2447.06</v>
          </cell>
          <cell r="I436">
            <v>2.9</v>
          </cell>
          <cell r="J436">
            <v>3.41</v>
          </cell>
          <cell r="K436">
            <v>2384.14</v>
          </cell>
        </row>
        <row r="437">
          <cell r="A437" t="str">
            <v>1.8.4.3</v>
          </cell>
          <cell r="B437">
            <v>95876</v>
          </cell>
          <cell r="C437" t="str">
            <v>TRANSPORTE COM CAMINHÃO BASCULANTE DE 14 M³, EM VIA URBANA PAVIMENTADA, DMT ATÉ 30 KM (UNIDADE: M3XKM). AF_07/2020</v>
          </cell>
          <cell r="D437" t="str">
            <v>M3XKM</v>
          </cell>
          <cell r="E437">
            <v>4125.04</v>
          </cell>
          <cell r="F437">
            <v>2.2400000000000002</v>
          </cell>
          <cell r="G437">
            <v>2.77</v>
          </cell>
          <cell r="H437">
            <v>11426.36</v>
          </cell>
          <cell r="I437">
            <v>2.27</v>
          </cell>
          <cell r="J437">
            <v>2.67</v>
          </cell>
          <cell r="K437">
            <v>11013.86</v>
          </cell>
        </row>
        <row r="438">
          <cell r="A438" t="str">
            <v>1.8.4.4</v>
          </cell>
          <cell r="B438">
            <v>96385</v>
          </cell>
          <cell r="C438" t="str">
            <v>EXECUÇÃO E COMPACTAÇÃO DE ATERRO COM SOLO PREDOMINANTEMENTE ARGILOSO - EXCLUSIVE SOLO, ESCAVAÇÃO, CARGA E TRANSPORTE. AF_11/2019</v>
          </cell>
          <cell r="D438" t="str">
            <v>M3</v>
          </cell>
          <cell r="E438">
            <v>0.03</v>
          </cell>
          <cell r="F438">
            <v>12.41</v>
          </cell>
          <cell r="G438">
            <v>15.34</v>
          </cell>
          <cell r="H438">
            <v>0.46</v>
          </cell>
          <cell r="I438">
            <v>13.02</v>
          </cell>
          <cell r="J438">
            <v>15.31</v>
          </cell>
          <cell r="K438">
            <v>0.46</v>
          </cell>
        </row>
        <row r="439">
          <cell r="A439" t="str">
            <v>1.8.5</v>
          </cell>
          <cell r="B439"/>
          <cell r="C439" t="str">
            <v>PAVIMENTAÇÃO</v>
          </cell>
          <cell r="D439"/>
          <cell r="E439"/>
          <cell r="F439"/>
          <cell r="G439"/>
          <cell r="H439">
            <v>49328.94</v>
          </cell>
          <cell r="I439"/>
          <cell r="J439"/>
          <cell r="K439">
            <v>48350.77</v>
          </cell>
        </row>
        <row r="440">
          <cell r="A440" t="str">
            <v>1.8.5.1</v>
          </cell>
          <cell r="B440">
            <v>100576</v>
          </cell>
          <cell r="C440" t="str">
            <v>REGULARIZAÇÃO E COMPACTAÇÃO DE SUBLEITO DE SOLO  PREDOMINANTEMENTE ARGILOSO. AF_11/2019</v>
          </cell>
          <cell r="D440" t="str">
            <v>M2</v>
          </cell>
          <cell r="E440">
            <v>669.58</v>
          </cell>
          <cell r="F440">
            <v>2.64</v>
          </cell>
          <cell r="G440">
            <v>3.26</v>
          </cell>
          <cell r="H440">
            <v>2182.83</v>
          </cell>
          <cell r="I440">
            <v>2.79</v>
          </cell>
          <cell r="J440">
            <v>3.28</v>
          </cell>
          <cell r="K440">
            <v>2196.2199999999998</v>
          </cell>
        </row>
        <row r="441">
          <cell r="A441" t="str">
            <v>1.8.5.2</v>
          </cell>
          <cell r="B441" t="str">
            <v>COMP-47176600</v>
          </cell>
          <cell r="C441" t="str">
            <v xml:space="preserve">EXEC. DE ATERRO COM AREIA COM ADENSAMENTO HIDRAULICO </v>
          </cell>
          <cell r="D441" t="str">
            <v xml:space="preserve">M3    </v>
          </cell>
          <cell r="E441">
            <v>85.89</v>
          </cell>
          <cell r="F441">
            <v>103.23</v>
          </cell>
          <cell r="G441">
            <v>127.58</v>
          </cell>
          <cell r="H441">
            <v>10957.85</v>
          </cell>
          <cell r="I441">
            <v>104.33</v>
          </cell>
          <cell r="J441">
            <v>122.66</v>
          </cell>
          <cell r="K441">
            <v>10535.27</v>
          </cell>
        </row>
        <row r="442">
          <cell r="A442" t="str">
            <v>1.8.5.3</v>
          </cell>
          <cell r="B442" t="str">
            <v>COMP-28881239</v>
          </cell>
          <cell r="C442" t="str">
            <v>Base ou sub-base de macadame hidráulico com brita comercial - EXCLUSIVE MATERIAL, CARGA E TRANSPORTE - NÃO DESONERADO</v>
          </cell>
          <cell r="D442" t="str">
            <v>M3</v>
          </cell>
          <cell r="E442">
            <v>85.89</v>
          </cell>
          <cell r="F442">
            <v>11.24</v>
          </cell>
          <cell r="G442">
            <v>13.89</v>
          </cell>
          <cell r="H442">
            <v>1193.01</v>
          </cell>
          <cell r="I442">
            <v>11.4</v>
          </cell>
          <cell r="J442">
            <v>13.4</v>
          </cell>
          <cell r="K442">
            <v>1150.93</v>
          </cell>
        </row>
        <row r="443">
          <cell r="A443" t="str">
            <v>1.8.5.4</v>
          </cell>
          <cell r="B443" t="str">
            <v>CP-96396-26507981</v>
          </cell>
          <cell r="C443" t="str">
            <v>EXECUÇÃO E COMPACTAÇÃO DE BASE E OU SUB BASE PARA PAVIMENTAÇÃO DE BRITA GRADUADA SIMPLES - EXCLUSIVE MATERIAL, CARGA E TRANSPORTE</v>
          </cell>
          <cell r="D443" t="str">
            <v>M3</v>
          </cell>
          <cell r="E443">
            <v>114.52</v>
          </cell>
          <cell r="F443">
            <v>13.86</v>
          </cell>
          <cell r="G443">
            <v>17.13</v>
          </cell>
          <cell r="H443">
            <v>1961.73</v>
          </cell>
          <cell r="I443">
            <v>14.44</v>
          </cell>
          <cell r="J443">
            <v>16.98</v>
          </cell>
          <cell r="K443">
            <v>1944.55</v>
          </cell>
        </row>
        <row r="444">
          <cell r="A444" t="str">
            <v>1.8.5.5</v>
          </cell>
          <cell r="B444" t="str">
            <v>COMP-35145154</v>
          </cell>
          <cell r="C444" t="str">
            <v>CARGA E DESCARGA MECANICA DE SOLO UTILIZANDO CAMINHAO BASCULANTE 14,0M3/36T E PA CARREGADEIRA SOBRE PNEUS 128 HP, CAPACIDADE DA CAÇAMBA 1,7 A 2,8 M3, PESO OPERACIONAL 11632 KH</v>
          </cell>
          <cell r="D444" t="str">
            <v>M3</v>
          </cell>
          <cell r="E444">
            <v>250.51</v>
          </cell>
          <cell r="F444">
            <v>2.83</v>
          </cell>
          <cell r="G444">
            <v>3.5</v>
          </cell>
          <cell r="H444">
            <v>876.79</v>
          </cell>
          <cell r="I444">
            <v>2.9</v>
          </cell>
          <cell r="J444">
            <v>3.41</v>
          </cell>
          <cell r="K444">
            <v>854.24</v>
          </cell>
        </row>
        <row r="445">
          <cell r="A445" t="str">
            <v>1.8.5.6</v>
          </cell>
          <cell r="B445" t="str">
            <v>COMP-83526730</v>
          </cell>
          <cell r="C445" t="str">
            <v>TRANSPORTE COMERCIAL DE BRITA</v>
          </cell>
          <cell r="D445" t="str">
            <v>M3XKM</v>
          </cell>
          <cell r="E445">
            <v>3807.75</v>
          </cell>
          <cell r="F445">
            <v>1.36</v>
          </cell>
          <cell r="G445">
            <v>1.68</v>
          </cell>
          <cell r="H445">
            <v>6397.02</v>
          </cell>
          <cell r="I445">
            <v>1.37</v>
          </cell>
          <cell r="J445">
            <v>1.61</v>
          </cell>
          <cell r="K445">
            <v>6130.48</v>
          </cell>
        </row>
        <row r="446">
          <cell r="A446" t="str">
            <v>1.8.5.7</v>
          </cell>
          <cell r="B446" t="str">
            <v>CP-96401-52745838</v>
          </cell>
          <cell r="C446" t="str">
            <v>EXECUÇÃO DE IMPRIMAÇÃO COM ASFALTO DILUÍDO CM-30, EXCLUSIVE MATERIAL.</v>
          </cell>
          <cell r="D446" t="str">
            <v>M2</v>
          </cell>
          <cell r="E446">
            <v>576.73</v>
          </cell>
          <cell r="F446">
            <v>1.18</v>
          </cell>
          <cell r="G446">
            <v>1.46</v>
          </cell>
          <cell r="H446">
            <v>842.03</v>
          </cell>
          <cell r="I446">
            <v>1.24</v>
          </cell>
          <cell r="J446">
            <v>1.46</v>
          </cell>
          <cell r="K446">
            <v>842.03</v>
          </cell>
        </row>
        <row r="447">
          <cell r="A447" t="str">
            <v>1.8.5.8</v>
          </cell>
          <cell r="B447" t="str">
            <v>CP-95995-51339760</v>
          </cell>
          <cell r="C447" t="str">
            <v>EXECUÇÃO DE PAVIMENTO COM APLICAÇÃO DE CONCRETO ASFÁLTICO, CAMADA DE ROLAMENTO - EXCLUSIVE CARGA E TRANSPORTE E CONCRETO BETUMINOSO</v>
          </cell>
          <cell r="D447" t="str">
            <v>M3</v>
          </cell>
          <cell r="E447">
            <v>28.83</v>
          </cell>
          <cell r="F447">
            <v>127.58</v>
          </cell>
          <cell r="G447">
            <v>157.68</v>
          </cell>
          <cell r="H447">
            <v>4545.91</v>
          </cell>
          <cell r="I447">
            <v>133.37</v>
          </cell>
          <cell r="J447">
            <v>156.80000000000001</v>
          </cell>
          <cell r="K447">
            <v>4520.54</v>
          </cell>
        </row>
        <row r="448">
          <cell r="A448" t="str">
            <v>1.8.5.9</v>
          </cell>
          <cell r="B448" t="str">
            <v>COMP-10034101</v>
          </cell>
          <cell r="C448" t="str">
            <v>CARGA, MANOBRAS E DESCARGA DE MISTURA BETUMINOSA A QUENTE, COM CAMINHAO BASCULANTE 6 M3, DESCARGA EM VIBRO-ACABADORA</v>
          </cell>
          <cell r="D448" t="str">
            <v>M3</v>
          </cell>
          <cell r="E448">
            <v>28.83</v>
          </cell>
          <cell r="F448">
            <v>7.74</v>
          </cell>
          <cell r="G448">
            <v>9.57</v>
          </cell>
          <cell r="H448">
            <v>275.89999999999998</v>
          </cell>
          <cell r="I448">
            <v>7.86</v>
          </cell>
          <cell r="J448">
            <v>9.24</v>
          </cell>
          <cell r="K448">
            <v>266.39</v>
          </cell>
        </row>
        <row r="449">
          <cell r="A449" t="str">
            <v>1.8.5.10</v>
          </cell>
          <cell r="B449" t="str">
            <v>CP-95303-56931542</v>
          </cell>
          <cell r="C449" t="str">
            <v>TRANSPORTE COM CAMINHÃO BASCULANTE 10 M3 DE MASSA ASFALTICA PARA PAVIMENTAÇÃO URBANA</v>
          </cell>
          <cell r="D449" t="str">
            <v>M3XKM</v>
          </cell>
          <cell r="E449">
            <v>184.51</v>
          </cell>
          <cell r="F449">
            <v>1.75</v>
          </cell>
          <cell r="G449">
            <v>2.16</v>
          </cell>
          <cell r="H449">
            <v>398.54</v>
          </cell>
          <cell r="I449">
            <v>1.77</v>
          </cell>
          <cell r="J449">
            <v>2.08</v>
          </cell>
          <cell r="K449">
            <v>383.78</v>
          </cell>
        </row>
        <row r="450">
          <cell r="A450" t="str">
            <v>1.8.5.11</v>
          </cell>
          <cell r="B450" t="str">
            <v>CP-97084-89637704</v>
          </cell>
          <cell r="C450" t="str">
            <v>REGULARIZACAO E COMPACTAÇÃO MANUAL DE TERRENO COM PLACA VIBRATÓRIA</v>
          </cell>
          <cell r="D450" t="str">
            <v>M2</v>
          </cell>
          <cell r="E450">
            <v>366.76</v>
          </cell>
          <cell r="F450">
            <v>0.59</v>
          </cell>
          <cell r="G450">
            <v>0.73</v>
          </cell>
          <cell r="H450">
            <v>267.73</v>
          </cell>
          <cell r="I450">
            <v>0.65</v>
          </cell>
          <cell r="J450">
            <v>0.76</v>
          </cell>
          <cell r="K450">
            <v>278.74</v>
          </cell>
        </row>
        <row r="451">
          <cell r="A451" t="str">
            <v>1.8.5.12</v>
          </cell>
          <cell r="B451" t="str">
            <v>CP-94991-12549457</v>
          </cell>
          <cell r="C451" t="str">
            <v>EXECUÇÃO DE PASSEIO (CALÇADA) OU PISO DE CONCRETO COM CONCRETO MOLDADO IN LOCO, USINADO, ACABAMENTO CONVENCIONAL, NÃO ARMADO - EXCLUINDO O CONCRETO USINADO 20MPA</v>
          </cell>
          <cell r="D451" t="str">
            <v>M3</v>
          </cell>
          <cell r="E451">
            <v>25</v>
          </cell>
          <cell r="F451">
            <v>104.6</v>
          </cell>
          <cell r="G451">
            <v>129.28</v>
          </cell>
          <cell r="H451">
            <v>3232</v>
          </cell>
          <cell r="I451">
            <v>112.75</v>
          </cell>
          <cell r="J451">
            <v>132.56</v>
          </cell>
          <cell r="K451">
            <v>3314</v>
          </cell>
        </row>
        <row r="452">
          <cell r="A452" t="str">
            <v>1.8.5.13</v>
          </cell>
          <cell r="B452">
            <v>94273</v>
          </cell>
          <cell r="C452" t="str">
            <v>ASSENTAMENTO DE GUIA (MEIO-FIO) EM TRECHO RETO, CONFECCIONADA EM CONCRETO PRÉ-FABRICADO, DIMENSÕES 100X15X13X30 CM (COMPRIMENTO X BASE INFERIOR X BASE SUPERIOR X ALTURA), PARA VIAS URBANAS (USO VIÁRIO). AF_06/2016</v>
          </cell>
          <cell r="D452" t="str">
            <v>M</v>
          </cell>
          <cell r="E452">
            <v>240</v>
          </cell>
          <cell r="F452">
            <v>54.61</v>
          </cell>
          <cell r="G452">
            <v>67.489999999999995</v>
          </cell>
          <cell r="H452">
            <v>16197.6</v>
          </cell>
          <cell r="I452">
            <v>56.47</v>
          </cell>
          <cell r="J452">
            <v>66.39</v>
          </cell>
          <cell r="K452">
            <v>15933.6</v>
          </cell>
        </row>
        <row r="453">
          <cell r="A453" t="str">
            <v>1.8.6</v>
          </cell>
          <cell r="B453"/>
          <cell r="C453" t="str">
            <v>DRENAGEM</v>
          </cell>
          <cell r="D453"/>
          <cell r="E453"/>
          <cell r="F453"/>
          <cell r="G453"/>
          <cell r="H453">
            <v>58734.61</v>
          </cell>
          <cell r="I453"/>
          <cell r="J453"/>
          <cell r="K453">
            <v>57677.85</v>
          </cell>
        </row>
        <row r="454">
          <cell r="A454" t="str">
            <v>1.8.6.1</v>
          </cell>
          <cell r="B454">
            <v>94971</v>
          </cell>
          <cell r="C454" t="str">
            <v>CONCRETO FCK = 25MPA, TRAÇO 1:2,3:2,7 (EM MASSA SECA DE CIMENTO/ AREIA MÉDIA/ BRITA 1) - PREPARO MECÂNICO COM BETONEIRA 600 L. AF_05/2021</v>
          </cell>
          <cell r="D454" t="str">
            <v>M3</v>
          </cell>
          <cell r="E454">
            <v>14.95</v>
          </cell>
          <cell r="F454">
            <v>464.88</v>
          </cell>
          <cell r="G454">
            <v>574.54999999999995</v>
          </cell>
          <cell r="H454">
            <v>8589.52</v>
          </cell>
          <cell r="I454">
            <v>472.74</v>
          </cell>
          <cell r="J454">
            <v>555.79999999999995</v>
          </cell>
          <cell r="K454">
            <v>8309.2099999999991</v>
          </cell>
        </row>
        <row r="455">
          <cell r="A455" t="str">
            <v>1.8.6.2</v>
          </cell>
          <cell r="B455">
            <v>94974</v>
          </cell>
          <cell r="C455" t="str">
            <v>CONCRETO MAGRO PARA LASTRO, TRAÇO 1:4,5:4,5 (EM MASSA SECA DE CIMENTO/ AREIA MÉDIA/ BRITA 1) - PREPARO MANUAL. AF_05/2021</v>
          </cell>
          <cell r="D455" t="str">
            <v>M3</v>
          </cell>
          <cell r="E455">
            <v>11.73</v>
          </cell>
          <cell r="F455">
            <v>423.75</v>
          </cell>
          <cell r="G455">
            <v>523.71</v>
          </cell>
          <cell r="H455">
            <v>6143.12</v>
          </cell>
          <cell r="I455">
            <v>436.13</v>
          </cell>
          <cell r="J455">
            <v>512.76</v>
          </cell>
          <cell r="K455">
            <v>6014.67</v>
          </cell>
        </row>
        <row r="456">
          <cell r="A456" t="str">
            <v>1.8.6.3</v>
          </cell>
          <cell r="B456">
            <v>92771</v>
          </cell>
          <cell r="C456" t="str">
            <v>ARMAÇÃO DE LAJE DE ESTRUTURA CONVENCIONAL DE CONCRETO ARMADO UTILIZANDO AÇO CA-50 DE 10,0 MM - MONTAGEM. AF_06/2022</v>
          </cell>
          <cell r="D456" t="str">
            <v>KG</v>
          </cell>
          <cell r="E456">
            <v>972.67</v>
          </cell>
          <cell r="F456">
            <v>15.04</v>
          </cell>
          <cell r="G456">
            <v>18.59</v>
          </cell>
          <cell r="H456">
            <v>18081.939999999999</v>
          </cell>
          <cell r="I456">
            <v>15.14</v>
          </cell>
          <cell r="J456">
            <v>17.8</v>
          </cell>
          <cell r="K456">
            <v>17313.53</v>
          </cell>
        </row>
        <row r="457">
          <cell r="A457" t="str">
            <v>1.8.6.4</v>
          </cell>
          <cell r="B457" t="str">
            <v>CP-92268-29291149</v>
          </cell>
          <cell r="C457" t="str">
            <v>FABRICAÇÃO DE FÔRMA PARA LAJES, EM CHAPA DE MADEIRA COMPENSADA PLASTIFICADA, E = 18 MM - EXCLUINDO O PAINEL DE MADEIRA COMPENSADA PLASTIFICADA DE 2200 x 1100 MM, E = *17* MM</v>
          </cell>
          <cell r="D457" t="str">
            <v>M2</v>
          </cell>
          <cell r="E457">
            <v>70.400000000000006</v>
          </cell>
          <cell r="F457">
            <v>0.98</v>
          </cell>
          <cell r="G457">
            <v>1.21</v>
          </cell>
          <cell r="H457">
            <v>85.18</v>
          </cell>
          <cell r="I457">
            <v>1.1000000000000001</v>
          </cell>
          <cell r="J457">
            <v>1.29</v>
          </cell>
          <cell r="K457">
            <v>90.82</v>
          </cell>
        </row>
        <row r="458">
          <cell r="A458" t="str">
            <v>1.8.6.5</v>
          </cell>
          <cell r="B458">
            <v>103320</v>
          </cell>
          <cell r="C458" t="str">
            <v>ALVENARIA DE VEDAÇÃO DE BLOCOS VAZADOS DE CONCRETO DE 19X19X39 CM (ESPESSURA 19 CM) E ARGAMASSA DE ASSENTAMENTO COM PREPARO EM BETONEIRA. AF_12/2021</v>
          </cell>
          <cell r="D458" t="str">
            <v>M2</v>
          </cell>
          <cell r="E458">
            <v>93.86</v>
          </cell>
          <cell r="F458">
            <v>101.36</v>
          </cell>
          <cell r="G458">
            <v>125.27</v>
          </cell>
          <cell r="H458">
            <v>11757.84</v>
          </cell>
          <cell r="I458">
            <v>105.62</v>
          </cell>
          <cell r="J458">
            <v>124.18</v>
          </cell>
          <cell r="K458">
            <v>11655.53</v>
          </cell>
        </row>
        <row r="459">
          <cell r="A459" t="str">
            <v>1.8.6.6</v>
          </cell>
          <cell r="B459">
            <v>87879</v>
          </cell>
          <cell r="C459" t="str">
            <v>CHAPISCO APLICADO EM ALVENARIAS E ESTRUTURAS DE CONCRETO INTERNAS, COM COLHER DE PEDREIRO.  ARGAMASSA TRAÇO 1:3 COM PREPARO EM BETONEIRA 400L. AF_06/2014</v>
          </cell>
          <cell r="D459" t="str">
            <v>M2</v>
          </cell>
          <cell r="E459">
            <v>93.86</v>
          </cell>
          <cell r="F459">
            <v>3.85</v>
          </cell>
          <cell r="G459">
            <v>4.76</v>
          </cell>
          <cell r="H459">
            <v>446.77</v>
          </cell>
          <cell r="I459">
            <v>4.0999999999999996</v>
          </cell>
          <cell r="J459">
            <v>4.82</v>
          </cell>
          <cell r="K459">
            <v>452.41</v>
          </cell>
        </row>
        <row r="460">
          <cell r="A460" t="str">
            <v>1.8.6.7</v>
          </cell>
          <cell r="B460">
            <v>87547</v>
          </cell>
          <cell r="C460" t="str">
            <v>MASSA ÚNICA, PARA RECEBIMENTO DE PINTURA, EM ARGAMASSA TRAÇO 1:2:8, PREPARO MECÂNICO COM BETONEIRA 400L, APLICADA MANUALMENTE EM FACES INTERNAS DE PAREDES, ESPESSURA DE 10MM, COM EXECUÇÃO DE TALISCAS. AF_06/2014</v>
          </cell>
          <cell r="D460" t="str">
            <v>M2</v>
          </cell>
          <cell r="E460">
            <v>93.86</v>
          </cell>
          <cell r="F460">
            <v>23.35</v>
          </cell>
          <cell r="G460">
            <v>28.86</v>
          </cell>
          <cell r="H460">
            <v>2708.8</v>
          </cell>
          <cell r="I460">
            <v>24.83</v>
          </cell>
          <cell r="J460">
            <v>29.19</v>
          </cell>
          <cell r="K460">
            <v>2739.77</v>
          </cell>
        </row>
        <row r="461">
          <cell r="A461" t="str">
            <v>1.8.6.8</v>
          </cell>
          <cell r="B461">
            <v>94975</v>
          </cell>
          <cell r="C461" t="str">
            <v>CONCRETO FCK = 15MPA, TRAÇO 1:3,4:3,5 (EM MASSA SECA DE CIMENTO/ AREIA MÉDIA/ BRITA 1) - PREPARO MANUAL. AF_05/2021</v>
          </cell>
          <cell r="D461" t="str">
            <v>M3</v>
          </cell>
          <cell r="E461">
            <v>9.98</v>
          </cell>
          <cell r="F461">
            <v>457.19</v>
          </cell>
          <cell r="G461">
            <v>565.04</v>
          </cell>
          <cell r="H461">
            <v>5639.1</v>
          </cell>
          <cell r="I461">
            <v>469.42</v>
          </cell>
          <cell r="J461">
            <v>551.9</v>
          </cell>
          <cell r="K461">
            <v>5507.96</v>
          </cell>
        </row>
        <row r="462">
          <cell r="A462" t="str">
            <v>1.8.6.9</v>
          </cell>
          <cell r="B462" t="str">
            <v>CP-74157/004-48264518</v>
          </cell>
          <cell r="C462" t="str">
            <v>LANCAMENTO/APLICACAO MANUAL DE CONCRETO EM FUNDACOES (concreto magro)</v>
          </cell>
          <cell r="D462" t="str">
            <v>M3</v>
          </cell>
          <cell r="E462">
            <v>36.659999999999997</v>
          </cell>
          <cell r="F462">
            <v>116.59</v>
          </cell>
          <cell r="G462">
            <v>144.09</v>
          </cell>
          <cell r="H462">
            <v>5282.34</v>
          </cell>
          <cell r="I462">
            <v>129.79</v>
          </cell>
          <cell r="J462">
            <v>152.59</v>
          </cell>
          <cell r="K462">
            <v>5593.95</v>
          </cell>
        </row>
        <row r="463">
          <cell r="A463" t="str">
            <v>1.8.7</v>
          </cell>
          <cell r="B463"/>
          <cell r="C463" t="str">
            <v>SINALIZAÇÃO</v>
          </cell>
          <cell r="D463"/>
          <cell r="E463"/>
          <cell r="F463"/>
          <cell r="G463"/>
          <cell r="H463">
            <v>3652.51</v>
          </cell>
          <cell r="I463"/>
          <cell r="J463"/>
          <cell r="K463">
            <v>3595.29</v>
          </cell>
        </row>
        <row r="464">
          <cell r="A464" t="str">
            <v>1.8.7.1</v>
          </cell>
          <cell r="B464">
            <v>5213416</v>
          </cell>
          <cell r="C464" t="str">
            <v>Confecção de placa em aço nº 16 galvanizado, com película tipo I + I</v>
          </cell>
          <cell r="D464" t="str">
            <v xml:space="preserve">M2    </v>
          </cell>
          <cell r="E464">
            <v>0.6</v>
          </cell>
          <cell r="F464">
            <v>351.9</v>
          </cell>
          <cell r="G464">
            <v>434.91</v>
          </cell>
          <cell r="H464">
            <v>260.95</v>
          </cell>
          <cell r="I464">
            <v>355.35</v>
          </cell>
          <cell r="J464">
            <v>417.78</v>
          </cell>
          <cell r="K464">
            <v>250.67</v>
          </cell>
        </row>
        <row r="465">
          <cell r="A465" t="str">
            <v>1.8.7.2</v>
          </cell>
          <cell r="B465">
            <v>5213421</v>
          </cell>
          <cell r="C465" t="str">
            <v>Confecção de placa em aço nº 16 galvanizado, com película tipo I + IV</v>
          </cell>
          <cell r="D465" t="str">
            <v xml:space="preserve">M2    </v>
          </cell>
          <cell r="E465">
            <v>0.9</v>
          </cell>
          <cell r="F465">
            <v>343.8</v>
          </cell>
          <cell r="G465">
            <v>424.9</v>
          </cell>
          <cell r="H465">
            <v>382.41</v>
          </cell>
          <cell r="I465">
            <v>347.25</v>
          </cell>
          <cell r="J465">
            <v>408.26</v>
          </cell>
          <cell r="K465">
            <v>367.43</v>
          </cell>
        </row>
        <row r="466">
          <cell r="A466" t="str">
            <v>1.8.7.3</v>
          </cell>
          <cell r="B466">
            <v>5216111</v>
          </cell>
          <cell r="C466" t="str">
            <v>FORNECIMENTO E IMPLANTAÇÃO DE SUPORTE E TRAVESSA PARA PLACA DE SINALIZAÇÃO EM MADEIRA DE LEI TRATADA 8 X 8 CM</v>
          </cell>
          <cell r="D466" t="str">
            <v>UND</v>
          </cell>
          <cell r="E466">
            <v>3</v>
          </cell>
          <cell r="F466">
            <v>119.1379</v>
          </cell>
          <cell r="G466">
            <v>147.24</v>
          </cell>
          <cell r="H466">
            <v>441.72</v>
          </cell>
          <cell r="I466">
            <v>121.48</v>
          </cell>
          <cell r="J466">
            <v>142.82</v>
          </cell>
          <cell r="K466">
            <v>428.46</v>
          </cell>
        </row>
        <row r="467">
          <cell r="A467" t="str">
            <v>1.8.7.4</v>
          </cell>
          <cell r="B467" t="str">
            <v>COMP-58084869</v>
          </cell>
          <cell r="C467" t="str">
            <v>PLACA ESMALTADA PARA IDENTIFICAÇÃO NR DE RUA, DIMENSÕES 45X25CM</v>
          </cell>
          <cell r="D467" t="str">
            <v>UND</v>
          </cell>
          <cell r="E467">
            <v>2</v>
          </cell>
          <cell r="F467">
            <v>155.54</v>
          </cell>
          <cell r="G467">
            <v>192.23</v>
          </cell>
          <cell r="H467">
            <v>384.46</v>
          </cell>
          <cell r="I467">
            <v>156.33000000000001</v>
          </cell>
          <cell r="J467">
            <v>183.8</v>
          </cell>
          <cell r="K467">
            <v>367.6</v>
          </cell>
        </row>
        <row r="468">
          <cell r="A468" t="str">
            <v>1.8.7.5</v>
          </cell>
          <cell r="B468">
            <v>102512</v>
          </cell>
          <cell r="C468" t="str">
            <v>PINTURA DE EIXO VIÁRIO SOBRE ASFALTO COM TINTA RETRORREFLETIVA A BASE DE RESINA ACRÍLICA COM MICROESFERAS DE VIDRO, APLICAÇÃO MECÂNICA COM DEMARCADORA AUTOPROPELIDA. AF_05/2021</v>
          </cell>
          <cell r="D468" t="str">
            <v>M</v>
          </cell>
          <cell r="E468">
            <v>284.02</v>
          </cell>
          <cell r="F468">
            <v>5.22</v>
          </cell>
          <cell r="G468">
            <v>6.45</v>
          </cell>
          <cell r="H468">
            <v>1831.93</v>
          </cell>
          <cell r="I468">
            <v>5.48</v>
          </cell>
          <cell r="J468">
            <v>6.44</v>
          </cell>
          <cell r="K468">
            <v>1829.09</v>
          </cell>
        </row>
        <row r="469">
          <cell r="A469" t="str">
            <v>1.8.7.6</v>
          </cell>
          <cell r="B469">
            <v>102509</v>
          </cell>
          <cell r="C469" t="str">
            <v>PINTURA DE FAIXA DE PEDESTRE OU ZEBRADA TINTA RETRORREFLETIVA A BASE DE RESINA ACRÍLICA COM MICROESFERAS DE VIDRO, E = 30 CM, APLICAÇÃO MANUAL. AF_05/2021</v>
          </cell>
          <cell r="D469" t="str">
            <v>M2</v>
          </cell>
          <cell r="E469">
            <v>12.4</v>
          </cell>
          <cell r="F469">
            <v>22.91</v>
          </cell>
          <cell r="G469">
            <v>28.31</v>
          </cell>
          <cell r="H469">
            <v>351.04</v>
          </cell>
          <cell r="I469">
            <v>24.15</v>
          </cell>
          <cell r="J469">
            <v>28.39</v>
          </cell>
          <cell r="K469">
            <v>352.04</v>
          </cell>
        </row>
        <row r="470">
          <cell r="A470" t="str">
            <v>1.8.8</v>
          </cell>
          <cell r="B470"/>
          <cell r="C470" t="str">
            <v>ACESSIBILIDADE</v>
          </cell>
          <cell r="D470"/>
          <cell r="E470"/>
          <cell r="F470"/>
          <cell r="G470"/>
          <cell r="H470">
            <v>1289.3800000000001</v>
          </cell>
          <cell r="I470"/>
          <cell r="J470"/>
          <cell r="K470">
            <v>1267.97</v>
          </cell>
        </row>
        <row r="471">
          <cell r="A471" t="str">
            <v>1.8.8.1</v>
          </cell>
          <cell r="B471" t="str">
            <v>CP-S12039-81921471</v>
          </cell>
          <cell r="C471" t="str">
            <v>Piso tátil direcional e/ou alerta, de concreto, na cor natural, p/deficientes visuais, dimensões 40x40cm, aplicado com argamassa industrializada ac-ii, rejuntado, exclusive regularização de base</v>
          </cell>
          <cell r="D471" t="str">
            <v>M2</v>
          </cell>
          <cell r="E471">
            <v>9.6</v>
          </cell>
          <cell r="F471">
            <v>108.67</v>
          </cell>
          <cell r="G471">
            <v>134.31</v>
          </cell>
          <cell r="H471">
            <v>1289.3800000000001</v>
          </cell>
          <cell r="I471">
            <v>112.34</v>
          </cell>
          <cell r="J471">
            <v>132.08000000000001</v>
          </cell>
          <cell r="K471">
            <v>1267.97</v>
          </cell>
        </row>
        <row r="472">
          <cell r="A472" t="str">
            <v>1.8.9</v>
          </cell>
          <cell r="B472"/>
          <cell r="C472" t="str">
            <v>MATERIAIS</v>
          </cell>
          <cell r="D472"/>
          <cell r="E472"/>
          <cell r="F472"/>
          <cell r="G472"/>
          <cell r="H472">
            <v>94737.05</v>
          </cell>
          <cell r="I472"/>
          <cell r="J472"/>
          <cell r="K472">
            <v>90320.54</v>
          </cell>
        </row>
        <row r="473">
          <cell r="A473" t="str">
            <v>1.8.9.1</v>
          </cell>
          <cell r="B473">
            <v>10775</v>
          </cell>
          <cell r="C473" t="str">
            <v xml:space="preserve">LOCACAO DE CONTAINER 2,30 X 6,00 M, ALT. 2,50 M, COM 1 SANITARIO, PARA ESCRITORIO, COMPLETO, SEM DIVISORIAS INTERNAS (NAO INCLUI MOBILIZACAO/DESMOBILIZACAO)                                                                                                                                                                                                                                                                                                                                              </v>
          </cell>
          <cell r="D473" t="str">
            <v xml:space="preserve">MES   </v>
          </cell>
          <cell r="E473">
            <v>2</v>
          </cell>
          <cell r="F473">
            <v>830</v>
          </cell>
          <cell r="G473">
            <v>958.32</v>
          </cell>
          <cell r="H473">
            <v>1916.64</v>
          </cell>
          <cell r="I473">
            <v>830</v>
          </cell>
          <cell r="J473">
            <v>913.58</v>
          </cell>
          <cell r="K473">
            <v>1827.16</v>
          </cell>
        </row>
        <row r="474">
          <cell r="A474" t="str">
            <v>1.8.9.2</v>
          </cell>
          <cell r="B474">
            <v>10776</v>
          </cell>
          <cell r="C474" t="str">
            <v xml:space="preserve">LOCACAO DE CONTAINER 2,30 X 6,00 M, ALT. 2,50 M, PARA ESCRITORIO, SEM DIVISORIAS INTERNAS E SEM SANITARIO (NAO INCLUI MOBILIZACAO/DESMOBILIZACAO)                                                                                                                                                                                                                                                                                                                                                         </v>
          </cell>
          <cell r="D474" t="str">
            <v xml:space="preserve">MES   </v>
          </cell>
          <cell r="E474">
            <v>2</v>
          </cell>
          <cell r="F474">
            <v>648.42999999999995</v>
          </cell>
          <cell r="G474">
            <v>748.68</v>
          </cell>
          <cell r="H474">
            <v>1497.36</v>
          </cell>
          <cell r="I474">
            <v>648.42999999999995</v>
          </cell>
          <cell r="J474">
            <v>713.73</v>
          </cell>
          <cell r="K474">
            <v>1427.46</v>
          </cell>
        </row>
        <row r="475">
          <cell r="A475" t="str">
            <v>1.8.9.3</v>
          </cell>
          <cell r="B475">
            <v>1518</v>
          </cell>
          <cell r="C475" t="str">
            <v xml:space="preserve">CONCRETO BETUMINOSO USINADO A QUENTE (CBUQ) PARA PAVIMENTACAO ASFALTICA, PADRAO DNIT, FAIXA C, COM CAP 50/70 - AQUISICAO POSTO USINA                                                                                                                                                                                                                                                                                                                                                                      </v>
          </cell>
          <cell r="D475" t="str">
            <v xml:space="preserve">T     </v>
          </cell>
          <cell r="E475">
            <v>73.650000000000006</v>
          </cell>
          <cell r="F475">
            <v>522.5</v>
          </cell>
          <cell r="G475">
            <v>603.28</v>
          </cell>
          <cell r="H475">
            <v>44431.57</v>
          </cell>
          <cell r="I475">
            <v>522.5</v>
          </cell>
          <cell r="J475">
            <v>575.12</v>
          </cell>
          <cell r="K475">
            <v>42357.59</v>
          </cell>
        </row>
        <row r="476">
          <cell r="A476" t="str">
            <v>1.8.9.4</v>
          </cell>
          <cell r="B476" t="str">
            <v>INS-185032</v>
          </cell>
          <cell r="C476" t="str">
            <v>BRITA GRADUADA SIMPLES (BGS)</v>
          </cell>
          <cell r="D476" t="str">
            <v>M3</v>
          </cell>
          <cell r="E476">
            <v>114.52</v>
          </cell>
          <cell r="F476">
            <v>56.099999999999994</v>
          </cell>
          <cell r="G476">
            <v>64.77</v>
          </cell>
          <cell r="H476">
            <v>7417.46</v>
          </cell>
          <cell r="I476">
            <v>56.099999999999994</v>
          </cell>
          <cell r="J476">
            <v>61.75</v>
          </cell>
          <cell r="K476">
            <v>7071.61</v>
          </cell>
        </row>
        <row r="477">
          <cell r="A477" t="str">
            <v>1.8.9.5</v>
          </cell>
          <cell r="B477" t="str">
            <v>M0808</v>
          </cell>
          <cell r="C477" t="str">
            <v>Brita 4</v>
          </cell>
          <cell r="D477" t="str">
            <v>M3</v>
          </cell>
          <cell r="E477">
            <v>108.22</v>
          </cell>
          <cell r="F477">
            <v>90.74</v>
          </cell>
          <cell r="G477">
            <v>104.77</v>
          </cell>
          <cell r="H477">
            <v>11338.21</v>
          </cell>
          <cell r="I477">
            <v>90.74</v>
          </cell>
          <cell r="J477">
            <v>99.88</v>
          </cell>
          <cell r="K477">
            <v>10809.01</v>
          </cell>
        </row>
        <row r="478">
          <cell r="A478" t="str">
            <v>1.8.9.6</v>
          </cell>
          <cell r="B478" t="str">
            <v>M1135</v>
          </cell>
          <cell r="C478" t="str">
            <v>Pó de pedra</v>
          </cell>
          <cell r="D478" t="str">
            <v>M3</v>
          </cell>
          <cell r="E478">
            <v>12.02</v>
          </cell>
          <cell r="F478">
            <v>74.53</v>
          </cell>
          <cell r="G478">
            <v>86.05</v>
          </cell>
          <cell r="H478">
            <v>1034.32</v>
          </cell>
          <cell r="I478">
            <v>74.53</v>
          </cell>
          <cell r="J478">
            <v>82.04</v>
          </cell>
          <cell r="K478">
            <v>986.12</v>
          </cell>
        </row>
        <row r="479">
          <cell r="A479" t="str">
            <v>1.8.9.7</v>
          </cell>
          <cell r="B479" t="str">
            <v>INS-54745269</v>
          </cell>
          <cell r="C479" t="str">
            <v>ASFALTO DILUÍDO CM - 30 - JUNHO/22</v>
          </cell>
          <cell r="D479" t="str">
            <v>KG</v>
          </cell>
          <cell r="E479">
            <v>692.08</v>
          </cell>
          <cell r="F479">
            <v>5.32</v>
          </cell>
          <cell r="G479">
            <v>6.14</v>
          </cell>
          <cell r="H479">
            <v>4249.37</v>
          </cell>
          <cell r="I479">
            <v>5.32</v>
          </cell>
          <cell r="J479">
            <v>5.86</v>
          </cell>
          <cell r="K479">
            <v>4055.59</v>
          </cell>
        </row>
        <row r="480">
          <cell r="A480" t="str">
            <v>1.8.9.8</v>
          </cell>
          <cell r="B480">
            <v>34492</v>
          </cell>
          <cell r="C480" t="str">
            <v xml:space="preserve">CONCRETO USINADO BOMBEAVEL, CLASSE DE RESISTENCIA C20, COM BRITA 0 E 1, SLUMP = 100 +/- 20 MM, EXCLUI SERVICO DE BOMBEAMENTO (NBR 8953)                                                                                                                                                                                                                                                                                                                                                                   </v>
          </cell>
          <cell r="D480" t="str">
            <v xml:space="preserve">M3    </v>
          </cell>
          <cell r="E480">
            <v>30.33</v>
          </cell>
          <cell r="F480">
            <v>422.5</v>
          </cell>
          <cell r="G480">
            <v>487.82</v>
          </cell>
          <cell r="H480">
            <v>14795.58</v>
          </cell>
          <cell r="I480">
            <v>422.5</v>
          </cell>
          <cell r="J480">
            <v>465.05</v>
          </cell>
          <cell r="K480">
            <v>14104.97</v>
          </cell>
        </row>
        <row r="481">
          <cell r="A481" t="str">
            <v>1.8.9.9</v>
          </cell>
          <cell r="B481">
            <v>1345</v>
          </cell>
          <cell r="C481" t="str">
            <v xml:space="preserve">CHAPA/PAINEL DE MADEIRA COMPENSADA PLASTIFICADA (MADEIRITE PLASTIFICADO) PARA FORMA DE CONCRETO, DE 2200 x 1100 MM, E = *17* MM                                                                                                                                                                                                                                                                                                                                                                           </v>
          </cell>
          <cell r="D481" t="str">
            <v xml:space="preserve">M2    </v>
          </cell>
          <cell r="E481">
            <v>73.92</v>
          </cell>
          <cell r="F481">
            <v>94.4</v>
          </cell>
          <cell r="G481">
            <v>108.99</v>
          </cell>
          <cell r="H481">
            <v>8056.54</v>
          </cell>
          <cell r="I481">
            <v>94.4</v>
          </cell>
          <cell r="J481">
            <v>103.91</v>
          </cell>
          <cell r="K481">
            <v>7681.03</v>
          </cell>
        </row>
        <row r="482">
          <cell r="A482" t="str">
            <v>1.9</v>
          </cell>
          <cell r="B482"/>
          <cell r="C482" t="str">
            <v>RUA DO FOGO - CURCURANA</v>
          </cell>
          <cell r="D482"/>
          <cell r="E482"/>
          <cell r="F482"/>
          <cell r="G482"/>
          <cell r="H482">
            <v>328955.39</v>
          </cell>
          <cell r="I482"/>
          <cell r="J482"/>
          <cell r="K482">
            <v>320478.02</v>
          </cell>
        </row>
        <row r="483">
          <cell r="A483" t="str">
            <v>1.9.1</v>
          </cell>
          <cell r="B483"/>
          <cell r="C483" t="str">
            <v>INSTALAÇÕES PROVISÓRIAS</v>
          </cell>
          <cell r="D483"/>
          <cell r="E483"/>
          <cell r="F483"/>
          <cell r="G483"/>
          <cell r="H483">
            <v>7250.74</v>
          </cell>
          <cell r="I483"/>
          <cell r="J483"/>
          <cell r="K483">
            <v>6960.06</v>
          </cell>
        </row>
        <row r="484">
          <cell r="A484" t="str">
            <v>1.9.1.1</v>
          </cell>
          <cell r="B484" t="str">
            <v>CP-74209/001-15055090</v>
          </cell>
          <cell r="C484" t="str">
            <v>PLACA DE OBRA EM CHAPA DE ACO GALVANIZADO</v>
          </cell>
          <cell r="D484" t="str">
            <v xml:space="preserve">M2    </v>
          </cell>
          <cell r="E484">
            <v>8</v>
          </cell>
          <cell r="F484">
            <v>558.35</v>
          </cell>
          <cell r="G484">
            <v>690.06</v>
          </cell>
          <cell r="H484">
            <v>5520.48</v>
          </cell>
          <cell r="I484">
            <v>564.99</v>
          </cell>
          <cell r="J484">
            <v>664.26</v>
          </cell>
          <cell r="K484">
            <v>5314.08</v>
          </cell>
        </row>
        <row r="485">
          <cell r="A485" t="str">
            <v>1.9.1.2</v>
          </cell>
          <cell r="B485" t="str">
            <v>COMP-07440249</v>
          </cell>
          <cell r="C485" t="str">
            <v>BANHEIRO QUÍMICO, COM LOCAÇÃO, TRANSPORTE E LIMPEZA</v>
          </cell>
          <cell r="D485" t="str">
            <v>MÊS</v>
          </cell>
          <cell r="E485">
            <v>2</v>
          </cell>
          <cell r="F485">
            <v>700</v>
          </cell>
          <cell r="G485">
            <v>865.13</v>
          </cell>
          <cell r="H485">
            <v>1730.26</v>
          </cell>
          <cell r="I485">
            <v>700</v>
          </cell>
          <cell r="J485">
            <v>822.99</v>
          </cell>
          <cell r="K485">
            <v>1645.98</v>
          </cell>
        </row>
        <row r="486">
          <cell r="A486" t="str">
            <v>1.9.2</v>
          </cell>
          <cell r="B486"/>
          <cell r="C486" t="str">
            <v>ADMINISTRAÇÃO LOCAL</v>
          </cell>
          <cell r="D486"/>
          <cell r="E486"/>
          <cell r="F486"/>
          <cell r="G486"/>
          <cell r="H486">
            <v>11673.7</v>
          </cell>
          <cell r="I486"/>
          <cell r="J486"/>
          <cell r="K486">
            <v>12787.84</v>
          </cell>
        </row>
        <row r="487">
          <cell r="A487" t="str">
            <v>1.9.2.1</v>
          </cell>
          <cell r="B487">
            <v>93565</v>
          </cell>
          <cell r="C487" t="str">
            <v>ENGENHEIRO CIVIL DE OBRA JUNIOR COM ENCARGOS COMPLEMENTARES</v>
          </cell>
          <cell r="D487" t="str">
            <v>MES</v>
          </cell>
          <cell r="E487">
            <v>0.25</v>
          </cell>
          <cell r="F487">
            <v>14549.96</v>
          </cell>
          <cell r="G487">
            <v>17982.3</v>
          </cell>
          <cell r="H487">
            <v>4495.58</v>
          </cell>
          <cell r="I487">
            <v>16819.14</v>
          </cell>
          <cell r="J487">
            <v>19774.259999999998</v>
          </cell>
          <cell r="K487">
            <v>4943.57</v>
          </cell>
        </row>
        <row r="488">
          <cell r="A488" t="str">
            <v>1.9.2.2</v>
          </cell>
          <cell r="B488">
            <v>93572</v>
          </cell>
          <cell r="C488" t="str">
            <v>ENCARREGADO GERAL DE OBRAS COM ENCARGOS COMPLEMENTARES</v>
          </cell>
          <cell r="D488" t="str">
            <v>MES</v>
          </cell>
          <cell r="E488">
            <v>1</v>
          </cell>
          <cell r="F488">
            <v>5808.01</v>
          </cell>
          <cell r="G488">
            <v>7178.12</v>
          </cell>
          <cell r="H488">
            <v>7178.12</v>
          </cell>
          <cell r="I488">
            <v>6672</v>
          </cell>
          <cell r="J488">
            <v>7844.27</v>
          </cell>
          <cell r="K488">
            <v>7844.27</v>
          </cell>
        </row>
        <row r="489">
          <cell r="A489" t="str">
            <v>1.9.3</v>
          </cell>
          <cell r="B489"/>
          <cell r="C489" t="str">
            <v>SERVIÇOS PRELIMINARES</v>
          </cell>
          <cell r="D489"/>
          <cell r="E489"/>
          <cell r="F489"/>
          <cell r="G489"/>
          <cell r="H489">
            <v>2662.11</v>
          </cell>
          <cell r="I489"/>
          <cell r="J489"/>
          <cell r="K489">
            <v>2782.39</v>
          </cell>
        </row>
        <row r="490">
          <cell r="A490" t="str">
            <v>1.9.3.1</v>
          </cell>
          <cell r="B490">
            <v>99064</v>
          </cell>
          <cell r="C490" t="str">
            <v>LOCAÇÃO DE PAVIMENTAÇÃO. AF_10/2018</v>
          </cell>
          <cell r="D490" t="str">
            <v>M</v>
          </cell>
          <cell r="E490">
            <v>118.58</v>
          </cell>
          <cell r="F490">
            <v>0.43</v>
          </cell>
          <cell r="G490">
            <v>0.53</v>
          </cell>
          <cell r="H490">
            <v>62.85</v>
          </cell>
          <cell r="I490">
            <v>0.49</v>
          </cell>
          <cell r="J490">
            <v>0.57999999999999996</v>
          </cell>
          <cell r="K490">
            <v>68.78</v>
          </cell>
        </row>
        <row r="491">
          <cell r="A491" t="str">
            <v>1.9.3.2</v>
          </cell>
          <cell r="B491" t="str">
            <v>COMP-17562084</v>
          </cell>
          <cell r="C491" t="str">
            <v>DEMOLIÇÃO MANUAL DE CONCRETO SIMPLES</v>
          </cell>
          <cell r="D491" t="str">
            <v>M3</v>
          </cell>
          <cell r="E491">
            <v>8.36</v>
          </cell>
          <cell r="F491">
            <v>190.89</v>
          </cell>
          <cell r="G491">
            <v>235.92</v>
          </cell>
          <cell r="H491">
            <v>1972.29</v>
          </cell>
          <cell r="I491">
            <v>212.24</v>
          </cell>
          <cell r="J491">
            <v>249.53</v>
          </cell>
          <cell r="K491">
            <v>2086.0700000000002</v>
          </cell>
        </row>
        <row r="492">
          <cell r="A492" t="str">
            <v>1.9.3.3</v>
          </cell>
          <cell r="B492" t="str">
            <v>COMP-01471766</v>
          </cell>
          <cell r="C492" t="str">
            <v>DEMOLIÇÃO DE MEIO-FIO</v>
          </cell>
          <cell r="D492" t="str">
            <v>M</v>
          </cell>
          <cell r="E492">
            <v>19.7</v>
          </cell>
          <cell r="F492">
            <v>10.02</v>
          </cell>
          <cell r="G492">
            <v>12.38</v>
          </cell>
          <cell r="H492">
            <v>243.89</v>
          </cell>
          <cell r="I492">
            <v>11.13</v>
          </cell>
          <cell r="J492">
            <v>13.09</v>
          </cell>
          <cell r="K492">
            <v>257.87</v>
          </cell>
        </row>
        <row r="493">
          <cell r="A493" t="str">
            <v>1.9.3.4</v>
          </cell>
          <cell r="B493" t="str">
            <v>COMP-35145154</v>
          </cell>
          <cell r="C493" t="str">
            <v>CARGA E DESCARGA MECANICA DE SOLO UTILIZANDO CAMINHAO BASCULANTE 14,0M3/36T E PA CARREGADEIRA SOBRE PNEUS 128 HP, CAPACIDADE DA CAÇAMBA 1,7 A 2,8 M3, PESO OPERACIONAL 11632 KH</v>
          </cell>
          <cell r="D493" t="str">
            <v>M3</v>
          </cell>
          <cell r="E493">
            <v>11.56</v>
          </cell>
          <cell r="F493">
            <v>2.83</v>
          </cell>
          <cell r="G493">
            <v>3.5</v>
          </cell>
          <cell r="H493">
            <v>40.46</v>
          </cell>
          <cell r="I493">
            <v>2.9</v>
          </cell>
          <cell r="J493">
            <v>3.41</v>
          </cell>
          <cell r="K493">
            <v>39.42</v>
          </cell>
        </row>
        <row r="494">
          <cell r="A494" t="str">
            <v>1.9.3.5</v>
          </cell>
          <cell r="B494">
            <v>95876</v>
          </cell>
          <cell r="C494" t="str">
            <v>TRANSPORTE COM CAMINHÃO BASCULANTE DE 14 M³, EM VIA URBANA PAVIMENTADA, DMT ATÉ 30 KM (UNIDADE: M3XKM). AF_07/2020</v>
          </cell>
          <cell r="D494" t="str">
            <v>M3XKM</v>
          </cell>
          <cell r="E494">
            <v>123.69</v>
          </cell>
          <cell r="F494">
            <v>2.2400000000000002</v>
          </cell>
          <cell r="G494">
            <v>2.77</v>
          </cell>
          <cell r="H494">
            <v>342.62</v>
          </cell>
          <cell r="I494">
            <v>2.27</v>
          </cell>
          <cell r="J494">
            <v>2.67</v>
          </cell>
          <cell r="K494">
            <v>330.25</v>
          </cell>
        </row>
        <row r="495">
          <cell r="A495" t="str">
            <v>1.9.4</v>
          </cell>
          <cell r="B495"/>
          <cell r="C495" t="str">
            <v>TERRAPLENAGEM</v>
          </cell>
          <cell r="D495"/>
          <cell r="E495"/>
          <cell r="F495"/>
          <cell r="G495"/>
          <cell r="H495">
            <v>26676.22</v>
          </cell>
          <cell r="I495"/>
          <cell r="J495"/>
          <cell r="K495">
            <v>25754.36</v>
          </cell>
        </row>
        <row r="496">
          <cell r="A496" t="str">
            <v>1.9.4.1</v>
          </cell>
          <cell r="B496" t="str">
            <v>CP-74205/001-17324935</v>
          </cell>
          <cell r="C496" t="str">
            <v>ESCAVAÇÃO MECÂNICA DE MATERIAL 1A. CATEGORIA, PROVENIENTE DE CORTE DE SUBLEITO (C/TRATOR ESTEIRAS  160HP)</v>
          </cell>
          <cell r="D496" t="str">
            <v>M3</v>
          </cell>
          <cell r="E496">
            <v>598.61</v>
          </cell>
          <cell r="F496">
            <v>2.54</v>
          </cell>
          <cell r="G496">
            <v>3.14</v>
          </cell>
          <cell r="H496">
            <v>1879.64</v>
          </cell>
          <cell r="I496">
            <v>2.59</v>
          </cell>
          <cell r="J496">
            <v>3.05</v>
          </cell>
          <cell r="K496">
            <v>1825.76</v>
          </cell>
        </row>
        <row r="497">
          <cell r="A497" t="str">
            <v>1.9.4.2</v>
          </cell>
          <cell r="B497" t="str">
            <v>COMP-35145154</v>
          </cell>
          <cell r="C497" t="str">
            <v>CARGA E DESCARGA MECANICA DE SOLO UTILIZANDO CAMINHAO BASCULANTE 14,0M3/36T E PA CARREGADEIRA SOBRE PNEUS 128 HP, CAPACIDADE DA CAÇAMBA 1,7 A 2,8 M3, PESO OPERACIONAL 11632 KH</v>
          </cell>
          <cell r="D497" t="str">
            <v>M3</v>
          </cell>
          <cell r="E497">
            <v>748.26</v>
          </cell>
          <cell r="F497">
            <v>2.83</v>
          </cell>
          <cell r="G497">
            <v>3.5</v>
          </cell>
          <cell r="H497">
            <v>2618.91</v>
          </cell>
          <cell r="I497">
            <v>2.9</v>
          </cell>
          <cell r="J497">
            <v>3.41</v>
          </cell>
          <cell r="K497">
            <v>2551.5700000000002</v>
          </cell>
        </row>
        <row r="498">
          <cell r="A498" t="str">
            <v>1.9.4.3</v>
          </cell>
          <cell r="B498">
            <v>95876</v>
          </cell>
          <cell r="C498" t="str">
            <v>TRANSPORTE COM CAMINHÃO BASCULANTE DE 14 M³, EM VIA URBANA PAVIMENTADA, DMT ATÉ 30 KM (UNIDADE: M3XKM). AF_07/2020</v>
          </cell>
          <cell r="D498" t="str">
            <v>M3XKM</v>
          </cell>
          <cell r="E498">
            <v>8006.38</v>
          </cell>
          <cell r="F498">
            <v>2.2400000000000002</v>
          </cell>
          <cell r="G498">
            <v>2.77</v>
          </cell>
          <cell r="H498">
            <v>22177.67</v>
          </cell>
          <cell r="I498">
            <v>2.27</v>
          </cell>
          <cell r="J498">
            <v>2.67</v>
          </cell>
          <cell r="K498">
            <v>21377.03</v>
          </cell>
        </row>
        <row r="499">
          <cell r="A499" t="str">
            <v>1.9.5</v>
          </cell>
          <cell r="B499"/>
          <cell r="C499" t="str">
            <v>PAVIMENTAÇÃO</v>
          </cell>
          <cell r="D499"/>
          <cell r="E499"/>
          <cell r="F499"/>
          <cell r="G499"/>
          <cell r="H499">
            <v>76605.710000000006</v>
          </cell>
          <cell r="I499"/>
          <cell r="J499"/>
          <cell r="K499">
            <v>75049.03</v>
          </cell>
        </row>
        <row r="500">
          <cell r="A500" t="str">
            <v>1.9.5.1</v>
          </cell>
          <cell r="B500">
            <v>100576</v>
          </cell>
          <cell r="C500" t="str">
            <v>REGULARIZAÇÃO E COMPACTAÇÃO DE SUBLEITO DE SOLO  PREDOMINANTEMENTE ARGILOSO. AF_11/2019</v>
          </cell>
          <cell r="D500" t="str">
            <v>M2</v>
          </cell>
          <cell r="E500">
            <v>948.64</v>
          </cell>
          <cell r="F500">
            <v>2.64</v>
          </cell>
          <cell r="G500">
            <v>3.26</v>
          </cell>
          <cell r="H500">
            <v>3092.57</v>
          </cell>
          <cell r="I500">
            <v>2.79</v>
          </cell>
          <cell r="J500">
            <v>3.28</v>
          </cell>
          <cell r="K500">
            <v>3111.54</v>
          </cell>
        </row>
        <row r="501">
          <cell r="A501" t="str">
            <v>1.9.5.2</v>
          </cell>
          <cell r="B501" t="str">
            <v>COMP-47176600</v>
          </cell>
          <cell r="C501" t="str">
            <v xml:space="preserve">EXEC. DE ATERRO COM AREIA COM ADENSAMENTO HIDRAULICO </v>
          </cell>
          <cell r="D501" t="str">
            <v xml:space="preserve">M3    </v>
          </cell>
          <cell r="E501">
            <v>124.51</v>
          </cell>
          <cell r="F501">
            <v>103.23</v>
          </cell>
          <cell r="G501">
            <v>127.58</v>
          </cell>
          <cell r="H501">
            <v>15884.99</v>
          </cell>
          <cell r="I501">
            <v>104.33</v>
          </cell>
          <cell r="J501">
            <v>122.66</v>
          </cell>
          <cell r="K501">
            <v>15272.4</v>
          </cell>
        </row>
        <row r="502">
          <cell r="A502" t="str">
            <v>1.9.5.3</v>
          </cell>
          <cell r="B502" t="str">
            <v>COMP-28881239</v>
          </cell>
          <cell r="C502" t="str">
            <v>Base ou sub-base de macadame hidráulico com brita comercial - EXCLUSIVE MATERIAL, CARGA E TRANSPORTE - NÃO DESONERADO</v>
          </cell>
          <cell r="D502" t="str">
            <v>M3</v>
          </cell>
          <cell r="E502">
            <v>124.51</v>
          </cell>
          <cell r="F502">
            <v>11.24</v>
          </cell>
          <cell r="G502">
            <v>13.89</v>
          </cell>
          <cell r="H502">
            <v>1729.44</v>
          </cell>
          <cell r="I502">
            <v>11.4</v>
          </cell>
          <cell r="J502">
            <v>13.4</v>
          </cell>
          <cell r="K502">
            <v>1668.43</v>
          </cell>
        </row>
        <row r="503">
          <cell r="A503" t="str">
            <v>1.9.5.4</v>
          </cell>
          <cell r="B503" t="str">
            <v>CP-96396-26507981</v>
          </cell>
          <cell r="C503" t="str">
            <v>EXECUÇÃO E COMPACTAÇÃO DE BASE E OU SUB BASE PARA PAVIMENTAÇÃO DE BRITA GRADUADA SIMPLES - EXCLUSIVE MATERIAL, CARGA E TRANSPORTE</v>
          </cell>
          <cell r="D503" t="str">
            <v>M3</v>
          </cell>
          <cell r="E503">
            <v>142.30000000000001</v>
          </cell>
          <cell r="F503">
            <v>13.86</v>
          </cell>
          <cell r="G503">
            <v>17.13</v>
          </cell>
          <cell r="H503">
            <v>2437.6</v>
          </cell>
          <cell r="I503">
            <v>14.44</v>
          </cell>
          <cell r="J503">
            <v>16.98</v>
          </cell>
          <cell r="K503">
            <v>2416.25</v>
          </cell>
        </row>
        <row r="504">
          <cell r="A504" t="str">
            <v>1.9.5.5</v>
          </cell>
          <cell r="B504" t="str">
            <v>COMP-35145154</v>
          </cell>
          <cell r="C504" t="str">
            <v>CARGA E DESCARGA MECANICA DE SOLO UTILIZANDO CAMINHAO BASCULANTE 14,0M3/36T E PA CARREGADEIRA SOBRE PNEUS 128 HP, CAPACIDADE DA CAÇAMBA 1,7 A 2,8 M3, PESO OPERACIONAL 11632 KH</v>
          </cell>
          <cell r="D504" t="str">
            <v>M3</v>
          </cell>
          <cell r="E504">
            <v>333.51</v>
          </cell>
          <cell r="F504">
            <v>2.83</v>
          </cell>
          <cell r="G504">
            <v>3.5</v>
          </cell>
          <cell r="H504">
            <v>1167.29</v>
          </cell>
          <cell r="I504">
            <v>2.9</v>
          </cell>
          <cell r="J504">
            <v>3.41</v>
          </cell>
          <cell r="K504">
            <v>1137.27</v>
          </cell>
        </row>
        <row r="505">
          <cell r="A505" t="str">
            <v>1.9.5.6</v>
          </cell>
          <cell r="B505" t="str">
            <v>COMP-83526730</v>
          </cell>
          <cell r="C505" t="str">
            <v>TRANSPORTE COMERCIAL DE BRITA</v>
          </cell>
          <cell r="D505" t="str">
            <v>M3XKM</v>
          </cell>
          <cell r="E505">
            <v>4235.58</v>
          </cell>
          <cell r="F505">
            <v>1.36</v>
          </cell>
          <cell r="G505">
            <v>1.68</v>
          </cell>
          <cell r="H505">
            <v>7115.77</v>
          </cell>
          <cell r="I505">
            <v>1.37</v>
          </cell>
          <cell r="J505">
            <v>1.61</v>
          </cell>
          <cell r="K505">
            <v>6819.28</v>
          </cell>
        </row>
        <row r="506">
          <cell r="A506" t="str">
            <v>1.9.5.7</v>
          </cell>
          <cell r="B506" t="str">
            <v>CP-96401-52745838</v>
          </cell>
          <cell r="C506" t="str">
            <v>EXECUÇÃO DE IMPRIMAÇÃO COM ASFALTO DILUÍDO CM-30, EXCLUSIVE MATERIAL.</v>
          </cell>
          <cell r="D506" t="str">
            <v>M2</v>
          </cell>
          <cell r="E506">
            <v>668.67</v>
          </cell>
          <cell r="F506">
            <v>1.18</v>
          </cell>
          <cell r="G506">
            <v>1.46</v>
          </cell>
          <cell r="H506">
            <v>976.26</v>
          </cell>
          <cell r="I506">
            <v>1.24</v>
          </cell>
          <cell r="J506">
            <v>1.46</v>
          </cell>
          <cell r="K506">
            <v>976.26</v>
          </cell>
        </row>
        <row r="507">
          <cell r="A507" t="str">
            <v>1.9.5.8</v>
          </cell>
          <cell r="B507" t="str">
            <v>CP-95995-51339760</v>
          </cell>
          <cell r="C507" t="str">
            <v>EXECUÇÃO DE PAVIMENTO COM APLICAÇÃO DE CONCRETO ASFÁLTICO, CAMADA DE ROLAMENTO - EXCLUSIVE CARGA E TRANSPORTE E CONCRETO BETUMINOSO</v>
          </cell>
          <cell r="D507" t="str">
            <v>M3</v>
          </cell>
          <cell r="E507">
            <v>33.44</v>
          </cell>
          <cell r="F507">
            <v>127.58</v>
          </cell>
          <cell r="G507">
            <v>157.68</v>
          </cell>
          <cell r="H507">
            <v>5272.82</v>
          </cell>
          <cell r="I507">
            <v>133.37</v>
          </cell>
          <cell r="J507">
            <v>156.80000000000001</v>
          </cell>
          <cell r="K507">
            <v>5243.39</v>
          </cell>
        </row>
        <row r="508">
          <cell r="A508" t="str">
            <v>1.9.5.9</v>
          </cell>
          <cell r="B508" t="str">
            <v>COMP-10034101</v>
          </cell>
          <cell r="C508" t="str">
            <v>CARGA, MANOBRAS E DESCARGA DE MISTURA BETUMINOSA A QUENTE, COM CAMINHAO BASCULANTE 6 M3, DESCARGA EM VIBRO-ACABADORA</v>
          </cell>
          <cell r="D508" t="str">
            <v>M3</v>
          </cell>
          <cell r="E508">
            <v>33.44</v>
          </cell>
          <cell r="F508">
            <v>7.74</v>
          </cell>
          <cell r="G508">
            <v>9.57</v>
          </cell>
          <cell r="H508">
            <v>320.02</v>
          </cell>
          <cell r="I508">
            <v>7.86</v>
          </cell>
          <cell r="J508">
            <v>9.24</v>
          </cell>
          <cell r="K508">
            <v>308.99</v>
          </cell>
        </row>
        <row r="509">
          <cell r="A509" t="str">
            <v>1.9.5.10</v>
          </cell>
          <cell r="B509" t="str">
            <v>CP-95303-56931542</v>
          </cell>
          <cell r="C509" t="str">
            <v>TRANSPORTE COM CAMINHÃO BASCULANTE 10 M3 DE MASSA ASFALTICA PARA PAVIMENTAÇÃO URBANA</v>
          </cell>
          <cell r="D509" t="str">
            <v>M3XKM</v>
          </cell>
          <cell r="E509">
            <v>759.09</v>
          </cell>
          <cell r="F509">
            <v>1.75</v>
          </cell>
          <cell r="G509">
            <v>2.16</v>
          </cell>
          <cell r="H509">
            <v>1639.63</v>
          </cell>
          <cell r="I509">
            <v>1.77</v>
          </cell>
          <cell r="J509">
            <v>2.08</v>
          </cell>
          <cell r="K509">
            <v>1578.91</v>
          </cell>
        </row>
        <row r="510">
          <cell r="A510" t="str">
            <v>1.9.5.11</v>
          </cell>
          <cell r="B510" t="str">
            <v>CP-97084-89637704</v>
          </cell>
          <cell r="C510" t="str">
            <v>REGULARIZACAO E COMPACTAÇÃO MANUAL DE TERRENO COM PLACA VIBRATÓRIA</v>
          </cell>
          <cell r="D510" t="str">
            <v>M2</v>
          </cell>
          <cell r="E510">
            <v>564.66999999999996</v>
          </cell>
          <cell r="F510">
            <v>0.59</v>
          </cell>
          <cell r="G510">
            <v>0.73</v>
          </cell>
          <cell r="H510">
            <v>412.21</v>
          </cell>
          <cell r="I510">
            <v>0.65</v>
          </cell>
          <cell r="J510">
            <v>0.76</v>
          </cell>
          <cell r="K510">
            <v>429.15</v>
          </cell>
        </row>
        <row r="511">
          <cell r="A511" t="str">
            <v>1.9.5.12</v>
          </cell>
          <cell r="B511" t="str">
            <v>CP-94991-12549457</v>
          </cell>
          <cell r="C511" t="str">
            <v>EXECUÇÃO DE PASSEIO (CALÇADA) OU PISO DE CONCRETO COM CONCRETO MOLDADO IN LOCO, USINADO, ACABAMENTO CONVENCIONAL, NÃO ARMADO - EXCLUINDO O CONCRETO USINADO 20MPA</v>
          </cell>
          <cell r="D511" t="str">
            <v>M3</v>
          </cell>
          <cell r="E511">
            <v>36.14</v>
          </cell>
          <cell r="F511">
            <v>104.6</v>
          </cell>
          <cell r="G511">
            <v>129.28</v>
          </cell>
          <cell r="H511">
            <v>4672.18</v>
          </cell>
          <cell r="I511">
            <v>112.75</v>
          </cell>
          <cell r="J511">
            <v>132.56</v>
          </cell>
          <cell r="K511">
            <v>4790.72</v>
          </cell>
        </row>
        <row r="512">
          <cell r="A512" t="str">
            <v>1.9.5.13</v>
          </cell>
          <cell r="B512">
            <v>94273</v>
          </cell>
          <cell r="C512" t="str">
            <v>ASSENTAMENTO DE GUIA (MEIO-FIO) EM TRECHO RETO, CONFECCIONADA EM CONCRETO PRÉ-FABRICADO, DIMENSÕES 100X15X13X30 CM (COMPRIMENTO X BASE INFERIOR X BASE SUPERIOR X ALTURA), PARA VIAS URBANAS (USO VIÁRIO). AF_06/2016</v>
          </cell>
          <cell r="D512" t="str">
            <v>M</v>
          </cell>
          <cell r="E512">
            <v>270.06</v>
          </cell>
          <cell r="F512">
            <v>54.61</v>
          </cell>
          <cell r="G512">
            <v>67.489999999999995</v>
          </cell>
          <cell r="H512">
            <v>18226.349999999999</v>
          </cell>
          <cell r="I512">
            <v>56.47</v>
          </cell>
          <cell r="J512">
            <v>66.39</v>
          </cell>
          <cell r="K512">
            <v>17929.28</v>
          </cell>
        </row>
        <row r="513">
          <cell r="A513" t="str">
            <v>1.9.5.14</v>
          </cell>
          <cell r="B513">
            <v>94274</v>
          </cell>
          <cell r="C513" t="str">
            <v>ASSENTAMENTO DE GUIA (MEIO-FIO) EM TRECHO CURVO, CONFECCIONADA EM CONCRETO PRÉ-FABRICADO, DIMENSÕES 100X15X13X30 CM (COMPRIMENTO X BASE INFERIOR X BASE SUPERIOR X ALTURA), PARA VIAS URBANAS (USO VIÁRIO). AF_06/2016</v>
          </cell>
          <cell r="D513" t="str">
            <v>M</v>
          </cell>
          <cell r="E513">
            <v>18.07</v>
          </cell>
          <cell r="F513">
            <v>58.17</v>
          </cell>
          <cell r="G513">
            <v>71.89</v>
          </cell>
          <cell r="H513">
            <v>1299.05</v>
          </cell>
          <cell r="I513">
            <v>60.43</v>
          </cell>
          <cell r="J513">
            <v>71.05</v>
          </cell>
          <cell r="K513">
            <v>1283.8699999999999</v>
          </cell>
        </row>
        <row r="514">
          <cell r="A514" t="str">
            <v>1.9.5.15</v>
          </cell>
          <cell r="B514">
            <v>94275</v>
          </cell>
          <cell r="C514" t="str">
            <v>ASSENTAMENTO DE GUIA (MEIO-FIO) EM TRECHO RETO, CONFECCIONADA EM CONCRETO PRÉ-FABRICADO, DIMENSÕES 100X15X13X20 CM (COMPRIMENTO X BASE INFERIOR X BASE SUPERIOR X ALTURA), PARA URBANIZAÇÃO INTERNA DE EMPREENDIMENTOS. AF_06/2016_P</v>
          </cell>
          <cell r="D514" t="str">
            <v>M</v>
          </cell>
          <cell r="E514">
            <v>98</v>
          </cell>
          <cell r="F514">
            <v>52.64</v>
          </cell>
          <cell r="G514">
            <v>65.06</v>
          </cell>
          <cell r="H514">
            <v>6375.88</v>
          </cell>
          <cell r="I514">
            <v>54.31</v>
          </cell>
          <cell r="J514">
            <v>63.85</v>
          </cell>
          <cell r="K514">
            <v>6257.3</v>
          </cell>
        </row>
        <row r="515">
          <cell r="A515" t="str">
            <v>1.9.5.16</v>
          </cell>
          <cell r="B515">
            <v>94287</v>
          </cell>
          <cell r="C515" t="str">
            <v>EXECUÇÃO DE SARJETA DE CONCRETO USINADO, MOLDADA  IN LOCO  EM TRECHO RETO, 30 CM BASE X 10 CM ALTURA. AF_06/2016</v>
          </cell>
          <cell r="D515" t="str">
            <v>M</v>
          </cell>
          <cell r="E515">
            <v>1.1499999999999999</v>
          </cell>
          <cell r="F515">
            <v>37.69</v>
          </cell>
          <cell r="G515">
            <v>46.58</v>
          </cell>
          <cell r="H515">
            <v>53.57</v>
          </cell>
          <cell r="I515">
            <v>39.770000000000003</v>
          </cell>
          <cell r="J515">
            <v>46.76</v>
          </cell>
          <cell r="K515">
            <v>53.77</v>
          </cell>
        </row>
        <row r="516">
          <cell r="A516" t="str">
            <v>1.9.5.17</v>
          </cell>
          <cell r="B516">
            <v>94288</v>
          </cell>
          <cell r="C516" t="str">
            <v>EXECUÇÃO DE SARJETA DE CONCRETO USINADO, MOLDADA  IN LOCO  EM TRECHO CURVO, 30 CM BASE X 10 CM ALTURA. AF_06/2016</v>
          </cell>
          <cell r="D516" t="str">
            <v>M</v>
          </cell>
          <cell r="E516">
            <v>11.75</v>
          </cell>
          <cell r="F516">
            <v>47.14</v>
          </cell>
          <cell r="G516">
            <v>58.26</v>
          </cell>
          <cell r="H516">
            <v>684.56</v>
          </cell>
          <cell r="I516">
            <v>50.32</v>
          </cell>
          <cell r="J516">
            <v>59.16</v>
          </cell>
          <cell r="K516">
            <v>695.13</v>
          </cell>
        </row>
        <row r="517">
          <cell r="A517" t="str">
            <v>1.9.5.18</v>
          </cell>
          <cell r="B517">
            <v>98511</v>
          </cell>
          <cell r="C517" t="str">
            <v>PLANTIO DE ÁRVORE ORNAMENTAL COM ALTURA DE MUDA MAIOR QUE 2,00 M E MENOR OU IGUAL A 4,00 M. AF_05/2018</v>
          </cell>
          <cell r="D517" t="str">
            <v>UN</v>
          </cell>
          <cell r="E517">
            <v>16</v>
          </cell>
          <cell r="F517">
            <v>198.4</v>
          </cell>
          <cell r="G517">
            <v>245.2</v>
          </cell>
          <cell r="H517">
            <v>3923.2</v>
          </cell>
          <cell r="I517">
            <v>201.05</v>
          </cell>
          <cell r="J517">
            <v>236.37</v>
          </cell>
          <cell r="K517">
            <v>3781.92</v>
          </cell>
        </row>
        <row r="518">
          <cell r="A518" t="str">
            <v>1.9.5.19</v>
          </cell>
          <cell r="B518">
            <v>98504</v>
          </cell>
          <cell r="C518" t="str">
            <v>PLANTIO DE GRAMA BATATAIS EM PLACAS. AF_05/2018</v>
          </cell>
          <cell r="D518" t="str">
            <v>M2</v>
          </cell>
          <cell r="E518">
            <v>79.849999999999994</v>
          </cell>
          <cell r="F518">
            <v>13.4</v>
          </cell>
          <cell r="G518">
            <v>16.559999999999999</v>
          </cell>
          <cell r="H518">
            <v>1322.32</v>
          </cell>
          <cell r="I518">
            <v>13.8</v>
          </cell>
          <cell r="J518">
            <v>16.22</v>
          </cell>
          <cell r="K518">
            <v>1295.17</v>
          </cell>
        </row>
        <row r="519">
          <cell r="A519" t="str">
            <v>1.9.6</v>
          </cell>
          <cell r="B519"/>
          <cell r="C519" t="str">
            <v>DRENAGEM</v>
          </cell>
          <cell r="D519"/>
          <cell r="E519"/>
          <cell r="F519"/>
          <cell r="G519"/>
          <cell r="H519">
            <v>74306.62</v>
          </cell>
          <cell r="I519"/>
          <cell r="J519"/>
          <cell r="K519">
            <v>73052.97</v>
          </cell>
        </row>
        <row r="520">
          <cell r="A520" t="str">
            <v>1.9.6.1</v>
          </cell>
          <cell r="B520">
            <v>90091</v>
          </cell>
          <cell r="C520" t="str">
            <v>ESCAVAÇÃO MECANIZADA DE VALA COM PROF. ATÉ 1,5 M (MÉDIA MONTANTE E JUSANTE/UMA COMPOSIÇÃO POR TRECHO), ESCAVADEIRA (0,8 M3), LARG. DE 1,5 M A 2,5 M, EM SOLO DE 1A CATEGORIA, LOCAIS COM BAIXO NÍVEL DE INTERFERÊNCIA. AF_02/2021</v>
          </cell>
          <cell r="D520" t="str">
            <v>M3</v>
          </cell>
          <cell r="E520">
            <v>21.32</v>
          </cell>
          <cell r="F520">
            <v>6.24</v>
          </cell>
          <cell r="G520">
            <v>7.71</v>
          </cell>
          <cell r="H520">
            <v>164.38</v>
          </cell>
          <cell r="I520">
            <v>6.48</v>
          </cell>
          <cell r="J520">
            <v>7.62</v>
          </cell>
          <cell r="K520">
            <v>162.46</v>
          </cell>
        </row>
        <row r="521">
          <cell r="A521" t="str">
            <v>1.9.6.2</v>
          </cell>
          <cell r="B521">
            <v>93367</v>
          </cell>
          <cell r="C521" t="str">
            <v>REATERRO MECANIZADO DE VALA COM ESCAVADEIRA HIDRÁULICA (CAPACIDADE DA CAÇAMBA: 0,8 M³ / POTÊNCIA: 111 HP), LARGURA DE 1,5 A 2,5 M, PROFUNDIDADE ATÉ 1,5 M, COM SOLO DE 1ª CATEGORIA EM LOCAIS COM BAIXO NÍVEL DE INTERFERÊNCIA. AF_04/2016</v>
          </cell>
          <cell r="D521" t="str">
            <v>M3</v>
          </cell>
          <cell r="E521">
            <v>7.99</v>
          </cell>
          <cell r="F521">
            <v>22.53</v>
          </cell>
          <cell r="G521">
            <v>27.84</v>
          </cell>
          <cell r="H521">
            <v>222.44</v>
          </cell>
          <cell r="I521">
            <v>23.75</v>
          </cell>
          <cell r="J521">
            <v>27.92</v>
          </cell>
          <cell r="K521">
            <v>223.08</v>
          </cell>
        </row>
        <row r="522">
          <cell r="A522" t="str">
            <v>1.9.6.3</v>
          </cell>
          <cell r="B522" t="str">
            <v>COMP-35145154</v>
          </cell>
          <cell r="C522" t="str">
            <v>CARGA E DESCARGA MECANICA DE SOLO UTILIZANDO CAMINHAO BASCULANTE 14,0M3/36T E PA CARREGADEIRA SOBRE PNEUS 128 HP, CAPACIDADE DA CAÇAMBA 1,7 A 2,8 M3, PESO OPERACIONAL 11632 KH</v>
          </cell>
          <cell r="D522" t="str">
            <v>M3</v>
          </cell>
          <cell r="E522">
            <v>16.66</v>
          </cell>
          <cell r="F522">
            <v>2.83</v>
          </cell>
          <cell r="G522">
            <v>3.5</v>
          </cell>
          <cell r="H522">
            <v>58.31</v>
          </cell>
          <cell r="I522">
            <v>2.9</v>
          </cell>
          <cell r="J522">
            <v>3.41</v>
          </cell>
          <cell r="K522">
            <v>56.81</v>
          </cell>
        </row>
        <row r="523">
          <cell r="A523" t="str">
            <v>1.9.6.4</v>
          </cell>
          <cell r="B523">
            <v>95876</v>
          </cell>
          <cell r="C523" t="str">
            <v>TRANSPORTE COM CAMINHÃO BASCULANTE DE 14 M³, EM VIA URBANA PAVIMENTADA, DMT ATÉ 30 KM (UNIDADE: M3XKM). AF_07/2020</v>
          </cell>
          <cell r="D523" t="str">
            <v>M3XKM</v>
          </cell>
          <cell r="E523">
            <v>178.26</v>
          </cell>
          <cell r="F523">
            <v>2.2400000000000002</v>
          </cell>
          <cell r="G523">
            <v>2.77</v>
          </cell>
          <cell r="H523">
            <v>493.78</v>
          </cell>
          <cell r="I523">
            <v>2.27</v>
          </cell>
          <cell r="J523">
            <v>2.67</v>
          </cell>
          <cell r="K523">
            <v>475.95</v>
          </cell>
        </row>
        <row r="524">
          <cell r="A524" t="str">
            <v>1.9.6.5</v>
          </cell>
          <cell r="B524">
            <v>94971</v>
          </cell>
          <cell r="C524" t="str">
            <v>CONCRETO FCK = 25MPA, TRAÇO 1:2,3:2,7 (EM MASSA SECA DE CIMENTO/ AREIA MÉDIA/ BRITA 1) - PREPARO MECÂNICO COM BETONEIRA 600 L. AF_05/2021</v>
          </cell>
          <cell r="D524" t="str">
            <v>M3</v>
          </cell>
          <cell r="E524">
            <v>16.98</v>
          </cell>
          <cell r="F524">
            <v>464.88</v>
          </cell>
          <cell r="G524">
            <v>574.54999999999995</v>
          </cell>
          <cell r="H524">
            <v>9755.86</v>
          </cell>
          <cell r="I524">
            <v>472.74</v>
          </cell>
          <cell r="J524">
            <v>555.79999999999995</v>
          </cell>
          <cell r="K524">
            <v>9437.48</v>
          </cell>
        </row>
        <row r="525">
          <cell r="A525" t="str">
            <v>1.9.6.6</v>
          </cell>
          <cell r="B525">
            <v>94974</v>
          </cell>
          <cell r="C525" t="str">
            <v>CONCRETO MAGRO PARA LASTRO, TRAÇO 1:4,5:4,5 (EM MASSA SECA DE CIMENTO/ AREIA MÉDIA/ BRITA 1) - PREPARO MANUAL. AF_05/2021</v>
          </cell>
          <cell r="D525" t="str">
            <v>M3</v>
          </cell>
          <cell r="E525">
            <v>13.33</v>
          </cell>
          <cell r="F525">
            <v>423.75</v>
          </cell>
          <cell r="G525">
            <v>523.71</v>
          </cell>
          <cell r="H525">
            <v>6981.05</v>
          </cell>
          <cell r="I525">
            <v>436.13</v>
          </cell>
          <cell r="J525">
            <v>512.76</v>
          </cell>
          <cell r="K525">
            <v>6835.09</v>
          </cell>
        </row>
        <row r="526">
          <cell r="A526" t="str">
            <v>1.9.6.7</v>
          </cell>
          <cell r="B526">
            <v>92771</v>
          </cell>
          <cell r="C526" t="str">
            <v>ARMAÇÃO DE LAJE DE ESTRUTURA CONVENCIONAL DE CONCRETO ARMADO UTILIZANDO AÇO CA-50 DE 10,0 MM - MONTAGEM. AF_06/2022</v>
          </cell>
          <cell r="D526" t="str">
            <v>KG</v>
          </cell>
          <cell r="E526">
            <v>1104.6400000000001</v>
          </cell>
          <cell r="F526">
            <v>15.04</v>
          </cell>
          <cell r="G526">
            <v>18.59</v>
          </cell>
          <cell r="H526">
            <v>20535.259999999998</v>
          </cell>
          <cell r="I526">
            <v>15.14</v>
          </cell>
          <cell r="J526">
            <v>17.8</v>
          </cell>
          <cell r="K526">
            <v>19662.59</v>
          </cell>
        </row>
        <row r="527">
          <cell r="A527" t="str">
            <v>1.9.6.8</v>
          </cell>
          <cell r="B527" t="str">
            <v>CP-92268-29291149</v>
          </cell>
          <cell r="C527" t="str">
            <v>FABRICAÇÃO DE FÔRMA PARA LAJES, EM CHAPA DE MADEIRA COMPENSADA PLASTIFICADA, E = 18 MM - EXCLUINDO O PAINEL DE MADEIRA COMPENSADA PLASTIFICADA DE 2200 x 1100 MM, E = *17* MM</v>
          </cell>
          <cell r="D527" t="str">
            <v>M2</v>
          </cell>
          <cell r="E527">
            <v>79.95</v>
          </cell>
          <cell r="F527">
            <v>0.98</v>
          </cell>
          <cell r="G527">
            <v>1.21</v>
          </cell>
          <cell r="H527">
            <v>96.74</v>
          </cell>
          <cell r="I527">
            <v>1.1000000000000001</v>
          </cell>
          <cell r="J527">
            <v>1.29</v>
          </cell>
          <cell r="K527">
            <v>103.14</v>
          </cell>
        </row>
        <row r="528">
          <cell r="A528" t="str">
            <v>1.9.6.9</v>
          </cell>
          <cell r="B528">
            <v>103320</v>
          </cell>
          <cell r="C528" t="str">
            <v>ALVENARIA DE VEDAÇÃO DE BLOCOS VAZADOS DE CONCRETO DE 19X19X39 CM (ESPESSURA 19 CM) E ARGAMASSA DE ASSENTAMENTO COM PREPARO EM BETONEIRA. AF_12/2021</v>
          </cell>
          <cell r="D528" t="str">
            <v>M2</v>
          </cell>
          <cell r="E528">
            <v>133.25</v>
          </cell>
          <cell r="F528">
            <v>101.36</v>
          </cell>
          <cell r="G528">
            <v>125.27</v>
          </cell>
          <cell r="H528">
            <v>16692.23</v>
          </cell>
          <cell r="I528">
            <v>105.62</v>
          </cell>
          <cell r="J528">
            <v>124.18</v>
          </cell>
          <cell r="K528">
            <v>16546.990000000002</v>
          </cell>
        </row>
        <row r="529">
          <cell r="A529" t="str">
            <v>1.9.6.10</v>
          </cell>
          <cell r="B529">
            <v>87879</v>
          </cell>
          <cell r="C529" t="str">
            <v>CHAPISCO APLICADO EM ALVENARIAS E ESTRUTURAS DE CONCRETO INTERNAS, COM COLHER DE PEDREIRO.  ARGAMASSA TRAÇO 1:3 COM PREPARO EM BETONEIRA 400L. AF_06/2014</v>
          </cell>
          <cell r="D529" t="str">
            <v>M2</v>
          </cell>
          <cell r="E529">
            <v>133.25</v>
          </cell>
          <cell r="F529">
            <v>3.85</v>
          </cell>
          <cell r="G529">
            <v>4.76</v>
          </cell>
          <cell r="H529">
            <v>634.27</v>
          </cell>
          <cell r="I529">
            <v>4.0999999999999996</v>
          </cell>
          <cell r="J529">
            <v>4.82</v>
          </cell>
          <cell r="K529">
            <v>642.27</v>
          </cell>
        </row>
        <row r="530">
          <cell r="A530" t="str">
            <v>1.9.6.11</v>
          </cell>
          <cell r="B530">
            <v>87547</v>
          </cell>
          <cell r="C530" t="str">
            <v>MASSA ÚNICA, PARA RECEBIMENTO DE PINTURA, EM ARGAMASSA TRAÇO 1:2:8, PREPARO MECÂNICO COM BETONEIRA 400L, APLICADA MANUALMENTE EM FACES INTERNAS DE PAREDES, ESPESSURA DE 10MM, COM EXECUÇÃO DE TALISCAS. AF_06/2014</v>
          </cell>
          <cell r="D530" t="str">
            <v>M2</v>
          </cell>
          <cell r="E530">
            <v>133.25</v>
          </cell>
          <cell r="F530">
            <v>23.35</v>
          </cell>
          <cell r="G530">
            <v>28.86</v>
          </cell>
          <cell r="H530">
            <v>3845.6</v>
          </cell>
          <cell r="I530">
            <v>24.83</v>
          </cell>
          <cell r="J530">
            <v>29.19</v>
          </cell>
          <cell r="K530">
            <v>3889.57</v>
          </cell>
        </row>
        <row r="531">
          <cell r="A531" t="str">
            <v>1.9.6.12</v>
          </cell>
          <cell r="B531">
            <v>94975</v>
          </cell>
          <cell r="C531" t="str">
            <v>CONCRETO FCK = 15MPA, TRAÇO 1:3,4:3,5 (EM MASSA SECA DE CIMENTO/ AREIA MÉDIA/ BRITA 1) - PREPARO MANUAL. AF_05/2021</v>
          </cell>
          <cell r="D531" t="str">
            <v>M3</v>
          </cell>
          <cell r="E531">
            <v>14.17</v>
          </cell>
          <cell r="F531">
            <v>457.19</v>
          </cell>
          <cell r="G531">
            <v>565.04</v>
          </cell>
          <cell r="H531">
            <v>8006.62</v>
          </cell>
          <cell r="I531">
            <v>469.42</v>
          </cell>
          <cell r="J531">
            <v>551.9</v>
          </cell>
          <cell r="K531">
            <v>7820.42</v>
          </cell>
        </row>
        <row r="532">
          <cell r="A532" t="str">
            <v>1.9.6.13</v>
          </cell>
          <cell r="B532" t="str">
            <v>CP-74157/004-48264518</v>
          </cell>
          <cell r="C532" t="str">
            <v>LANCAMENTO/APLICACAO MANUAL DE CONCRETO EM FUNDACOES (concreto magro)</v>
          </cell>
          <cell r="D532" t="str">
            <v>M3</v>
          </cell>
          <cell r="E532">
            <v>44.48</v>
          </cell>
          <cell r="F532">
            <v>116.59</v>
          </cell>
          <cell r="G532">
            <v>144.09</v>
          </cell>
          <cell r="H532">
            <v>6409.12</v>
          </cell>
          <cell r="I532">
            <v>129.79</v>
          </cell>
          <cell r="J532">
            <v>152.59</v>
          </cell>
          <cell r="K532">
            <v>6787.2</v>
          </cell>
        </row>
        <row r="533">
          <cell r="A533" t="str">
            <v>1.9.6.14</v>
          </cell>
          <cell r="B533">
            <v>2003450</v>
          </cell>
          <cell r="C533" t="str">
            <v>Dissipador de energia - DEB 02 - areia extraída e brita e pedra de mão produzidas</v>
          </cell>
          <cell r="D533" t="str">
            <v>UN</v>
          </cell>
          <cell r="E533">
            <v>1</v>
          </cell>
          <cell r="F533">
            <v>332.52</v>
          </cell>
          <cell r="G533">
            <v>410.96</v>
          </cell>
          <cell r="H533">
            <v>410.96</v>
          </cell>
          <cell r="I533">
            <v>348.66</v>
          </cell>
          <cell r="J533">
            <v>409.92</v>
          </cell>
          <cell r="K533">
            <v>409.92</v>
          </cell>
        </row>
        <row r="534">
          <cell r="A534" t="str">
            <v>1.9.7</v>
          </cell>
          <cell r="B534"/>
          <cell r="C534" t="str">
            <v>SINALIZAÇÃO</v>
          </cell>
          <cell r="D534"/>
          <cell r="E534"/>
          <cell r="F534"/>
          <cell r="G534"/>
          <cell r="H534">
            <v>5717.43</v>
          </cell>
          <cell r="I534"/>
          <cell r="J534"/>
          <cell r="K534">
            <v>5617.61</v>
          </cell>
        </row>
        <row r="535">
          <cell r="A535" t="str">
            <v>1.9.7.1</v>
          </cell>
          <cell r="B535">
            <v>5213421</v>
          </cell>
          <cell r="C535" t="str">
            <v>Confecção de placa em aço nº 16 galvanizado, com película tipo I + IV</v>
          </cell>
          <cell r="D535" t="str">
            <v xml:space="preserve">M2    </v>
          </cell>
          <cell r="E535">
            <v>2.58</v>
          </cell>
          <cell r="F535">
            <v>343.8</v>
          </cell>
          <cell r="G535">
            <v>424.9</v>
          </cell>
          <cell r="H535">
            <v>1096.24</v>
          </cell>
          <cell r="I535">
            <v>347.25</v>
          </cell>
          <cell r="J535">
            <v>408.26</v>
          </cell>
          <cell r="K535">
            <v>1053.31</v>
          </cell>
        </row>
        <row r="536">
          <cell r="A536" t="str">
            <v>1.9.7.2</v>
          </cell>
          <cell r="B536">
            <v>5216111</v>
          </cell>
          <cell r="C536" t="str">
            <v>FORNECIMENTO E IMPLANTAÇÃO DE SUPORTE E TRAVESSA PARA PLACA DE SINALIZAÇÃO EM MADEIRA DE LEI TRATADA 8 X 8 CM</v>
          </cell>
          <cell r="D536" t="str">
            <v>UND</v>
          </cell>
          <cell r="E536">
            <v>9</v>
          </cell>
          <cell r="F536">
            <v>119.1379</v>
          </cell>
          <cell r="G536">
            <v>147.24</v>
          </cell>
          <cell r="H536">
            <v>1325.16</v>
          </cell>
          <cell r="I536">
            <v>121.48</v>
          </cell>
          <cell r="J536">
            <v>142.82</v>
          </cell>
          <cell r="K536">
            <v>1285.3800000000001</v>
          </cell>
        </row>
        <row r="537">
          <cell r="A537" t="str">
            <v>1.9.7.3</v>
          </cell>
          <cell r="B537" t="str">
            <v>COMP-58084869</v>
          </cell>
          <cell r="C537" t="str">
            <v>PLACA ESMALTADA PARA IDENTIFICAÇÃO NR DE RUA, DIMENSÕES 45X25CM</v>
          </cell>
          <cell r="D537" t="str">
            <v>UND</v>
          </cell>
          <cell r="E537">
            <v>2</v>
          </cell>
          <cell r="F537">
            <v>155.54</v>
          </cell>
          <cell r="G537">
            <v>192.23</v>
          </cell>
          <cell r="H537">
            <v>384.46</v>
          </cell>
          <cell r="I537">
            <v>156.33000000000001</v>
          </cell>
          <cell r="J537">
            <v>183.8</v>
          </cell>
          <cell r="K537">
            <v>367.6</v>
          </cell>
        </row>
        <row r="538">
          <cell r="A538" t="str">
            <v>1.9.7.4</v>
          </cell>
          <cell r="B538">
            <v>102512</v>
          </cell>
          <cell r="C538" t="str">
            <v>PINTURA DE EIXO VIÁRIO SOBRE ASFALTO COM TINTA RETRORREFLETIVA A BASE DE RESINA ACRÍLICA COM MICROESFERAS DE VIDRO, APLICAÇÃO MECÂNICA COM DEMARCADORA AUTOPROPELIDA. AF_05/2021</v>
          </cell>
          <cell r="D538" t="str">
            <v>M</v>
          </cell>
          <cell r="E538">
            <v>300.42</v>
          </cell>
          <cell r="F538">
            <v>5.22</v>
          </cell>
          <cell r="G538">
            <v>6.45</v>
          </cell>
          <cell r="H538">
            <v>1937.71</v>
          </cell>
          <cell r="I538">
            <v>5.48</v>
          </cell>
          <cell r="J538">
            <v>6.44</v>
          </cell>
          <cell r="K538">
            <v>1934.7</v>
          </cell>
        </row>
        <row r="539">
          <cell r="A539" t="str">
            <v>1.9.7.5</v>
          </cell>
          <cell r="B539">
            <v>102509</v>
          </cell>
          <cell r="C539" t="str">
            <v>PINTURA DE FAIXA DE PEDESTRE OU ZEBRADA TINTA RETRORREFLETIVA A BASE DE RESINA ACRÍLICA COM MICROESFERAS DE VIDRO, E = 30 CM, APLICAÇÃO MANUAL. AF_05/2021</v>
          </cell>
          <cell r="D539" t="str">
            <v>M2</v>
          </cell>
          <cell r="E539">
            <v>34.4</v>
          </cell>
          <cell r="F539">
            <v>22.91</v>
          </cell>
          <cell r="G539">
            <v>28.31</v>
          </cell>
          <cell r="H539">
            <v>973.86</v>
          </cell>
          <cell r="I539">
            <v>24.15</v>
          </cell>
          <cell r="J539">
            <v>28.39</v>
          </cell>
          <cell r="K539">
            <v>976.62</v>
          </cell>
        </row>
        <row r="540">
          <cell r="A540" t="str">
            <v>1.9.8</v>
          </cell>
          <cell r="B540"/>
          <cell r="C540" t="str">
            <v>ACESSIBILIDADE</v>
          </cell>
          <cell r="D540"/>
          <cell r="E540"/>
          <cell r="F540"/>
          <cell r="G540"/>
          <cell r="H540">
            <v>6495.23</v>
          </cell>
          <cell r="I540"/>
          <cell r="J540"/>
          <cell r="K540">
            <v>6387.39</v>
          </cell>
        </row>
        <row r="541">
          <cell r="A541" t="str">
            <v>1.9.8.1</v>
          </cell>
          <cell r="B541" t="str">
            <v>CP-S12039-81921471</v>
          </cell>
          <cell r="C541" t="str">
            <v>Piso tátil direcional e/ou alerta, de concreto, na cor natural, p/deficientes visuais, dimensões 40x40cm, aplicado com argamassa industrializada ac-ii, rejuntado, exclusive regularização de base</v>
          </cell>
          <cell r="D541" t="str">
            <v>M2</v>
          </cell>
          <cell r="E541">
            <v>48.36</v>
          </cell>
          <cell r="F541">
            <v>108.67</v>
          </cell>
          <cell r="G541">
            <v>134.31</v>
          </cell>
          <cell r="H541">
            <v>6495.23</v>
          </cell>
          <cell r="I541">
            <v>112.34</v>
          </cell>
          <cell r="J541">
            <v>132.08000000000001</v>
          </cell>
          <cell r="K541">
            <v>6387.39</v>
          </cell>
        </row>
        <row r="542">
          <cell r="A542" t="str">
            <v>1.9.9</v>
          </cell>
          <cell r="B542"/>
          <cell r="C542" t="str">
            <v>MATERIAIS</v>
          </cell>
          <cell r="D542"/>
          <cell r="E542"/>
          <cell r="F542"/>
          <cell r="G542"/>
          <cell r="H542">
            <v>117567.63</v>
          </cell>
          <cell r="I542"/>
          <cell r="J542"/>
          <cell r="K542">
            <v>112086.37</v>
          </cell>
        </row>
        <row r="543">
          <cell r="A543" t="str">
            <v>1.9.9.1</v>
          </cell>
          <cell r="B543">
            <v>10775</v>
          </cell>
          <cell r="C543" t="str">
            <v xml:space="preserve">LOCACAO DE CONTAINER 2,30 X 6,00 M, ALT. 2,50 M, COM 1 SANITARIO, PARA ESCRITORIO, COMPLETO, SEM DIVISORIAS INTERNAS (NAO INCLUI MOBILIZACAO/DESMOBILIZACAO)                                                                                                                                                                                                                                                                                                                                              </v>
          </cell>
          <cell r="D543" t="str">
            <v xml:space="preserve">MES   </v>
          </cell>
          <cell r="E543">
            <v>2</v>
          </cell>
          <cell r="F543">
            <v>830</v>
          </cell>
          <cell r="G543">
            <v>958.32</v>
          </cell>
          <cell r="H543">
            <v>1916.64</v>
          </cell>
          <cell r="I543">
            <v>830</v>
          </cell>
          <cell r="J543">
            <v>913.58</v>
          </cell>
          <cell r="K543">
            <v>1827.16</v>
          </cell>
        </row>
        <row r="544">
          <cell r="A544" t="str">
            <v>1.9.9.2</v>
          </cell>
          <cell r="B544">
            <v>10776</v>
          </cell>
          <cell r="C544" t="str">
            <v xml:space="preserve">LOCACAO DE CONTAINER 2,30 X 6,00 M, ALT. 2,50 M, PARA ESCRITORIO, SEM DIVISORIAS INTERNAS E SEM SANITARIO (NAO INCLUI MOBILIZACAO/DESMOBILIZACAO)                                                                                                                                                                                                                                                                                                                                                         </v>
          </cell>
          <cell r="D544" t="str">
            <v xml:space="preserve">MES   </v>
          </cell>
          <cell r="E544">
            <v>2</v>
          </cell>
          <cell r="F544">
            <v>648.42999999999995</v>
          </cell>
          <cell r="G544">
            <v>748.68</v>
          </cell>
          <cell r="H544">
            <v>1497.36</v>
          </cell>
          <cell r="I544">
            <v>648.42999999999995</v>
          </cell>
          <cell r="J544">
            <v>713.73</v>
          </cell>
          <cell r="K544">
            <v>1427.46</v>
          </cell>
        </row>
        <row r="545">
          <cell r="A545" t="str">
            <v>1.9.9.3</v>
          </cell>
          <cell r="B545">
            <v>1518</v>
          </cell>
          <cell r="C545" t="str">
            <v xml:space="preserve">CONCRETO BETUMINOSO USINADO A QUENTE (CBUQ) PARA PAVIMENTACAO ASFALTICA, PADRAO DNIT, FAIXA C, COM CAP 50/70 - AQUISICAO POSTO USINA                                                                                                                                                                                                                                                                                                                                                                      </v>
          </cell>
          <cell r="D545" t="str">
            <v xml:space="preserve">T     </v>
          </cell>
          <cell r="E545">
            <v>85.43</v>
          </cell>
          <cell r="F545">
            <v>522.5</v>
          </cell>
          <cell r="G545">
            <v>603.28</v>
          </cell>
          <cell r="H545">
            <v>51538.21</v>
          </cell>
          <cell r="I545">
            <v>522.5</v>
          </cell>
          <cell r="J545">
            <v>575.12</v>
          </cell>
          <cell r="K545">
            <v>49132.5</v>
          </cell>
        </row>
        <row r="546">
          <cell r="A546" t="str">
            <v>1.9.9.4</v>
          </cell>
          <cell r="B546" t="str">
            <v>INS-185032</v>
          </cell>
          <cell r="C546" t="str">
            <v>BRITA GRADUADA SIMPLES (BGS)</v>
          </cell>
          <cell r="D546" t="str">
            <v>M3</v>
          </cell>
          <cell r="E546">
            <v>142.30000000000001</v>
          </cell>
          <cell r="F546">
            <v>56.099999999999994</v>
          </cell>
          <cell r="G546">
            <v>64.77</v>
          </cell>
          <cell r="H546">
            <v>9216.77</v>
          </cell>
          <cell r="I546">
            <v>56.099999999999994</v>
          </cell>
          <cell r="J546">
            <v>61.75</v>
          </cell>
          <cell r="K546">
            <v>8787.0300000000007</v>
          </cell>
        </row>
        <row r="547">
          <cell r="A547" t="str">
            <v>1.9.9.5</v>
          </cell>
          <cell r="B547" t="str">
            <v>M0808</v>
          </cell>
          <cell r="C547" t="str">
            <v>Brita 4</v>
          </cell>
          <cell r="D547" t="str">
            <v>M3</v>
          </cell>
          <cell r="E547">
            <v>156.88</v>
          </cell>
          <cell r="F547">
            <v>90.74</v>
          </cell>
          <cell r="G547">
            <v>104.77</v>
          </cell>
          <cell r="H547">
            <v>16436.32</v>
          </cell>
          <cell r="I547">
            <v>90.74</v>
          </cell>
          <cell r="J547">
            <v>99.88</v>
          </cell>
          <cell r="K547">
            <v>15669.17</v>
          </cell>
        </row>
        <row r="548">
          <cell r="A548" t="str">
            <v>1.9.9.6</v>
          </cell>
          <cell r="B548" t="str">
            <v>M1135</v>
          </cell>
          <cell r="C548" t="str">
            <v>Pó de pedra</v>
          </cell>
          <cell r="D548" t="str">
            <v>M3</v>
          </cell>
          <cell r="E548">
            <v>17.43</v>
          </cell>
          <cell r="F548">
            <v>74.53</v>
          </cell>
          <cell r="G548">
            <v>86.05</v>
          </cell>
          <cell r="H548">
            <v>1499.85</v>
          </cell>
          <cell r="I548">
            <v>74.53</v>
          </cell>
          <cell r="J548">
            <v>82.04</v>
          </cell>
          <cell r="K548">
            <v>1429.96</v>
          </cell>
        </row>
        <row r="549">
          <cell r="A549" t="str">
            <v>1.9.9.7</v>
          </cell>
          <cell r="B549" t="str">
            <v>INS-54745269</v>
          </cell>
          <cell r="C549" t="str">
            <v>ASFALTO DILUÍDO CM - 30 - JUNHO/22</v>
          </cell>
          <cell r="D549" t="str">
            <v>KG</v>
          </cell>
          <cell r="E549">
            <v>802.4</v>
          </cell>
          <cell r="F549">
            <v>5.32</v>
          </cell>
          <cell r="G549">
            <v>6.14</v>
          </cell>
          <cell r="H549">
            <v>4926.74</v>
          </cell>
          <cell r="I549">
            <v>5.32</v>
          </cell>
          <cell r="J549">
            <v>5.86</v>
          </cell>
          <cell r="K549">
            <v>4702.0600000000004</v>
          </cell>
        </row>
        <row r="550">
          <cell r="A550" t="str">
            <v>1.9.9.8</v>
          </cell>
          <cell r="B550">
            <v>34492</v>
          </cell>
          <cell r="C550" t="str">
            <v xml:space="preserve">CONCRETO USINADO BOMBEAVEL, CLASSE DE RESISTENCIA C20, COM BRITA 0 E 1, SLUMP = 100 +/- 20 MM, EXCLUI SERVICO DE BOMBEAMENTO (NBR 8953)                                                                                                                                                                                                                                                                                                                                                                   </v>
          </cell>
          <cell r="D550" t="str">
            <v xml:space="preserve">M3    </v>
          </cell>
          <cell r="E550">
            <v>43.84</v>
          </cell>
          <cell r="F550">
            <v>422.5</v>
          </cell>
          <cell r="G550">
            <v>487.82</v>
          </cell>
          <cell r="H550">
            <v>21386.03</v>
          </cell>
          <cell r="I550">
            <v>422.5</v>
          </cell>
          <cell r="J550">
            <v>465.05</v>
          </cell>
          <cell r="K550">
            <v>20387.79</v>
          </cell>
        </row>
        <row r="551">
          <cell r="A551" t="str">
            <v>1.9.9.9</v>
          </cell>
          <cell r="B551">
            <v>1345</v>
          </cell>
          <cell r="C551" t="str">
            <v xml:space="preserve">CHAPA/PAINEL DE MADEIRA COMPENSADA PLASTIFICADA (MADEIRITE PLASTIFICADO) PARA FORMA DE CONCRETO, DE 2200 x 1100 MM, E = *17* MM                                                                                                                                                                                                                                                                                                                                                                           </v>
          </cell>
          <cell r="D551" t="str">
            <v xml:space="preserve">M2    </v>
          </cell>
          <cell r="E551">
            <v>83.95</v>
          </cell>
          <cell r="F551">
            <v>94.4</v>
          </cell>
          <cell r="G551">
            <v>108.99</v>
          </cell>
          <cell r="H551">
            <v>9149.7099999999991</v>
          </cell>
          <cell r="I551">
            <v>94.4</v>
          </cell>
          <cell r="J551">
            <v>103.91</v>
          </cell>
          <cell r="K551">
            <v>8723.24</v>
          </cell>
        </row>
        <row r="552">
          <cell r="A552" t="str">
            <v>1.10</v>
          </cell>
          <cell r="B552"/>
          <cell r="C552" t="str">
            <v>RUA 11 - CURCURANA</v>
          </cell>
          <cell r="D552"/>
          <cell r="E552"/>
          <cell r="F552"/>
          <cell r="G552"/>
          <cell r="H552">
            <v>572465.52</v>
          </cell>
          <cell r="I552"/>
          <cell r="J552"/>
          <cell r="K552">
            <v>557762.54</v>
          </cell>
        </row>
        <row r="553">
          <cell r="A553" t="str">
            <v>1.10.1</v>
          </cell>
          <cell r="B553"/>
          <cell r="C553" t="str">
            <v>INSTALAÇÕES PROVISÓRIAS</v>
          </cell>
          <cell r="D553"/>
          <cell r="E553"/>
          <cell r="F553"/>
          <cell r="G553"/>
          <cell r="H553">
            <v>8115.87</v>
          </cell>
          <cell r="I553"/>
          <cell r="J553"/>
          <cell r="K553">
            <v>7783.05</v>
          </cell>
        </row>
        <row r="554">
          <cell r="A554" t="str">
            <v>1.10.1.1</v>
          </cell>
          <cell r="B554" t="str">
            <v>CP-74209/001-15055090</v>
          </cell>
          <cell r="C554" t="str">
            <v>PLACA DE OBRA EM CHAPA DE ACO GALVANIZADO</v>
          </cell>
          <cell r="D554" t="str">
            <v xml:space="preserve">M2    </v>
          </cell>
          <cell r="E554">
            <v>8</v>
          </cell>
          <cell r="F554">
            <v>558.35</v>
          </cell>
          <cell r="G554">
            <v>690.06</v>
          </cell>
          <cell r="H554">
            <v>5520.48</v>
          </cell>
          <cell r="I554">
            <v>564.99</v>
          </cell>
          <cell r="J554">
            <v>664.26</v>
          </cell>
          <cell r="K554">
            <v>5314.08</v>
          </cell>
        </row>
        <row r="555">
          <cell r="A555" t="str">
            <v>1.10.1.2</v>
          </cell>
          <cell r="B555" t="str">
            <v>COMP-07440249</v>
          </cell>
          <cell r="C555" t="str">
            <v>BANHEIRO QUÍMICO, COM LOCAÇÃO, TRANSPORTE E LIMPEZA</v>
          </cell>
          <cell r="D555" t="str">
            <v>MÊS</v>
          </cell>
          <cell r="E555">
            <v>3</v>
          </cell>
          <cell r="F555">
            <v>700</v>
          </cell>
          <cell r="G555">
            <v>865.13</v>
          </cell>
          <cell r="H555">
            <v>2595.39</v>
          </cell>
          <cell r="I555">
            <v>700</v>
          </cell>
          <cell r="J555">
            <v>822.99</v>
          </cell>
          <cell r="K555">
            <v>2468.9699999999998</v>
          </cell>
        </row>
        <row r="556">
          <cell r="A556" t="str">
            <v>1.10.2</v>
          </cell>
          <cell r="B556"/>
          <cell r="C556" t="str">
            <v>ADMINISTRAÇÃO LOCAL</v>
          </cell>
          <cell r="D556"/>
          <cell r="E556"/>
          <cell r="F556"/>
          <cell r="G556"/>
          <cell r="H556">
            <v>17600.45</v>
          </cell>
          <cell r="I556"/>
          <cell r="J556"/>
          <cell r="K556">
            <v>19280.63</v>
          </cell>
        </row>
        <row r="557">
          <cell r="A557" t="str">
            <v>1.10.2.1</v>
          </cell>
          <cell r="B557">
            <v>93565</v>
          </cell>
          <cell r="C557" t="str">
            <v>ENGENHEIRO CIVIL DE OBRA JUNIOR COM ENCARGOS COMPLEMENTARES</v>
          </cell>
          <cell r="D557" t="str">
            <v>MES</v>
          </cell>
          <cell r="E557">
            <v>0.38</v>
          </cell>
          <cell r="F557">
            <v>14549.96</v>
          </cell>
          <cell r="G557">
            <v>17982.3</v>
          </cell>
          <cell r="H557">
            <v>6833.27</v>
          </cell>
          <cell r="I557">
            <v>16819.14</v>
          </cell>
          <cell r="J557">
            <v>19774.259999999998</v>
          </cell>
          <cell r="K557">
            <v>7514.22</v>
          </cell>
        </row>
        <row r="558">
          <cell r="A558" t="str">
            <v>1.10.2.2</v>
          </cell>
          <cell r="B558">
            <v>93572</v>
          </cell>
          <cell r="C558" t="str">
            <v>ENCARREGADO GERAL DE OBRAS COM ENCARGOS COMPLEMENTARES</v>
          </cell>
          <cell r="D558" t="str">
            <v>MES</v>
          </cell>
          <cell r="E558">
            <v>1.5</v>
          </cell>
          <cell r="F558">
            <v>5808.01</v>
          </cell>
          <cell r="G558">
            <v>7178.12</v>
          </cell>
          <cell r="H558">
            <v>10767.18</v>
          </cell>
          <cell r="I558">
            <v>6672</v>
          </cell>
          <cell r="J558">
            <v>7844.27</v>
          </cell>
          <cell r="K558">
            <v>11766.41</v>
          </cell>
        </row>
        <row r="559">
          <cell r="A559" t="str">
            <v>1.10.3</v>
          </cell>
          <cell r="B559"/>
          <cell r="C559" t="str">
            <v>SERVIÇOS PRELIMINARES</v>
          </cell>
          <cell r="D559"/>
          <cell r="E559"/>
          <cell r="F559"/>
          <cell r="G559"/>
          <cell r="H559">
            <v>165.82</v>
          </cell>
          <cell r="I559"/>
          <cell r="J559"/>
          <cell r="K559">
            <v>181.46</v>
          </cell>
        </row>
        <row r="560">
          <cell r="A560" t="str">
            <v>1.10.3.1</v>
          </cell>
          <cell r="B560">
            <v>99064</v>
          </cell>
          <cell r="C560" t="str">
            <v>LOCAÇÃO DE PAVIMENTAÇÃO. AF_10/2018</v>
          </cell>
          <cell r="D560" t="str">
            <v>M</v>
          </cell>
          <cell r="E560">
            <v>312.86</v>
          </cell>
          <cell r="F560">
            <v>0.43</v>
          </cell>
          <cell r="G560">
            <v>0.53</v>
          </cell>
          <cell r="H560">
            <v>165.82</v>
          </cell>
          <cell r="I560">
            <v>0.49</v>
          </cell>
          <cell r="J560">
            <v>0.57999999999999996</v>
          </cell>
          <cell r="K560">
            <v>181.46</v>
          </cell>
        </row>
        <row r="561">
          <cell r="A561" t="str">
            <v>1.10.4</v>
          </cell>
          <cell r="B561"/>
          <cell r="C561" t="str">
            <v>TERRAPLENAGEM</v>
          </cell>
          <cell r="D561"/>
          <cell r="E561"/>
          <cell r="F561"/>
          <cell r="G561"/>
          <cell r="H561">
            <v>33343.379999999997</v>
          </cell>
          <cell r="I561"/>
          <cell r="J561"/>
          <cell r="K561">
            <v>32194.54</v>
          </cell>
        </row>
        <row r="562">
          <cell r="A562" t="str">
            <v>1.10.4.1</v>
          </cell>
          <cell r="B562" t="str">
            <v>CP-74205/001-17324935</v>
          </cell>
          <cell r="C562" t="str">
            <v>ESCAVAÇÃO MECÂNICA DE MATERIAL 1A. CATEGORIA, PROVENIENTE DE CORTE DE SUBLEITO (C/TRATOR ESTEIRAS  160HP)</v>
          </cell>
          <cell r="D562" t="str">
            <v>M3</v>
          </cell>
          <cell r="E562">
            <v>797.81</v>
          </cell>
          <cell r="F562">
            <v>2.54</v>
          </cell>
          <cell r="G562">
            <v>3.14</v>
          </cell>
          <cell r="H562">
            <v>2505.12</v>
          </cell>
          <cell r="I562">
            <v>2.59</v>
          </cell>
          <cell r="J562">
            <v>3.05</v>
          </cell>
          <cell r="K562">
            <v>2433.3200000000002</v>
          </cell>
        </row>
        <row r="563">
          <cell r="A563" t="str">
            <v>1.10.4.2</v>
          </cell>
          <cell r="B563" t="str">
            <v>COMP-35145154</v>
          </cell>
          <cell r="C563" t="str">
            <v>CARGA E DESCARGA MECANICA DE SOLO UTILIZANDO CAMINHAO BASCULANTE 14,0M3/36T E PA CARREGADEIRA SOBRE PNEUS 128 HP, CAPACIDADE DA CAÇAMBA 1,7 A 2,8 M3, PESO OPERACIONAL 11632 KH</v>
          </cell>
          <cell r="D563" t="str">
            <v>M3</v>
          </cell>
          <cell r="E563">
            <v>997.26</v>
          </cell>
          <cell r="F563">
            <v>2.83</v>
          </cell>
          <cell r="G563">
            <v>3.5</v>
          </cell>
          <cell r="H563">
            <v>3490.41</v>
          </cell>
          <cell r="I563">
            <v>2.9</v>
          </cell>
          <cell r="J563">
            <v>3.41</v>
          </cell>
          <cell r="K563">
            <v>3400.66</v>
          </cell>
        </row>
        <row r="564">
          <cell r="A564" t="str">
            <v>1.10.4.3</v>
          </cell>
          <cell r="B564">
            <v>95876</v>
          </cell>
          <cell r="C564" t="str">
            <v>TRANSPORTE COM CAMINHÃO BASCULANTE DE 14 M³, EM VIA URBANA PAVIMENTADA, DMT ATÉ 30 KM (UNIDADE: M3XKM). AF_07/2020</v>
          </cell>
          <cell r="D564" t="str">
            <v>M3XKM</v>
          </cell>
          <cell r="E564">
            <v>9872.8700000000008</v>
          </cell>
          <cell r="F564">
            <v>2.2400000000000002</v>
          </cell>
          <cell r="G564">
            <v>2.77</v>
          </cell>
          <cell r="H564">
            <v>27347.85</v>
          </cell>
          <cell r="I564">
            <v>2.27</v>
          </cell>
          <cell r="J564">
            <v>2.67</v>
          </cell>
          <cell r="K564">
            <v>26360.560000000001</v>
          </cell>
        </row>
        <row r="565">
          <cell r="A565" t="str">
            <v>1.10.5</v>
          </cell>
          <cell r="B565"/>
          <cell r="C565" t="str">
            <v>PAVIMENTAÇÃO</v>
          </cell>
          <cell r="D565"/>
          <cell r="E565"/>
          <cell r="F565"/>
          <cell r="G565"/>
          <cell r="H565">
            <v>99172.18</v>
          </cell>
          <cell r="I565"/>
          <cell r="J565"/>
          <cell r="K565">
            <v>97974.52</v>
          </cell>
        </row>
        <row r="566">
          <cell r="A566" t="str">
            <v>1.10.5.1</v>
          </cell>
          <cell r="B566">
            <v>100576</v>
          </cell>
          <cell r="C566" t="str">
            <v>REGULARIZAÇÃO E COMPACTAÇÃO DE SUBLEITO DE SOLO  PREDOMINANTEMENTE ARGILOSO. AF_11/2019</v>
          </cell>
          <cell r="D566" t="str">
            <v>M2</v>
          </cell>
          <cell r="E566">
            <v>1570.56</v>
          </cell>
          <cell r="F566">
            <v>2.64</v>
          </cell>
          <cell r="G566">
            <v>3.26</v>
          </cell>
          <cell r="H566">
            <v>5120.03</v>
          </cell>
          <cell r="I566">
            <v>2.79</v>
          </cell>
          <cell r="J566">
            <v>3.28</v>
          </cell>
          <cell r="K566">
            <v>5151.4399999999996</v>
          </cell>
        </row>
        <row r="567">
          <cell r="A567" t="str">
            <v>1.10.5.2</v>
          </cell>
          <cell r="B567" t="str">
            <v>COMP-28881239</v>
          </cell>
          <cell r="C567" t="str">
            <v>Base ou sub-base de macadame hidráulico com brita comercial - EXCLUSIVE MATERIAL, CARGA E TRANSPORTE - NÃO DESONERADO</v>
          </cell>
          <cell r="D567" t="str">
            <v>M3</v>
          </cell>
          <cell r="E567">
            <v>235.58</v>
          </cell>
          <cell r="F567">
            <v>11.24</v>
          </cell>
          <cell r="G567">
            <v>13.89</v>
          </cell>
          <cell r="H567">
            <v>3272.21</v>
          </cell>
          <cell r="I567">
            <v>11.4</v>
          </cell>
          <cell r="J567">
            <v>13.4</v>
          </cell>
          <cell r="K567">
            <v>3156.77</v>
          </cell>
        </row>
        <row r="568">
          <cell r="A568" t="str">
            <v>1.10.5.3</v>
          </cell>
          <cell r="B568" t="str">
            <v>CP-96396-26507981</v>
          </cell>
          <cell r="C568" t="str">
            <v>EXECUÇÃO E COMPACTAÇÃO DE BASE E OU SUB BASE PARA PAVIMENTAÇÃO DE BRITA GRADUADA SIMPLES - EXCLUSIVE MATERIAL, CARGA E TRANSPORTE</v>
          </cell>
          <cell r="D568" t="str">
            <v>M3</v>
          </cell>
          <cell r="E568">
            <v>251.54</v>
          </cell>
          <cell r="F568">
            <v>13.86</v>
          </cell>
          <cell r="G568">
            <v>17.13</v>
          </cell>
          <cell r="H568">
            <v>4308.88</v>
          </cell>
          <cell r="I568">
            <v>14.44</v>
          </cell>
          <cell r="J568">
            <v>16.98</v>
          </cell>
          <cell r="K568">
            <v>4271.1499999999996</v>
          </cell>
        </row>
        <row r="569">
          <cell r="A569" t="str">
            <v>1.10.5.4</v>
          </cell>
          <cell r="B569" t="str">
            <v>COMP-35145154</v>
          </cell>
          <cell r="C569" t="str">
            <v>CARGA E DESCARGA MECANICA DE SOLO UTILIZANDO CAMINHAO BASCULANTE 14,0M3/36T E PA CARREGADEIRA SOBRE PNEUS 128 HP, CAPACIDADE DA CAÇAMBA 1,7 A 2,8 M3, PESO OPERACIONAL 11632 KH</v>
          </cell>
          <cell r="D569" t="str">
            <v>M3</v>
          </cell>
          <cell r="E569">
            <v>608.9</v>
          </cell>
          <cell r="F569">
            <v>2.83</v>
          </cell>
          <cell r="G569">
            <v>3.5</v>
          </cell>
          <cell r="H569">
            <v>2131.15</v>
          </cell>
          <cell r="I569">
            <v>2.9</v>
          </cell>
          <cell r="J569">
            <v>3.41</v>
          </cell>
          <cell r="K569">
            <v>2076.35</v>
          </cell>
        </row>
        <row r="570">
          <cell r="A570" t="str">
            <v>1.10.5.5</v>
          </cell>
          <cell r="B570" t="str">
            <v>COMP-83526730</v>
          </cell>
          <cell r="C570" t="str">
            <v>TRANSPORTE COMERCIAL DE BRITA</v>
          </cell>
          <cell r="D570" t="str">
            <v>M3XKM</v>
          </cell>
          <cell r="E570">
            <v>7489.47</v>
          </cell>
          <cell r="F570">
            <v>1.36</v>
          </cell>
          <cell r="G570">
            <v>1.68</v>
          </cell>
          <cell r="H570">
            <v>12582.31</v>
          </cell>
          <cell r="I570">
            <v>1.37</v>
          </cell>
          <cell r="J570">
            <v>1.61</v>
          </cell>
          <cell r="K570">
            <v>12058.05</v>
          </cell>
        </row>
        <row r="571">
          <cell r="A571" t="str">
            <v>1.10.5.6</v>
          </cell>
          <cell r="B571" t="str">
            <v>CP-96401-52745838</v>
          </cell>
          <cell r="C571" t="str">
            <v>EXECUÇÃO DE IMPRIMAÇÃO COM ASFALTO DILUÍDO CM-30, EXCLUSIVE MATERIAL.</v>
          </cell>
          <cell r="D571" t="str">
            <v>M2</v>
          </cell>
          <cell r="E571">
            <v>1071.1400000000001</v>
          </cell>
          <cell r="F571">
            <v>1.18</v>
          </cell>
          <cell r="G571">
            <v>1.46</v>
          </cell>
          <cell r="H571">
            <v>1563.86</v>
          </cell>
          <cell r="I571">
            <v>1.24</v>
          </cell>
          <cell r="J571">
            <v>1.46</v>
          </cell>
          <cell r="K571">
            <v>1563.86</v>
          </cell>
        </row>
        <row r="572">
          <cell r="A572" t="str">
            <v>1.10.5.7</v>
          </cell>
          <cell r="B572" t="str">
            <v>CP-95995-51339760</v>
          </cell>
          <cell r="C572" t="str">
            <v>EXECUÇÃO DE PAVIMENTO COM APLICAÇÃO DE CONCRETO ASFÁLTICO, CAMADA DE ROLAMENTO - EXCLUSIVE CARGA E TRANSPORTE E CONCRETO BETUMINOSO</v>
          </cell>
          <cell r="D572" t="str">
            <v>M3</v>
          </cell>
          <cell r="E572">
            <v>53.56</v>
          </cell>
          <cell r="F572">
            <v>127.58</v>
          </cell>
          <cell r="G572">
            <v>157.68</v>
          </cell>
          <cell r="H572">
            <v>8445.34</v>
          </cell>
          <cell r="I572">
            <v>133.37</v>
          </cell>
          <cell r="J572">
            <v>156.80000000000001</v>
          </cell>
          <cell r="K572">
            <v>8398.2099999999991</v>
          </cell>
        </row>
        <row r="573">
          <cell r="A573" t="str">
            <v>1.10.5.8</v>
          </cell>
          <cell r="B573" t="str">
            <v>COMP-10034101</v>
          </cell>
          <cell r="C573" t="str">
            <v>CARGA, MANOBRAS E DESCARGA DE MISTURA BETUMINOSA A QUENTE, COM CAMINHAO BASCULANTE 6 M3, DESCARGA EM VIBRO-ACABADORA</v>
          </cell>
          <cell r="D573" t="str">
            <v>M3</v>
          </cell>
          <cell r="E573">
            <v>53.56</v>
          </cell>
          <cell r="F573">
            <v>7.74</v>
          </cell>
          <cell r="G573">
            <v>9.57</v>
          </cell>
          <cell r="H573">
            <v>512.57000000000005</v>
          </cell>
          <cell r="I573">
            <v>7.86</v>
          </cell>
          <cell r="J573">
            <v>9.24</v>
          </cell>
          <cell r="K573">
            <v>494.89</v>
          </cell>
        </row>
        <row r="574">
          <cell r="A574" t="str">
            <v>1.10.5.9</v>
          </cell>
          <cell r="B574" t="str">
            <v>CP-95303-56931542</v>
          </cell>
          <cell r="C574" t="str">
            <v>TRANSPORTE COM CAMINHÃO BASCULANTE 10 M3 DE MASSA ASFALTICA PARA PAVIMENTAÇÃO URBANA</v>
          </cell>
          <cell r="D574" t="str">
            <v>M3XKM</v>
          </cell>
          <cell r="E574">
            <v>1215.81</v>
          </cell>
          <cell r="F574">
            <v>1.75</v>
          </cell>
          <cell r="G574">
            <v>2.16</v>
          </cell>
          <cell r="H574">
            <v>2626.15</v>
          </cell>
          <cell r="I574">
            <v>1.77</v>
          </cell>
          <cell r="J574">
            <v>2.08</v>
          </cell>
          <cell r="K574">
            <v>2528.88</v>
          </cell>
        </row>
        <row r="575">
          <cell r="A575" t="str">
            <v>1.10.5.10</v>
          </cell>
          <cell r="B575" t="str">
            <v>CP-97084-89637704</v>
          </cell>
          <cell r="C575" t="str">
            <v>REGULARIZACAO E COMPACTAÇÃO MANUAL DE TERRENO COM PLACA VIBRATÓRIA</v>
          </cell>
          <cell r="D575" t="str">
            <v>M2</v>
          </cell>
          <cell r="E575">
            <v>1440.41</v>
          </cell>
          <cell r="F575">
            <v>0.59</v>
          </cell>
          <cell r="G575">
            <v>0.73</v>
          </cell>
          <cell r="H575">
            <v>1051.5</v>
          </cell>
          <cell r="I575">
            <v>0.65</v>
          </cell>
          <cell r="J575">
            <v>0.76</v>
          </cell>
          <cell r="K575">
            <v>1094.71</v>
          </cell>
        </row>
        <row r="576">
          <cell r="A576" t="str">
            <v>1.10.5.11</v>
          </cell>
          <cell r="B576" t="str">
            <v>CP-94991-12549457</v>
          </cell>
          <cell r="C576" t="str">
            <v>EXECUÇÃO DE PASSEIO (CALÇADA) OU PISO DE CONCRETO COM CONCRETO MOLDADO IN LOCO, USINADO, ACABAMENTO CONVENCIONAL, NÃO ARMADO - EXCLUINDO O CONCRETO USINADO 20MPA</v>
          </cell>
          <cell r="D576" t="str">
            <v>M3</v>
          </cell>
          <cell r="E576">
            <v>99.81</v>
          </cell>
          <cell r="F576">
            <v>104.6</v>
          </cell>
          <cell r="G576">
            <v>129.28</v>
          </cell>
          <cell r="H576">
            <v>12903.44</v>
          </cell>
          <cell r="I576">
            <v>112.75</v>
          </cell>
          <cell r="J576">
            <v>132.56</v>
          </cell>
          <cell r="K576">
            <v>13230.81</v>
          </cell>
        </row>
        <row r="577">
          <cell r="A577" t="str">
            <v>1.10.5.12</v>
          </cell>
          <cell r="B577">
            <v>94273</v>
          </cell>
          <cell r="C577" t="str">
            <v>ASSENTAMENTO DE GUIA (MEIO-FIO) EM TRECHO RETO, CONFECCIONADA EM CONCRETO PRÉ-FABRICADO, DIMENSÕES 100X15X13X30 CM (COMPRIMENTO X BASE INFERIOR X BASE SUPERIOR X ALTURA), PARA VIAS URBANAS (USO VIÁRIO). AF_06/2016</v>
          </cell>
          <cell r="D577" t="str">
            <v>M</v>
          </cell>
          <cell r="E577">
            <v>632.92999999999995</v>
          </cell>
          <cell r="F577">
            <v>54.61</v>
          </cell>
          <cell r="G577">
            <v>67.489999999999995</v>
          </cell>
          <cell r="H577">
            <v>42716.45</v>
          </cell>
          <cell r="I577">
            <v>56.47</v>
          </cell>
          <cell r="J577">
            <v>66.39</v>
          </cell>
          <cell r="K577">
            <v>42020.22</v>
          </cell>
        </row>
        <row r="578">
          <cell r="A578" t="str">
            <v>1.10.5.13</v>
          </cell>
          <cell r="B578">
            <v>94274</v>
          </cell>
          <cell r="C578" t="str">
            <v>ASSENTAMENTO DE GUIA (MEIO-FIO) EM TRECHO CURVO, CONFECCIONADA EM CONCRETO PRÉ-FABRICADO, DIMENSÕES 100X15X13X30 CM (COMPRIMENTO X BASE INFERIOR X BASE SUPERIOR X ALTURA), PARA VIAS URBANAS (USO VIÁRIO). AF_06/2016</v>
          </cell>
          <cell r="D578" t="str">
            <v>M</v>
          </cell>
          <cell r="E578">
            <v>18.510000000000002</v>
          </cell>
          <cell r="F578">
            <v>58.17</v>
          </cell>
          <cell r="G578">
            <v>71.89</v>
          </cell>
          <cell r="H578">
            <v>1330.68</v>
          </cell>
          <cell r="I578">
            <v>60.43</v>
          </cell>
          <cell r="J578">
            <v>71.05</v>
          </cell>
          <cell r="K578">
            <v>1315.14</v>
          </cell>
        </row>
        <row r="579">
          <cell r="A579" t="str">
            <v>1.10.5.14</v>
          </cell>
          <cell r="B579">
            <v>94287</v>
          </cell>
          <cell r="C579" t="str">
            <v>EXECUÇÃO DE SARJETA DE CONCRETO USINADO, MOLDADA  IN LOCO  EM TRECHO RETO, 30 CM BASE X 10 CM ALTURA. AF_06/2016</v>
          </cell>
          <cell r="D579" t="str">
            <v>M</v>
          </cell>
          <cell r="E579">
            <v>5.49</v>
          </cell>
          <cell r="F579">
            <v>37.69</v>
          </cell>
          <cell r="G579">
            <v>46.58</v>
          </cell>
          <cell r="H579">
            <v>255.72</v>
          </cell>
          <cell r="I579">
            <v>39.770000000000003</v>
          </cell>
          <cell r="J579">
            <v>46.76</v>
          </cell>
          <cell r="K579">
            <v>256.70999999999998</v>
          </cell>
        </row>
        <row r="580">
          <cell r="A580" t="str">
            <v>1.10.5.15</v>
          </cell>
          <cell r="B580">
            <v>94288</v>
          </cell>
          <cell r="C580" t="str">
            <v>EXECUÇÃO DE SARJETA DE CONCRETO USINADO, MOLDADA  IN LOCO  EM TRECHO CURVO, 30 CM BASE X 10 CM ALTURA. AF_06/2016</v>
          </cell>
          <cell r="D580" t="str">
            <v>M</v>
          </cell>
          <cell r="E580">
            <v>6.04</v>
          </cell>
          <cell r="F580">
            <v>47.14</v>
          </cell>
          <cell r="G580">
            <v>58.26</v>
          </cell>
          <cell r="H580">
            <v>351.89</v>
          </cell>
          <cell r="I580">
            <v>50.32</v>
          </cell>
          <cell r="J580">
            <v>59.16</v>
          </cell>
          <cell r="K580">
            <v>357.33</v>
          </cell>
        </row>
        <row r="581">
          <cell r="A581" t="str">
            <v>1.10.6</v>
          </cell>
          <cell r="B581"/>
          <cell r="C581" t="str">
            <v>DRENAGEM</v>
          </cell>
          <cell r="D581"/>
          <cell r="E581"/>
          <cell r="F581"/>
          <cell r="G581"/>
          <cell r="H581">
            <v>176151.46</v>
          </cell>
          <cell r="I581"/>
          <cell r="J581"/>
          <cell r="K581">
            <v>173153.12</v>
          </cell>
        </row>
        <row r="582">
          <cell r="A582" t="str">
            <v>1.10.6.1</v>
          </cell>
          <cell r="B582">
            <v>90091</v>
          </cell>
          <cell r="C582" t="str">
            <v>ESCAVAÇÃO MECANIZADA DE VALA COM PROF. ATÉ 1,5 M (MÉDIA MONTANTE E JUSANTE/UMA COMPOSIÇÃO POR TRECHO), ESCAVADEIRA (0,8 M3), LARG. DE 1,5 M A 2,5 M, EM SOLO DE 1A CATEGORIA, LOCAIS COM BAIXO NÍVEL DE INTERFERÊNCIA. AF_02/2021</v>
          </cell>
          <cell r="D582" t="str">
            <v>M3</v>
          </cell>
          <cell r="E582">
            <v>124.84</v>
          </cell>
          <cell r="F582">
            <v>6.24</v>
          </cell>
          <cell r="G582">
            <v>7.71</v>
          </cell>
          <cell r="H582">
            <v>962.52</v>
          </cell>
          <cell r="I582">
            <v>6.48</v>
          </cell>
          <cell r="J582">
            <v>7.62</v>
          </cell>
          <cell r="K582">
            <v>951.28</v>
          </cell>
        </row>
        <row r="583">
          <cell r="A583" t="str">
            <v>1.10.6.2</v>
          </cell>
          <cell r="B583">
            <v>93367</v>
          </cell>
          <cell r="C583" t="str">
            <v>REATERRO MECANIZADO DE VALA COM ESCAVADEIRA HIDRÁULICA (CAPACIDADE DA CAÇAMBA: 0,8 M³ / POTÊNCIA: 111 HP), LARGURA DE 1,5 A 2,5 M, PROFUNDIDADE ATÉ 1,5 M, COM SOLO DE 1ª CATEGORIA EM LOCAIS COM BAIXO NÍVEL DE INTERFERÊNCIA. AF_04/2016</v>
          </cell>
          <cell r="D583" t="str">
            <v>M3</v>
          </cell>
          <cell r="E583">
            <v>46.82</v>
          </cell>
          <cell r="F583">
            <v>22.53</v>
          </cell>
          <cell r="G583">
            <v>27.84</v>
          </cell>
          <cell r="H583">
            <v>1303.47</v>
          </cell>
          <cell r="I583">
            <v>23.75</v>
          </cell>
          <cell r="J583">
            <v>27.92</v>
          </cell>
          <cell r="K583">
            <v>1307.21</v>
          </cell>
        </row>
        <row r="584">
          <cell r="A584" t="str">
            <v>1.10.6.3</v>
          </cell>
          <cell r="B584" t="str">
            <v>COMP-35145154</v>
          </cell>
          <cell r="C584" t="str">
            <v>CARGA E DESCARGA MECANICA DE SOLO UTILIZANDO CAMINHAO BASCULANTE 14,0M3/36T E PA CARREGADEIRA SOBRE PNEUS 128 HP, CAPACIDADE DA CAÇAMBA 1,7 A 2,8 M3, PESO OPERACIONAL 11632 KH</v>
          </cell>
          <cell r="D584" t="str">
            <v>M3</v>
          </cell>
          <cell r="E584">
            <v>97.53</v>
          </cell>
          <cell r="F584">
            <v>2.83</v>
          </cell>
          <cell r="G584">
            <v>3.5</v>
          </cell>
          <cell r="H584">
            <v>341.36</v>
          </cell>
          <cell r="I584">
            <v>2.9</v>
          </cell>
          <cell r="J584">
            <v>3.41</v>
          </cell>
          <cell r="K584">
            <v>332.58</v>
          </cell>
        </row>
        <row r="585">
          <cell r="A585" t="str">
            <v>1.10.6.4</v>
          </cell>
          <cell r="B585">
            <v>95876</v>
          </cell>
          <cell r="C585" t="str">
            <v>TRANSPORTE COM CAMINHÃO BASCULANTE DE 14 M³, EM VIA URBANA PAVIMENTADA, DMT ATÉ 30 KM (UNIDADE: M3XKM). AF_07/2020</v>
          </cell>
          <cell r="D585" t="str">
            <v>M3XKM</v>
          </cell>
          <cell r="E585">
            <v>965.55</v>
          </cell>
          <cell r="F585">
            <v>2.2400000000000002</v>
          </cell>
          <cell r="G585">
            <v>2.77</v>
          </cell>
          <cell r="H585">
            <v>2674.57</v>
          </cell>
          <cell r="I585">
            <v>2.27</v>
          </cell>
          <cell r="J585">
            <v>2.67</v>
          </cell>
          <cell r="K585">
            <v>2578.02</v>
          </cell>
        </row>
        <row r="586">
          <cell r="A586" t="str">
            <v>1.10.6.5</v>
          </cell>
          <cell r="B586">
            <v>94971</v>
          </cell>
          <cell r="C586" t="str">
            <v>CONCRETO FCK = 25MPA, TRAÇO 1:2,3:2,7 (EM MASSA SECA DE CIMENTO/ AREIA MÉDIA/ BRITA 1) - PREPARO MECÂNICO COM BETONEIRA 600 L. AF_05/2021</v>
          </cell>
          <cell r="D586" t="str">
            <v>M3</v>
          </cell>
          <cell r="E586">
            <v>39.770000000000003</v>
          </cell>
          <cell r="F586">
            <v>464.88</v>
          </cell>
          <cell r="G586">
            <v>574.54999999999995</v>
          </cell>
          <cell r="H586">
            <v>22849.85</v>
          </cell>
          <cell r="I586">
            <v>472.74</v>
          </cell>
          <cell r="J586">
            <v>555.79999999999995</v>
          </cell>
          <cell r="K586">
            <v>22104.17</v>
          </cell>
        </row>
        <row r="587">
          <cell r="A587" t="str">
            <v>1.10.6.6</v>
          </cell>
          <cell r="B587">
            <v>94974</v>
          </cell>
          <cell r="C587" t="str">
            <v>CONCRETO MAGRO PARA LASTRO, TRAÇO 1:4,5:4,5 (EM MASSA SECA DE CIMENTO/ AREIA MÉDIA/ BRITA 1) - PREPARO MANUAL. AF_05/2021</v>
          </cell>
          <cell r="D587" t="str">
            <v>M3</v>
          </cell>
          <cell r="E587">
            <v>31.21</v>
          </cell>
          <cell r="F587">
            <v>423.75</v>
          </cell>
          <cell r="G587">
            <v>523.71</v>
          </cell>
          <cell r="H587">
            <v>16344.99</v>
          </cell>
          <cell r="I587">
            <v>436.13</v>
          </cell>
          <cell r="J587">
            <v>512.76</v>
          </cell>
          <cell r="K587">
            <v>16003.24</v>
          </cell>
        </row>
        <row r="588">
          <cell r="A588" t="str">
            <v>1.10.6.7</v>
          </cell>
          <cell r="B588">
            <v>92771</v>
          </cell>
          <cell r="C588" t="str">
            <v>ARMAÇÃO DE LAJE DE ESTRUTURA CONVENCIONAL DE CONCRETO ARMADO UTILIZANDO AÇO CA-50 DE 10,0 MM - MONTAGEM. AF_06/2022</v>
          </cell>
          <cell r="D588" t="str">
            <v>KG</v>
          </cell>
          <cell r="E588">
            <v>2587.23</v>
          </cell>
          <cell r="F588">
            <v>15.04</v>
          </cell>
          <cell r="G588">
            <v>18.59</v>
          </cell>
          <cell r="H588">
            <v>48096.61</v>
          </cell>
          <cell r="I588">
            <v>15.14</v>
          </cell>
          <cell r="J588">
            <v>17.8</v>
          </cell>
          <cell r="K588">
            <v>46052.69</v>
          </cell>
        </row>
        <row r="589">
          <cell r="A589" t="str">
            <v>1.10.6.8</v>
          </cell>
          <cell r="B589" t="str">
            <v>CP-92268-29291149</v>
          </cell>
          <cell r="C589" t="str">
            <v>FABRICAÇÃO DE FÔRMA PARA LAJES, EM CHAPA DE MADEIRA COMPENSADA PLASTIFICADA, E = 18 MM - EXCLUINDO O PAINEL DE MADEIRA COMPENSADA PLASTIFICADA DE 2200 x 1100 MM, E = *17* MM</v>
          </cell>
          <cell r="D589" t="str">
            <v>M2</v>
          </cell>
          <cell r="E589">
            <v>187.25</v>
          </cell>
          <cell r="F589">
            <v>0.98</v>
          </cell>
          <cell r="G589">
            <v>1.21</v>
          </cell>
          <cell r="H589">
            <v>226.57</v>
          </cell>
          <cell r="I589">
            <v>1.1000000000000001</v>
          </cell>
          <cell r="J589">
            <v>1.29</v>
          </cell>
          <cell r="K589">
            <v>241.55</v>
          </cell>
        </row>
        <row r="590">
          <cell r="A590" t="str">
            <v>1.10.6.9</v>
          </cell>
          <cell r="B590">
            <v>103320</v>
          </cell>
          <cell r="C590" t="str">
            <v>ALVENARIA DE VEDAÇÃO DE BLOCOS VAZADOS DE CONCRETO DE 19X19X39 CM (ESPESSURA 19 CM) E ARGAMASSA DE ASSENTAMENTO COM PREPARO EM BETONEIRA. AF_12/2021</v>
          </cell>
          <cell r="D590" t="str">
            <v>M2</v>
          </cell>
          <cell r="E590">
            <v>312.08999999999997</v>
          </cell>
          <cell r="F590">
            <v>101.36</v>
          </cell>
          <cell r="G590">
            <v>125.27</v>
          </cell>
          <cell r="H590">
            <v>39095.51</v>
          </cell>
          <cell r="I590">
            <v>105.62</v>
          </cell>
          <cell r="J590">
            <v>124.18</v>
          </cell>
          <cell r="K590">
            <v>38755.339999999997</v>
          </cell>
        </row>
        <row r="591">
          <cell r="A591" t="str">
            <v>1.10.6.10</v>
          </cell>
          <cell r="B591">
            <v>87879</v>
          </cell>
          <cell r="C591" t="str">
            <v>CHAPISCO APLICADO EM ALVENARIAS E ESTRUTURAS DE CONCRETO INTERNAS, COM COLHER DE PEDREIRO.  ARGAMASSA TRAÇO 1:3 COM PREPARO EM BETONEIRA 400L. AF_06/2014</v>
          </cell>
          <cell r="D591" t="str">
            <v>M2</v>
          </cell>
          <cell r="E591">
            <v>312.08999999999997</v>
          </cell>
          <cell r="F591">
            <v>3.85</v>
          </cell>
          <cell r="G591">
            <v>4.76</v>
          </cell>
          <cell r="H591">
            <v>1485.55</v>
          </cell>
          <cell r="I591">
            <v>4.0999999999999996</v>
          </cell>
          <cell r="J591">
            <v>4.82</v>
          </cell>
          <cell r="K591">
            <v>1504.27</v>
          </cell>
        </row>
        <row r="592">
          <cell r="A592" t="str">
            <v>1.10.6.11</v>
          </cell>
          <cell r="B592">
            <v>87547</v>
          </cell>
          <cell r="C592" t="str">
            <v>MASSA ÚNICA, PARA RECEBIMENTO DE PINTURA, EM ARGAMASSA TRAÇO 1:2:8, PREPARO MECÂNICO COM BETONEIRA 400L, APLICADA MANUALMENTE EM FACES INTERNAS DE PAREDES, ESPESSURA DE 10MM, COM EXECUÇÃO DE TALISCAS. AF_06/2014</v>
          </cell>
          <cell r="D592" t="str">
            <v>M2</v>
          </cell>
          <cell r="E592">
            <v>312.08999999999997</v>
          </cell>
          <cell r="F592">
            <v>23.35</v>
          </cell>
          <cell r="G592">
            <v>28.86</v>
          </cell>
          <cell r="H592">
            <v>9006.92</v>
          </cell>
          <cell r="I592">
            <v>24.83</v>
          </cell>
          <cell r="J592">
            <v>29.19</v>
          </cell>
          <cell r="K592">
            <v>9109.91</v>
          </cell>
        </row>
        <row r="593">
          <cell r="A593" t="str">
            <v>1.10.6.12</v>
          </cell>
          <cell r="B593">
            <v>94975</v>
          </cell>
          <cell r="C593" t="str">
            <v>CONCRETO FCK = 15MPA, TRAÇO 1:3,4:3,5 (EM MASSA SECA DE CIMENTO/ AREIA MÉDIA/ BRITA 1) - PREPARO MANUAL. AF_05/2021</v>
          </cell>
          <cell r="D593" t="str">
            <v>M3</v>
          </cell>
          <cell r="E593">
            <v>33.19</v>
          </cell>
          <cell r="F593">
            <v>457.19</v>
          </cell>
          <cell r="G593">
            <v>565.04</v>
          </cell>
          <cell r="H593">
            <v>18753.68</v>
          </cell>
          <cell r="I593">
            <v>469.42</v>
          </cell>
          <cell r="J593">
            <v>551.9</v>
          </cell>
          <cell r="K593">
            <v>18317.560000000001</v>
          </cell>
        </row>
        <row r="594">
          <cell r="A594" t="str">
            <v>1.10.6.13</v>
          </cell>
          <cell r="B594" t="str">
            <v>CP-74157/004-48264518</v>
          </cell>
          <cell r="C594" t="str">
            <v>LANCAMENTO/APLICACAO MANUAL DE CONCRETO EM FUNDACOES (concreto magro)</v>
          </cell>
          <cell r="D594" t="str">
            <v>M3</v>
          </cell>
          <cell r="E594">
            <v>104.17</v>
          </cell>
          <cell r="F594">
            <v>116.59</v>
          </cell>
          <cell r="G594">
            <v>144.09</v>
          </cell>
          <cell r="H594">
            <v>15009.86</v>
          </cell>
          <cell r="I594">
            <v>129.79</v>
          </cell>
          <cell r="J594">
            <v>152.59</v>
          </cell>
          <cell r="K594">
            <v>15895.3</v>
          </cell>
        </row>
        <row r="595">
          <cell r="A595" t="str">
            <v>1.10.7</v>
          </cell>
          <cell r="B595"/>
          <cell r="C595" t="str">
            <v>SINALIZAÇÃO</v>
          </cell>
          <cell r="D595"/>
          <cell r="E595"/>
          <cell r="F595"/>
          <cell r="G595"/>
          <cell r="H595">
            <v>9676.85</v>
          </cell>
          <cell r="I595"/>
          <cell r="J595"/>
          <cell r="K595">
            <v>9539.51</v>
          </cell>
        </row>
        <row r="596">
          <cell r="A596" t="str">
            <v>1.10.7.1</v>
          </cell>
          <cell r="B596">
            <v>5213421</v>
          </cell>
          <cell r="C596" t="str">
            <v>Confecção de placa em aço nº 16 galvanizado, com película tipo I + IV</v>
          </cell>
          <cell r="D596" t="str">
            <v xml:space="preserve">M2    </v>
          </cell>
          <cell r="E596">
            <v>2.87</v>
          </cell>
          <cell r="F596">
            <v>343.8</v>
          </cell>
          <cell r="G596">
            <v>424.9</v>
          </cell>
          <cell r="H596">
            <v>1219.46</v>
          </cell>
          <cell r="I596">
            <v>347.25</v>
          </cell>
          <cell r="J596">
            <v>408.26</v>
          </cell>
          <cell r="K596">
            <v>1171.71</v>
          </cell>
        </row>
        <row r="597">
          <cell r="A597" t="str">
            <v>1.10.7.2</v>
          </cell>
          <cell r="B597">
            <v>5216111</v>
          </cell>
          <cell r="C597" t="str">
            <v>FORNECIMENTO E IMPLANTAÇÃO DE SUPORTE E TRAVESSA PARA PLACA DE SINALIZAÇÃO EM MADEIRA DE LEI TRATADA 8 X 8 CM</v>
          </cell>
          <cell r="D597" t="str">
            <v>UND</v>
          </cell>
          <cell r="E597">
            <v>13</v>
          </cell>
          <cell r="F597">
            <v>119.1379</v>
          </cell>
          <cell r="G597">
            <v>147.24</v>
          </cell>
          <cell r="H597">
            <v>1914.12</v>
          </cell>
          <cell r="I597">
            <v>121.48</v>
          </cell>
          <cell r="J597">
            <v>142.82</v>
          </cell>
          <cell r="K597">
            <v>1856.66</v>
          </cell>
        </row>
        <row r="598">
          <cell r="A598" t="str">
            <v>1.10.7.3</v>
          </cell>
          <cell r="B598" t="str">
            <v>COMP-58084869</v>
          </cell>
          <cell r="C598" t="str">
            <v>PLACA ESMALTADA PARA IDENTIFICAÇÃO NR DE RUA, DIMENSÕES 45X25CM</v>
          </cell>
          <cell r="D598" t="str">
            <v>UND</v>
          </cell>
          <cell r="E598">
            <v>3</v>
          </cell>
          <cell r="F598">
            <v>155.54</v>
          </cell>
          <cell r="G598">
            <v>192.23</v>
          </cell>
          <cell r="H598">
            <v>576.69000000000005</v>
          </cell>
          <cell r="I598">
            <v>156.33000000000001</v>
          </cell>
          <cell r="J598">
            <v>183.8</v>
          </cell>
          <cell r="K598">
            <v>551.4</v>
          </cell>
        </row>
        <row r="599">
          <cell r="A599" t="str">
            <v>1.10.7.4</v>
          </cell>
          <cell r="B599">
            <v>102512</v>
          </cell>
          <cell r="C599" t="str">
            <v>PINTURA DE EIXO VIÁRIO SOBRE ASFALTO COM TINTA RETRORREFLETIVA A BASE DE RESINA ACRÍLICA COM MICROESFERAS DE VIDRO, APLICAÇÃO MECÂNICA COM DEMARCADORA AUTOPROPELIDA. AF_05/2021</v>
          </cell>
          <cell r="D599" t="str">
            <v>M</v>
          </cell>
          <cell r="E599">
            <v>839.55</v>
          </cell>
          <cell r="F599">
            <v>5.22</v>
          </cell>
          <cell r="G599">
            <v>6.45</v>
          </cell>
          <cell r="H599">
            <v>5415.1</v>
          </cell>
          <cell r="I599">
            <v>5.48</v>
          </cell>
          <cell r="J599">
            <v>6.44</v>
          </cell>
          <cell r="K599">
            <v>5406.7</v>
          </cell>
        </row>
        <row r="600">
          <cell r="A600" t="str">
            <v>1.10.7.5</v>
          </cell>
          <cell r="B600">
            <v>102509</v>
          </cell>
          <cell r="C600" t="str">
            <v>PINTURA DE FAIXA DE PEDESTRE OU ZEBRADA TINTA RETRORREFLETIVA A BASE DE RESINA ACRÍLICA COM MICROESFERAS DE VIDRO, E = 30 CM, APLICAÇÃO MANUAL. AF_05/2021</v>
          </cell>
          <cell r="D600" t="str">
            <v>M2</v>
          </cell>
          <cell r="E600">
            <v>19.48</v>
          </cell>
          <cell r="F600">
            <v>22.91</v>
          </cell>
          <cell r="G600">
            <v>28.31</v>
          </cell>
          <cell r="H600">
            <v>551.48</v>
          </cell>
          <cell r="I600">
            <v>24.15</v>
          </cell>
          <cell r="J600">
            <v>28.39</v>
          </cell>
          <cell r="K600">
            <v>553.04</v>
          </cell>
        </row>
        <row r="601">
          <cell r="A601" t="str">
            <v>1.10.8</v>
          </cell>
          <cell r="B601"/>
          <cell r="C601" t="str">
            <v>ACESSIBILIDADE</v>
          </cell>
          <cell r="D601"/>
          <cell r="E601"/>
          <cell r="F601"/>
          <cell r="G601"/>
          <cell r="H601">
            <v>1955.55</v>
          </cell>
          <cell r="I601"/>
          <cell r="J601"/>
          <cell r="K601">
            <v>1923.08</v>
          </cell>
        </row>
        <row r="602">
          <cell r="A602" t="str">
            <v>1.10.8.1</v>
          </cell>
          <cell r="B602" t="str">
            <v>CP-S12039-81921471</v>
          </cell>
          <cell r="C602" t="str">
            <v>Piso tátil direcional e/ou alerta, de concreto, na cor natural, p/deficientes visuais, dimensões 40x40cm, aplicado com argamassa industrializada ac-ii, rejuntado, exclusive regularização de base</v>
          </cell>
          <cell r="D602" t="str">
            <v>M2</v>
          </cell>
          <cell r="E602">
            <v>14.56</v>
          </cell>
          <cell r="F602">
            <v>108.67</v>
          </cell>
          <cell r="G602">
            <v>134.31</v>
          </cell>
          <cell r="H602">
            <v>1955.55</v>
          </cell>
          <cell r="I602">
            <v>112.34</v>
          </cell>
          <cell r="J602">
            <v>132.08000000000001</v>
          </cell>
          <cell r="K602">
            <v>1923.08</v>
          </cell>
        </row>
        <row r="603">
          <cell r="A603" t="str">
            <v>1.10.9</v>
          </cell>
          <cell r="B603"/>
          <cell r="C603" t="str">
            <v>MATERIAIS</v>
          </cell>
          <cell r="D603"/>
          <cell r="E603"/>
          <cell r="F603"/>
          <cell r="G603"/>
          <cell r="H603">
            <v>226283.96</v>
          </cell>
          <cell r="I603"/>
          <cell r="J603"/>
          <cell r="K603">
            <v>215732.63</v>
          </cell>
        </row>
        <row r="604">
          <cell r="A604" t="str">
            <v>1.10.9.1</v>
          </cell>
          <cell r="B604">
            <v>10775</v>
          </cell>
          <cell r="C604" t="str">
            <v xml:space="preserve">LOCACAO DE CONTAINER 2,30 X 6,00 M, ALT. 2,50 M, COM 1 SANITARIO, PARA ESCRITORIO, COMPLETO, SEM DIVISORIAS INTERNAS (NAO INCLUI MOBILIZACAO/DESMOBILIZACAO)                                                                                                                                                                                                                                                                                                                                              </v>
          </cell>
          <cell r="D604" t="str">
            <v xml:space="preserve">MES   </v>
          </cell>
          <cell r="E604">
            <v>3</v>
          </cell>
          <cell r="F604">
            <v>830</v>
          </cell>
          <cell r="G604">
            <v>958.32</v>
          </cell>
          <cell r="H604">
            <v>2874.96</v>
          </cell>
          <cell r="I604">
            <v>830</v>
          </cell>
          <cell r="J604">
            <v>913.58</v>
          </cell>
          <cell r="K604">
            <v>2740.74</v>
          </cell>
        </row>
        <row r="605">
          <cell r="A605" t="str">
            <v>1.10.9.2</v>
          </cell>
          <cell r="B605">
            <v>10776</v>
          </cell>
          <cell r="C605" t="str">
            <v xml:space="preserve">LOCACAO DE CONTAINER 2,30 X 6,00 M, ALT. 2,50 M, PARA ESCRITORIO, SEM DIVISORIAS INTERNAS E SEM SANITARIO (NAO INCLUI MOBILIZACAO/DESMOBILIZACAO)                                                                                                                                                                                                                                                                                                                                                         </v>
          </cell>
          <cell r="D605" t="str">
            <v xml:space="preserve">MES   </v>
          </cell>
          <cell r="E605">
            <v>3</v>
          </cell>
          <cell r="F605">
            <v>648.42999999999995</v>
          </cell>
          <cell r="G605">
            <v>748.68</v>
          </cell>
          <cell r="H605">
            <v>2246.04</v>
          </cell>
          <cell r="I605">
            <v>648.42999999999995</v>
          </cell>
          <cell r="J605">
            <v>713.73</v>
          </cell>
          <cell r="K605">
            <v>2141.19</v>
          </cell>
        </row>
        <row r="606">
          <cell r="A606" t="str">
            <v>1.10.9.3</v>
          </cell>
          <cell r="B606">
            <v>1518</v>
          </cell>
          <cell r="C606" t="str">
            <v xml:space="preserve">CONCRETO BETUMINOSO USINADO A QUENTE (CBUQ) PARA PAVIMENTACAO ASFALTICA, PADRAO DNIT, FAIXA C, COM CAP 50/70 - AQUISICAO POSTO USINA                                                                                                                                                                                                                                                                                                                                                                      </v>
          </cell>
          <cell r="D606" t="str">
            <v xml:space="preserve">T     </v>
          </cell>
          <cell r="E606">
            <v>136.84</v>
          </cell>
          <cell r="F606">
            <v>522.5</v>
          </cell>
          <cell r="G606">
            <v>603.28</v>
          </cell>
          <cell r="H606">
            <v>82552.84</v>
          </cell>
          <cell r="I606">
            <v>522.5</v>
          </cell>
          <cell r="J606">
            <v>575.12</v>
          </cell>
          <cell r="K606">
            <v>78699.42</v>
          </cell>
        </row>
        <row r="607">
          <cell r="A607" t="str">
            <v>1.10.9.4</v>
          </cell>
          <cell r="B607" t="str">
            <v>INS-185032</v>
          </cell>
          <cell r="C607" t="str">
            <v>BRITA GRADUADA SIMPLES (BGS)</v>
          </cell>
          <cell r="D607" t="str">
            <v>M3</v>
          </cell>
          <cell r="E607">
            <v>251.54</v>
          </cell>
          <cell r="F607">
            <v>56.099999999999994</v>
          </cell>
          <cell r="G607">
            <v>64.77</v>
          </cell>
          <cell r="H607">
            <v>16292.25</v>
          </cell>
          <cell r="I607">
            <v>56.099999999999994</v>
          </cell>
          <cell r="J607">
            <v>61.75</v>
          </cell>
          <cell r="K607">
            <v>15532.6</v>
          </cell>
        </row>
        <row r="608">
          <cell r="A608" t="str">
            <v>1.10.9.5</v>
          </cell>
          <cell r="B608" t="str">
            <v>M0808</v>
          </cell>
          <cell r="C608" t="str">
            <v>Brita 4</v>
          </cell>
          <cell r="D608" t="str">
            <v>M3</v>
          </cell>
          <cell r="E608">
            <v>296.83</v>
          </cell>
          <cell r="F608">
            <v>90.74</v>
          </cell>
          <cell r="G608">
            <v>104.77</v>
          </cell>
          <cell r="H608">
            <v>31098.880000000001</v>
          </cell>
          <cell r="I608">
            <v>90.74</v>
          </cell>
          <cell r="J608">
            <v>99.88</v>
          </cell>
          <cell r="K608">
            <v>29647.38</v>
          </cell>
        </row>
        <row r="609">
          <cell r="A609" t="str">
            <v>1.10.9.6</v>
          </cell>
          <cell r="B609" t="str">
            <v>M1135</v>
          </cell>
          <cell r="C609" t="str">
            <v>Pó de pedra</v>
          </cell>
          <cell r="D609" t="str">
            <v>M3</v>
          </cell>
          <cell r="E609">
            <v>32.979999999999997</v>
          </cell>
          <cell r="F609">
            <v>74.53</v>
          </cell>
          <cell r="G609">
            <v>86.05</v>
          </cell>
          <cell r="H609">
            <v>2837.93</v>
          </cell>
          <cell r="I609">
            <v>74.53</v>
          </cell>
          <cell r="J609">
            <v>82.04</v>
          </cell>
          <cell r="K609">
            <v>2705.68</v>
          </cell>
        </row>
        <row r="610">
          <cell r="A610" t="str">
            <v>1.10.9.7</v>
          </cell>
          <cell r="B610" t="str">
            <v>INS-54745269</v>
          </cell>
          <cell r="C610" t="str">
            <v>ASFALTO DILUÍDO CM - 30 - JUNHO/22</v>
          </cell>
          <cell r="D610" t="str">
            <v>KG</v>
          </cell>
          <cell r="E610">
            <v>1285.3699999999999</v>
          </cell>
          <cell r="F610">
            <v>5.32</v>
          </cell>
          <cell r="G610">
            <v>6.14</v>
          </cell>
          <cell r="H610">
            <v>7892.17</v>
          </cell>
          <cell r="I610">
            <v>5.32</v>
          </cell>
          <cell r="J610">
            <v>5.86</v>
          </cell>
          <cell r="K610">
            <v>7532.27</v>
          </cell>
        </row>
        <row r="611">
          <cell r="A611" t="str">
            <v>1.10.9.8</v>
          </cell>
          <cell r="B611">
            <v>34492</v>
          </cell>
          <cell r="C611" t="str">
            <v xml:space="preserve">CONCRETO USINADO BOMBEAVEL, CLASSE DE RESISTENCIA C20, COM BRITA 0 E 1, SLUMP = 100 +/- 20 MM, EXCLUI SERVICO DE BOMBEAMENTO (NBR 8953)                                                                                                                                                                                                                                                                                                                                                                   </v>
          </cell>
          <cell r="D611" t="str">
            <v xml:space="preserve">M3    </v>
          </cell>
          <cell r="E611">
            <v>121.07</v>
          </cell>
          <cell r="F611">
            <v>422.5</v>
          </cell>
          <cell r="G611">
            <v>487.82</v>
          </cell>
          <cell r="H611">
            <v>59060.37</v>
          </cell>
          <cell r="I611">
            <v>422.5</v>
          </cell>
          <cell r="J611">
            <v>465.05</v>
          </cell>
          <cell r="K611">
            <v>56303.6</v>
          </cell>
        </row>
        <row r="612">
          <cell r="A612" t="str">
            <v>1.10.9.9</v>
          </cell>
          <cell r="B612">
            <v>1345</v>
          </cell>
          <cell r="C612" t="str">
            <v xml:space="preserve">CHAPA/PAINEL DE MADEIRA COMPENSADA PLASTIFICADA (MADEIRITE PLASTIFICADO) PARA FORMA DE CONCRETO, DE 2200 x 1100 MM, E = *17* MM                                                                                                                                                                                                                                                                                                                                                                           </v>
          </cell>
          <cell r="D612" t="str">
            <v xml:space="preserve">M2    </v>
          </cell>
          <cell r="E612">
            <v>196.61</v>
          </cell>
          <cell r="F612">
            <v>94.4</v>
          </cell>
          <cell r="G612">
            <v>108.99</v>
          </cell>
          <cell r="H612">
            <v>21428.52</v>
          </cell>
          <cell r="I612">
            <v>94.4</v>
          </cell>
          <cell r="J612">
            <v>103.91</v>
          </cell>
          <cell r="K612">
            <v>20429.75</v>
          </cell>
        </row>
        <row r="613">
          <cell r="A613" t="str">
            <v>1.11</v>
          </cell>
          <cell r="B613"/>
          <cell r="C613" t="str">
            <v>RUA PETROLÂNDIA - PIEDADE</v>
          </cell>
          <cell r="D613"/>
          <cell r="E613"/>
          <cell r="F613"/>
          <cell r="G613"/>
          <cell r="H613">
            <v>346816.55</v>
          </cell>
          <cell r="I613"/>
          <cell r="J613"/>
          <cell r="K613">
            <v>338289.11</v>
          </cell>
        </row>
        <row r="614">
          <cell r="A614" t="str">
            <v>1.11.1</v>
          </cell>
          <cell r="B614"/>
          <cell r="C614" t="str">
            <v>INSTALAÇÕES PROVISÓRIAS</v>
          </cell>
          <cell r="D614"/>
          <cell r="E614"/>
          <cell r="F614"/>
          <cell r="G614"/>
          <cell r="H614">
            <v>7250.74</v>
          </cell>
          <cell r="I614"/>
          <cell r="J614"/>
          <cell r="K614">
            <v>6960.06</v>
          </cell>
        </row>
        <row r="615">
          <cell r="A615" t="str">
            <v>1.11.1.1</v>
          </cell>
          <cell r="B615" t="str">
            <v>CP-74209/001-15055090</v>
          </cell>
          <cell r="C615" t="str">
            <v>PLACA DE OBRA EM CHAPA DE ACO GALVANIZADO</v>
          </cell>
          <cell r="D615" t="str">
            <v xml:space="preserve">M2    </v>
          </cell>
          <cell r="E615">
            <v>8</v>
          </cell>
          <cell r="F615">
            <v>558.35</v>
          </cell>
          <cell r="G615">
            <v>690.06</v>
          </cell>
          <cell r="H615">
            <v>5520.48</v>
          </cell>
          <cell r="I615">
            <v>564.99</v>
          </cell>
          <cell r="J615">
            <v>664.26</v>
          </cell>
          <cell r="K615">
            <v>5314.08</v>
          </cell>
        </row>
        <row r="616">
          <cell r="A616" t="str">
            <v>1.11.1.2</v>
          </cell>
          <cell r="B616" t="str">
            <v>COMP-07440249</v>
          </cell>
          <cell r="C616" t="str">
            <v>BANHEIRO QUÍMICO, COM LOCAÇÃO, TRANSPORTE E LIMPEZA</v>
          </cell>
          <cell r="D616" t="str">
            <v>MÊS</v>
          </cell>
          <cell r="E616">
            <v>2</v>
          </cell>
          <cell r="F616">
            <v>700</v>
          </cell>
          <cell r="G616">
            <v>865.13</v>
          </cell>
          <cell r="H616">
            <v>1730.26</v>
          </cell>
          <cell r="I616">
            <v>700</v>
          </cell>
          <cell r="J616">
            <v>822.99</v>
          </cell>
          <cell r="K616">
            <v>1645.98</v>
          </cell>
        </row>
        <row r="617">
          <cell r="A617" t="str">
            <v>1.11.2</v>
          </cell>
          <cell r="B617"/>
          <cell r="C617" t="str">
            <v>ADMINISTRAÇÃO LOCAL</v>
          </cell>
          <cell r="D617"/>
          <cell r="E617"/>
          <cell r="F617"/>
          <cell r="G617"/>
          <cell r="H617">
            <v>11673.7</v>
          </cell>
          <cell r="I617"/>
          <cell r="J617"/>
          <cell r="K617">
            <v>12787.84</v>
          </cell>
        </row>
        <row r="618">
          <cell r="A618" t="str">
            <v>1.11.2.1</v>
          </cell>
          <cell r="B618">
            <v>93565</v>
          </cell>
          <cell r="C618" t="str">
            <v>ENGENHEIRO CIVIL DE OBRA JUNIOR COM ENCARGOS COMPLEMENTARES</v>
          </cell>
          <cell r="D618" t="str">
            <v>MES</v>
          </cell>
          <cell r="E618">
            <v>0.25</v>
          </cell>
          <cell r="F618">
            <v>14549.96</v>
          </cell>
          <cell r="G618">
            <v>17982.3</v>
          </cell>
          <cell r="H618">
            <v>4495.58</v>
          </cell>
          <cell r="I618">
            <v>16819.14</v>
          </cell>
          <cell r="J618">
            <v>19774.259999999998</v>
          </cell>
          <cell r="K618">
            <v>4943.57</v>
          </cell>
        </row>
        <row r="619">
          <cell r="A619" t="str">
            <v>1.11.2.2</v>
          </cell>
          <cell r="B619">
            <v>93572</v>
          </cell>
          <cell r="C619" t="str">
            <v>ENCARREGADO GERAL DE OBRAS COM ENCARGOS COMPLEMENTARES</v>
          </cell>
          <cell r="D619" t="str">
            <v>MES</v>
          </cell>
          <cell r="E619">
            <v>1</v>
          </cell>
          <cell r="F619">
            <v>5808.01</v>
          </cell>
          <cell r="G619">
            <v>7178.12</v>
          </cell>
          <cell r="H619">
            <v>7178.12</v>
          </cell>
          <cell r="I619">
            <v>6672</v>
          </cell>
          <cell r="J619">
            <v>7844.27</v>
          </cell>
          <cell r="K619">
            <v>7844.27</v>
          </cell>
        </row>
        <row r="620">
          <cell r="A620" t="str">
            <v>1.11.3</v>
          </cell>
          <cell r="B620"/>
          <cell r="C620" t="str">
            <v>SERVIÇOS PRELIMINARES</v>
          </cell>
          <cell r="D620"/>
          <cell r="E620"/>
          <cell r="F620"/>
          <cell r="G620"/>
          <cell r="H620">
            <v>9196.7199999999993</v>
          </cell>
          <cell r="I620"/>
          <cell r="J620"/>
          <cell r="K620">
            <v>9674.26</v>
          </cell>
        </row>
        <row r="621">
          <cell r="A621" t="str">
            <v>1.11.3.1</v>
          </cell>
          <cell r="B621">
            <v>99064</v>
          </cell>
          <cell r="C621" t="str">
            <v>LOCAÇÃO DE PAVIMENTAÇÃO. AF_10/2018</v>
          </cell>
          <cell r="D621" t="str">
            <v>M</v>
          </cell>
          <cell r="E621">
            <v>212.48</v>
          </cell>
          <cell r="F621">
            <v>0.43</v>
          </cell>
          <cell r="G621">
            <v>0.53</v>
          </cell>
          <cell r="H621">
            <v>112.61</v>
          </cell>
          <cell r="I621">
            <v>0.49</v>
          </cell>
          <cell r="J621">
            <v>0.57999999999999996</v>
          </cell>
          <cell r="K621">
            <v>123.24</v>
          </cell>
        </row>
        <row r="622">
          <cell r="A622" t="str">
            <v>1.11.3.2</v>
          </cell>
          <cell r="B622" t="str">
            <v>COMP-17562084</v>
          </cell>
          <cell r="C622" t="str">
            <v>DEMOLIÇÃO MANUAL DE CONCRETO SIMPLES</v>
          </cell>
          <cell r="D622" t="str">
            <v>M3</v>
          </cell>
          <cell r="E622">
            <v>24.92</v>
          </cell>
          <cell r="F622">
            <v>190.89</v>
          </cell>
          <cell r="G622">
            <v>235.92</v>
          </cell>
          <cell r="H622">
            <v>5879.13</v>
          </cell>
          <cell r="I622">
            <v>212.24</v>
          </cell>
          <cell r="J622">
            <v>249.53</v>
          </cell>
          <cell r="K622">
            <v>6218.29</v>
          </cell>
        </row>
        <row r="623">
          <cell r="A623" t="str">
            <v>1.11.3.3</v>
          </cell>
          <cell r="B623" t="str">
            <v>COMP-01471766</v>
          </cell>
          <cell r="C623" t="str">
            <v>DEMOLIÇÃO DE MEIO-FIO</v>
          </cell>
          <cell r="D623" t="str">
            <v>M</v>
          </cell>
          <cell r="E623">
            <v>179.69</v>
          </cell>
          <cell r="F623">
            <v>10.02</v>
          </cell>
          <cell r="G623">
            <v>12.38</v>
          </cell>
          <cell r="H623">
            <v>2224.56</v>
          </cell>
          <cell r="I623">
            <v>11.13</v>
          </cell>
          <cell r="J623">
            <v>13.09</v>
          </cell>
          <cell r="K623">
            <v>2352.14</v>
          </cell>
        </row>
        <row r="624">
          <cell r="A624" t="str">
            <v>1.11.3.4</v>
          </cell>
          <cell r="B624">
            <v>98529</v>
          </cell>
          <cell r="C624" t="str">
            <v>CORTE RASO E RECORTE DE ÁRVORE COM DIÂMETRO DE TRONCO MAIOR OU IGUAL A 0,20 M E MENOR QUE 0,40 M.AF_05/2018</v>
          </cell>
          <cell r="D624" t="str">
            <v>UN</v>
          </cell>
          <cell r="E624">
            <v>5</v>
          </cell>
          <cell r="F624">
            <v>58.17</v>
          </cell>
          <cell r="G624">
            <v>71.89</v>
          </cell>
          <cell r="H624">
            <v>359.45</v>
          </cell>
          <cell r="I624">
            <v>64.73</v>
          </cell>
          <cell r="J624">
            <v>76.099999999999994</v>
          </cell>
          <cell r="K624">
            <v>380.5</v>
          </cell>
        </row>
        <row r="625">
          <cell r="A625" t="str">
            <v>1.11.3.5</v>
          </cell>
          <cell r="B625" t="str">
            <v>COMP-35145154</v>
          </cell>
          <cell r="C625" t="str">
            <v>CARGA E DESCARGA MECANICA DE SOLO UTILIZANDO CAMINHAO BASCULANTE 14,0M3/36T E PA CARREGADEIRA SOBRE PNEUS 128 HP, CAPACIDADE DA CAÇAMBA 1,7 A 2,8 M3, PESO OPERACIONAL 11632 KH</v>
          </cell>
          <cell r="D625" t="str">
            <v>M3</v>
          </cell>
          <cell r="E625">
            <v>42.59</v>
          </cell>
          <cell r="F625">
            <v>2.83</v>
          </cell>
          <cell r="G625">
            <v>3.5</v>
          </cell>
          <cell r="H625">
            <v>149.07</v>
          </cell>
          <cell r="I625">
            <v>2.9</v>
          </cell>
          <cell r="J625">
            <v>3.41</v>
          </cell>
          <cell r="K625">
            <v>145.22999999999999</v>
          </cell>
        </row>
        <row r="626">
          <cell r="A626" t="str">
            <v>1.11.3.6</v>
          </cell>
          <cell r="B626">
            <v>95876</v>
          </cell>
          <cell r="C626" t="str">
            <v>TRANSPORTE COM CAMINHÃO BASCULANTE DE 14 M³, EM VIA URBANA PAVIMENTADA, DMT ATÉ 30 KM (UNIDADE: M3XKM). AF_07/2020</v>
          </cell>
          <cell r="D626" t="str">
            <v>M3XKM</v>
          </cell>
          <cell r="E626">
            <v>170.36</v>
          </cell>
          <cell r="F626">
            <v>2.2400000000000002</v>
          </cell>
          <cell r="G626">
            <v>2.77</v>
          </cell>
          <cell r="H626">
            <v>471.9</v>
          </cell>
          <cell r="I626">
            <v>2.27</v>
          </cell>
          <cell r="J626">
            <v>2.67</v>
          </cell>
          <cell r="K626">
            <v>454.86</v>
          </cell>
        </row>
        <row r="627">
          <cell r="A627" t="str">
            <v>1.11.4</v>
          </cell>
          <cell r="B627"/>
          <cell r="C627" t="str">
            <v>TERRAPLENAGEM</v>
          </cell>
          <cell r="D627"/>
          <cell r="E627"/>
          <cell r="F627"/>
          <cell r="G627"/>
          <cell r="H627">
            <v>14131.78</v>
          </cell>
          <cell r="I627"/>
          <cell r="J627"/>
          <cell r="K627">
            <v>13667.19</v>
          </cell>
        </row>
        <row r="628">
          <cell r="A628" t="str">
            <v>1.11.4.1</v>
          </cell>
          <cell r="B628" t="str">
            <v>CP-74205/001-17324935</v>
          </cell>
          <cell r="C628" t="str">
            <v>ESCAVAÇÃO MECÂNICA DE MATERIAL 1A. CATEGORIA, PROVENIENTE DE CORTE DE SUBLEITO (C/TRATOR ESTEIRAS  160HP)</v>
          </cell>
          <cell r="D628" t="str">
            <v>M3</v>
          </cell>
          <cell r="E628">
            <v>661.47</v>
          </cell>
          <cell r="F628">
            <v>2.54</v>
          </cell>
          <cell r="G628">
            <v>3.14</v>
          </cell>
          <cell r="H628">
            <v>2077.02</v>
          </cell>
          <cell r="I628">
            <v>2.59</v>
          </cell>
          <cell r="J628">
            <v>3.05</v>
          </cell>
          <cell r="K628">
            <v>2017.48</v>
          </cell>
        </row>
        <row r="629">
          <cell r="A629" t="str">
            <v>1.11.4.2</v>
          </cell>
          <cell r="B629" t="str">
            <v>COMP-35145154</v>
          </cell>
          <cell r="C629" t="str">
            <v>CARGA E DESCARGA MECANICA DE SOLO UTILIZANDO CAMINHAO BASCULANTE 14,0M3/36T E PA CARREGADEIRA SOBRE PNEUS 128 HP, CAPACIDADE DA CAÇAMBA 1,7 A 2,8 M3, PESO OPERACIONAL 11632 KH</v>
          </cell>
          <cell r="D629" t="str">
            <v>M3</v>
          </cell>
          <cell r="E629">
            <v>826.59</v>
          </cell>
          <cell r="F629">
            <v>2.83</v>
          </cell>
          <cell r="G629">
            <v>3.5</v>
          </cell>
          <cell r="H629">
            <v>2893.07</v>
          </cell>
          <cell r="I629">
            <v>2.9</v>
          </cell>
          <cell r="J629">
            <v>3.41</v>
          </cell>
          <cell r="K629">
            <v>2818.67</v>
          </cell>
        </row>
        <row r="630">
          <cell r="A630" t="str">
            <v>1.11.4.3</v>
          </cell>
          <cell r="B630">
            <v>95876</v>
          </cell>
          <cell r="C630" t="str">
            <v>TRANSPORTE COM CAMINHÃO BASCULANTE DE 14 M³, EM VIA URBANA PAVIMENTADA, DMT ATÉ 30 KM (UNIDADE: M3XKM). AF_07/2020</v>
          </cell>
          <cell r="D630" t="str">
            <v>M3XKM</v>
          </cell>
          <cell r="E630">
            <v>3306.36</v>
          </cell>
          <cell r="F630">
            <v>2.2400000000000002</v>
          </cell>
          <cell r="G630">
            <v>2.77</v>
          </cell>
          <cell r="H630">
            <v>9158.6200000000008</v>
          </cell>
          <cell r="I630">
            <v>2.27</v>
          </cell>
          <cell r="J630">
            <v>2.67</v>
          </cell>
          <cell r="K630">
            <v>8827.98</v>
          </cell>
        </row>
        <row r="631">
          <cell r="A631" t="str">
            <v>1.11.4.4</v>
          </cell>
          <cell r="B631">
            <v>96385</v>
          </cell>
          <cell r="C631" t="str">
            <v>EXECUÇÃO E COMPACTAÇÃO DE ATERRO COM SOLO PREDOMINANTEMENTE ARGILOSO - EXCLUSIVE SOLO, ESCAVAÇÃO, CARGA E TRANSPORTE. AF_11/2019</v>
          </cell>
          <cell r="D631" t="str">
            <v>M3</v>
          </cell>
          <cell r="E631">
            <v>0.2</v>
          </cell>
          <cell r="F631">
            <v>12.41</v>
          </cell>
          <cell r="G631">
            <v>15.34</v>
          </cell>
          <cell r="H631">
            <v>3.07</v>
          </cell>
          <cell r="I631">
            <v>13.02</v>
          </cell>
          <cell r="J631">
            <v>15.31</v>
          </cell>
          <cell r="K631">
            <v>3.06</v>
          </cell>
        </row>
        <row r="632">
          <cell r="A632" t="str">
            <v>1.11.5</v>
          </cell>
          <cell r="B632"/>
          <cell r="C632" t="str">
            <v>PAVIMENTAÇÃO</v>
          </cell>
          <cell r="D632"/>
          <cell r="E632"/>
          <cell r="F632"/>
          <cell r="G632"/>
          <cell r="H632">
            <v>73743.39</v>
          </cell>
          <cell r="I632"/>
          <cell r="J632"/>
          <cell r="K632">
            <v>72934.17</v>
          </cell>
        </row>
        <row r="633">
          <cell r="A633" t="str">
            <v>1.11.5.1</v>
          </cell>
          <cell r="B633">
            <v>100576</v>
          </cell>
          <cell r="C633" t="str">
            <v>REGULARIZAÇÃO E COMPACTAÇÃO DE SUBLEITO DE SOLO  PREDOMINANTEMENTE ARGILOSO. AF_11/2019</v>
          </cell>
          <cell r="D633" t="str">
            <v>M2</v>
          </cell>
          <cell r="E633">
            <v>1274.8800000000001</v>
          </cell>
          <cell r="F633">
            <v>2.64</v>
          </cell>
          <cell r="G633">
            <v>3.26</v>
          </cell>
          <cell r="H633">
            <v>4156.1099999999997</v>
          </cell>
          <cell r="I633">
            <v>2.79</v>
          </cell>
          <cell r="J633">
            <v>3.28</v>
          </cell>
          <cell r="K633">
            <v>4181.6099999999997</v>
          </cell>
        </row>
        <row r="634">
          <cell r="A634" t="str">
            <v>1.11.5.2</v>
          </cell>
          <cell r="B634" t="str">
            <v>COMP-28881239</v>
          </cell>
          <cell r="C634" t="str">
            <v>Base ou sub-base de macadame hidráulico com brita comercial - EXCLUSIVE MATERIAL, CARGA E TRANSPORTE - NÃO DESONERADO</v>
          </cell>
          <cell r="D634" t="str">
            <v>M3</v>
          </cell>
          <cell r="E634">
            <v>159.36000000000001</v>
          </cell>
          <cell r="F634">
            <v>11.24</v>
          </cell>
          <cell r="G634">
            <v>13.89</v>
          </cell>
          <cell r="H634">
            <v>2213.5100000000002</v>
          </cell>
          <cell r="I634">
            <v>11.4</v>
          </cell>
          <cell r="J634">
            <v>13.4</v>
          </cell>
          <cell r="K634">
            <v>2135.42</v>
          </cell>
        </row>
        <row r="635">
          <cell r="A635" t="str">
            <v>1.11.5.3</v>
          </cell>
          <cell r="B635" t="str">
            <v>CP-96396-26507981</v>
          </cell>
          <cell r="C635" t="str">
            <v>EXECUÇÃO E COMPACTAÇÃO DE BASE E OU SUB BASE PARA PAVIMENTAÇÃO DE BRITA GRADUADA SIMPLES - EXCLUSIVE MATERIAL, CARGA E TRANSPORTE</v>
          </cell>
          <cell r="D635" t="str">
            <v>M3</v>
          </cell>
          <cell r="E635">
            <v>169.98</v>
          </cell>
          <cell r="F635">
            <v>13.86</v>
          </cell>
          <cell r="G635">
            <v>17.13</v>
          </cell>
          <cell r="H635">
            <v>2911.76</v>
          </cell>
          <cell r="I635">
            <v>14.44</v>
          </cell>
          <cell r="J635">
            <v>16.98</v>
          </cell>
          <cell r="K635">
            <v>2886.26</v>
          </cell>
        </row>
        <row r="636">
          <cell r="A636" t="str">
            <v>1.11.5.4</v>
          </cell>
          <cell r="B636" t="str">
            <v>COMP-35145154</v>
          </cell>
          <cell r="C636" t="str">
            <v>CARGA E DESCARGA MECANICA DE SOLO UTILIZANDO CAMINHAO BASCULANTE 14,0M3/36T E PA CARREGADEIRA SOBRE PNEUS 128 HP, CAPACIDADE DA CAÇAMBA 1,7 A 2,8 M3, PESO OPERACIONAL 11632 KH</v>
          </cell>
          <cell r="D636" t="str">
            <v>M3</v>
          </cell>
          <cell r="E636">
            <v>411.68</v>
          </cell>
          <cell r="F636">
            <v>2.83</v>
          </cell>
          <cell r="G636">
            <v>3.5</v>
          </cell>
          <cell r="H636">
            <v>1440.88</v>
          </cell>
          <cell r="I636">
            <v>2.9</v>
          </cell>
          <cell r="J636">
            <v>3.41</v>
          </cell>
          <cell r="K636">
            <v>1403.83</v>
          </cell>
        </row>
        <row r="637">
          <cell r="A637" t="str">
            <v>1.11.5.5</v>
          </cell>
          <cell r="B637" t="str">
            <v>COMP-83526730</v>
          </cell>
          <cell r="C637" t="str">
            <v>TRANSPORTE COMERCIAL DE BRITA</v>
          </cell>
          <cell r="D637" t="str">
            <v>M3XKM</v>
          </cell>
          <cell r="E637">
            <v>4404.9799999999996</v>
          </cell>
          <cell r="F637">
            <v>1.36</v>
          </cell>
          <cell r="G637">
            <v>1.68</v>
          </cell>
          <cell r="H637">
            <v>7400.37</v>
          </cell>
          <cell r="I637">
            <v>1.37</v>
          </cell>
          <cell r="J637">
            <v>1.61</v>
          </cell>
          <cell r="K637">
            <v>7092.02</v>
          </cell>
        </row>
        <row r="638">
          <cell r="A638" t="str">
            <v>1.11.5.6</v>
          </cell>
          <cell r="B638" t="str">
            <v>CP-96401-52745838</v>
          </cell>
          <cell r="C638" t="str">
            <v>EXECUÇÃO DE IMPRIMAÇÃO COM ASFALTO DILUÍDO CM-30, EXCLUSIVE MATERIAL.</v>
          </cell>
          <cell r="D638" t="str">
            <v>M2</v>
          </cell>
          <cell r="E638">
            <v>883.16</v>
          </cell>
          <cell r="F638">
            <v>1.18</v>
          </cell>
          <cell r="G638">
            <v>1.46</v>
          </cell>
          <cell r="H638">
            <v>1289.4100000000001</v>
          </cell>
          <cell r="I638">
            <v>1.24</v>
          </cell>
          <cell r="J638">
            <v>1.46</v>
          </cell>
          <cell r="K638">
            <v>1289.4100000000001</v>
          </cell>
        </row>
        <row r="639">
          <cell r="A639" t="str">
            <v>1.11.5.7</v>
          </cell>
          <cell r="B639" t="str">
            <v>CP-95995-51339760</v>
          </cell>
          <cell r="C639" t="str">
            <v>EXECUÇÃO DE PAVIMENTO COM APLICAÇÃO DE CONCRETO ASFÁLTICO, CAMADA DE ROLAMENTO - EXCLUSIVE CARGA E TRANSPORTE E CONCRETO BETUMINOSO</v>
          </cell>
          <cell r="D639" t="str">
            <v>M3</v>
          </cell>
          <cell r="E639">
            <v>44.16</v>
          </cell>
          <cell r="F639">
            <v>127.58</v>
          </cell>
          <cell r="G639">
            <v>157.68</v>
          </cell>
          <cell r="H639">
            <v>6963.15</v>
          </cell>
          <cell r="I639">
            <v>133.37</v>
          </cell>
          <cell r="J639">
            <v>156.80000000000001</v>
          </cell>
          <cell r="K639">
            <v>6924.29</v>
          </cell>
        </row>
        <row r="640">
          <cell r="A640" t="str">
            <v>1.11.5.8</v>
          </cell>
          <cell r="B640" t="str">
            <v>COMP-10034101</v>
          </cell>
          <cell r="C640" t="str">
            <v>CARGA, MANOBRAS E DESCARGA DE MISTURA BETUMINOSA A QUENTE, COM CAMINHAO BASCULANTE 6 M3, DESCARGA EM VIBRO-ACABADORA</v>
          </cell>
          <cell r="D640" t="str">
            <v>M3</v>
          </cell>
          <cell r="E640">
            <v>44.16</v>
          </cell>
          <cell r="F640">
            <v>7.74</v>
          </cell>
          <cell r="G640">
            <v>9.57</v>
          </cell>
          <cell r="H640">
            <v>422.61</v>
          </cell>
          <cell r="I640">
            <v>7.86</v>
          </cell>
          <cell r="J640">
            <v>9.24</v>
          </cell>
          <cell r="K640">
            <v>408.04</v>
          </cell>
        </row>
        <row r="641">
          <cell r="A641" t="str">
            <v>1.11.5.9</v>
          </cell>
          <cell r="B641" t="str">
            <v>CP-95303-56931542</v>
          </cell>
          <cell r="C641" t="str">
            <v>TRANSPORTE COM CAMINHÃO BASCULANTE 10 M3 DE MASSA ASFALTICA PARA PAVIMENTAÇÃO URBANA</v>
          </cell>
          <cell r="D641" t="str">
            <v>M3XKM</v>
          </cell>
          <cell r="E641">
            <v>755.14</v>
          </cell>
          <cell r="F641">
            <v>1.75</v>
          </cell>
          <cell r="G641">
            <v>2.16</v>
          </cell>
          <cell r="H641">
            <v>1631.1</v>
          </cell>
          <cell r="I641">
            <v>1.77</v>
          </cell>
          <cell r="J641">
            <v>2.08</v>
          </cell>
          <cell r="K641">
            <v>1570.69</v>
          </cell>
        </row>
        <row r="642">
          <cell r="A642" t="str">
            <v>1.11.5.10</v>
          </cell>
          <cell r="B642" t="str">
            <v>CP-97084-89637704</v>
          </cell>
          <cell r="C642" t="str">
            <v>REGULARIZACAO E COMPACTAÇÃO MANUAL DE TERRENO COM PLACA VIBRATÓRIA</v>
          </cell>
          <cell r="D642" t="str">
            <v>M2</v>
          </cell>
          <cell r="E642">
            <v>808.97</v>
          </cell>
          <cell r="F642">
            <v>0.59</v>
          </cell>
          <cell r="G642">
            <v>0.73</v>
          </cell>
          <cell r="H642">
            <v>590.54999999999995</v>
          </cell>
          <cell r="I642">
            <v>0.65</v>
          </cell>
          <cell r="J642">
            <v>0.76</v>
          </cell>
          <cell r="K642">
            <v>614.82000000000005</v>
          </cell>
        </row>
        <row r="643">
          <cell r="A643" t="str">
            <v>1.11.5.11</v>
          </cell>
          <cell r="B643" t="str">
            <v>CP-94991-12549457</v>
          </cell>
          <cell r="C643" t="str">
            <v>EXECUÇÃO DE PASSEIO (CALÇADA) OU PISO DE CONCRETO COM CONCRETO MOLDADO IN LOCO, USINADO, ACABAMENTO CONVENCIONAL, NÃO ARMADO - EXCLUINDO O CONCRETO USINADO 20MPA</v>
          </cell>
          <cell r="D643" t="str">
            <v>M3</v>
          </cell>
          <cell r="E643">
            <v>55.82</v>
          </cell>
          <cell r="F643">
            <v>104.6</v>
          </cell>
          <cell r="G643">
            <v>129.28</v>
          </cell>
          <cell r="H643">
            <v>7216.41</v>
          </cell>
          <cell r="I643">
            <v>112.75</v>
          </cell>
          <cell r="J643">
            <v>132.56</v>
          </cell>
          <cell r="K643">
            <v>7399.5</v>
          </cell>
        </row>
        <row r="644">
          <cell r="A644" t="str">
            <v>1.11.5.12</v>
          </cell>
          <cell r="B644">
            <v>94273</v>
          </cell>
          <cell r="C644" t="str">
            <v>ASSENTAMENTO DE GUIA (MEIO-FIO) EM TRECHO RETO, CONFECCIONADA EM CONCRETO PRÉ-FABRICADO, DIMENSÕES 100X15X13X30 CM (COMPRIMENTO X BASE INFERIOR X BASE SUPERIOR X ALTURA), PARA VIAS URBANAS (USO VIÁRIO). AF_06/2016</v>
          </cell>
          <cell r="D644" t="str">
            <v>M</v>
          </cell>
          <cell r="E644">
            <v>409.7</v>
          </cell>
          <cell r="F644">
            <v>54.61</v>
          </cell>
          <cell r="G644">
            <v>67.489999999999995</v>
          </cell>
          <cell r="H644">
            <v>27650.65</v>
          </cell>
          <cell r="I644">
            <v>56.47</v>
          </cell>
          <cell r="J644">
            <v>66.39</v>
          </cell>
          <cell r="K644">
            <v>27199.98</v>
          </cell>
        </row>
        <row r="645">
          <cell r="A645" t="str">
            <v>1.11.5.13</v>
          </cell>
          <cell r="B645">
            <v>94274</v>
          </cell>
          <cell r="C645" t="str">
            <v>ASSENTAMENTO DE GUIA (MEIO-FIO) EM TRECHO CURVO, CONFECCIONADA EM CONCRETO PRÉ-FABRICADO, DIMENSÕES 100X15X13X30 CM (COMPRIMENTO X BASE INFERIOR X BASE SUPERIOR X ALTURA), PARA VIAS URBANAS (USO VIÁRIO). AF_06/2016</v>
          </cell>
          <cell r="D645" t="str">
            <v>M</v>
          </cell>
          <cell r="E645">
            <v>53.07</v>
          </cell>
          <cell r="F645">
            <v>58.17</v>
          </cell>
          <cell r="G645">
            <v>71.89</v>
          </cell>
          <cell r="H645">
            <v>3815.2</v>
          </cell>
          <cell r="I645">
            <v>60.43</v>
          </cell>
          <cell r="J645">
            <v>71.05</v>
          </cell>
          <cell r="K645">
            <v>3770.62</v>
          </cell>
        </row>
        <row r="646">
          <cell r="A646" t="str">
            <v>1.11.5.14</v>
          </cell>
          <cell r="B646">
            <v>94275</v>
          </cell>
          <cell r="C646" t="str">
            <v>ASSENTAMENTO DE GUIA (MEIO-FIO) EM TRECHO RETO, CONFECCIONADA EM CONCRETO PRÉ-FABRICADO, DIMENSÕES 100X15X13X20 CM (COMPRIMENTO X BASE INFERIOR X BASE SUPERIOR X ALTURA), PARA URBANIZAÇÃO INTERNA DE EMPREENDIMENTOS. AF_06/2016_P</v>
          </cell>
          <cell r="D646" t="str">
            <v>M</v>
          </cell>
          <cell r="E646">
            <v>16</v>
          </cell>
          <cell r="F646">
            <v>52.64</v>
          </cell>
          <cell r="G646">
            <v>65.06</v>
          </cell>
          <cell r="H646">
            <v>1040.96</v>
          </cell>
          <cell r="I646">
            <v>54.31</v>
          </cell>
          <cell r="J646">
            <v>63.85</v>
          </cell>
          <cell r="K646">
            <v>1021.6</v>
          </cell>
        </row>
        <row r="647">
          <cell r="A647" t="str">
            <v>1.11.5.15</v>
          </cell>
          <cell r="B647">
            <v>94287</v>
          </cell>
          <cell r="C647" t="str">
            <v>EXECUÇÃO DE SARJETA DE CONCRETO USINADO, MOLDADA  IN LOCO  EM TRECHO RETO, 30 CM BASE X 10 CM ALTURA. AF_06/2016</v>
          </cell>
          <cell r="D647" t="str">
            <v>M</v>
          </cell>
          <cell r="E647">
            <v>72.11</v>
          </cell>
          <cell r="F647">
            <v>37.69</v>
          </cell>
          <cell r="G647">
            <v>46.58</v>
          </cell>
          <cell r="H647">
            <v>3358.88</v>
          </cell>
          <cell r="I647">
            <v>39.770000000000003</v>
          </cell>
          <cell r="J647">
            <v>46.76</v>
          </cell>
          <cell r="K647">
            <v>3371.86</v>
          </cell>
        </row>
        <row r="648">
          <cell r="A648" t="str">
            <v>1.11.5.16</v>
          </cell>
          <cell r="B648">
            <v>94288</v>
          </cell>
          <cell r="C648" t="str">
            <v>EXECUÇÃO DE SARJETA DE CONCRETO USINADO, MOLDADA  IN LOCO  EM TRECHO CURVO, 30 CM BASE X 10 CM ALTURA. AF_06/2016</v>
          </cell>
          <cell r="D648" t="str">
            <v>M</v>
          </cell>
          <cell r="E648">
            <v>26.76</v>
          </cell>
          <cell r="F648">
            <v>47.14</v>
          </cell>
          <cell r="G648">
            <v>58.26</v>
          </cell>
          <cell r="H648">
            <v>1559.04</v>
          </cell>
          <cell r="I648">
            <v>50.32</v>
          </cell>
          <cell r="J648">
            <v>59.16</v>
          </cell>
          <cell r="K648">
            <v>1583.12</v>
          </cell>
        </row>
        <row r="649">
          <cell r="A649" t="str">
            <v>1.11.5.17</v>
          </cell>
          <cell r="B649">
            <v>98504</v>
          </cell>
          <cell r="C649" t="str">
            <v>PLANTIO DE GRAMA BATATAIS EM PLACAS. AF_05/2018</v>
          </cell>
          <cell r="D649" t="str">
            <v>M2</v>
          </cell>
          <cell r="E649">
            <v>5</v>
          </cell>
          <cell r="F649">
            <v>13.4</v>
          </cell>
          <cell r="G649">
            <v>16.559999999999999</v>
          </cell>
          <cell r="H649">
            <v>82.8</v>
          </cell>
          <cell r="I649">
            <v>13.8</v>
          </cell>
          <cell r="J649">
            <v>16.22</v>
          </cell>
          <cell r="K649">
            <v>81.099999999999994</v>
          </cell>
        </row>
        <row r="650">
          <cell r="A650" t="str">
            <v>1.11.6</v>
          </cell>
          <cell r="B650"/>
          <cell r="C650" t="str">
            <v>DRENAGEM</v>
          </cell>
          <cell r="D650"/>
          <cell r="E650"/>
          <cell r="F650"/>
          <cell r="G650"/>
          <cell r="H650">
            <v>67053.95</v>
          </cell>
          <cell r="I650"/>
          <cell r="J650"/>
          <cell r="K650">
            <v>65847.570000000007</v>
          </cell>
        </row>
        <row r="651">
          <cell r="A651" t="str">
            <v>1.11.6.1</v>
          </cell>
          <cell r="B651">
            <v>94971</v>
          </cell>
          <cell r="C651" t="str">
            <v>CONCRETO FCK = 25MPA, TRAÇO 1:2,3:2,7 (EM MASSA SECA DE CIMENTO/ AREIA MÉDIA/ BRITA 1) - PREPARO MECÂNICO COM BETONEIRA 600 L. AF_05/2021</v>
          </cell>
          <cell r="D651" t="str">
            <v>M3</v>
          </cell>
          <cell r="E651">
            <v>17.07</v>
          </cell>
          <cell r="F651">
            <v>464.88</v>
          </cell>
          <cell r="G651">
            <v>574.54999999999995</v>
          </cell>
          <cell r="H651">
            <v>9807.57</v>
          </cell>
          <cell r="I651">
            <v>472.74</v>
          </cell>
          <cell r="J651">
            <v>555.79999999999995</v>
          </cell>
          <cell r="K651">
            <v>9487.51</v>
          </cell>
        </row>
        <row r="652">
          <cell r="A652" t="str">
            <v>1.11.6.2</v>
          </cell>
          <cell r="B652">
            <v>94974</v>
          </cell>
          <cell r="C652" t="str">
            <v>CONCRETO MAGRO PARA LASTRO, TRAÇO 1:4,5:4,5 (EM MASSA SECA DE CIMENTO/ AREIA MÉDIA/ BRITA 1) - PREPARO MANUAL. AF_05/2021</v>
          </cell>
          <cell r="D652" t="str">
            <v>M3</v>
          </cell>
          <cell r="E652">
            <v>13.39</v>
          </cell>
          <cell r="F652">
            <v>423.75</v>
          </cell>
          <cell r="G652">
            <v>523.71</v>
          </cell>
          <cell r="H652">
            <v>7012.48</v>
          </cell>
          <cell r="I652">
            <v>436.13</v>
          </cell>
          <cell r="J652">
            <v>512.76</v>
          </cell>
          <cell r="K652">
            <v>6865.86</v>
          </cell>
        </row>
        <row r="653">
          <cell r="A653" t="str">
            <v>1.11.6.3</v>
          </cell>
          <cell r="B653">
            <v>92771</v>
          </cell>
          <cell r="C653" t="str">
            <v>ARMAÇÃO DE LAJE DE ESTRUTURA CONVENCIONAL DE CONCRETO ARMADO UTILIZANDO AÇO CA-50 DE 10,0 MM - MONTAGEM. AF_06/2022</v>
          </cell>
          <cell r="D653" t="str">
            <v>KG</v>
          </cell>
          <cell r="E653">
            <v>1110.28</v>
          </cell>
          <cell r="F653">
            <v>15.04</v>
          </cell>
          <cell r="G653">
            <v>18.59</v>
          </cell>
          <cell r="H653">
            <v>20640.11</v>
          </cell>
          <cell r="I653">
            <v>15.14</v>
          </cell>
          <cell r="J653">
            <v>17.8</v>
          </cell>
          <cell r="K653">
            <v>19762.98</v>
          </cell>
        </row>
        <row r="654">
          <cell r="A654" t="str">
            <v>1.11.6.4</v>
          </cell>
          <cell r="B654" t="str">
            <v>CP-92268-29291149</v>
          </cell>
          <cell r="C654" t="str">
            <v>FABRICAÇÃO DE FÔRMA PARA LAJES, EM CHAPA DE MADEIRA COMPENSADA PLASTIFICADA, E = 18 MM - EXCLUINDO O PAINEL DE MADEIRA COMPENSADA PLASTIFICADA DE 2200 x 1100 MM, E = *17* MM</v>
          </cell>
          <cell r="D654" t="str">
            <v>M2</v>
          </cell>
          <cell r="E654">
            <v>80.36</v>
          </cell>
          <cell r="F654">
            <v>0.98</v>
          </cell>
          <cell r="G654">
            <v>1.21</v>
          </cell>
          <cell r="H654">
            <v>97.24</v>
          </cell>
          <cell r="I654">
            <v>1.1000000000000001</v>
          </cell>
          <cell r="J654">
            <v>1.29</v>
          </cell>
          <cell r="K654">
            <v>103.66</v>
          </cell>
        </row>
        <row r="655">
          <cell r="A655" t="str">
            <v>1.11.6.5</v>
          </cell>
          <cell r="B655">
            <v>103320</v>
          </cell>
          <cell r="C655" t="str">
            <v>ALVENARIA DE VEDAÇÃO DE BLOCOS VAZADOS DE CONCRETO DE 19X19X39 CM (ESPESSURA 19 CM) E ARGAMASSA DE ASSENTAMENTO COM PREPARO EM BETONEIRA. AF_12/2021</v>
          </cell>
          <cell r="D655" t="str">
            <v>M2</v>
          </cell>
          <cell r="E655">
            <v>107.14</v>
          </cell>
          <cell r="F655">
            <v>101.36</v>
          </cell>
          <cell r="G655">
            <v>125.27</v>
          </cell>
          <cell r="H655">
            <v>13421.43</v>
          </cell>
          <cell r="I655">
            <v>105.62</v>
          </cell>
          <cell r="J655">
            <v>124.18</v>
          </cell>
          <cell r="K655">
            <v>13304.65</v>
          </cell>
        </row>
        <row r="656">
          <cell r="A656" t="str">
            <v>1.11.6.6</v>
          </cell>
          <cell r="B656">
            <v>87879</v>
          </cell>
          <cell r="C656" t="str">
            <v>CHAPISCO APLICADO EM ALVENARIAS E ESTRUTURAS DE CONCRETO INTERNAS, COM COLHER DE PEDREIRO.  ARGAMASSA TRAÇO 1:3 COM PREPARO EM BETONEIRA 400L. AF_06/2014</v>
          </cell>
          <cell r="D656" t="str">
            <v>M2</v>
          </cell>
          <cell r="E656">
            <v>107.14</v>
          </cell>
          <cell r="F656">
            <v>3.85</v>
          </cell>
          <cell r="G656">
            <v>4.76</v>
          </cell>
          <cell r="H656">
            <v>509.99</v>
          </cell>
          <cell r="I656">
            <v>4.0999999999999996</v>
          </cell>
          <cell r="J656">
            <v>4.82</v>
          </cell>
          <cell r="K656">
            <v>516.41</v>
          </cell>
        </row>
        <row r="657">
          <cell r="A657" t="str">
            <v>1.11.6.7</v>
          </cell>
          <cell r="B657">
            <v>87547</v>
          </cell>
          <cell r="C657" t="str">
            <v>MASSA ÚNICA, PARA RECEBIMENTO DE PINTURA, EM ARGAMASSA TRAÇO 1:2:8, PREPARO MECÂNICO COM BETONEIRA 400L, APLICADA MANUALMENTE EM FACES INTERNAS DE PAREDES, ESPESSURA DE 10MM, COM EXECUÇÃO DE TALISCAS. AF_06/2014</v>
          </cell>
          <cell r="D657" t="str">
            <v>M2</v>
          </cell>
          <cell r="E657">
            <v>107.14</v>
          </cell>
          <cell r="F657">
            <v>23.35</v>
          </cell>
          <cell r="G657">
            <v>28.86</v>
          </cell>
          <cell r="H657">
            <v>3092.06</v>
          </cell>
          <cell r="I657">
            <v>24.83</v>
          </cell>
          <cell r="J657">
            <v>29.19</v>
          </cell>
          <cell r="K657">
            <v>3127.42</v>
          </cell>
        </row>
        <row r="658">
          <cell r="A658" t="str">
            <v>1.11.6.8</v>
          </cell>
          <cell r="B658">
            <v>94975</v>
          </cell>
          <cell r="C658" t="str">
            <v>CONCRETO FCK = 15MPA, TRAÇO 1:3,4:3,5 (EM MASSA SECA DE CIMENTO/ AREIA MÉDIA/ BRITA 1) - PREPARO MANUAL. AF_05/2021</v>
          </cell>
          <cell r="D658" t="str">
            <v>M3</v>
          </cell>
          <cell r="E658">
            <v>11.4</v>
          </cell>
          <cell r="F658">
            <v>457.19</v>
          </cell>
          <cell r="G658">
            <v>565.04</v>
          </cell>
          <cell r="H658">
            <v>6441.46</v>
          </cell>
          <cell r="I658">
            <v>469.42</v>
          </cell>
          <cell r="J658">
            <v>551.9</v>
          </cell>
          <cell r="K658">
            <v>6291.66</v>
          </cell>
        </row>
        <row r="659">
          <cell r="A659" t="str">
            <v>1.11.6.9</v>
          </cell>
          <cell r="B659" t="str">
            <v>CP-74157/004-48264518</v>
          </cell>
          <cell r="C659" t="str">
            <v>LANCAMENTO/APLICACAO MANUAL DE CONCRETO EM FUNDACOES (concreto magro)</v>
          </cell>
          <cell r="D659" t="str">
            <v>M3</v>
          </cell>
          <cell r="E659">
            <v>41.86</v>
          </cell>
          <cell r="F659">
            <v>116.59</v>
          </cell>
          <cell r="G659">
            <v>144.09</v>
          </cell>
          <cell r="H659">
            <v>6031.61</v>
          </cell>
          <cell r="I659">
            <v>129.79</v>
          </cell>
          <cell r="J659">
            <v>152.59</v>
          </cell>
          <cell r="K659">
            <v>6387.42</v>
          </cell>
        </row>
        <row r="660">
          <cell r="A660" t="str">
            <v>1.11.7</v>
          </cell>
          <cell r="B660"/>
          <cell r="C660" t="str">
            <v>SINALIZAÇÃO</v>
          </cell>
          <cell r="D660"/>
          <cell r="E660"/>
          <cell r="F660"/>
          <cell r="G660"/>
          <cell r="H660">
            <v>8034.78</v>
          </cell>
          <cell r="I660"/>
          <cell r="J660"/>
          <cell r="K660">
            <v>7900.54</v>
          </cell>
        </row>
        <row r="661">
          <cell r="A661" t="str">
            <v>1.11.7.1</v>
          </cell>
          <cell r="B661">
            <v>5213421</v>
          </cell>
          <cell r="C661" t="str">
            <v>Confecção de placa em aço nº 16 galvanizado, com película tipo I + IV</v>
          </cell>
          <cell r="D661" t="str">
            <v xml:space="preserve">M2    </v>
          </cell>
          <cell r="E661">
            <v>2.98</v>
          </cell>
          <cell r="F661">
            <v>343.8</v>
          </cell>
          <cell r="G661">
            <v>424.9</v>
          </cell>
          <cell r="H661">
            <v>1266.2</v>
          </cell>
          <cell r="I661">
            <v>347.25</v>
          </cell>
          <cell r="J661">
            <v>408.26</v>
          </cell>
          <cell r="K661">
            <v>1216.6099999999999</v>
          </cell>
        </row>
        <row r="662">
          <cell r="A662" t="str">
            <v>1.11.7.2</v>
          </cell>
          <cell r="B662">
            <v>5216111</v>
          </cell>
          <cell r="C662" t="str">
            <v>FORNECIMENTO E IMPLANTAÇÃO DE SUPORTE E TRAVESSA PARA PLACA DE SINALIZAÇÃO EM MADEIRA DE LEI TRATADA 8 X 8 CM</v>
          </cell>
          <cell r="D662" t="str">
            <v>UND</v>
          </cell>
          <cell r="E662">
            <v>7</v>
          </cell>
          <cell r="F662">
            <v>119.1379</v>
          </cell>
          <cell r="G662">
            <v>147.24</v>
          </cell>
          <cell r="H662">
            <v>1030.68</v>
          </cell>
          <cell r="I662">
            <v>121.48</v>
          </cell>
          <cell r="J662">
            <v>142.82</v>
          </cell>
          <cell r="K662">
            <v>999.74</v>
          </cell>
        </row>
        <row r="663">
          <cell r="A663" t="str">
            <v>1.11.7.3</v>
          </cell>
          <cell r="B663" t="str">
            <v>COMP-58084869</v>
          </cell>
          <cell r="C663" t="str">
            <v>PLACA ESMALTADA PARA IDENTIFICAÇÃO NR DE RUA, DIMENSÕES 45X25CM</v>
          </cell>
          <cell r="D663" t="str">
            <v>UND</v>
          </cell>
          <cell r="E663">
            <v>6</v>
          </cell>
          <cell r="F663">
            <v>155.54</v>
          </cell>
          <cell r="G663">
            <v>192.23</v>
          </cell>
          <cell r="H663">
            <v>1153.3800000000001</v>
          </cell>
          <cell r="I663">
            <v>156.33000000000001</v>
          </cell>
          <cell r="J663">
            <v>183.8</v>
          </cell>
          <cell r="K663">
            <v>1102.8</v>
          </cell>
        </row>
        <row r="664">
          <cell r="A664" t="str">
            <v>1.11.7.4</v>
          </cell>
          <cell r="B664">
            <v>102512</v>
          </cell>
          <cell r="C664" t="str">
            <v>PINTURA DE EIXO VIÁRIO SOBRE ASFALTO COM TINTA RETRORREFLETIVA A BASE DE RESINA ACRÍLICA COM MICROESFERAS DE VIDRO, APLICAÇÃO MECÂNICA COM DEMARCADORA AUTOPROPELIDA. AF_05/2021</v>
          </cell>
          <cell r="D664" t="str">
            <v>M</v>
          </cell>
          <cell r="E664">
            <v>570.15</v>
          </cell>
          <cell r="F664">
            <v>5.22</v>
          </cell>
          <cell r="G664">
            <v>6.45</v>
          </cell>
          <cell r="H664">
            <v>3677.47</v>
          </cell>
          <cell r="I664">
            <v>5.48</v>
          </cell>
          <cell r="J664">
            <v>6.44</v>
          </cell>
          <cell r="K664">
            <v>3671.77</v>
          </cell>
        </row>
        <row r="665">
          <cell r="A665" t="str">
            <v>1.11.7.5</v>
          </cell>
          <cell r="B665">
            <v>102509</v>
          </cell>
          <cell r="C665" t="str">
            <v>PINTURA DE FAIXA DE PEDESTRE OU ZEBRADA TINTA RETRORREFLETIVA A BASE DE RESINA ACRÍLICA COM MICROESFERAS DE VIDRO, E = 30 CM, APLICAÇÃO MANUAL. AF_05/2021</v>
          </cell>
          <cell r="D665" t="str">
            <v>M2</v>
          </cell>
          <cell r="E665">
            <v>32.04</v>
          </cell>
          <cell r="F665">
            <v>22.91</v>
          </cell>
          <cell r="G665">
            <v>28.31</v>
          </cell>
          <cell r="H665">
            <v>907.05</v>
          </cell>
          <cell r="I665">
            <v>24.15</v>
          </cell>
          <cell r="J665">
            <v>28.39</v>
          </cell>
          <cell r="K665">
            <v>909.62</v>
          </cell>
        </row>
        <row r="666">
          <cell r="A666" t="str">
            <v>1.11.8</v>
          </cell>
          <cell r="B666"/>
          <cell r="C666" t="str">
            <v>ACESSIBILIDADE</v>
          </cell>
          <cell r="D666"/>
          <cell r="E666"/>
          <cell r="F666"/>
          <cell r="G666"/>
          <cell r="H666">
            <v>1555.31</v>
          </cell>
          <cell r="I666"/>
          <cell r="J666"/>
          <cell r="K666">
            <v>1529.49</v>
          </cell>
        </row>
        <row r="667">
          <cell r="A667" t="str">
            <v>1.11.8.1</v>
          </cell>
          <cell r="B667" t="str">
            <v>CP-S12039-81921471</v>
          </cell>
          <cell r="C667" t="str">
            <v>Piso tátil direcional e/ou alerta, de concreto, na cor natural, p/deficientes visuais, dimensões 40x40cm, aplicado com argamassa industrializada ac-ii, rejuntado, exclusive regularização de base</v>
          </cell>
          <cell r="D667" t="str">
            <v>M2</v>
          </cell>
          <cell r="E667">
            <v>11.58</v>
          </cell>
          <cell r="F667">
            <v>108.67</v>
          </cell>
          <cell r="G667">
            <v>134.31</v>
          </cell>
          <cell r="H667">
            <v>1555.31</v>
          </cell>
          <cell r="I667">
            <v>112.34</v>
          </cell>
          <cell r="J667">
            <v>132.08000000000001</v>
          </cell>
          <cell r="K667">
            <v>1529.49</v>
          </cell>
        </row>
        <row r="668">
          <cell r="A668" t="str">
            <v>1.11.9</v>
          </cell>
          <cell r="B668"/>
          <cell r="C668" t="str">
            <v>MATERIAIS</v>
          </cell>
          <cell r="D668"/>
          <cell r="E668"/>
          <cell r="F668"/>
          <cell r="G668"/>
          <cell r="H668">
            <v>154176.18</v>
          </cell>
          <cell r="I668"/>
          <cell r="J668"/>
          <cell r="K668">
            <v>146987.99</v>
          </cell>
        </row>
        <row r="669">
          <cell r="A669" t="str">
            <v>1.11.9.1</v>
          </cell>
          <cell r="B669">
            <v>10775</v>
          </cell>
          <cell r="C669" t="str">
            <v xml:space="preserve">LOCACAO DE CONTAINER 2,30 X 6,00 M, ALT. 2,50 M, COM 1 SANITARIO, PARA ESCRITORIO, COMPLETO, SEM DIVISORIAS INTERNAS (NAO INCLUI MOBILIZACAO/DESMOBILIZACAO)                                                                                                                                                                                                                                                                                                                                              </v>
          </cell>
          <cell r="D669" t="str">
            <v xml:space="preserve">MES   </v>
          </cell>
          <cell r="E669">
            <v>2</v>
          </cell>
          <cell r="F669">
            <v>830</v>
          </cell>
          <cell r="G669">
            <v>958.32</v>
          </cell>
          <cell r="H669">
            <v>1916.64</v>
          </cell>
          <cell r="I669">
            <v>830</v>
          </cell>
          <cell r="J669">
            <v>913.58</v>
          </cell>
          <cell r="K669">
            <v>1827.16</v>
          </cell>
        </row>
        <row r="670">
          <cell r="A670" t="str">
            <v>1.11.9.2</v>
          </cell>
          <cell r="B670">
            <v>10776</v>
          </cell>
          <cell r="C670" t="str">
            <v xml:space="preserve">LOCACAO DE CONTAINER 2,30 X 6,00 M, ALT. 2,50 M, PARA ESCRITORIO, SEM DIVISORIAS INTERNAS E SEM SANITARIO (NAO INCLUI MOBILIZACAO/DESMOBILIZACAO)                                                                                                                                                                                                                                                                                                                                                         </v>
          </cell>
          <cell r="D670" t="str">
            <v xml:space="preserve">MES   </v>
          </cell>
          <cell r="E670">
            <v>2</v>
          </cell>
          <cell r="F670">
            <v>648.42999999999995</v>
          </cell>
          <cell r="G670">
            <v>748.68</v>
          </cell>
          <cell r="H670">
            <v>1497.36</v>
          </cell>
          <cell r="I670">
            <v>648.42999999999995</v>
          </cell>
          <cell r="J670">
            <v>713.73</v>
          </cell>
          <cell r="K670">
            <v>1427.46</v>
          </cell>
        </row>
        <row r="671">
          <cell r="A671" t="str">
            <v>1.11.9.3</v>
          </cell>
          <cell r="B671">
            <v>1518</v>
          </cell>
          <cell r="C671" t="str">
            <v xml:space="preserve">CONCRETO BETUMINOSO USINADO A QUENTE (CBUQ) PARA PAVIMENTACAO ASFALTICA, PADRAO DNIT, FAIXA C, COM CAP 50/70 - AQUISICAO POSTO USINA                                                                                                                                                                                                                                                                                                                                                                      </v>
          </cell>
          <cell r="D671" t="str">
            <v xml:space="preserve">T     </v>
          </cell>
          <cell r="E671">
            <v>112.82</v>
          </cell>
          <cell r="F671">
            <v>522.5</v>
          </cell>
          <cell r="G671">
            <v>603.28</v>
          </cell>
          <cell r="H671">
            <v>68062.05</v>
          </cell>
          <cell r="I671">
            <v>522.5</v>
          </cell>
          <cell r="J671">
            <v>575.12</v>
          </cell>
          <cell r="K671">
            <v>64885.04</v>
          </cell>
        </row>
        <row r="672">
          <cell r="A672" t="str">
            <v>1.11.9.4</v>
          </cell>
          <cell r="B672" t="str">
            <v>INS-185032</v>
          </cell>
          <cell r="C672" t="str">
            <v>BRITA GRADUADA SIMPLES (BGS)</v>
          </cell>
          <cell r="D672" t="str">
            <v>M3</v>
          </cell>
          <cell r="E672">
            <v>169.98</v>
          </cell>
          <cell r="F672">
            <v>56.099999999999994</v>
          </cell>
          <cell r="G672">
            <v>64.77</v>
          </cell>
          <cell r="H672">
            <v>11009.6</v>
          </cell>
          <cell r="I672">
            <v>56.099999999999994</v>
          </cell>
          <cell r="J672">
            <v>61.75</v>
          </cell>
          <cell r="K672">
            <v>10496.27</v>
          </cell>
        </row>
        <row r="673">
          <cell r="A673" t="str">
            <v>1.11.9.5</v>
          </cell>
          <cell r="B673" t="str">
            <v>M0808</v>
          </cell>
          <cell r="C673" t="str">
            <v>Brita 4</v>
          </cell>
          <cell r="D673" t="str">
            <v>M3</v>
          </cell>
          <cell r="E673">
            <v>200.79</v>
          </cell>
          <cell r="F673">
            <v>90.74</v>
          </cell>
          <cell r="G673">
            <v>104.77</v>
          </cell>
          <cell r="H673">
            <v>21036.77</v>
          </cell>
          <cell r="I673">
            <v>90.74</v>
          </cell>
          <cell r="J673">
            <v>99.88</v>
          </cell>
          <cell r="K673">
            <v>20054.91</v>
          </cell>
        </row>
        <row r="674">
          <cell r="A674" t="str">
            <v>1.11.9.6</v>
          </cell>
          <cell r="B674" t="str">
            <v>M1135</v>
          </cell>
          <cell r="C674" t="str">
            <v>Pó de pedra</v>
          </cell>
          <cell r="D674" t="str">
            <v>M3</v>
          </cell>
          <cell r="E674">
            <v>22.31</v>
          </cell>
          <cell r="F674">
            <v>74.53</v>
          </cell>
          <cell r="G674">
            <v>86.05</v>
          </cell>
          <cell r="H674">
            <v>1919.78</v>
          </cell>
          <cell r="I674">
            <v>74.53</v>
          </cell>
          <cell r="J674">
            <v>82.04</v>
          </cell>
          <cell r="K674">
            <v>1830.31</v>
          </cell>
        </row>
        <row r="675">
          <cell r="A675" t="str">
            <v>1.11.9.7</v>
          </cell>
          <cell r="B675" t="str">
            <v>INS-54745269</v>
          </cell>
          <cell r="C675" t="str">
            <v>ASFALTO DILUÍDO CM - 30 - JUNHO/22</v>
          </cell>
          <cell r="D675" t="str">
            <v>KG</v>
          </cell>
          <cell r="E675">
            <v>1059.79</v>
          </cell>
          <cell r="F675">
            <v>5.32</v>
          </cell>
          <cell r="G675">
            <v>6.14</v>
          </cell>
          <cell r="H675">
            <v>6507.11</v>
          </cell>
          <cell r="I675">
            <v>5.32</v>
          </cell>
          <cell r="J675">
            <v>5.86</v>
          </cell>
          <cell r="K675">
            <v>6210.37</v>
          </cell>
        </row>
        <row r="676">
          <cell r="A676" t="str">
            <v>1.11.9.8</v>
          </cell>
          <cell r="B676">
            <v>34492</v>
          </cell>
          <cell r="C676" t="str">
            <v xml:space="preserve">CONCRETO USINADO BOMBEAVEL, CLASSE DE RESISTENCIA C20, COM BRITA 0 E 1, SLUMP = 100 +/- 20 MM, EXCLUI SERVICO DE BOMBEAMENTO (NBR 8953)                                                                                                                                                                                                                                                                                                                                                                   </v>
          </cell>
          <cell r="D676" t="str">
            <v xml:space="preserve">M3    </v>
          </cell>
          <cell r="E676">
            <v>67.709999999999994</v>
          </cell>
          <cell r="F676">
            <v>422.5</v>
          </cell>
          <cell r="G676">
            <v>487.82</v>
          </cell>
          <cell r="H676">
            <v>33030.29</v>
          </cell>
          <cell r="I676">
            <v>422.5</v>
          </cell>
          <cell r="J676">
            <v>465.05</v>
          </cell>
          <cell r="K676">
            <v>31488.54</v>
          </cell>
        </row>
        <row r="677">
          <cell r="A677" t="str">
            <v>1.11.9.9</v>
          </cell>
          <cell r="B677">
            <v>1345</v>
          </cell>
          <cell r="C677" t="str">
            <v xml:space="preserve">CHAPA/PAINEL DE MADEIRA COMPENSADA PLASTIFICADA (MADEIRITE PLASTIFICADO) PARA FORMA DE CONCRETO, DE 2200 x 1100 MM, E = *17* MM                                                                                                                                                                                                                                                                                                                                                                           </v>
          </cell>
          <cell r="D677" t="str">
            <v xml:space="preserve">M2    </v>
          </cell>
          <cell r="E677">
            <v>84.38</v>
          </cell>
          <cell r="F677">
            <v>94.4</v>
          </cell>
          <cell r="G677">
            <v>108.99</v>
          </cell>
          <cell r="H677">
            <v>9196.58</v>
          </cell>
          <cell r="I677">
            <v>94.4</v>
          </cell>
          <cell r="J677">
            <v>103.91</v>
          </cell>
          <cell r="K677">
            <v>8767.93</v>
          </cell>
        </row>
        <row r="678">
          <cell r="A678" t="str">
            <v>1.12</v>
          </cell>
          <cell r="B678"/>
          <cell r="C678" t="str">
            <v>RUA CATANDUVA - CURCURANA</v>
          </cell>
          <cell r="D678"/>
          <cell r="E678"/>
          <cell r="F678"/>
          <cell r="G678"/>
          <cell r="H678">
            <v>3184476.57</v>
          </cell>
          <cell r="I678"/>
          <cell r="J678"/>
          <cell r="K678">
            <v>3101802.75</v>
          </cell>
        </row>
        <row r="679">
          <cell r="A679" t="str">
            <v>1.12.1</v>
          </cell>
          <cell r="B679"/>
          <cell r="C679" t="str">
            <v>INSTALAÇÕES PROVISÓRIAS</v>
          </cell>
          <cell r="D679"/>
          <cell r="E679"/>
          <cell r="F679"/>
          <cell r="G679"/>
          <cell r="H679">
            <v>15902.04</v>
          </cell>
          <cell r="I679"/>
          <cell r="J679"/>
          <cell r="K679">
            <v>15189.96</v>
          </cell>
        </row>
        <row r="680">
          <cell r="A680" t="str">
            <v>1.12.1.1</v>
          </cell>
          <cell r="B680" t="str">
            <v>CP-74209/001-15055090</v>
          </cell>
          <cell r="C680" t="str">
            <v>PLACA DE OBRA EM CHAPA DE ACO GALVANIZADO</v>
          </cell>
          <cell r="D680" t="str">
            <v xml:space="preserve">M2    </v>
          </cell>
          <cell r="E680">
            <v>8</v>
          </cell>
          <cell r="F680">
            <v>558.35</v>
          </cell>
          <cell r="G680">
            <v>690.06</v>
          </cell>
          <cell r="H680">
            <v>5520.48</v>
          </cell>
          <cell r="I680">
            <v>564.99</v>
          </cell>
          <cell r="J680">
            <v>664.26</v>
          </cell>
          <cell r="K680">
            <v>5314.08</v>
          </cell>
        </row>
        <row r="681">
          <cell r="A681" t="str">
            <v>1.12.1.2</v>
          </cell>
          <cell r="B681" t="str">
            <v>COMP-07440249</v>
          </cell>
          <cell r="C681" t="str">
            <v>BANHEIRO QUÍMICO, COM LOCAÇÃO, TRANSPORTE E LIMPEZA</v>
          </cell>
          <cell r="D681" t="str">
            <v>MÊS</v>
          </cell>
          <cell r="E681">
            <v>12</v>
          </cell>
          <cell r="F681">
            <v>700</v>
          </cell>
          <cell r="G681">
            <v>865.13</v>
          </cell>
          <cell r="H681">
            <v>10381.56</v>
          </cell>
          <cell r="I681">
            <v>700</v>
          </cell>
          <cell r="J681">
            <v>822.99</v>
          </cell>
          <cell r="K681">
            <v>9875.8799999999992</v>
          </cell>
        </row>
        <row r="682">
          <cell r="A682" t="str">
            <v>1.12.2</v>
          </cell>
          <cell r="B682"/>
          <cell r="C682" t="str">
            <v>ADMINISTRAÇÃO LOCAL</v>
          </cell>
          <cell r="D682"/>
          <cell r="E682"/>
          <cell r="F682"/>
          <cell r="G682"/>
          <cell r="H682">
            <v>97015.62</v>
          </cell>
          <cell r="I682"/>
          <cell r="J682"/>
          <cell r="K682">
            <v>106388.4</v>
          </cell>
        </row>
        <row r="683">
          <cell r="A683" t="str">
            <v>1.12.2.1</v>
          </cell>
          <cell r="B683">
            <v>93565</v>
          </cell>
          <cell r="C683" t="str">
            <v>ENGENHEIRO CIVIL DE OBRA JUNIOR COM ENCARGOS COMPLEMENTARES</v>
          </cell>
          <cell r="D683" t="str">
            <v>MES</v>
          </cell>
          <cell r="E683">
            <v>3</v>
          </cell>
          <cell r="F683">
            <v>14549.96</v>
          </cell>
          <cell r="G683">
            <v>17982.3</v>
          </cell>
          <cell r="H683">
            <v>53946.9</v>
          </cell>
          <cell r="I683">
            <v>16819.14</v>
          </cell>
          <cell r="J683">
            <v>19774.259999999998</v>
          </cell>
          <cell r="K683">
            <v>59322.78</v>
          </cell>
        </row>
        <row r="684">
          <cell r="A684" t="str">
            <v>1.12.2.2</v>
          </cell>
          <cell r="B684">
            <v>93572</v>
          </cell>
          <cell r="C684" t="str">
            <v>ENCARREGADO GERAL DE OBRAS COM ENCARGOS COMPLEMENTARES</v>
          </cell>
          <cell r="D684" t="str">
            <v>MES</v>
          </cell>
          <cell r="E684">
            <v>6</v>
          </cell>
          <cell r="F684">
            <v>5808.01</v>
          </cell>
          <cell r="G684">
            <v>7178.12</v>
          </cell>
          <cell r="H684">
            <v>43068.72</v>
          </cell>
          <cell r="I684">
            <v>6672</v>
          </cell>
          <cell r="J684">
            <v>7844.27</v>
          </cell>
          <cell r="K684">
            <v>47065.62</v>
          </cell>
        </row>
        <row r="685">
          <cell r="A685" t="str">
            <v>1.12.3</v>
          </cell>
          <cell r="B685"/>
          <cell r="C685" t="str">
            <v>SERVIÇOS PRELIMINARES</v>
          </cell>
          <cell r="D685"/>
          <cell r="E685"/>
          <cell r="F685"/>
          <cell r="G685"/>
          <cell r="H685">
            <v>5375.86</v>
          </cell>
          <cell r="I685"/>
          <cell r="J685"/>
          <cell r="K685">
            <v>5638.68</v>
          </cell>
        </row>
        <row r="686">
          <cell r="A686" t="str">
            <v>1.12.3.1</v>
          </cell>
          <cell r="B686">
            <v>99064</v>
          </cell>
          <cell r="C686" t="str">
            <v>LOCAÇÃO DE PAVIMENTAÇÃO. AF_10/2018</v>
          </cell>
          <cell r="D686" t="str">
            <v>M</v>
          </cell>
          <cell r="E686">
            <v>1204.78</v>
          </cell>
          <cell r="F686">
            <v>0.43</v>
          </cell>
          <cell r="G686">
            <v>0.53</v>
          </cell>
          <cell r="H686">
            <v>638.53</v>
          </cell>
          <cell r="I686">
            <v>0.49</v>
          </cell>
          <cell r="J686">
            <v>0.57999999999999996</v>
          </cell>
          <cell r="K686">
            <v>698.77</v>
          </cell>
        </row>
        <row r="687">
          <cell r="A687" t="str">
            <v>1.12.3.2</v>
          </cell>
          <cell r="B687" t="str">
            <v>COMP-17562084</v>
          </cell>
          <cell r="C687" t="str">
            <v>DEMOLIÇÃO MANUAL DE CONCRETO SIMPLES</v>
          </cell>
          <cell r="D687" t="str">
            <v>M3</v>
          </cell>
          <cell r="E687">
            <v>16.850000000000001</v>
          </cell>
          <cell r="F687">
            <v>190.89</v>
          </cell>
          <cell r="G687">
            <v>235.92</v>
          </cell>
          <cell r="H687">
            <v>3975.25</v>
          </cell>
          <cell r="I687">
            <v>212.24</v>
          </cell>
          <cell r="J687">
            <v>249.53</v>
          </cell>
          <cell r="K687">
            <v>4204.58</v>
          </cell>
        </row>
        <row r="688">
          <cell r="A688" t="str">
            <v>1.12.3.3</v>
          </cell>
          <cell r="B688" t="str">
            <v>COMP-35145154</v>
          </cell>
          <cell r="C688" t="str">
            <v>CARGA E DESCARGA MECANICA DE SOLO UTILIZANDO CAMINHAO BASCULANTE 14,0M3/36T E PA CARREGADEIRA SOBRE PNEUS 128 HP, CAPACIDADE DA CAÇAMBA 1,7 A 2,8 M3, PESO OPERACIONAL 11632 KH</v>
          </cell>
          <cell r="D688" t="str">
            <v>M3</v>
          </cell>
          <cell r="E688">
            <v>21.06</v>
          </cell>
          <cell r="F688">
            <v>2.83</v>
          </cell>
          <cell r="G688">
            <v>3.5</v>
          </cell>
          <cell r="H688">
            <v>73.709999999999994</v>
          </cell>
          <cell r="I688">
            <v>2.9</v>
          </cell>
          <cell r="J688">
            <v>3.41</v>
          </cell>
          <cell r="K688">
            <v>71.81</v>
          </cell>
        </row>
        <row r="689">
          <cell r="A689" t="str">
            <v>1.12.3.4</v>
          </cell>
          <cell r="B689">
            <v>95876</v>
          </cell>
          <cell r="C689" t="str">
            <v>TRANSPORTE COM CAMINHÃO BASCULANTE DE 14 M³, EM VIA URBANA PAVIMENTADA, DMT ATÉ 30 KM (UNIDADE: M3XKM). AF_07/2020</v>
          </cell>
          <cell r="D689" t="str">
            <v>M3XKM</v>
          </cell>
          <cell r="E689">
            <v>248.51</v>
          </cell>
          <cell r="F689">
            <v>2.2400000000000002</v>
          </cell>
          <cell r="G689">
            <v>2.77</v>
          </cell>
          <cell r="H689">
            <v>688.37</v>
          </cell>
          <cell r="I689">
            <v>2.27</v>
          </cell>
          <cell r="J689">
            <v>2.67</v>
          </cell>
          <cell r="K689">
            <v>663.52</v>
          </cell>
        </row>
        <row r="690">
          <cell r="A690" t="str">
            <v>1.12.4</v>
          </cell>
          <cell r="B690"/>
          <cell r="C690" t="str">
            <v>TERRAPLENAGEM</v>
          </cell>
          <cell r="D690"/>
          <cell r="E690"/>
          <cell r="F690"/>
          <cell r="G690"/>
          <cell r="H690">
            <v>270093.75</v>
          </cell>
          <cell r="I690"/>
          <cell r="J690"/>
          <cell r="K690">
            <v>260731.12</v>
          </cell>
        </row>
        <row r="691">
          <cell r="A691" t="str">
            <v>1.12.4.1</v>
          </cell>
          <cell r="B691" t="str">
            <v>CP-74205/001-17324935</v>
          </cell>
          <cell r="C691" t="str">
            <v>ESCAVAÇÃO MECÂNICA DE MATERIAL 1A. CATEGORIA, PROVENIENTE DE CORTE DE SUBLEITO (C/TRATOR ESTEIRAS  160HP)</v>
          </cell>
          <cell r="D691" t="str">
            <v>M3</v>
          </cell>
          <cell r="E691">
            <v>5588.24</v>
          </cell>
          <cell r="F691">
            <v>2.54</v>
          </cell>
          <cell r="G691">
            <v>3.14</v>
          </cell>
          <cell r="H691">
            <v>17547.07</v>
          </cell>
          <cell r="I691">
            <v>2.59</v>
          </cell>
          <cell r="J691">
            <v>3.05</v>
          </cell>
          <cell r="K691">
            <v>17044.13</v>
          </cell>
        </row>
        <row r="692">
          <cell r="A692" t="str">
            <v>1.12.4.2</v>
          </cell>
          <cell r="B692" t="str">
            <v>COMP-35145154</v>
          </cell>
          <cell r="C692" t="str">
            <v>CARGA E DESCARGA MECANICA DE SOLO UTILIZANDO CAMINHAO BASCULANTE 14,0M3/36T E PA CARREGADEIRA SOBRE PNEUS 128 HP, CAPACIDADE DA CAÇAMBA 1,7 A 2,8 M3, PESO OPERACIONAL 11632 KH</v>
          </cell>
          <cell r="D692" t="str">
            <v>M3</v>
          </cell>
          <cell r="E692">
            <v>6975.96</v>
          </cell>
          <cell r="F692">
            <v>2.83</v>
          </cell>
          <cell r="G692">
            <v>3.5</v>
          </cell>
          <cell r="H692">
            <v>24415.86</v>
          </cell>
          <cell r="I692">
            <v>2.9</v>
          </cell>
          <cell r="J692">
            <v>3.41</v>
          </cell>
          <cell r="K692">
            <v>23788.02</v>
          </cell>
        </row>
        <row r="693">
          <cell r="A693" t="str">
            <v>1.12.4.3</v>
          </cell>
          <cell r="B693">
            <v>95876</v>
          </cell>
          <cell r="C693" t="str">
            <v>TRANSPORTE COM CAMINHÃO BASCULANTE DE 14 M³, EM VIA URBANA PAVIMENTADA, DMT ATÉ 30 KM (UNIDADE: M3XKM). AF_07/2020</v>
          </cell>
          <cell r="D693" t="str">
            <v>M3XKM</v>
          </cell>
          <cell r="E693">
            <v>82316.33</v>
          </cell>
          <cell r="F693">
            <v>2.2400000000000002</v>
          </cell>
          <cell r="G693">
            <v>2.77</v>
          </cell>
          <cell r="H693">
            <v>228016.23</v>
          </cell>
          <cell r="I693">
            <v>2.27</v>
          </cell>
          <cell r="J693">
            <v>2.67</v>
          </cell>
          <cell r="K693">
            <v>219784.6</v>
          </cell>
        </row>
        <row r="694">
          <cell r="A694" t="str">
            <v>1.12.4.4</v>
          </cell>
          <cell r="B694">
            <v>96385</v>
          </cell>
          <cell r="C694" t="str">
            <v>EXECUÇÃO E COMPACTAÇÃO DE ATERRO COM SOLO PREDOMINANTEMENTE ARGILOSO - EXCLUSIVE SOLO, ESCAVAÇÃO, CARGA E TRANSPORTE. AF_11/2019</v>
          </cell>
          <cell r="D694" t="str">
            <v>M3</v>
          </cell>
          <cell r="E694">
            <v>7.47</v>
          </cell>
          <cell r="F694">
            <v>12.41</v>
          </cell>
          <cell r="G694">
            <v>15.34</v>
          </cell>
          <cell r="H694">
            <v>114.59</v>
          </cell>
          <cell r="I694">
            <v>13.02</v>
          </cell>
          <cell r="J694">
            <v>15.31</v>
          </cell>
          <cell r="K694">
            <v>114.37</v>
          </cell>
        </row>
        <row r="695">
          <cell r="A695" t="str">
            <v>1.12.5</v>
          </cell>
          <cell r="B695"/>
          <cell r="C695" t="str">
            <v>PAVIMENTAÇÃO</v>
          </cell>
          <cell r="D695"/>
          <cell r="E695"/>
          <cell r="F695"/>
          <cell r="G695"/>
          <cell r="H695">
            <v>866292.47</v>
          </cell>
          <cell r="I695"/>
          <cell r="J695"/>
          <cell r="K695">
            <v>843446.56</v>
          </cell>
        </row>
        <row r="696">
          <cell r="A696" t="str">
            <v>1.12.5.1</v>
          </cell>
          <cell r="B696">
            <v>100576</v>
          </cell>
          <cell r="C696" t="str">
            <v>REGULARIZAÇÃO E COMPACTAÇÃO DE SUBLEITO DE SOLO  PREDOMINANTEMENTE ARGILOSO. AF_11/2019</v>
          </cell>
          <cell r="D696" t="str">
            <v>M2</v>
          </cell>
          <cell r="E696">
            <v>8433.4599999999991</v>
          </cell>
          <cell r="F696">
            <v>2.64</v>
          </cell>
          <cell r="G696">
            <v>3.26</v>
          </cell>
          <cell r="H696">
            <v>27493.08</v>
          </cell>
          <cell r="I696">
            <v>2.79</v>
          </cell>
          <cell r="J696">
            <v>3.28</v>
          </cell>
          <cell r="K696">
            <v>27661.75</v>
          </cell>
        </row>
        <row r="697">
          <cell r="A697" t="str">
            <v>1.12.5.2</v>
          </cell>
          <cell r="B697" t="str">
            <v>COMP-47176600</v>
          </cell>
          <cell r="C697" t="str">
            <v xml:space="preserve">EXEC. DE ATERRO COM AREIA COM ADENSAMENTO HIDRAULICO </v>
          </cell>
          <cell r="D697" t="str">
            <v xml:space="preserve">M3    </v>
          </cell>
          <cell r="E697">
            <v>3493.86</v>
          </cell>
          <cell r="F697">
            <v>103.23</v>
          </cell>
          <cell r="G697">
            <v>127.58</v>
          </cell>
          <cell r="H697">
            <v>445746.66</v>
          </cell>
          <cell r="I697">
            <v>104.33</v>
          </cell>
          <cell r="J697">
            <v>122.66</v>
          </cell>
          <cell r="K697">
            <v>428556.87</v>
          </cell>
        </row>
        <row r="698">
          <cell r="A698" t="str">
            <v>1.12.5.3</v>
          </cell>
          <cell r="B698" t="str">
            <v>COMP-28881239</v>
          </cell>
          <cell r="C698" t="str">
            <v>Base ou sub-base de macadame hidráulico com brita comercial - EXCLUSIVE MATERIAL, CARGA E TRANSPORTE - NÃO DESONERADO</v>
          </cell>
          <cell r="D698" t="str">
            <v>M3</v>
          </cell>
          <cell r="E698">
            <v>1048.1600000000001</v>
          </cell>
          <cell r="F698">
            <v>11.24</v>
          </cell>
          <cell r="G698">
            <v>13.89</v>
          </cell>
          <cell r="H698">
            <v>14558.94</v>
          </cell>
          <cell r="I698">
            <v>11.4</v>
          </cell>
          <cell r="J698">
            <v>13.4</v>
          </cell>
          <cell r="K698">
            <v>14045.34</v>
          </cell>
        </row>
        <row r="699">
          <cell r="A699" t="str">
            <v>1.12.5.4</v>
          </cell>
          <cell r="B699" t="str">
            <v>CP-96396-26507981</v>
          </cell>
          <cell r="C699" t="str">
            <v>EXECUÇÃO E COMPACTAÇÃO DE BASE E OU SUB BASE PARA PAVIMENTAÇÃO DE BRITA GRADUADA SIMPLES - EXCLUSIVE MATERIAL, CARGA E TRANSPORTE</v>
          </cell>
          <cell r="D699" t="str">
            <v>M3</v>
          </cell>
          <cell r="E699">
            <v>1156.5899999999999</v>
          </cell>
          <cell r="F699">
            <v>13.86</v>
          </cell>
          <cell r="G699">
            <v>17.13</v>
          </cell>
          <cell r="H699">
            <v>19812.39</v>
          </cell>
          <cell r="I699">
            <v>14.44</v>
          </cell>
          <cell r="J699">
            <v>16.98</v>
          </cell>
          <cell r="K699">
            <v>19638.900000000001</v>
          </cell>
        </row>
        <row r="700">
          <cell r="A700" t="str">
            <v>1.12.5.5</v>
          </cell>
          <cell r="B700" t="str">
            <v>COMP-35145154</v>
          </cell>
          <cell r="C700" t="str">
            <v>CARGA E DESCARGA MECANICA DE SOLO UTILIZANDO CAMINHAO BASCULANTE 14,0M3/36T E PA CARREGADEIRA SOBRE PNEUS 128 HP, CAPACIDADE DA CAÇAMBA 1,7 A 2,8 M3, PESO OPERACIONAL 11632 KH</v>
          </cell>
          <cell r="D700" t="str">
            <v>M3</v>
          </cell>
          <cell r="E700">
            <v>2755.94</v>
          </cell>
          <cell r="F700">
            <v>2.83</v>
          </cell>
          <cell r="G700">
            <v>3.5</v>
          </cell>
          <cell r="H700">
            <v>9645.7900000000009</v>
          </cell>
          <cell r="I700">
            <v>2.9</v>
          </cell>
          <cell r="J700">
            <v>3.41</v>
          </cell>
          <cell r="K700">
            <v>9397.76</v>
          </cell>
        </row>
        <row r="701">
          <cell r="A701" t="str">
            <v>1.12.5.6</v>
          </cell>
          <cell r="B701" t="str">
            <v>COMP-83526730</v>
          </cell>
          <cell r="C701" t="str">
            <v>TRANSPORTE COMERCIAL DE BRITA</v>
          </cell>
          <cell r="D701" t="str">
            <v>M3XKM</v>
          </cell>
          <cell r="E701">
            <v>33071.279999999999</v>
          </cell>
          <cell r="F701">
            <v>1.36</v>
          </cell>
          <cell r="G701">
            <v>1.68</v>
          </cell>
          <cell r="H701">
            <v>55559.75</v>
          </cell>
          <cell r="I701">
            <v>1.37</v>
          </cell>
          <cell r="J701">
            <v>1.61</v>
          </cell>
          <cell r="K701">
            <v>53244.76</v>
          </cell>
        </row>
        <row r="702">
          <cell r="A702" t="str">
            <v>1.12.5.7</v>
          </cell>
          <cell r="B702" t="str">
            <v>CP-96401-52745838</v>
          </cell>
          <cell r="C702" t="str">
            <v>EXECUÇÃO DE IMPRIMAÇÃO COM ASFALTO DILUÍDO CM-30, EXCLUSIVE MATERIAL.</v>
          </cell>
          <cell r="D702" t="str">
            <v>M2</v>
          </cell>
          <cell r="E702">
            <v>6098.05</v>
          </cell>
          <cell r="F702">
            <v>1.18</v>
          </cell>
          <cell r="G702">
            <v>1.46</v>
          </cell>
          <cell r="H702">
            <v>8903.15</v>
          </cell>
          <cell r="I702">
            <v>1.24</v>
          </cell>
          <cell r="J702">
            <v>1.46</v>
          </cell>
          <cell r="K702">
            <v>8903.15</v>
          </cell>
        </row>
        <row r="703">
          <cell r="A703" t="str">
            <v>1.12.5.8</v>
          </cell>
          <cell r="B703" t="str">
            <v>CP-95995-51339760</v>
          </cell>
          <cell r="C703" t="str">
            <v>EXECUÇÃO DE PAVIMENTO COM APLICAÇÃO DE CONCRETO ASFÁLTICO, CAMADA DE ROLAMENTO - EXCLUSIVE CARGA E TRANSPORTE E CONCRETO BETUMINOSO</v>
          </cell>
          <cell r="D703" t="str">
            <v>M3</v>
          </cell>
          <cell r="E703">
            <v>304.91000000000003</v>
          </cell>
          <cell r="F703">
            <v>127.58</v>
          </cell>
          <cell r="G703">
            <v>157.68</v>
          </cell>
          <cell r="H703">
            <v>48078.21</v>
          </cell>
          <cell r="I703">
            <v>133.37</v>
          </cell>
          <cell r="J703">
            <v>156.80000000000001</v>
          </cell>
          <cell r="K703">
            <v>47809.89</v>
          </cell>
        </row>
        <row r="704">
          <cell r="A704" t="str">
            <v>1.12.5.9</v>
          </cell>
          <cell r="B704" t="str">
            <v>COMP-10034101</v>
          </cell>
          <cell r="C704" t="str">
            <v>CARGA, MANOBRAS E DESCARGA DE MISTURA BETUMINOSA A QUENTE, COM CAMINHAO BASCULANTE 6 M3, DESCARGA EM VIBRO-ACABADORA</v>
          </cell>
          <cell r="D704" t="str">
            <v>M3</v>
          </cell>
          <cell r="E704">
            <v>304.91000000000003</v>
          </cell>
          <cell r="F704">
            <v>7.74</v>
          </cell>
          <cell r="G704">
            <v>9.57</v>
          </cell>
          <cell r="H704">
            <v>2917.99</v>
          </cell>
          <cell r="I704">
            <v>7.86</v>
          </cell>
          <cell r="J704">
            <v>9.24</v>
          </cell>
          <cell r="K704">
            <v>2817.37</v>
          </cell>
        </row>
        <row r="705">
          <cell r="A705" t="str">
            <v>1.12.5.10</v>
          </cell>
          <cell r="B705" t="str">
            <v>CP-95303-56931542</v>
          </cell>
          <cell r="C705" t="str">
            <v>TRANSPORTE COM CAMINHÃO BASCULANTE 10 M3 DE MASSA ASFALTICA PARA PAVIMENTAÇÃO URBANA</v>
          </cell>
          <cell r="D705" t="str">
            <v>M3XKM</v>
          </cell>
          <cell r="E705">
            <v>6860.48</v>
          </cell>
          <cell r="F705">
            <v>1.75</v>
          </cell>
          <cell r="G705">
            <v>2.16</v>
          </cell>
          <cell r="H705">
            <v>14818.64</v>
          </cell>
          <cell r="I705">
            <v>1.77</v>
          </cell>
          <cell r="J705">
            <v>2.08</v>
          </cell>
          <cell r="K705">
            <v>14269.8</v>
          </cell>
        </row>
        <row r="706">
          <cell r="A706" t="str">
            <v>1.12.5.11</v>
          </cell>
          <cell r="B706" t="str">
            <v>CP-97084-89637704</v>
          </cell>
          <cell r="C706" t="str">
            <v>REGULARIZACAO E COMPACTAÇÃO MANUAL DE TERRENO COM PLACA VIBRATÓRIA</v>
          </cell>
          <cell r="D706" t="str">
            <v>M2</v>
          </cell>
          <cell r="E706">
            <v>3850.61</v>
          </cell>
          <cell r="F706">
            <v>0.59</v>
          </cell>
          <cell r="G706">
            <v>0.73</v>
          </cell>
          <cell r="H706">
            <v>2810.95</v>
          </cell>
          <cell r="I706">
            <v>0.65</v>
          </cell>
          <cell r="J706">
            <v>0.76</v>
          </cell>
          <cell r="K706">
            <v>2926.46</v>
          </cell>
        </row>
        <row r="707">
          <cell r="A707" t="str">
            <v>1.12.5.12</v>
          </cell>
          <cell r="B707" t="str">
            <v>CP-94991-12549457</v>
          </cell>
          <cell r="C707" t="str">
            <v>EXECUÇÃO DE PASSEIO (CALÇADA) OU PISO DE CONCRETO COM CONCRETO MOLDADO IN LOCO, USINADO, ACABAMENTO CONVENCIONAL, NÃO ARMADO - EXCLUINDO O CONCRETO USINADO 20MPA</v>
          </cell>
          <cell r="D707" t="str">
            <v>M3</v>
          </cell>
          <cell r="E707">
            <v>268.2</v>
          </cell>
          <cell r="F707">
            <v>104.6</v>
          </cell>
          <cell r="G707">
            <v>129.28</v>
          </cell>
          <cell r="H707">
            <v>34672.9</v>
          </cell>
          <cell r="I707">
            <v>112.75</v>
          </cell>
          <cell r="J707">
            <v>132.56</v>
          </cell>
          <cell r="K707">
            <v>35552.589999999997</v>
          </cell>
        </row>
        <row r="708">
          <cell r="A708" t="str">
            <v>1.12.5.13</v>
          </cell>
          <cell r="B708">
            <v>94273</v>
          </cell>
          <cell r="C708" t="str">
            <v>ASSENTAMENTO DE GUIA (MEIO-FIO) EM TRECHO RETO, CONFECCIONADA EM CONCRETO PRÉ-FABRICADO, DIMENSÕES 100X15X13X30 CM (COMPRIMENTO X BASE INFERIOR X BASE SUPERIOR X ALTURA), PARA VIAS URBANAS (USO VIÁRIO). AF_06/2016</v>
          </cell>
          <cell r="D708" t="str">
            <v>M</v>
          </cell>
          <cell r="E708">
            <v>2433.85</v>
          </cell>
          <cell r="F708">
            <v>54.61</v>
          </cell>
          <cell r="G708">
            <v>67.489999999999995</v>
          </cell>
          <cell r="H708">
            <v>164260.54</v>
          </cell>
          <cell r="I708">
            <v>56.47</v>
          </cell>
          <cell r="J708">
            <v>66.39</v>
          </cell>
          <cell r="K708">
            <v>161583.29999999999</v>
          </cell>
        </row>
        <row r="709">
          <cell r="A709" t="str">
            <v>1.12.5.14</v>
          </cell>
          <cell r="B709">
            <v>94274</v>
          </cell>
          <cell r="C709" t="str">
            <v>ASSENTAMENTO DE GUIA (MEIO-FIO) EM TRECHO CURVO, CONFECCIONADA EM CONCRETO PRÉ-FABRICADO, DIMENSÕES 100X15X13X30 CM (COMPRIMENTO X BASE INFERIOR X BASE SUPERIOR X ALTURA), PARA VIAS URBANAS (USO VIÁRIO). AF_06/2016</v>
          </cell>
          <cell r="D709" t="str">
            <v>M</v>
          </cell>
          <cell r="E709">
            <v>58.8</v>
          </cell>
          <cell r="F709">
            <v>58.17</v>
          </cell>
          <cell r="G709">
            <v>71.89</v>
          </cell>
          <cell r="H709">
            <v>4227.13</v>
          </cell>
          <cell r="I709">
            <v>60.43</v>
          </cell>
          <cell r="J709">
            <v>71.05</v>
          </cell>
          <cell r="K709">
            <v>4177.74</v>
          </cell>
        </row>
        <row r="710">
          <cell r="A710" t="str">
            <v>1.12.5.15</v>
          </cell>
          <cell r="B710">
            <v>94287</v>
          </cell>
          <cell r="C710" t="str">
            <v>EXECUÇÃO DE SARJETA DE CONCRETO USINADO, MOLDADA  IN LOCO  EM TRECHO RETO, 30 CM BASE X 10 CM ALTURA. AF_06/2016</v>
          </cell>
          <cell r="D710" t="str">
            <v>M</v>
          </cell>
          <cell r="E710">
            <v>227.95</v>
          </cell>
          <cell r="F710">
            <v>37.69</v>
          </cell>
          <cell r="G710">
            <v>46.58</v>
          </cell>
          <cell r="H710">
            <v>10617.91</v>
          </cell>
          <cell r="I710">
            <v>39.770000000000003</v>
          </cell>
          <cell r="J710">
            <v>46.76</v>
          </cell>
          <cell r="K710">
            <v>10658.94</v>
          </cell>
        </row>
        <row r="711">
          <cell r="A711" t="str">
            <v>1.12.5.16</v>
          </cell>
          <cell r="B711">
            <v>94288</v>
          </cell>
          <cell r="C711" t="str">
            <v>EXECUÇÃO DE SARJETA DE CONCRETO USINADO, MOLDADA  IN LOCO  EM TRECHO CURVO, 30 CM BASE X 10 CM ALTURA. AF_06/2016</v>
          </cell>
          <cell r="D711" t="str">
            <v>M</v>
          </cell>
          <cell r="E711">
            <v>37.22</v>
          </cell>
          <cell r="F711">
            <v>47.14</v>
          </cell>
          <cell r="G711">
            <v>58.26</v>
          </cell>
          <cell r="H711">
            <v>2168.44</v>
          </cell>
          <cell r="I711">
            <v>50.32</v>
          </cell>
          <cell r="J711">
            <v>59.16</v>
          </cell>
          <cell r="K711">
            <v>2201.94</v>
          </cell>
        </row>
        <row r="712">
          <cell r="A712" t="str">
            <v>1.12.6</v>
          </cell>
          <cell r="B712"/>
          <cell r="C712" t="str">
            <v>DRENAGEM</v>
          </cell>
          <cell r="D712"/>
          <cell r="E712"/>
          <cell r="F712"/>
          <cell r="G712"/>
          <cell r="H712">
            <v>894542.78</v>
          </cell>
          <cell r="I712"/>
          <cell r="J712"/>
          <cell r="K712">
            <v>882140.4</v>
          </cell>
        </row>
        <row r="713">
          <cell r="A713" t="str">
            <v>1.12.6.1</v>
          </cell>
          <cell r="B713">
            <v>90091</v>
          </cell>
          <cell r="C713" t="str">
            <v>ESCAVAÇÃO MECANIZADA DE VALA COM PROF. ATÉ 1,5 M (MÉDIA MONTANTE E JUSANTE/UMA COMPOSIÇÃO POR TRECHO), ESCAVADEIRA (0,8 M3), LARG. DE 1,5 M A 2,5 M, EM SOLO DE 1A CATEGORIA, LOCAIS COM BAIXO NÍVEL DE INTERFERÊNCIA. AF_02/2021</v>
          </cell>
          <cell r="D713" t="str">
            <v>M3</v>
          </cell>
          <cell r="E713">
            <v>482.35</v>
          </cell>
          <cell r="F713">
            <v>6.24</v>
          </cell>
          <cell r="G713">
            <v>7.71</v>
          </cell>
          <cell r="H713">
            <v>3718.92</v>
          </cell>
          <cell r="I713">
            <v>6.48</v>
          </cell>
          <cell r="J713">
            <v>7.62</v>
          </cell>
          <cell r="K713">
            <v>3675.51</v>
          </cell>
        </row>
        <row r="714">
          <cell r="A714" t="str">
            <v>1.12.6.2</v>
          </cell>
          <cell r="B714">
            <v>93367</v>
          </cell>
          <cell r="C714" t="str">
            <v>REATERRO MECANIZADO DE VALA COM ESCAVADEIRA HIDRÁULICA (CAPACIDADE DA CAÇAMBA: 0,8 M³ / POTÊNCIA: 111 HP), LARGURA DE 1,5 A 2,5 M, PROFUNDIDADE ATÉ 1,5 M, COM SOLO DE 1ª CATEGORIA EM LOCAIS COM BAIXO NÍVEL DE INTERFERÊNCIA. AF_04/2016</v>
          </cell>
          <cell r="D714" t="str">
            <v>M3</v>
          </cell>
          <cell r="E714">
            <v>214.38</v>
          </cell>
          <cell r="F714">
            <v>22.53</v>
          </cell>
          <cell r="G714">
            <v>27.84</v>
          </cell>
          <cell r="H714">
            <v>5968.34</v>
          </cell>
          <cell r="I714">
            <v>23.75</v>
          </cell>
          <cell r="J714">
            <v>27.92</v>
          </cell>
          <cell r="K714">
            <v>5985.49</v>
          </cell>
        </row>
        <row r="715">
          <cell r="A715" t="str">
            <v>1.12.6.3</v>
          </cell>
          <cell r="B715" t="str">
            <v>COMP-35145154</v>
          </cell>
          <cell r="C715" t="str">
            <v>CARGA E DESCARGA MECANICA DE SOLO UTILIZANDO CAMINHAO BASCULANTE 14,0M3/36T E PA CARREGADEIRA SOBRE PNEUS 128 HP, CAPACIDADE DA CAÇAMBA 1,7 A 2,8 M3, PESO OPERACIONAL 11632 KH</v>
          </cell>
          <cell r="D715" t="str">
            <v>M3</v>
          </cell>
          <cell r="E715">
            <v>334.96</v>
          </cell>
          <cell r="F715">
            <v>2.83</v>
          </cell>
          <cell r="G715">
            <v>3.5</v>
          </cell>
          <cell r="H715">
            <v>1172.3599999999999</v>
          </cell>
          <cell r="I715">
            <v>2.9</v>
          </cell>
          <cell r="J715">
            <v>3.41</v>
          </cell>
          <cell r="K715">
            <v>1142.21</v>
          </cell>
        </row>
        <row r="716">
          <cell r="A716" t="str">
            <v>1.12.6.4</v>
          </cell>
          <cell r="B716">
            <v>95876</v>
          </cell>
          <cell r="C716" t="str">
            <v>TRANSPORTE COM CAMINHÃO BASCULANTE DE 14 M³, EM VIA URBANA PAVIMENTADA, DMT ATÉ 30 KM (UNIDADE: M3XKM). AF_07/2020</v>
          </cell>
          <cell r="D716" t="str">
            <v>M3XKM</v>
          </cell>
          <cell r="E716">
            <v>3952.53</v>
          </cell>
          <cell r="F716">
            <v>2.2400000000000002</v>
          </cell>
          <cell r="G716">
            <v>2.77</v>
          </cell>
          <cell r="H716">
            <v>10948.51</v>
          </cell>
          <cell r="I716">
            <v>2.27</v>
          </cell>
          <cell r="J716">
            <v>2.67</v>
          </cell>
          <cell r="K716">
            <v>10553.26</v>
          </cell>
        </row>
        <row r="717">
          <cell r="A717" t="str">
            <v>1.12.6.5</v>
          </cell>
          <cell r="B717">
            <v>94971</v>
          </cell>
          <cell r="C717" t="str">
            <v>CONCRETO FCK = 25MPA, TRAÇO 1:2,3:2,7 (EM MASSA SECA DE CIMENTO/ AREIA MÉDIA/ BRITA 1) - PREPARO MECÂNICO COM BETONEIRA 600 L. AF_05/2021</v>
          </cell>
          <cell r="D717" t="str">
            <v>M3</v>
          </cell>
          <cell r="E717">
            <v>150.68</v>
          </cell>
          <cell r="F717">
            <v>464.88</v>
          </cell>
          <cell r="G717">
            <v>574.54999999999995</v>
          </cell>
          <cell r="H717">
            <v>86573.19</v>
          </cell>
          <cell r="I717">
            <v>472.74</v>
          </cell>
          <cell r="J717">
            <v>555.79999999999995</v>
          </cell>
          <cell r="K717">
            <v>83747.94</v>
          </cell>
        </row>
        <row r="718">
          <cell r="A718" t="str">
            <v>1.12.6.6</v>
          </cell>
          <cell r="B718">
            <v>94974</v>
          </cell>
          <cell r="C718" t="str">
            <v>CONCRETO MAGRO PARA LASTRO, TRAÇO 1:4,5:4,5 (EM MASSA SECA DE CIMENTO/ AREIA MÉDIA/ BRITA 1) - PREPARO MANUAL. AF_05/2021</v>
          </cell>
          <cell r="D718" t="str">
            <v>M3</v>
          </cell>
          <cell r="E718">
            <v>114.85</v>
          </cell>
          <cell r="F718">
            <v>423.75</v>
          </cell>
          <cell r="G718">
            <v>523.71</v>
          </cell>
          <cell r="H718">
            <v>60148.09</v>
          </cell>
          <cell r="I718">
            <v>436.13</v>
          </cell>
          <cell r="J718">
            <v>512.76</v>
          </cell>
          <cell r="K718">
            <v>58890.49</v>
          </cell>
        </row>
        <row r="719">
          <cell r="A719" t="str">
            <v>1.12.6.7</v>
          </cell>
          <cell r="B719">
            <v>92771</v>
          </cell>
          <cell r="C719" t="str">
            <v>ARMAÇÃO DE LAJE DE ESTRUTURA CONVENCIONAL DE CONCRETO ARMADO UTILIZANDO AÇO CA-50 DE 10,0 MM - MONTAGEM. AF_06/2022</v>
          </cell>
          <cell r="D719" t="str">
            <v>KG</v>
          </cell>
          <cell r="E719">
            <v>9608.7800000000007</v>
          </cell>
          <cell r="F719">
            <v>15.04</v>
          </cell>
          <cell r="G719">
            <v>18.59</v>
          </cell>
          <cell r="H719">
            <v>178627.22</v>
          </cell>
          <cell r="I719">
            <v>15.14</v>
          </cell>
          <cell r="J719">
            <v>17.8</v>
          </cell>
          <cell r="K719">
            <v>171036.28</v>
          </cell>
        </row>
        <row r="720">
          <cell r="A720" t="str">
            <v>1.12.6.8</v>
          </cell>
          <cell r="B720" t="str">
            <v>CP-92268-29291149</v>
          </cell>
          <cell r="C720" t="str">
            <v>FABRICAÇÃO DE FÔRMA PARA LAJES, EM CHAPA DE MADEIRA COMPENSADA PLASTIFICADA, E = 18 MM - EXCLUINDO O PAINEL DE MADEIRA COMPENSADA PLASTIFICADA DE 2200 x 1100 MM, E = *17* MM</v>
          </cell>
          <cell r="D720" t="str">
            <v>M2</v>
          </cell>
          <cell r="E720">
            <v>689.08</v>
          </cell>
          <cell r="F720">
            <v>0.98</v>
          </cell>
          <cell r="G720">
            <v>1.21</v>
          </cell>
          <cell r="H720">
            <v>833.79</v>
          </cell>
          <cell r="I720">
            <v>1.1000000000000001</v>
          </cell>
          <cell r="J720">
            <v>1.29</v>
          </cell>
          <cell r="K720">
            <v>888.91</v>
          </cell>
        </row>
        <row r="721">
          <cell r="A721" t="str">
            <v>1.12.6.9</v>
          </cell>
          <cell r="B721">
            <v>103320</v>
          </cell>
          <cell r="C721" t="str">
            <v>ALVENARIA DE VEDAÇÃO DE BLOCOS VAZADOS DE CONCRETO DE 19X19X39 CM (ESPESSURA 19 CM) E ARGAMASSA DE ASSENTAMENTO COM PREPARO EM BETONEIRA. AF_12/2021</v>
          </cell>
          <cell r="D721" t="str">
            <v>M2</v>
          </cell>
          <cell r="E721">
            <v>2169.31</v>
          </cell>
          <cell r="F721">
            <v>101.36</v>
          </cell>
          <cell r="G721">
            <v>125.27</v>
          </cell>
          <cell r="H721">
            <v>271749.46000000002</v>
          </cell>
          <cell r="I721">
            <v>105.62</v>
          </cell>
          <cell r="J721">
            <v>124.18</v>
          </cell>
          <cell r="K721">
            <v>269384.92</v>
          </cell>
        </row>
        <row r="722">
          <cell r="A722" t="str">
            <v>1.12.6.10</v>
          </cell>
          <cell r="B722">
            <v>87879</v>
          </cell>
          <cell r="C722" t="str">
            <v>CHAPISCO APLICADO EM ALVENARIAS E ESTRUTURAS DE CONCRETO INTERNAS, COM COLHER DE PEDREIRO.  ARGAMASSA TRAÇO 1:3 COM PREPARO EM BETONEIRA 400L. AF_06/2014</v>
          </cell>
          <cell r="D722" t="str">
            <v>M2</v>
          </cell>
          <cell r="E722">
            <v>2169.31</v>
          </cell>
          <cell r="F722">
            <v>3.85</v>
          </cell>
          <cell r="G722">
            <v>4.76</v>
          </cell>
          <cell r="H722">
            <v>10325.92</v>
          </cell>
          <cell r="I722">
            <v>4.0999999999999996</v>
          </cell>
          <cell r="J722">
            <v>4.82</v>
          </cell>
          <cell r="K722">
            <v>10456.07</v>
          </cell>
        </row>
        <row r="723">
          <cell r="A723" t="str">
            <v>1.12.6.11</v>
          </cell>
          <cell r="B723">
            <v>87547</v>
          </cell>
          <cell r="C723" t="str">
            <v>MASSA ÚNICA, PARA RECEBIMENTO DE PINTURA, EM ARGAMASSA TRAÇO 1:2:8, PREPARO MECÂNICO COM BETONEIRA 400L, APLICADA MANUALMENTE EM FACES INTERNAS DE PAREDES, ESPESSURA DE 10MM, COM EXECUÇÃO DE TALISCAS. AF_06/2014</v>
          </cell>
          <cell r="D723" t="str">
            <v>M2</v>
          </cell>
          <cell r="E723">
            <v>2169.31</v>
          </cell>
          <cell r="F723">
            <v>23.35</v>
          </cell>
          <cell r="G723">
            <v>28.86</v>
          </cell>
          <cell r="H723">
            <v>62606.29</v>
          </cell>
          <cell r="I723">
            <v>24.83</v>
          </cell>
          <cell r="J723">
            <v>29.19</v>
          </cell>
          <cell r="K723">
            <v>63322.16</v>
          </cell>
        </row>
        <row r="724">
          <cell r="A724" t="str">
            <v>1.12.6.12</v>
          </cell>
          <cell r="B724">
            <v>94975</v>
          </cell>
          <cell r="C724" t="str">
            <v>CONCRETO FCK = 15MPA, TRAÇO 1:3,4:3,5 (EM MASSA SECA DE CIMENTO/ AREIA MÉDIA/ BRITA 1) - PREPARO MANUAL. AF_05/2021</v>
          </cell>
          <cell r="D724" t="str">
            <v>M3</v>
          </cell>
          <cell r="E724">
            <v>230.72</v>
          </cell>
          <cell r="F724">
            <v>457.19</v>
          </cell>
          <cell r="G724">
            <v>565.04</v>
          </cell>
          <cell r="H724">
            <v>130366.03</v>
          </cell>
          <cell r="I724">
            <v>469.42</v>
          </cell>
          <cell r="J724">
            <v>551.9</v>
          </cell>
          <cell r="K724">
            <v>127334.37</v>
          </cell>
        </row>
        <row r="725">
          <cell r="A725" t="str">
            <v>1.12.6.13</v>
          </cell>
          <cell r="B725" t="str">
            <v>CP-74157/004-48264518</v>
          </cell>
          <cell r="C725" t="str">
            <v>LANCAMENTO/APLICACAO MANUAL DE CONCRETO EM FUNDACOES (concreto magro)</v>
          </cell>
          <cell r="D725" t="str">
            <v>M3</v>
          </cell>
          <cell r="E725">
            <v>496.25</v>
          </cell>
          <cell r="F725">
            <v>116.59</v>
          </cell>
          <cell r="G725">
            <v>144.09</v>
          </cell>
          <cell r="H725">
            <v>71504.66</v>
          </cell>
          <cell r="I725">
            <v>129.79</v>
          </cell>
          <cell r="J725">
            <v>152.59</v>
          </cell>
          <cell r="K725">
            <v>75722.789999999994</v>
          </cell>
        </row>
        <row r="726">
          <cell r="A726" t="str">
            <v>1.12.7</v>
          </cell>
          <cell r="B726"/>
          <cell r="C726" t="str">
            <v>SINALIZAÇÃO</v>
          </cell>
          <cell r="D726"/>
          <cell r="E726"/>
          <cell r="F726"/>
          <cell r="G726"/>
          <cell r="H726">
            <v>33850.86</v>
          </cell>
          <cell r="I726"/>
          <cell r="J726"/>
          <cell r="K726">
            <v>33471.279999999999</v>
          </cell>
        </row>
        <row r="727">
          <cell r="A727" t="str">
            <v>1.12.7.1</v>
          </cell>
          <cell r="B727">
            <v>5213421</v>
          </cell>
          <cell r="C727" t="str">
            <v>Confecção de placa em aço nº 16 galvanizado, com película tipo I + IV</v>
          </cell>
          <cell r="D727" t="str">
            <v xml:space="preserve">M2    </v>
          </cell>
          <cell r="E727">
            <v>7.93</v>
          </cell>
          <cell r="F727">
            <v>343.8</v>
          </cell>
          <cell r="G727">
            <v>424.9</v>
          </cell>
          <cell r="H727">
            <v>3369.46</v>
          </cell>
          <cell r="I727">
            <v>347.25</v>
          </cell>
          <cell r="J727">
            <v>408.26</v>
          </cell>
          <cell r="K727">
            <v>3237.5</v>
          </cell>
        </row>
        <row r="728">
          <cell r="A728" t="str">
            <v>1.12.7.2</v>
          </cell>
          <cell r="B728">
            <v>5216111</v>
          </cell>
          <cell r="C728" t="str">
            <v>FORNECIMENTO E IMPLANTAÇÃO DE SUPORTE E TRAVESSA PARA PLACA DE SINALIZAÇÃO EM MADEIRA DE LEI TRATADA 8 X 8 CM</v>
          </cell>
          <cell r="D728" t="str">
            <v>UND</v>
          </cell>
          <cell r="E728">
            <v>30</v>
          </cell>
          <cell r="F728">
            <v>119.1379</v>
          </cell>
          <cell r="G728">
            <v>147.24</v>
          </cell>
          <cell r="H728">
            <v>4417.2</v>
          </cell>
          <cell r="I728">
            <v>121.48</v>
          </cell>
          <cell r="J728">
            <v>142.82</v>
          </cell>
          <cell r="K728">
            <v>4284.6000000000004</v>
          </cell>
        </row>
        <row r="729">
          <cell r="A729" t="str">
            <v>1.12.7.3</v>
          </cell>
          <cell r="B729" t="str">
            <v>COMP-58084869</v>
          </cell>
          <cell r="C729" t="str">
            <v>PLACA ESMALTADA PARA IDENTIFICAÇÃO NR DE RUA, DIMENSÕES 45X25CM</v>
          </cell>
          <cell r="D729" t="str">
            <v>UND</v>
          </cell>
          <cell r="E729">
            <v>10</v>
          </cell>
          <cell r="F729">
            <v>155.54</v>
          </cell>
          <cell r="G729">
            <v>192.23</v>
          </cell>
          <cell r="H729">
            <v>1922.3</v>
          </cell>
          <cell r="I729">
            <v>156.33000000000001</v>
          </cell>
          <cell r="J729">
            <v>183.8</v>
          </cell>
          <cell r="K729">
            <v>1838</v>
          </cell>
        </row>
        <row r="730">
          <cell r="A730" t="str">
            <v>1.12.7.4</v>
          </cell>
          <cell r="B730">
            <v>102509</v>
          </cell>
          <cell r="C730" t="str">
            <v>PINTURA DE FAIXA DE PEDESTRE OU ZEBRADA TINTA RETRORREFLETIVA A BASE DE RESINA ACRÍLICA COM MICROESFERAS DE VIDRO, E = 30 CM, APLICAÇÃO MANUAL. AF_05/2021</v>
          </cell>
          <cell r="D730" t="str">
            <v>M2</v>
          </cell>
          <cell r="E730">
            <v>54.17</v>
          </cell>
          <cell r="F730">
            <v>22.91</v>
          </cell>
          <cell r="G730">
            <v>28.31</v>
          </cell>
          <cell r="H730">
            <v>1533.55</v>
          </cell>
          <cell r="I730">
            <v>24.15</v>
          </cell>
          <cell r="J730">
            <v>28.39</v>
          </cell>
          <cell r="K730">
            <v>1537.89</v>
          </cell>
        </row>
        <row r="731">
          <cell r="A731" t="str">
            <v>1.12.7.5</v>
          </cell>
          <cell r="B731">
            <v>102512</v>
          </cell>
          <cell r="C731" t="str">
            <v>PINTURA DE EIXO VIÁRIO SOBRE ASFALTO COM TINTA RETRORREFLETIVA A BASE DE RESINA ACRÍLICA COM MICROESFERAS DE VIDRO, APLICAÇÃO MECÂNICA COM DEMARCADORA AUTOPROPELIDA. AF_05/2021</v>
          </cell>
          <cell r="D731" t="str">
            <v>M</v>
          </cell>
          <cell r="E731">
            <v>3505.17</v>
          </cell>
          <cell r="F731">
            <v>5.22</v>
          </cell>
          <cell r="G731">
            <v>6.45</v>
          </cell>
          <cell r="H731">
            <v>22608.35</v>
          </cell>
          <cell r="I731">
            <v>5.48</v>
          </cell>
          <cell r="J731">
            <v>6.44</v>
          </cell>
          <cell r="K731">
            <v>22573.29</v>
          </cell>
        </row>
        <row r="732">
          <cell r="A732" t="str">
            <v>1.12.8</v>
          </cell>
          <cell r="B732"/>
          <cell r="C732" t="str">
            <v>ACESSIBILIDADE</v>
          </cell>
          <cell r="D732"/>
          <cell r="E732"/>
          <cell r="F732"/>
          <cell r="G732"/>
          <cell r="H732">
            <v>2578.75</v>
          </cell>
          <cell r="I732"/>
          <cell r="J732"/>
          <cell r="K732">
            <v>2535.94</v>
          </cell>
        </row>
        <row r="733">
          <cell r="A733" t="str">
            <v>1.12.8.1</v>
          </cell>
          <cell r="B733" t="str">
            <v>CP-S12039-81921471</v>
          </cell>
          <cell r="C733" t="str">
            <v>Piso tátil direcional e/ou alerta, de concreto, na cor natural, p/deficientes visuais, dimensões 40x40cm, aplicado com argamassa industrializada ac-ii, rejuntado, exclusive regularização de base</v>
          </cell>
          <cell r="D733" t="str">
            <v>M2</v>
          </cell>
          <cell r="E733">
            <v>19.2</v>
          </cell>
          <cell r="F733">
            <v>108.67</v>
          </cell>
          <cell r="G733">
            <v>134.31</v>
          </cell>
          <cell r="H733">
            <v>2578.75</v>
          </cell>
          <cell r="I733">
            <v>112.34</v>
          </cell>
          <cell r="J733">
            <v>132.08000000000001</v>
          </cell>
          <cell r="K733">
            <v>2535.94</v>
          </cell>
        </row>
        <row r="734">
          <cell r="A734" t="str">
            <v>1.12.9</v>
          </cell>
          <cell r="B734"/>
          <cell r="C734" t="str">
            <v>MATERIAIS</v>
          </cell>
          <cell r="D734"/>
          <cell r="E734"/>
          <cell r="F734"/>
          <cell r="G734"/>
          <cell r="H734">
            <v>998824.44</v>
          </cell>
          <cell r="I734"/>
          <cell r="J734"/>
          <cell r="K734">
            <v>952260.41</v>
          </cell>
        </row>
        <row r="735">
          <cell r="A735" t="str">
            <v>1.12.9.1</v>
          </cell>
          <cell r="B735">
            <v>10775</v>
          </cell>
          <cell r="C735" t="str">
            <v xml:space="preserve">LOCACAO DE CONTAINER 2,30 X 6,00 M, ALT. 2,50 M, COM 1 SANITARIO, PARA ESCRITORIO, COMPLETO, SEM DIVISORIAS INTERNAS (NAO INCLUI MOBILIZACAO/DESMOBILIZACAO)                                                                                                                                                                                                                                                                                                                                              </v>
          </cell>
          <cell r="D735" t="str">
            <v xml:space="preserve">MES   </v>
          </cell>
          <cell r="E735">
            <v>12</v>
          </cell>
          <cell r="F735">
            <v>830</v>
          </cell>
          <cell r="G735">
            <v>958.32</v>
          </cell>
          <cell r="H735">
            <v>11499.84</v>
          </cell>
          <cell r="I735">
            <v>830</v>
          </cell>
          <cell r="J735">
            <v>913.58</v>
          </cell>
          <cell r="K735">
            <v>10962.96</v>
          </cell>
        </row>
        <row r="736">
          <cell r="A736" t="str">
            <v>1.12.9.2</v>
          </cell>
          <cell r="B736">
            <v>10776</v>
          </cell>
          <cell r="C736" t="str">
            <v xml:space="preserve">LOCACAO DE CONTAINER 2,30 X 6,00 M, ALT. 2,50 M, PARA ESCRITORIO, SEM DIVISORIAS INTERNAS E SEM SANITARIO (NAO INCLUI MOBILIZACAO/DESMOBILIZACAO)                                                                                                                                                                                                                                                                                                                                                         </v>
          </cell>
          <cell r="D736" t="str">
            <v xml:space="preserve">MES   </v>
          </cell>
          <cell r="E736">
            <v>12</v>
          </cell>
          <cell r="F736">
            <v>648.42999999999995</v>
          </cell>
          <cell r="G736">
            <v>748.68</v>
          </cell>
          <cell r="H736">
            <v>8984.16</v>
          </cell>
          <cell r="I736">
            <v>648.42999999999995</v>
          </cell>
          <cell r="J736">
            <v>713.73</v>
          </cell>
          <cell r="K736">
            <v>8564.76</v>
          </cell>
        </row>
        <row r="737">
          <cell r="A737" t="str">
            <v>1.12.9.3</v>
          </cell>
          <cell r="B737">
            <v>1518</v>
          </cell>
          <cell r="C737" t="str">
            <v xml:space="preserve">CONCRETO BETUMINOSO USINADO A QUENTE (CBUQ) PARA PAVIMENTACAO ASFALTICA, PADRAO DNIT, FAIXA C, COM CAP 50/70 - AQUISICAO POSTO USINA                                                                                                                                                                                                                                                                                                                                                                      </v>
          </cell>
          <cell r="D737" t="str">
            <v xml:space="preserve">T     </v>
          </cell>
          <cell r="E737">
            <v>778.98</v>
          </cell>
          <cell r="F737">
            <v>522.5</v>
          </cell>
          <cell r="G737">
            <v>603.28</v>
          </cell>
          <cell r="H737">
            <v>469943.05</v>
          </cell>
          <cell r="I737">
            <v>522.5</v>
          </cell>
          <cell r="J737">
            <v>575.12</v>
          </cell>
          <cell r="K737">
            <v>448006.98</v>
          </cell>
        </row>
        <row r="738">
          <cell r="A738" t="str">
            <v>1.12.9.4</v>
          </cell>
          <cell r="B738" t="str">
            <v>INS-185032</v>
          </cell>
          <cell r="C738" t="str">
            <v>BRITA GRADUADA SIMPLES (BGS)</v>
          </cell>
          <cell r="D738" t="str">
            <v>M3</v>
          </cell>
          <cell r="E738">
            <v>1156.5899999999999</v>
          </cell>
          <cell r="F738">
            <v>56.099999999999994</v>
          </cell>
          <cell r="G738">
            <v>64.77</v>
          </cell>
          <cell r="H738">
            <v>74912.33</v>
          </cell>
          <cell r="I738">
            <v>56.099999999999994</v>
          </cell>
          <cell r="J738">
            <v>61.75</v>
          </cell>
          <cell r="K738">
            <v>71419.429999999993</v>
          </cell>
        </row>
        <row r="739">
          <cell r="A739" t="str">
            <v>1.12.9.5</v>
          </cell>
          <cell r="B739" t="str">
            <v>M0808</v>
          </cell>
          <cell r="C739" t="str">
            <v>Brita 4</v>
          </cell>
          <cell r="D739" t="str">
            <v>M3</v>
          </cell>
          <cell r="E739">
            <v>1320.68</v>
          </cell>
          <cell r="F739">
            <v>90.74</v>
          </cell>
          <cell r="G739">
            <v>104.77</v>
          </cell>
          <cell r="H739">
            <v>138367.64000000001</v>
          </cell>
          <cell r="I739">
            <v>90.74</v>
          </cell>
          <cell r="J739">
            <v>99.88</v>
          </cell>
          <cell r="K739">
            <v>131909.51999999999</v>
          </cell>
        </row>
        <row r="740">
          <cell r="A740" t="str">
            <v>1.12.9.6</v>
          </cell>
          <cell r="B740" t="str">
            <v>M1135</v>
          </cell>
          <cell r="C740" t="str">
            <v>Pó de pedra</v>
          </cell>
          <cell r="D740" t="str">
            <v>M3</v>
          </cell>
          <cell r="E740">
            <v>146.74</v>
          </cell>
          <cell r="F740">
            <v>74.53</v>
          </cell>
          <cell r="G740">
            <v>86.05</v>
          </cell>
          <cell r="H740">
            <v>12626.98</v>
          </cell>
          <cell r="I740">
            <v>74.53</v>
          </cell>
          <cell r="J740">
            <v>82.04</v>
          </cell>
          <cell r="K740">
            <v>12038.55</v>
          </cell>
        </row>
        <row r="741">
          <cell r="A741" t="str">
            <v>1.12.9.7</v>
          </cell>
          <cell r="B741" t="str">
            <v>INS-54745269</v>
          </cell>
          <cell r="C741" t="str">
            <v>ASFALTO DILUÍDO CM - 30 - JUNHO/22</v>
          </cell>
          <cell r="D741" t="str">
            <v>KG</v>
          </cell>
          <cell r="E741">
            <v>7317.66</v>
          </cell>
          <cell r="F741">
            <v>5.32</v>
          </cell>
          <cell r="G741">
            <v>6.14</v>
          </cell>
          <cell r="H741">
            <v>44930.43</v>
          </cell>
          <cell r="I741">
            <v>5.32</v>
          </cell>
          <cell r="J741">
            <v>5.86</v>
          </cell>
          <cell r="K741">
            <v>42881.49</v>
          </cell>
        </row>
        <row r="742">
          <cell r="A742" t="str">
            <v>1.12.9.8</v>
          </cell>
          <cell r="B742">
            <v>34492</v>
          </cell>
          <cell r="C742" t="str">
            <v xml:space="preserve">CONCRETO USINADO BOMBEAVEL, CLASSE DE RESISTENCIA C20, COM BRITA 0 E 1, SLUMP = 100 +/- 20 MM, EXCLUI SERVICO DE BOMBEAMENTO (NBR 8953)                                                                                                                                                                                                                                                                                                                                                                   </v>
          </cell>
          <cell r="D742" t="str">
            <v xml:space="preserve">M3    </v>
          </cell>
          <cell r="E742">
            <v>325.33</v>
          </cell>
          <cell r="F742">
            <v>422.5</v>
          </cell>
          <cell r="G742">
            <v>487.82</v>
          </cell>
          <cell r="H742">
            <v>158702.48000000001</v>
          </cell>
          <cell r="I742">
            <v>422.5</v>
          </cell>
          <cell r="J742">
            <v>465.05</v>
          </cell>
          <cell r="K742">
            <v>151294.72</v>
          </cell>
        </row>
        <row r="743">
          <cell r="A743" t="str">
            <v>1.12.9.9</v>
          </cell>
          <cell r="B743">
            <v>1345</v>
          </cell>
          <cell r="C743" t="str">
            <v xml:space="preserve">CHAPA/PAINEL DE MADEIRA COMPENSADA PLASTIFICADA (MADEIRITE PLASTIFICADO) PARA FORMA DE CONCRETO, DE 2200 x 1100 MM, E = *17* MM                                                                                                                                                                                                                                                                                                                                                                           </v>
          </cell>
          <cell r="D743" t="str">
            <v xml:space="preserve">M2    </v>
          </cell>
          <cell r="E743">
            <v>723.53</v>
          </cell>
          <cell r="F743">
            <v>94.4</v>
          </cell>
          <cell r="G743">
            <v>108.99</v>
          </cell>
          <cell r="H743">
            <v>78857.53</v>
          </cell>
          <cell r="I743">
            <v>94.4</v>
          </cell>
          <cell r="J743">
            <v>103.91</v>
          </cell>
          <cell r="K743">
            <v>75182</v>
          </cell>
        </row>
        <row r="744">
          <cell r="A744" t="str">
            <v>1.13</v>
          </cell>
          <cell r="B744"/>
          <cell r="C744" t="str">
            <v>RUA JORNALISTA HERCÍLIO CELSO - CANDEIAS</v>
          </cell>
          <cell r="D744"/>
          <cell r="E744"/>
          <cell r="F744"/>
          <cell r="G744"/>
          <cell r="H744">
            <v>3285244.51</v>
          </cell>
          <cell r="I744"/>
          <cell r="J744"/>
          <cell r="K744">
            <v>3190412.9</v>
          </cell>
        </row>
        <row r="745">
          <cell r="A745" t="str">
            <v>1.13.1</v>
          </cell>
          <cell r="B745"/>
          <cell r="C745" t="str">
            <v>INSTALAÇÕES PROVISÓRIAS</v>
          </cell>
          <cell r="D745"/>
          <cell r="E745"/>
          <cell r="F745"/>
          <cell r="G745"/>
          <cell r="H745">
            <v>15902.04</v>
          </cell>
          <cell r="I745"/>
          <cell r="J745"/>
          <cell r="K745">
            <v>15189.96</v>
          </cell>
        </row>
        <row r="746">
          <cell r="A746" t="str">
            <v>1.13.1.1</v>
          </cell>
          <cell r="B746" t="str">
            <v>CP-74209/001-15055090</v>
          </cell>
          <cell r="C746" t="str">
            <v>PLACA DE OBRA EM CHAPA DE ACO GALVANIZADO</v>
          </cell>
          <cell r="D746" t="str">
            <v xml:space="preserve">M2    </v>
          </cell>
          <cell r="E746">
            <v>8</v>
          </cell>
          <cell r="F746">
            <v>558.35</v>
          </cell>
          <cell r="G746">
            <v>690.06</v>
          </cell>
          <cell r="H746">
            <v>5520.48</v>
          </cell>
          <cell r="I746">
            <v>564.99</v>
          </cell>
          <cell r="J746">
            <v>664.26</v>
          </cell>
          <cell r="K746">
            <v>5314.08</v>
          </cell>
        </row>
        <row r="747">
          <cell r="A747" t="str">
            <v>1.13.1.2</v>
          </cell>
          <cell r="B747" t="str">
            <v>COMP-07440249</v>
          </cell>
          <cell r="C747" t="str">
            <v>BANHEIRO QUÍMICO, COM LOCAÇÃO, TRANSPORTE E LIMPEZA</v>
          </cell>
          <cell r="D747" t="str">
            <v>MÊS</v>
          </cell>
          <cell r="E747">
            <v>12</v>
          </cell>
          <cell r="F747">
            <v>700</v>
          </cell>
          <cell r="G747">
            <v>865.13</v>
          </cell>
          <cell r="H747">
            <v>10381.56</v>
          </cell>
          <cell r="I747">
            <v>700</v>
          </cell>
          <cell r="J747">
            <v>822.99</v>
          </cell>
          <cell r="K747">
            <v>9875.8799999999992</v>
          </cell>
        </row>
        <row r="748">
          <cell r="A748" t="str">
            <v>1.13.2</v>
          </cell>
          <cell r="B748"/>
          <cell r="C748" t="str">
            <v>ADMINISTRAÇÃO LOCAL</v>
          </cell>
          <cell r="D748"/>
          <cell r="E748"/>
          <cell r="F748"/>
          <cell r="G748"/>
          <cell r="H748">
            <v>97015.62</v>
          </cell>
          <cell r="I748"/>
          <cell r="J748"/>
          <cell r="K748">
            <v>106388.4</v>
          </cell>
        </row>
        <row r="749">
          <cell r="A749" t="str">
            <v>1.13.2.1</v>
          </cell>
          <cell r="B749">
            <v>93565</v>
          </cell>
          <cell r="C749" t="str">
            <v>ENGENHEIRO CIVIL DE OBRA JUNIOR COM ENCARGOS COMPLEMENTARES</v>
          </cell>
          <cell r="D749" t="str">
            <v>MES</v>
          </cell>
          <cell r="E749">
            <v>3</v>
          </cell>
          <cell r="F749">
            <v>14549.96</v>
          </cell>
          <cell r="G749">
            <v>17982.3</v>
          </cell>
          <cell r="H749">
            <v>53946.9</v>
          </cell>
          <cell r="I749">
            <v>16819.14</v>
          </cell>
          <cell r="J749">
            <v>19774.259999999998</v>
          </cell>
          <cell r="K749">
            <v>59322.78</v>
          </cell>
        </row>
        <row r="750">
          <cell r="A750" t="str">
            <v>1.13.2.2</v>
          </cell>
          <cell r="B750">
            <v>93572</v>
          </cell>
          <cell r="C750" t="str">
            <v>ENCARREGADO GERAL DE OBRAS COM ENCARGOS COMPLEMENTARES</v>
          </cell>
          <cell r="D750" t="str">
            <v>MES</v>
          </cell>
          <cell r="E750">
            <v>6</v>
          </cell>
          <cell r="F750">
            <v>5808.01</v>
          </cell>
          <cell r="G750">
            <v>7178.12</v>
          </cell>
          <cell r="H750">
            <v>43068.72</v>
          </cell>
          <cell r="I750">
            <v>6672</v>
          </cell>
          <cell r="J750">
            <v>7844.27</v>
          </cell>
          <cell r="K750">
            <v>47065.62</v>
          </cell>
        </row>
        <row r="751">
          <cell r="A751" t="str">
            <v>1.13.3</v>
          </cell>
          <cell r="B751"/>
          <cell r="C751" t="str">
            <v>SERVIÇOS PRELIMINARES</v>
          </cell>
          <cell r="D751"/>
          <cell r="E751"/>
          <cell r="F751"/>
          <cell r="G751"/>
          <cell r="H751">
            <v>20520.37</v>
          </cell>
          <cell r="I751"/>
          <cell r="J751"/>
          <cell r="K751">
            <v>21547.15</v>
          </cell>
        </row>
        <row r="752">
          <cell r="A752" t="str">
            <v>1.13.3.1</v>
          </cell>
          <cell r="B752">
            <v>99064</v>
          </cell>
          <cell r="C752" t="str">
            <v>LOCAÇÃO DE PAVIMENTAÇÃO. AF_10/2018</v>
          </cell>
          <cell r="D752" t="str">
            <v>M</v>
          </cell>
          <cell r="E752">
            <v>1664.61</v>
          </cell>
          <cell r="F752">
            <v>0.43</v>
          </cell>
          <cell r="G752">
            <v>0.53</v>
          </cell>
          <cell r="H752">
            <v>882.24</v>
          </cell>
          <cell r="I752">
            <v>0.49</v>
          </cell>
          <cell r="J752">
            <v>0.57999999999999996</v>
          </cell>
          <cell r="K752">
            <v>965.47</v>
          </cell>
        </row>
        <row r="753">
          <cell r="A753" t="str">
            <v>1.13.3.2</v>
          </cell>
          <cell r="B753" t="str">
            <v>COMP-17562084</v>
          </cell>
          <cell r="C753" t="str">
            <v>DEMOLIÇÃO MANUAL DE CONCRETO SIMPLES</v>
          </cell>
          <cell r="D753" t="str">
            <v>M3</v>
          </cell>
          <cell r="E753">
            <v>74.53</v>
          </cell>
          <cell r="F753">
            <v>190.89</v>
          </cell>
          <cell r="G753">
            <v>235.92</v>
          </cell>
          <cell r="H753">
            <v>17583.12</v>
          </cell>
          <cell r="I753">
            <v>212.24</v>
          </cell>
          <cell r="J753">
            <v>249.53</v>
          </cell>
          <cell r="K753">
            <v>18597.47</v>
          </cell>
        </row>
        <row r="754">
          <cell r="A754" t="str">
            <v>1.13.3.3</v>
          </cell>
          <cell r="B754" t="str">
            <v>COMP-35145154</v>
          </cell>
          <cell r="C754" t="str">
            <v>CARGA E DESCARGA MECANICA DE SOLO UTILIZANDO CAMINHAO BASCULANTE 14,0M3/36T E PA CARREGADEIRA SOBRE PNEUS 128 HP, CAPACIDADE DA CAÇAMBA 1,7 A 2,8 M3, PESO OPERACIONAL 11632 KH</v>
          </cell>
          <cell r="D754" t="str">
            <v>M3</v>
          </cell>
          <cell r="E754">
            <v>93.16</v>
          </cell>
          <cell r="F754">
            <v>2.83</v>
          </cell>
          <cell r="G754">
            <v>3.5</v>
          </cell>
          <cell r="H754">
            <v>326.06</v>
          </cell>
          <cell r="I754">
            <v>2.9</v>
          </cell>
          <cell r="J754">
            <v>3.41</v>
          </cell>
          <cell r="K754">
            <v>317.68</v>
          </cell>
        </row>
        <row r="755">
          <cell r="A755" t="str">
            <v>1.13.3.4</v>
          </cell>
          <cell r="B755">
            <v>95876</v>
          </cell>
          <cell r="C755" t="str">
            <v>TRANSPORTE COM CAMINHÃO BASCULANTE DE 14 M³, EM VIA URBANA PAVIMENTADA, DMT ATÉ 30 KM (UNIDADE: M3XKM). AF_07/2020</v>
          </cell>
          <cell r="D755" t="str">
            <v>M3XKM</v>
          </cell>
          <cell r="E755">
            <v>624.16999999999996</v>
          </cell>
          <cell r="F755">
            <v>2.2400000000000002</v>
          </cell>
          <cell r="G755">
            <v>2.77</v>
          </cell>
          <cell r="H755">
            <v>1728.95</v>
          </cell>
          <cell r="I755">
            <v>2.27</v>
          </cell>
          <cell r="J755">
            <v>2.67</v>
          </cell>
          <cell r="K755">
            <v>1666.53</v>
          </cell>
        </row>
        <row r="756">
          <cell r="A756" t="str">
            <v>1.13.4</v>
          </cell>
          <cell r="B756"/>
          <cell r="C756" t="str">
            <v>TERRAPLENAGEM</v>
          </cell>
          <cell r="D756"/>
          <cell r="E756"/>
          <cell r="F756"/>
          <cell r="G756"/>
          <cell r="H756">
            <v>218448.9</v>
          </cell>
          <cell r="I756"/>
          <cell r="J756"/>
          <cell r="K756">
            <v>211053.07</v>
          </cell>
        </row>
        <row r="757">
          <cell r="A757" t="str">
            <v>1.13.4.1</v>
          </cell>
          <cell r="B757" t="str">
            <v>CP-74205/001-17324935</v>
          </cell>
          <cell r="C757" t="str">
            <v>ESCAVAÇÃO MECÂNICA DE MATERIAL 1A. CATEGORIA, PROVENIENTE DE CORTE DE SUBLEITO (C/TRATOR ESTEIRAS  160HP)</v>
          </cell>
          <cell r="D757" t="str">
            <v>M3</v>
          </cell>
          <cell r="E757">
            <v>7113.27</v>
          </cell>
          <cell r="F757">
            <v>2.54</v>
          </cell>
          <cell r="G757">
            <v>3.14</v>
          </cell>
          <cell r="H757">
            <v>22335.67</v>
          </cell>
          <cell r="I757">
            <v>2.59</v>
          </cell>
          <cell r="J757">
            <v>3.05</v>
          </cell>
          <cell r="K757">
            <v>21695.47</v>
          </cell>
        </row>
        <row r="758">
          <cell r="A758" t="str">
            <v>1.13.4.2</v>
          </cell>
          <cell r="B758" t="str">
            <v>COMP-35145154</v>
          </cell>
          <cell r="C758" t="str">
            <v>CARGA E DESCARGA MECANICA DE SOLO UTILIZANDO CAMINHAO BASCULANTE 14,0M3/36T E PA CARREGADEIRA SOBRE PNEUS 128 HP, CAPACIDADE DA CAÇAMBA 1,7 A 2,8 M3, PESO OPERACIONAL 11632 KH</v>
          </cell>
          <cell r="D758" t="str">
            <v>M3</v>
          </cell>
          <cell r="E758">
            <v>8888.9</v>
          </cell>
          <cell r="F758">
            <v>2.83</v>
          </cell>
          <cell r="G758">
            <v>3.5</v>
          </cell>
          <cell r="H758">
            <v>31111.15</v>
          </cell>
          <cell r="I758">
            <v>2.9</v>
          </cell>
          <cell r="J758">
            <v>3.41</v>
          </cell>
          <cell r="K758">
            <v>30311.15</v>
          </cell>
        </row>
        <row r="759">
          <cell r="A759" t="str">
            <v>1.13.4.3</v>
          </cell>
          <cell r="B759">
            <v>95876</v>
          </cell>
          <cell r="C759" t="str">
            <v>TRANSPORTE COM CAMINHÃO BASCULANTE DE 14 M³, EM VIA URBANA PAVIMENTADA, DMT ATÉ 30 KM (UNIDADE: M3XKM). AF_07/2020</v>
          </cell>
          <cell r="D759" t="str">
            <v>M3XKM</v>
          </cell>
          <cell r="E759">
            <v>59555.63</v>
          </cell>
          <cell r="F759">
            <v>2.2400000000000002</v>
          </cell>
          <cell r="G759">
            <v>2.77</v>
          </cell>
          <cell r="H759">
            <v>164969.1</v>
          </cell>
          <cell r="I759">
            <v>2.27</v>
          </cell>
          <cell r="J759">
            <v>2.67</v>
          </cell>
          <cell r="K759">
            <v>159013.53</v>
          </cell>
        </row>
        <row r="760">
          <cell r="A760" t="str">
            <v>1.13.4.4</v>
          </cell>
          <cell r="B760">
            <v>96385</v>
          </cell>
          <cell r="C760" t="str">
            <v>EXECUÇÃO E COMPACTAÇÃO DE ATERRO COM SOLO PREDOMINANTEMENTE ARGILOSO - EXCLUSIVE SOLO, ESCAVAÇÃO, CARGA E TRANSPORTE. AF_11/2019</v>
          </cell>
          <cell r="D760" t="str">
            <v>M3</v>
          </cell>
          <cell r="E760">
            <v>2.15</v>
          </cell>
          <cell r="F760">
            <v>12.41</v>
          </cell>
          <cell r="G760">
            <v>15.34</v>
          </cell>
          <cell r="H760">
            <v>32.979999999999997</v>
          </cell>
          <cell r="I760">
            <v>13.02</v>
          </cell>
          <cell r="J760">
            <v>15.31</v>
          </cell>
          <cell r="K760">
            <v>32.92</v>
          </cell>
        </row>
        <row r="761">
          <cell r="A761" t="str">
            <v>1.13.5</v>
          </cell>
          <cell r="B761"/>
          <cell r="C761" t="str">
            <v>PAVIMENTAÇÃO</v>
          </cell>
          <cell r="D761"/>
          <cell r="E761"/>
          <cell r="F761"/>
          <cell r="G761"/>
          <cell r="H761">
            <v>691413.19</v>
          </cell>
          <cell r="I761"/>
          <cell r="J761"/>
          <cell r="K761">
            <v>682070.64</v>
          </cell>
        </row>
        <row r="762">
          <cell r="A762" t="str">
            <v>1.13.5.1</v>
          </cell>
          <cell r="B762">
            <v>96001</v>
          </cell>
          <cell r="C762" t="str">
            <v>FRESAGEM DE PAVIMENTO ASFÁLTICO (PROFUNDIDADE ATÉ 5,0 CM) - EXCLUSIVE TRANSPORTE. AF_11/2019</v>
          </cell>
          <cell r="D762" t="str">
            <v>M2</v>
          </cell>
          <cell r="E762">
            <v>243.32</v>
          </cell>
          <cell r="F762">
            <v>8.16</v>
          </cell>
          <cell r="G762">
            <v>10.08</v>
          </cell>
          <cell r="H762">
            <v>2452.67</v>
          </cell>
          <cell r="I762">
            <v>8.2899999999999991</v>
          </cell>
          <cell r="J762">
            <v>9.75</v>
          </cell>
          <cell r="K762">
            <v>2372.37</v>
          </cell>
        </row>
        <row r="763">
          <cell r="A763" t="str">
            <v>1.13.5.2</v>
          </cell>
          <cell r="B763">
            <v>100983</v>
          </cell>
          <cell r="C763" t="str">
            <v>CARGA, MANOBRA E DESCARGA DE ENTULHO EM CAMINHÃO BASCULANTE 14 M³ - CARGA COM ESCAVADEIRA HIDRÁULICA  (CAÇAMBA DE 0,80 M³ / 111 HP) E DESCARGA LIVRE (UNIDADE: M3). AF_07/2020</v>
          </cell>
          <cell r="D763" t="str">
            <v>M3</v>
          </cell>
          <cell r="E763">
            <v>12.17</v>
          </cell>
          <cell r="F763">
            <v>9.31</v>
          </cell>
          <cell r="G763">
            <v>11.51</v>
          </cell>
          <cell r="H763">
            <v>140.08000000000001</v>
          </cell>
          <cell r="I763">
            <v>9.49</v>
          </cell>
          <cell r="J763">
            <v>11.16</v>
          </cell>
          <cell r="K763">
            <v>135.82</v>
          </cell>
        </row>
        <row r="764">
          <cell r="A764" t="str">
            <v>1.13.5.3</v>
          </cell>
          <cell r="B764">
            <v>95876</v>
          </cell>
          <cell r="C764" t="str">
            <v>TRANSPORTE COM CAMINHÃO BASCULANTE DE 14 M³, EM VIA URBANA PAVIMENTADA, DMT ATÉ 30 KM (UNIDADE: M3XKM). AF_07/2020</v>
          </cell>
          <cell r="D764" t="str">
            <v>M3XKM</v>
          </cell>
          <cell r="E764">
            <v>81.540000000000006</v>
          </cell>
          <cell r="F764">
            <v>2.2400000000000002</v>
          </cell>
          <cell r="G764">
            <v>2.77</v>
          </cell>
          <cell r="H764">
            <v>225.87</v>
          </cell>
          <cell r="I764">
            <v>2.27</v>
          </cell>
          <cell r="J764">
            <v>2.67</v>
          </cell>
          <cell r="K764">
            <v>217.71</v>
          </cell>
        </row>
        <row r="765">
          <cell r="A765" t="str">
            <v>1.13.5.4</v>
          </cell>
          <cell r="B765">
            <v>96402</v>
          </cell>
          <cell r="C765" t="str">
            <v>EXECUÇÃO DE PINTURA DE LIGAÇÃO COM EMULSÃO ASFÁLTICA RR-2C. AF_11/2019</v>
          </cell>
          <cell r="D765" t="str">
            <v>M2</v>
          </cell>
          <cell r="E765">
            <v>2936.84</v>
          </cell>
          <cell r="F765">
            <v>2.88</v>
          </cell>
          <cell r="G765">
            <v>3.56</v>
          </cell>
          <cell r="H765">
            <v>10455.15</v>
          </cell>
          <cell r="I765">
            <v>2.93</v>
          </cell>
          <cell r="J765">
            <v>3.44</v>
          </cell>
          <cell r="K765">
            <v>10102.73</v>
          </cell>
        </row>
        <row r="766">
          <cell r="A766" t="str">
            <v>1.13.5.5</v>
          </cell>
          <cell r="B766" t="str">
            <v>CP-96401-52745838</v>
          </cell>
          <cell r="C766" t="str">
            <v>EXECUÇÃO DE IMPRIMAÇÃO COM ASFALTO DILUÍDO CM-30, EXCLUSIVE MATERIAL.</v>
          </cell>
          <cell r="D766" t="str">
            <v>M2</v>
          </cell>
          <cell r="E766">
            <v>8527.9599999999991</v>
          </cell>
          <cell r="F766">
            <v>1.18</v>
          </cell>
          <cell r="G766">
            <v>1.46</v>
          </cell>
          <cell r="H766">
            <v>12450.82</v>
          </cell>
          <cell r="I766">
            <v>1.24</v>
          </cell>
          <cell r="J766">
            <v>1.46</v>
          </cell>
          <cell r="K766">
            <v>12450.82</v>
          </cell>
        </row>
        <row r="767">
          <cell r="A767" t="str">
            <v>1.13.5.6</v>
          </cell>
          <cell r="B767" t="str">
            <v>CP-95995-51339760</v>
          </cell>
          <cell r="C767" t="str">
            <v>EXECUÇÃO DE PAVIMENTO COM APLICAÇÃO DE CONCRETO ASFÁLTICO, CAMADA DE ROLAMENTO - EXCLUSIVE CARGA E TRANSPORTE E CONCRETO BETUMINOSO</v>
          </cell>
          <cell r="D767" t="str">
            <v>M3</v>
          </cell>
          <cell r="E767">
            <v>573.25</v>
          </cell>
          <cell r="F767">
            <v>127.58</v>
          </cell>
          <cell r="G767">
            <v>157.68</v>
          </cell>
          <cell r="H767">
            <v>90390.06</v>
          </cell>
          <cell r="I767">
            <v>133.37</v>
          </cell>
          <cell r="J767">
            <v>156.80000000000001</v>
          </cell>
          <cell r="K767">
            <v>89885.6</v>
          </cell>
        </row>
        <row r="768">
          <cell r="A768" t="str">
            <v>1.13.5.7</v>
          </cell>
          <cell r="B768" t="str">
            <v>COMP-10034101</v>
          </cell>
          <cell r="C768" t="str">
            <v>CARGA, MANOBRAS E DESCARGA DE MISTURA BETUMINOSA A QUENTE, COM CAMINHAO BASCULANTE 6 M3, DESCARGA EM VIBRO-ACABADORA</v>
          </cell>
          <cell r="D768" t="str">
            <v>M3</v>
          </cell>
          <cell r="E768">
            <v>573.25</v>
          </cell>
          <cell r="F768">
            <v>7.74</v>
          </cell>
          <cell r="G768">
            <v>9.57</v>
          </cell>
          <cell r="H768">
            <v>5486</v>
          </cell>
          <cell r="I768">
            <v>7.86</v>
          </cell>
          <cell r="J768">
            <v>9.24</v>
          </cell>
          <cell r="K768">
            <v>5296.83</v>
          </cell>
        </row>
        <row r="769">
          <cell r="A769" t="str">
            <v>1.13.5.8</v>
          </cell>
          <cell r="B769" t="str">
            <v>CP-95303-56931542</v>
          </cell>
          <cell r="C769" t="str">
            <v>TRANSPORTE COM CAMINHÃO BASCULANTE 10 M3 DE MASSA ASFALTICA PARA PAVIMENTAÇÃO URBANA</v>
          </cell>
          <cell r="D769" t="str">
            <v>M3XKM</v>
          </cell>
          <cell r="E769">
            <v>11235.7</v>
          </cell>
          <cell r="F769">
            <v>1.75</v>
          </cell>
          <cell r="G769">
            <v>2.16</v>
          </cell>
          <cell r="H769">
            <v>24269.11</v>
          </cell>
          <cell r="I769">
            <v>1.77</v>
          </cell>
          <cell r="J769">
            <v>2.08</v>
          </cell>
          <cell r="K769">
            <v>23370.26</v>
          </cell>
        </row>
        <row r="770">
          <cell r="A770" t="str">
            <v>1.13.5.9</v>
          </cell>
          <cell r="B770">
            <v>100576</v>
          </cell>
          <cell r="C770" t="str">
            <v>REGULARIZAÇÃO E COMPACTAÇÃO DE SUBLEITO DE SOLO  PREDOMINANTEMENTE ARGILOSO. AF_11/2019</v>
          </cell>
          <cell r="D770" t="str">
            <v>M2</v>
          </cell>
          <cell r="E770">
            <v>13316.88</v>
          </cell>
          <cell r="F770">
            <v>2.64</v>
          </cell>
          <cell r="G770">
            <v>3.26</v>
          </cell>
          <cell r="H770">
            <v>43413.03</v>
          </cell>
          <cell r="I770">
            <v>2.79</v>
          </cell>
          <cell r="J770">
            <v>3.28</v>
          </cell>
          <cell r="K770">
            <v>43679.37</v>
          </cell>
        </row>
        <row r="771">
          <cell r="A771" t="str">
            <v>1.13.5.10</v>
          </cell>
          <cell r="B771" t="str">
            <v>COMP-28881239</v>
          </cell>
          <cell r="C771" t="str">
            <v>Base ou sub-base de macadame hidráulico com brita comercial - EXCLUSIVE MATERIAL, CARGA E TRANSPORTE - NÃO DESONERADO</v>
          </cell>
          <cell r="D771" t="str">
            <v>M3</v>
          </cell>
          <cell r="E771">
            <v>2197.29</v>
          </cell>
          <cell r="F771">
            <v>11.24</v>
          </cell>
          <cell r="G771">
            <v>13.89</v>
          </cell>
          <cell r="H771">
            <v>30520.36</v>
          </cell>
          <cell r="I771">
            <v>11.4</v>
          </cell>
          <cell r="J771">
            <v>13.4</v>
          </cell>
          <cell r="K771">
            <v>29443.69</v>
          </cell>
        </row>
        <row r="772">
          <cell r="A772" t="str">
            <v>1.13.5.11</v>
          </cell>
          <cell r="B772" t="str">
            <v>CP-96396-26507981</v>
          </cell>
          <cell r="C772" t="str">
            <v>EXECUÇÃO E COMPACTAÇÃO DE BASE E OU SUB BASE PARA PAVIMENTAÇÃO DE BRITA GRADUADA SIMPLES - EXCLUSIVE MATERIAL, CARGA E TRANSPORTE</v>
          </cell>
          <cell r="D772" t="str">
            <v>M3</v>
          </cell>
          <cell r="E772">
            <v>1864.36</v>
          </cell>
          <cell r="F772">
            <v>13.86</v>
          </cell>
          <cell r="G772">
            <v>17.13</v>
          </cell>
          <cell r="H772">
            <v>31936.49</v>
          </cell>
          <cell r="I772">
            <v>14.44</v>
          </cell>
          <cell r="J772">
            <v>16.98</v>
          </cell>
          <cell r="K772">
            <v>31656.83</v>
          </cell>
        </row>
        <row r="773">
          <cell r="A773" t="str">
            <v>1.13.5.12</v>
          </cell>
          <cell r="B773" t="str">
            <v>COMP-35145154</v>
          </cell>
          <cell r="C773" t="str">
            <v>CARGA E DESCARGA MECANICA DE SOLO UTILIZANDO CAMINHAO BASCULANTE 14,0M3/36T E PA CARREGADEIRA SOBRE PNEUS 128 HP, CAPACIDADE DA CAÇAMBA 1,7 A 2,8 M3, PESO OPERACIONAL 11632 KH</v>
          </cell>
          <cell r="D773" t="str">
            <v>M3</v>
          </cell>
          <cell r="E773">
            <v>5077.0600000000004</v>
          </cell>
          <cell r="F773">
            <v>2.83</v>
          </cell>
          <cell r="G773">
            <v>3.5</v>
          </cell>
          <cell r="H773">
            <v>17769.71</v>
          </cell>
          <cell r="I773">
            <v>2.9</v>
          </cell>
          <cell r="J773">
            <v>3.41</v>
          </cell>
          <cell r="K773">
            <v>17312.77</v>
          </cell>
        </row>
        <row r="774">
          <cell r="A774" t="str">
            <v>1.13.5.13</v>
          </cell>
          <cell r="B774" t="str">
            <v>COMP-83526730</v>
          </cell>
          <cell r="C774" t="str">
            <v>TRANSPORTE COMERCIAL DE BRITA</v>
          </cell>
          <cell r="D774" t="str">
            <v>M3XKM</v>
          </cell>
          <cell r="E774">
            <v>67524.899999999994</v>
          </cell>
          <cell r="F774">
            <v>1.36</v>
          </cell>
          <cell r="G774">
            <v>1.68</v>
          </cell>
          <cell r="H774">
            <v>113441.83</v>
          </cell>
          <cell r="I774">
            <v>1.37</v>
          </cell>
          <cell r="J774">
            <v>1.61</v>
          </cell>
          <cell r="K774">
            <v>108715.09</v>
          </cell>
        </row>
        <row r="775">
          <cell r="A775" t="str">
            <v>1.13.5.14</v>
          </cell>
          <cell r="B775" t="str">
            <v>CP-97084-89637704</v>
          </cell>
          <cell r="C775" t="str">
            <v>REGULARIZACAO E COMPACTAÇÃO MANUAL DE TERRENO COM PLACA VIBRATÓRIA</v>
          </cell>
          <cell r="D775" t="str">
            <v>M2</v>
          </cell>
          <cell r="E775">
            <v>4909.8</v>
          </cell>
          <cell r="F775">
            <v>0.59</v>
          </cell>
          <cell r="G775">
            <v>0.73</v>
          </cell>
          <cell r="H775">
            <v>3584.15</v>
          </cell>
          <cell r="I775">
            <v>0.65</v>
          </cell>
          <cell r="J775">
            <v>0.76</v>
          </cell>
          <cell r="K775">
            <v>3731.45</v>
          </cell>
        </row>
        <row r="776">
          <cell r="A776" t="str">
            <v>1.13.5.15</v>
          </cell>
          <cell r="B776" t="str">
            <v>CP-94991-12549457</v>
          </cell>
          <cell r="C776" t="str">
            <v>EXECUÇÃO DE PASSEIO (CALÇADA) OU PISO DE CONCRETO COM CONCRETO MOLDADO IN LOCO, USINADO, ACABAMENTO CONVENCIONAL, NÃO ARMADO - EXCLUINDO O CONCRETO USINADO 20MPA</v>
          </cell>
          <cell r="D776" t="str">
            <v>M3</v>
          </cell>
          <cell r="E776">
            <v>316.58999999999997</v>
          </cell>
          <cell r="F776">
            <v>104.6</v>
          </cell>
          <cell r="G776">
            <v>129.28</v>
          </cell>
          <cell r="H776">
            <v>40928.76</v>
          </cell>
          <cell r="I776">
            <v>112.75</v>
          </cell>
          <cell r="J776">
            <v>132.56</v>
          </cell>
          <cell r="K776">
            <v>41967.17</v>
          </cell>
        </row>
        <row r="777">
          <cell r="A777" t="str">
            <v>1.13.5.16</v>
          </cell>
          <cell r="B777">
            <v>94273</v>
          </cell>
          <cell r="C777" t="str">
            <v>ASSENTAMENTO DE GUIA (MEIO-FIO) EM TRECHO RETO, CONFECCIONADA EM CONCRETO PRÉ-FABRICADO, DIMENSÕES 100X15X13X30 CM (COMPRIMENTO X BASE INFERIOR X BASE SUPERIOR X ALTURA), PARA VIAS URBANAS (USO VIÁRIO). AF_06/2016</v>
          </cell>
          <cell r="D777" t="str">
            <v>M</v>
          </cell>
          <cell r="E777">
            <v>2326.77</v>
          </cell>
          <cell r="F777">
            <v>54.61</v>
          </cell>
          <cell r="G777">
            <v>67.489999999999995</v>
          </cell>
          <cell r="H777">
            <v>157033.71</v>
          </cell>
          <cell r="I777">
            <v>56.47</v>
          </cell>
          <cell r="J777">
            <v>66.39</v>
          </cell>
          <cell r="K777">
            <v>154474.26</v>
          </cell>
        </row>
        <row r="778">
          <cell r="A778" t="str">
            <v>1.13.5.17</v>
          </cell>
          <cell r="B778">
            <v>94274</v>
          </cell>
          <cell r="C778" t="str">
            <v>ASSENTAMENTO DE GUIA (MEIO-FIO) EM TRECHO CURVO, CONFECCIONADA EM CONCRETO PRÉ-FABRICADO, DIMENSÕES 100X15X13X30 CM (COMPRIMENTO X BASE INFERIOR X BASE SUPERIOR X ALTURA), PARA VIAS URBANAS (USO VIÁRIO). AF_06/2016</v>
          </cell>
          <cell r="D778" t="str">
            <v>M</v>
          </cell>
          <cell r="E778">
            <v>173.4</v>
          </cell>
          <cell r="F778">
            <v>58.17</v>
          </cell>
          <cell r="G778">
            <v>71.89</v>
          </cell>
          <cell r="H778">
            <v>12465.73</v>
          </cell>
          <cell r="I778">
            <v>60.43</v>
          </cell>
          <cell r="J778">
            <v>71.05</v>
          </cell>
          <cell r="K778">
            <v>12320.07</v>
          </cell>
        </row>
        <row r="779">
          <cell r="A779" t="str">
            <v>1.13.5.18</v>
          </cell>
          <cell r="B779">
            <v>94287</v>
          </cell>
          <cell r="C779" t="str">
            <v>EXECUÇÃO DE SARJETA DE CONCRETO USINADO, MOLDADA  IN LOCO  EM TRECHO RETO, 30 CM BASE X 10 CM ALTURA. AF_06/2016</v>
          </cell>
          <cell r="D779" t="str">
            <v>M</v>
          </cell>
          <cell r="E779">
            <v>1799.45</v>
          </cell>
          <cell r="F779">
            <v>37.69</v>
          </cell>
          <cell r="G779">
            <v>46.58</v>
          </cell>
          <cell r="H779">
            <v>83818.38</v>
          </cell>
          <cell r="I779">
            <v>39.770000000000003</v>
          </cell>
          <cell r="J779">
            <v>46.76</v>
          </cell>
          <cell r="K779">
            <v>84142.28</v>
          </cell>
        </row>
        <row r="780">
          <cell r="A780" t="str">
            <v>1.13.5.19</v>
          </cell>
          <cell r="B780">
            <v>94288</v>
          </cell>
          <cell r="C780" t="str">
            <v>EXECUÇÃO DE SARJETA DE CONCRETO USINADO, MOLDADA  IN LOCO  EM TRECHO CURVO, 30 CM BASE X 10 CM ALTURA. AF_06/2016</v>
          </cell>
          <cell r="D780" t="str">
            <v>M</v>
          </cell>
          <cell r="E780">
            <v>182.48</v>
          </cell>
          <cell r="F780">
            <v>47.14</v>
          </cell>
          <cell r="G780">
            <v>58.26</v>
          </cell>
          <cell r="H780">
            <v>10631.28</v>
          </cell>
          <cell r="I780">
            <v>50.32</v>
          </cell>
          <cell r="J780">
            <v>59.16</v>
          </cell>
          <cell r="K780">
            <v>10795.52</v>
          </cell>
        </row>
        <row r="781">
          <cell r="A781" t="str">
            <v>1.13.6</v>
          </cell>
          <cell r="B781"/>
          <cell r="C781" t="str">
            <v>DRENAGEM</v>
          </cell>
          <cell r="D781"/>
          <cell r="E781"/>
          <cell r="F781"/>
          <cell r="G781"/>
          <cell r="H781">
            <v>489950.01</v>
          </cell>
          <cell r="I781"/>
          <cell r="J781"/>
          <cell r="K781">
            <v>480921.29</v>
          </cell>
        </row>
        <row r="782">
          <cell r="A782" t="str">
            <v>1.13.6.1</v>
          </cell>
          <cell r="B782">
            <v>90106</v>
          </cell>
          <cell r="C782" t="str">
            <v>ESCAVAÇÃO MECANIZADA DE VALA COM PROFUNDIDADE ATÉ 1,5 M (MÉDIA MONTANTE E JUSANTE/UMA COMPOSIÇÃO POR TRECHO), RETROESCAV. (0,26 M3), LARGURA DE 0,8 M A 1,5 M, EM SOLO DE 1A CATEGORIA, LOCAIS COM BAIXO NÍVEL DE INTERFERÊNCIA. AF_02/2021</v>
          </cell>
          <cell r="D782" t="str">
            <v>M3</v>
          </cell>
          <cell r="E782">
            <v>251.19</v>
          </cell>
          <cell r="F782">
            <v>8.15</v>
          </cell>
          <cell r="G782">
            <v>10.07</v>
          </cell>
          <cell r="H782">
            <v>2529.48</v>
          </cell>
          <cell r="I782">
            <v>8.5399999999999991</v>
          </cell>
          <cell r="J782">
            <v>10.039999999999999</v>
          </cell>
          <cell r="K782">
            <v>2521.9499999999998</v>
          </cell>
        </row>
        <row r="783">
          <cell r="A783" t="str">
            <v>1.13.6.2</v>
          </cell>
          <cell r="B783">
            <v>90091</v>
          </cell>
          <cell r="C783" t="str">
            <v>ESCAVAÇÃO MECANIZADA DE VALA COM PROF. ATÉ 1,5 M (MÉDIA MONTANTE E JUSANTE/UMA COMPOSIÇÃO POR TRECHO), ESCAVADEIRA (0,8 M3), LARG. DE 1,5 M A 2,5 M, EM SOLO DE 1A CATEGORIA, LOCAIS COM BAIXO NÍVEL DE INTERFERÊNCIA. AF_02/2021</v>
          </cell>
          <cell r="D783" t="str">
            <v>M3</v>
          </cell>
          <cell r="E783">
            <v>509.67</v>
          </cell>
          <cell r="F783">
            <v>6.24</v>
          </cell>
          <cell r="G783">
            <v>7.71</v>
          </cell>
          <cell r="H783">
            <v>3929.56</v>
          </cell>
          <cell r="I783">
            <v>6.48</v>
          </cell>
          <cell r="J783">
            <v>7.62</v>
          </cell>
          <cell r="K783">
            <v>3883.69</v>
          </cell>
        </row>
        <row r="784">
          <cell r="A784" t="str">
            <v>1.13.6.3</v>
          </cell>
          <cell r="B784">
            <v>90105</v>
          </cell>
          <cell r="C784" t="str">
            <v>ESCAVAÇÃO MECANIZADA DE VALA COM PROFUNDIDADE ATÉ 1,5 M (MÉDIA MONTANTE E JUSANTE/UMA COMPOSIÇÃO POR TRECHO), RETROESCAV. (0,26 M3), LARGURA MENOR QUE 0,8 M, EM SOLO DE 1A CATEGORIA, LOCAIS COM BAIXO NÍVEL DE INTERFERÊNCIA. AF_02/2021</v>
          </cell>
          <cell r="D784" t="str">
            <v>M3</v>
          </cell>
          <cell r="E784">
            <v>51.02</v>
          </cell>
          <cell r="F784">
            <v>9.58</v>
          </cell>
          <cell r="G784">
            <v>11.84</v>
          </cell>
          <cell r="H784">
            <v>604.08000000000004</v>
          </cell>
          <cell r="I784">
            <v>10.039999999999999</v>
          </cell>
          <cell r="J784">
            <v>11.8</v>
          </cell>
          <cell r="K784">
            <v>602.04</v>
          </cell>
        </row>
        <row r="785">
          <cell r="A785" t="str">
            <v>1.13.6.4</v>
          </cell>
          <cell r="B785">
            <v>93378</v>
          </cell>
          <cell r="C785" t="str">
            <v>REATERRO MECANIZADO DE VALA COM RETROESCAVADEIRA (CAPACIDADE DA CAÇAMBA DA RETRO: 0,26 M³ / POTÊNCIA: 88 HP), LARGURA ATÉ 0,8 M, PROFUNDIDADE ATÉ 1,5 M, COM SOLO DE 1ª CATEGORIA EM LOCAIS COM BAIXO NÍVEL DE INTERFERÊNCIA. AF_04/2016</v>
          </cell>
          <cell r="D785" t="str">
            <v>M3</v>
          </cell>
          <cell r="E785">
            <v>31.35</v>
          </cell>
          <cell r="F785">
            <v>27.22</v>
          </cell>
          <cell r="G785">
            <v>33.64</v>
          </cell>
          <cell r="H785">
            <v>1054.6099999999999</v>
          </cell>
          <cell r="I785">
            <v>29.29</v>
          </cell>
          <cell r="J785">
            <v>34.44</v>
          </cell>
          <cell r="K785">
            <v>1079.69</v>
          </cell>
        </row>
        <row r="786">
          <cell r="A786" t="str">
            <v>1.13.6.5</v>
          </cell>
          <cell r="B786">
            <v>93379</v>
          </cell>
          <cell r="C786" t="str">
            <v>REATERRO MECANIZADO DE VALA COM RETROESCAVADEIRA (CAPACIDADE DA CAÇAMBA DA RETRO: 0,26 M³ / POTÊNCIA: 88 HP), LARGURA DE 0,8 A 1,5 M, PROFUNDIDADE ATÉ 1,5 M, COM SOLO DE 1ª CATEGORIA EM LOCAIS COM BAIXO NÍVEL DE INTERFERÊNCIA. AF_04/2016</v>
          </cell>
          <cell r="D786" t="str">
            <v>M3</v>
          </cell>
          <cell r="E786">
            <v>116.34</v>
          </cell>
          <cell r="F786">
            <v>21.03</v>
          </cell>
          <cell r="G786">
            <v>25.99</v>
          </cell>
          <cell r="H786">
            <v>3023.68</v>
          </cell>
          <cell r="I786">
            <v>22.62</v>
          </cell>
          <cell r="J786">
            <v>26.59</v>
          </cell>
          <cell r="K786">
            <v>3093.48</v>
          </cell>
        </row>
        <row r="787">
          <cell r="A787" t="str">
            <v>1.13.6.6</v>
          </cell>
          <cell r="B787">
            <v>93367</v>
          </cell>
          <cell r="C787" t="str">
            <v>REATERRO MECANIZADO DE VALA COM ESCAVADEIRA HIDRÁULICA (CAPACIDADE DA CAÇAMBA: 0,8 M³ / POTÊNCIA: 111 HP), LARGURA DE 1,5 A 2,5 M, PROFUNDIDADE ATÉ 1,5 M, COM SOLO DE 1ª CATEGORIA EM LOCAIS COM BAIXO NÍVEL DE INTERFERÊNCIA. AF_04/2016</v>
          </cell>
          <cell r="D787" t="str">
            <v>M3</v>
          </cell>
          <cell r="E787">
            <v>152.9</v>
          </cell>
          <cell r="F787">
            <v>22.53</v>
          </cell>
          <cell r="G787">
            <v>27.84</v>
          </cell>
          <cell r="H787">
            <v>4256.74</v>
          </cell>
          <cell r="I787">
            <v>23.75</v>
          </cell>
          <cell r="J787">
            <v>27.92</v>
          </cell>
          <cell r="K787">
            <v>4268.97</v>
          </cell>
        </row>
        <row r="788">
          <cell r="A788" t="str">
            <v>1.13.6.7</v>
          </cell>
          <cell r="B788" t="str">
            <v>COMP-35145154</v>
          </cell>
          <cell r="C788" t="str">
            <v>CARGA E DESCARGA MECANICA DE SOLO UTILIZANDO CAMINHAO BASCULANTE 14,0M3/36T E PA CARREGADEIRA SOBRE PNEUS 128 HP, CAPACIDADE DA CAÇAMBA 1,7 A 2,8 M3, PESO OPERACIONAL 11632 KH</v>
          </cell>
          <cell r="D788" t="str">
            <v>M3</v>
          </cell>
          <cell r="E788">
            <v>639.11</v>
          </cell>
          <cell r="F788">
            <v>2.83</v>
          </cell>
          <cell r="G788">
            <v>3.5</v>
          </cell>
          <cell r="H788">
            <v>2236.89</v>
          </cell>
          <cell r="I788">
            <v>2.9</v>
          </cell>
          <cell r="J788">
            <v>3.41</v>
          </cell>
          <cell r="K788">
            <v>2179.37</v>
          </cell>
        </row>
        <row r="789">
          <cell r="A789" t="str">
            <v>1.13.6.8</v>
          </cell>
          <cell r="B789">
            <v>95876</v>
          </cell>
          <cell r="C789" t="str">
            <v>TRANSPORTE COM CAMINHÃO BASCULANTE DE 14 M³, EM VIA URBANA PAVIMENTADA, DMT ATÉ 30 KM (UNIDADE: M3XKM). AF_07/2020</v>
          </cell>
          <cell r="D789" t="str">
            <v>M3XKM</v>
          </cell>
          <cell r="E789">
            <v>4282.04</v>
          </cell>
          <cell r="F789">
            <v>2.2400000000000002</v>
          </cell>
          <cell r="G789">
            <v>2.77</v>
          </cell>
          <cell r="H789">
            <v>11861.25</v>
          </cell>
          <cell r="I789">
            <v>2.27</v>
          </cell>
          <cell r="J789">
            <v>2.67</v>
          </cell>
          <cell r="K789">
            <v>11433.05</v>
          </cell>
        </row>
        <row r="790">
          <cell r="A790" t="str">
            <v>1.13.6.9</v>
          </cell>
          <cell r="B790">
            <v>94974</v>
          </cell>
          <cell r="C790" t="str">
            <v>CONCRETO MAGRO PARA LASTRO, TRAÇO 1:4,5:4,5 (EM MASSA SECA DE CIMENTO/ AREIA MÉDIA/ BRITA 1) - PREPARO MANUAL. AF_05/2021</v>
          </cell>
          <cell r="D790" t="str">
            <v>M3</v>
          </cell>
          <cell r="E790">
            <v>58.09</v>
          </cell>
          <cell r="F790">
            <v>423.75</v>
          </cell>
          <cell r="G790">
            <v>523.71</v>
          </cell>
          <cell r="H790">
            <v>30422.31</v>
          </cell>
          <cell r="I790">
            <v>436.13</v>
          </cell>
          <cell r="J790">
            <v>512.76</v>
          </cell>
          <cell r="K790">
            <v>29786.23</v>
          </cell>
        </row>
        <row r="791">
          <cell r="A791" t="str">
            <v>1.13.6.10</v>
          </cell>
          <cell r="B791" t="str">
            <v>COMP-47781585</v>
          </cell>
          <cell r="C791" t="str">
            <v>BOCA DE LOBO SIMPLES COM CHAPÉU E TAMPA DE CONCRETO - BLS 01 (H=1,00m)</v>
          </cell>
          <cell r="D791" t="str">
            <v>UND</v>
          </cell>
          <cell r="E791">
            <v>30</v>
          </cell>
          <cell r="F791">
            <v>1361.5</v>
          </cell>
          <cell r="G791">
            <v>1682.68</v>
          </cell>
          <cell r="H791">
            <v>50480.4</v>
          </cell>
          <cell r="I791">
            <v>1436.65</v>
          </cell>
          <cell r="J791">
            <v>1689.07</v>
          </cell>
          <cell r="K791">
            <v>50672.1</v>
          </cell>
        </row>
        <row r="792">
          <cell r="A792" t="str">
            <v>1.13.6.11</v>
          </cell>
          <cell r="B792" t="str">
            <v>CP-74157/004-48264518</v>
          </cell>
          <cell r="C792" t="str">
            <v>LANCAMENTO/APLICACAO MANUAL DE CONCRETO EM FUNDACOES (concreto magro)</v>
          </cell>
          <cell r="D792" t="str">
            <v>M3</v>
          </cell>
          <cell r="E792">
            <v>136.94</v>
          </cell>
          <cell r="F792">
            <v>116.59</v>
          </cell>
          <cell r="G792">
            <v>144.09</v>
          </cell>
          <cell r="H792">
            <v>19731.68</v>
          </cell>
          <cell r="I792">
            <v>129.79</v>
          </cell>
          <cell r="J792">
            <v>152.59</v>
          </cell>
          <cell r="K792">
            <v>20895.669999999998</v>
          </cell>
        </row>
        <row r="793">
          <cell r="A793" t="str">
            <v>1.13.6.12</v>
          </cell>
          <cell r="B793">
            <v>90747</v>
          </cell>
          <cell r="C793" t="str">
            <v>ASSENTAMENTO DE TUBO DE PEAD CORRUGADO DE DUPLA PAREDE PARA REDE COLETORA DE ESGOTO, DN 600 MM, JUNTA ELÁSTICA INTEGRADA (NÃO INCLUI FORNECIMENTO). AF_01/2021</v>
          </cell>
          <cell r="D793" t="str">
            <v>M</v>
          </cell>
          <cell r="E793">
            <v>185.77</v>
          </cell>
          <cell r="F793">
            <v>17.54</v>
          </cell>
          <cell r="G793">
            <v>21.68</v>
          </cell>
          <cell r="H793">
            <v>4027.49</v>
          </cell>
          <cell r="I793">
            <v>18.55</v>
          </cell>
          <cell r="J793">
            <v>21.81</v>
          </cell>
          <cell r="K793">
            <v>4051.64</v>
          </cell>
        </row>
        <row r="794">
          <cell r="A794" t="str">
            <v>1.13.6.13</v>
          </cell>
          <cell r="B794">
            <v>90746</v>
          </cell>
          <cell r="C794" t="str">
            <v>ASSENTAMENTO DE TUBO DE PEAD CORRUGADO DE DUPLA PAREDE PARA REDE COLETORA DE ESGOTO, DN 450 MM, JUNTA ELÁSTICA INTEGRADA (NÃO INCLUI FORNECIMENTO). AF_01/2021</v>
          </cell>
          <cell r="D794" t="str">
            <v>M</v>
          </cell>
          <cell r="E794">
            <v>123.68</v>
          </cell>
          <cell r="F794">
            <v>3.54</v>
          </cell>
          <cell r="G794">
            <v>4.38</v>
          </cell>
          <cell r="H794">
            <v>541.72</v>
          </cell>
          <cell r="I794">
            <v>3.97</v>
          </cell>
          <cell r="J794">
            <v>4.67</v>
          </cell>
          <cell r="K794">
            <v>577.59</v>
          </cell>
        </row>
        <row r="795">
          <cell r="A795" t="str">
            <v>1.13.6.14</v>
          </cell>
          <cell r="B795">
            <v>92771</v>
          </cell>
          <cell r="C795" t="str">
            <v>ARMAÇÃO DE LAJE DE ESTRUTURA CONVENCIONAL DE CONCRETO ARMADO UTILIZANDO AÇO CA-50 DE 10,0 MM - MONTAGEM. AF_06/2022</v>
          </cell>
          <cell r="D795" t="str">
            <v>KG</v>
          </cell>
          <cell r="E795">
            <v>8530.09</v>
          </cell>
          <cell r="F795">
            <v>15.04</v>
          </cell>
          <cell r="G795">
            <v>18.59</v>
          </cell>
          <cell r="H795">
            <v>158574.37</v>
          </cell>
          <cell r="I795">
            <v>15.14</v>
          </cell>
          <cell r="J795">
            <v>17.8</v>
          </cell>
          <cell r="K795">
            <v>151835.6</v>
          </cell>
        </row>
        <row r="796">
          <cell r="A796" t="str">
            <v>1.13.6.15</v>
          </cell>
          <cell r="B796" t="str">
            <v>CP-92268-29291149</v>
          </cell>
          <cell r="C796" t="str">
            <v>FABRICAÇÃO DE FÔRMA PARA LAJES, EM CHAPA DE MADEIRA COMPENSADA PLASTIFICADA, E = 18 MM - EXCLUINDO O PAINEL DE MADEIRA COMPENSADA PLASTIFICADA DE 2200 x 1100 MM, E = *17* MM</v>
          </cell>
          <cell r="D796" t="str">
            <v>M2</v>
          </cell>
          <cell r="E796">
            <v>333.6</v>
          </cell>
          <cell r="F796">
            <v>0.98</v>
          </cell>
          <cell r="G796">
            <v>1.21</v>
          </cell>
          <cell r="H796">
            <v>403.66</v>
          </cell>
          <cell r="I796">
            <v>1.1000000000000001</v>
          </cell>
          <cell r="J796">
            <v>1.29</v>
          </cell>
          <cell r="K796">
            <v>430.34</v>
          </cell>
        </row>
        <row r="797">
          <cell r="A797" t="str">
            <v>1.13.6.16</v>
          </cell>
          <cell r="B797">
            <v>103320</v>
          </cell>
          <cell r="C797" t="str">
            <v>ALVENARIA DE VEDAÇÃO DE BLOCOS VAZADOS DE CONCRETO DE 19X19X39 CM (ESPESSURA 19 CM) E ARGAMASSA DE ASSENTAMENTO COM PREPARO EM BETONEIRA. AF_12/2021</v>
          </cell>
          <cell r="D797" t="str">
            <v>M2</v>
          </cell>
          <cell r="E797">
            <v>741.34</v>
          </cell>
          <cell r="F797">
            <v>101.36</v>
          </cell>
          <cell r="G797">
            <v>125.27</v>
          </cell>
          <cell r="H797">
            <v>92867.66</v>
          </cell>
          <cell r="I797">
            <v>105.62</v>
          </cell>
          <cell r="J797">
            <v>124.18</v>
          </cell>
          <cell r="K797">
            <v>92059.6</v>
          </cell>
        </row>
        <row r="798">
          <cell r="A798" t="str">
            <v>1.13.6.17</v>
          </cell>
          <cell r="B798">
            <v>87879</v>
          </cell>
          <cell r="C798" t="str">
            <v>CHAPISCO APLICADO EM ALVENARIAS E ESTRUTURAS DE CONCRETO INTERNAS, COM COLHER DE PEDREIRO.  ARGAMASSA TRAÇO 1:3 COM PREPARO EM BETONEIRA 400L. AF_06/2014</v>
          </cell>
          <cell r="D798" t="str">
            <v>M2</v>
          </cell>
          <cell r="E798">
            <v>741.34</v>
          </cell>
          <cell r="F798">
            <v>3.85</v>
          </cell>
          <cell r="G798">
            <v>4.76</v>
          </cell>
          <cell r="H798">
            <v>3528.78</v>
          </cell>
          <cell r="I798">
            <v>4.0999999999999996</v>
          </cell>
          <cell r="J798">
            <v>4.82</v>
          </cell>
          <cell r="K798">
            <v>3573.26</v>
          </cell>
        </row>
        <row r="799">
          <cell r="A799" t="str">
            <v>1.13.6.18</v>
          </cell>
          <cell r="B799">
            <v>87547</v>
          </cell>
          <cell r="C799" t="str">
            <v>MASSA ÚNICA, PARA RECEBIMENTO DE PINTURA, EM ARGAMASSA TRAÇO 1:2:8, PREPARO MECÂNICO COM BETONEIRA 400L, APLICADA MANUALMENTE EM FACES INTERNAS DE PAREDES, ESPESSURA DE 10MM, COM EXECUÇÃO DE TALISCAS. AF_06/2014</v>
          </cell>
          <cell r="D799" t="str">
            <v>M2</v>
          </cell>
          <cell r="E799">
            <v>741.34</v>
          </cell>
          <cell r="F799">
            <v>23.35</v>
          </cell>
          <cell r="G799">
            <v>28.86</v>
          </cell>
          <cell r="H799">
            <v>21395.07</v>
          </cell>
          <cell r="I799">
            <v>24.83</v>
          </cell>
          <cell r="J799">
            <v>29.19</v>
          </cell>
          <cell r="K799">
            <v>21639.71</v>
          </cell>
        </row>
        <row r="800">
          <cell r="A800" t="str">
            <v>1.13.6.19</v>
          </cell>
          <cell r="B800">
            <v>94971</v>
          </cell>
          <cell r="C800" t="str">
            <v>CONCRETO FCK = 25MPA, TRAÇO 1:2,3:2,7 (EM MASSA SECA DE CIMENTO/ AREIA MÉDIA/ BRITA 1) - PREPARO MECÂNICO COM BETONEIRA 600 L. AF_05/2021</v>
          </cell>
          <cell r="D800" t="str">
            <v>M3</v>
          </cell>
          <cell r="E800">
            <v>59.05</v>
          </cell>
          <cell r="F800">
            <v>464.88</v>
          </cell>
          <cell r="G800">
            <v>574.54999999999995</v>
          </cell>
          <cell r="H800">
            <v>33927.18</v>
          </cell>
          <cell r="I800">
            <v>472.74</v>
          </cell>
          <cell r="J800">
            <v>555.79999999999995</v>
          </cell>
          <cell r="K800">
            <v>32819.99</v>
          </cell>
        </row>
        <row r="801">
          <cell r="A801" t="str">
            <v>1.13.6.20</v>
          </cell>
          <cell r="B801">
            <v>94975</v>
          </cell>
          <cell r="C801" t="str">
            <v>CONCRETO FCK = 15MPA, TRAÇO 1:3,4:3,5 (EM MASSA SECA DE CIMENTO/ AREIA MÉDIA/ BRITA 1) - PREPARO MANUAL. AF_05/2021</v>
          </cell>
          <cell r="D801" t="str">
            <v>M3</v>
          </cell>
          <cell r="E801">
            <v>78.849999999999994</v>
          </cell>
          <cell r="F801">
            <v>457.19</v>
          </cell>
          <cell r="G801">
            <v>565.04</v>
          </cell>
          <cell r="H801">
            <v>44553.4</v>
          </cell>
          <cell r="I801">
            <v>469.42</v>
          </cell>
          <cell r="J801">
            <v>551.9</v>
          </cell>
          <cell r="K801">
            <v>43517.32</v>
          </cell>
        </row>
        <row r="802">
          <cell r="A802" t="str">
            <v>1.13.7</v>
          </cell>
          <cell r="B802"/>
          <cell r="C802" t="str">
            <v>SINALIZAÇÃO</v>
          </cell>
          <cell r="D802"/>
          <cell r="E802"/>
          <cell r="F802"/>
          <cell r="G802"/>
          <cell r="H802">
            <v>50933.760000000002</v>
          </cell>
          <cell r="I802"/>
          <cell r="J802"/>
          <cell r="K802">
            <v>49947.05</v>
          </cell>
        </row>
        <row r="803">
          <cell r="A803" t="str">
            <v>1.13.7.1</v>
          </cell>
          <cell r="B803">
            <v>5213416</v>
          </cell>
          <cell r="C803" t="str">
            <v>Confecção de placa em aço nº 16 galvanizado, com película tipo I + I</v>
          </cell>
          <cell r="D803" t="str">
            <v xml:space="preserve">M2    </v>
          </cell>
          <cell r="E803">
            <v>14.4</v>
          </cell>
          <cell r="F803">
            <v>351.9</v>
          </cell>
          <cell r="G803">
            <v>434.91</v>
          </cell>
          <cell r="H803">
            <v>6262.7</v>
          </cell>
          <cell r="I803">
            <v>355.35</v>
          </cell>
          <cell r="J803">
            <v>417.78</v>
          </cell>
          <cell r="K803">
            <v>6016.03</v>
          </cell>
        </row>
        <row r="804">
          <cell r="A804" t="str">
            <v>1.13.7.2</v>
          </cell>
          <cell r="B804">
            <v>5213421</v>
          </cell>
          <cell r="C804" t="str">
            <v>Confecção de placa em aço nº 16 galvanizado, com película tipo I + IV</v>
          </cell>
          <cell r="D804" t="str">
            <v xml:space="preserve">M2    </v>
          </cell>
          <cell r="E804">
            <v>17.399999999999999</v>
          </cell>
          <cell r="F804">
            <v>343.8</v>
          </cell>
          <cell r="G804">
            <v>424.9</v>
          </cell>
          <cell r="H804">
            <v>7393.26</v>
          </cell>
          <cell r="I804">
            <v>347.25</v>
          </cell>
          <cell r="J804">
            <v>408.26</v>
          </cell>
          <cell r="K804">
            <v>7103.72</v>
          </cell>
        </row>
        <row r="805">
          <cell r="A805" t="str">
            <v>1.13.7.3</v>
          </cell>
          <cell r="B805">
            <v>5216111</v>
          </cell>
          <cell r="C805" t="str">
            <v>FORNECIMENTO E IMPLANTAÇÃO DE SUPORTE E TRAVESSA PARA PLACA DE SINALIZAÇÃO EM MADEIRA DE LEI TRATADA 8 X 8 CM</v>
          </cell>
          <cell r="D805" t="str">
            <v>UND</v>
          </cell>
          <cell r="E805">
            <v>66</v>
          </cell>
          <cell r="F805">
            <v>119.1379</v>
          </cell>
          <cell r="G805">
            <v>147.24</v>
          </cell>
          <cell r="H805">
            <v>9717.84</v>
          </cell>
          <cell r="I805">
            <v>121.48</v>
          </cell>
          <cell r="J805">
            <v>142.82</v>
          </cell>
          <cell r="K805">
            <v>9426.1200000000008</v>
          </cell>
        </row>
        <row r="806">
          <cell r="A806" t="str">
            <v>1.13.7.4</v>
          </cell>
          <cell r="B806" t="str">
            <v>COMP-58084869</v>
          </cell>
          <cell r="C806" t="str">
            <v>PLACA ESMALTADA PARA IDENTIFICAÇÃO NR DE RUA, DIMENSÕES 45X25CM</v>
          </cell>
          <cell r="D806" t="str">
            <v>UND</v>
          </cell>
          <cell r="E806">
            <v>18</v>
          </cell>
          <cell r="F806">
            <v>155.54</v>
          </cell>
          <cell r="G806">
            <v>192.23</v>
          </cell>
          <cell r="H806">
            <v>3460.14</v>
          </cell>
          <cell r="I806">
            <v>156.33000000000001</v>
          </cell>
          <cell r="J806">
            <v>183.8</v>
          </cell>
          <cell r="K806">
            <v>3308.4</v>
          </cell>
        </row>
        <row r="807">
          <cell r="A807" t="str">
            <v>1.13.7.5</v>
          </cell>
          <cell r="B807">
            <v>102509</v>
          </cell>
          <cell r="C807" t="str">
            <v>PINTURA DE FAIXA DE PEDESTRE OU ZEBRADA TINTA RETRORREFLETIVA A BASE DE RESINA ACRÍLICA COM MICROESFERAS DE VIDRO, E = 30 CM, APLICAÇÃO MANUAL. AF_05/2021</v>
          </cell>
          <cell r="D807" t="str">
            <v>M2</v>
          </cell>
          <cell r="E807">
            <v>288</v>
          </cell>
          <cell r="F807">
            <v>22.91</v>
          </cell>
          <cell r="G807">
            <v>28.31</v>
          </cell>
          <cell r="H807">
            <v>8153.28</v>
          </cell>
          <cell r="I807">
            <v>24.15</v>
          </cell>
          <cell r="J807">
            <v>28.39</v>
          </cell>
          <cell r="K807">
            <v>8176.32</v>
          </cell>
        </row>
        <row r="808">
          <cell r="A808" t="str">
            <v>1.13.7.6</v>
          </cell>
          <cell r="B808">
            <v>102512</v>
          </cell>
          <cell r="C808" t="str">
            <v>PINTURA DE EIXO VIÁRIO SOBRE ASFALTO COM TINTA RETRORREFLETIVA A BASE DE RESINA ACRÍLICA COM MICROESFERAS DE VIDRO, APLICAÇÃO MECÂNICA COM DEMARCADORA AUTOPROPELIDA. AF_05/2021</v>
          </cell>
          <cell r="D808" t="str">
            <v>M</v>
          </cell>
          <cell r="E808">
            <v>2452.8200000000002</v>
          </cell>
          <cell r="F808">
            <v>5.22</v>
          </cell>
          <cell r="G808">
            <v>6.45</v>
          </cell>
          <cell r="H808">
            <v>15820.69</v>
          </cell>
          <cell r="I808">
            <v>5.48</v>
          </cell>
          <cell r="J808">
            <v>6.44</v>
          </cell>
          <cell r="K808">
            <v>15796.16</v>
          </cell>
        </row>
        <row r="809">
          <cell r="A809" t="str">
            <v>1.13.7.7</v>
          </cell>
          <cell r="B809" t="str">
            <v>CP-72947-21572945</v>
          </cell>
          <cell r="C809" t="str">
            <v>SINALIZACAO HORIZONTAL COM TINTA RETRORREFLETIVA A BASE DE RESINA ACRILICA COM MICROESFERAS DE VIDRO</v>
          </cell>
          <cell r="D809" t="str">
            <v>M2</v>
          </cell>
          <cell r="E809">
            <v>5.04</v>
          </cell>
          <cell r="F809">
            <v>20.2</v>
          </cell>
          <cell r="G809">
            <v>24.97</v>
          </cell>
          <cell r="H809">
            <v>125.85</v>
          </cell>
          <cell r="I809">
            <v>20.3</v>
          </cell>
          <cell r="J809">
            <v>23.87</v>
          </cell>
          <cell r="K809">
            <v>120.3</v>
          </cell>
        </row>
        <row r="810">
          <cell r="A810" t="str">
            <v>1.13.8</v>
          </cell>
          <cell r="B810"/>
          <cell r="C810" t="str">
            <v>ACESSIBILIDADE</v>
          </cell>
          <cell r="D810"/>
          <cell r="E810"/>
          <cell r="F810"/>
          <cell r="G810"/>
          <cell r="H810">
            <v>52004.83</v>
          </cell>
          <cell r="I810"/>
          <cell r="J810"/>
          <cell r="K810">
            <v>51141.38</v>
          </cell>
        </row>
        <row r="811">
          <cell r="A811" t="str">
            <v>1.13.8.1</v>
          </cell>
          <cell r="B811" t="str">
            <v>CP-S12039-81921471</v>
          </cell>
          <cell r="C811" t="str">
            <v>Piso tátil direcional e/ou alerta, de concreto, na cor natural, p/deficientes visuais, dimensões 40x40cm, aplicado com argamassa industrializada ac-ii, rejuntado, exclusive regularização de base</v>
          </cell>
          <cell r="D811" t="str">
            <v>M2</v>
          </cell>
          <cell r="E811">
            <v>387.2</v>
          </cell>
          <cell r="F811">
            <v>108.67</v>
          </cell>
          <cell r="G811">
            <v>134.31</v>
          </cell>
          <cell r="H811">
            <v>52004.83</v>
          </cell>
          <cell r="I811">
            <v>112.34</v>
          </cell>
          <cell r="J811">
            <v>132.08000000000001</v>
          </cell>
          <cell r="K811">
            <v>51141.38</v>
          </cell>
        </row>
        <row r="812">
          <cell r="A812" t="str">
            <v>1.13.9</v>
          </cell>
          <cell r="B812"/>
          <cell r="C812" t="str">
            <v>MATERIAIS</v>
          </cell>
          <cell r="D812"/>
          <cell r="E812"/>
          <cell r="F812"/>
          <cell r="G812"/>
          <cell r="H812">
            <v>1649055.79</v>
          </cell>
          <cell r="I812"/>
          <cell r="J812"/>
          <cell r="K812">
            <v>1572153.96</v>
          </cell>
        </row>
        <row r="813">
          <cell r="A813" t="str">
            <v>1.13.9.1</v>
          </cell>
          <cell r="B813">
            <v>10775</v>
          </cell>
          <cell r="C813" t="str">
            <v xml:space="preserve">LOCACAO DE CONTAINER 2,30 X 6,00 M, ALT. 2,50 M, COM 1 SANITARIO, PARA ESCRITORIO, COMPLETO, SEM DIVISORIAS INTERNAS (NAO INCLUI MOBILIZACAO/DESMOBILIZACAO)                                                                                                                                                                                                                                                                                                                                              </v>
          </cell>
          <cell r="D813" t="str">
            <v xml:space="preserve">MES   </v>
          </cell>
          <cell r="E813">
            <v>12</v>
          </cell>
          <cell r="F813">
            <v>830</v>
          </cell>
          <cell r="G813">
            <v>958.32</v>
          </cell>
          <cell r="H813">
            <v>11499.84</v>
          </cell>
          <cell r="I813">
            <v>830</v>
          </cell>
          <cell r="J813">
            <v>913.58</v>
          </cell>
          <cell r="K813">
            <v>10962.96</v>
          </cell>
        </row>
        <row r="814">
          <cell r="A814" t="str">
            <v>1.13.9.2</v>
          </cell>
          <cell r="B814">
            <v>10776</v>
          </cell>
          <cell r="C814" t="str">
            <v xml:space="preserve">LOCACAO DE CONTAINER 2,30 X 6,00 M, ALT. 2,50 M, PARA ESCRITORIO, SEM DIVISORIAS INTERNAS E SEM SANITARIO (NAO INCLUI MOBILIZACAO/DESMOBILIZACAO)                                                                                                                                                                                                                                                                                                                                                         </v>
          </cell>
          <cell r="D814" t="str">
            <v xml:space="preserve">MES   </v>
          </cell>
          <cell r="E814">
            <v>12</v>
          </cell>
          <cell r="F814">
            <v>648.42999999999995</v>
          </cell>
          <cell r="G814">
            <v>748.68</v>
          </cell>
          <cell r="H814">
            <v>8984.16</v>
          </cell>
          <cell r="I814">
            <v>648.42999999999995</v>
          </cell>
          <cell r="J814">
            <v>713.73</v>
          </cell>
          <cell r="K814">
            <v>8564.76</v>
          </cell>
        </row>
        <row r="815">
          <cell r="A815" t="str">
            <v>1.13.9.3</v>
          </cell>
          <cell r="B815">
            <v>1518</v>
          </cell>
          <cell r="C815" t="str">
            <v xml:space="preserve">CONCRETO BETUMINOSO USINADO A QUENTE (CBUQ) PARA PAVIMENTACAO ASFALTICA, PADRAO DNIT, FAIXA C, COM CAP 50/70 - AQUISICAO POSTO USINA                                                                                                                                                                                                                                                                                                                                                                      </v>
          </cell>
          <cell r="D815" t="str">
            <v xml:space="preserve">T     </v>
          </cell>
          <cell r="E815">
            <v>1464.54</v>
          </cell>
          <cell r="F815">
            <v>522.5</v>
          </cell>
          <cell r="G815">
            <v>603.28</v>
          </cell>
          <cell r="H815">
            <v>883527.69</v>
          </cell>
          <cell r="I815">
            <v>522.5</v>
          </cell>
          <cell r="J815">
            <v>575.12</v>
          </cell>
          <cell r="K815">
            <v>842286.24</v>
          </cell>
        </row>
        <row r="816">
          <cell r="A816" t="str">
            <v>1.13.9.4</v>
          </cell>
          <cell r="B816" t="str">
            <v>M0134</v>
          </cell>
          <cell r="C816" t="str">
            <v>Tubo PEAD corrugado com paredes estruturadas para drenagem - D = 600 mm</v>
          </cell>
          <cell r="D816" t="str">
            <v>M</v>
          </cell>
          <cell r="E816">
            <v>185.77</v>
          </cell>
          <cell r="F816">
            <v>501.47</v>
          </cell>
          <cell r="G816">
            <v>579</v>
          </cell>
          <cell r="H816">
            <v>107560.83</v>
          </cell>
          <cell r="I816">
            <v>501.47</v>
          </cell>
          <cell r="J816">
            <v>551.97</v>
          </cell>
          <cell r="K816">
            <v>102539.47</v>
          </cell>
        </row>
        <row r="817">
          <cell r="A817" t="str">
            <v>1.13.9.5</v>
          </cell>
          <cell r="B817" t="str">
            <v>M0132</v>
          </cell>
          <cell r="C817" t="str">
            <v xml:space="preserve">	Tubo PEAD corrugado com paredes estruturadas para drenagem - D = 450 mm</v>
          </cell>
          <cell r="D817" t="str">
            <v>M</v>
          </cell>
          <cell r="E817">
            <v>123.68</v>
          </cell>
          <cell r="F817">
            <v>227.86</v>
          </cell>
          <cell r="G817">
            <v>263.08999999999997</v>
          </cell>
          <cell r="H817">
            <v>32538.97</v>
          </cell>
          <cell r="I817">
            <v>227.86</v>
          </cell>
          <cell r="J817">
            <v>250.81</v>
          </cell>
          <cell r="K817">
            <v>31020.18</v>
          </cell>
        </row>
        <row r="818">
          <cell r="A818" t="str">
            <v>1.13.9.6</v>
          </cell>
          <cell r="B818" t="str">
            <v>INS-185032</v>
          </cell>
          <cell r="C818" t="str">
            <v>BRITA GRADUADA SIMPLES (BGS)</v>
          </cell>
          <cell r="D818" t="str">
            <v>M3</v>
          </cell>
          <cell r="E818">
            <v>1</v>
          </cell>
          <cell r="F818">
            <v>56.099999999999994</v>
          </cell>
          <cell r="G818">
            <v>64.77</v>
          </cell>
          <cell r="H818">
            <v>64.77</v>
          </cell>
          <cell r="I818">
            <v>56.099999999999994</v>
          </cell>
          <cell r="J818">
            <v>61.75</v>
          </cell>
          <cell r="K818">
            <v>61.75</v>
          </cell>
        </row>
        <row r="819">
          <cell r="A819" t="str">
            <v>1.13.9.7</v>
          </cell>
          <cell r="B819" t="str">
            <v>M0808</v>
          </cell>
          <cell r="C819" t="str">
            <v>Brita 4</v>
          </cell>
          <cell r="D819" t="str">
            <v>M3</v>
          </cell>
          <cell r="E819">
            <v>2768.59</v>
          </cell>
          <cell r="F819">
            <v>90.74</v>
          </cell>
          <cell r="G819">
            <v>104.77</v>
          </cell>
          <cell r="H819">
            <v>290065.17</v>
          </cell>
          <cell r="I819">
            <v>90.74</v>
          </cell>
          <cell r="J819">
            <v>99.88</v>
          </cell>
          <cell r="K819">
            <v>276526.77</v>
          </cell>
        </row>
        <row r="820">
          <cell r="A820" t="str">
            <v>1.13.9.8</v>
          </cell>
          <cell r="B820" t="str">
            <v>M1135</v>
          </cell>
          <cell r="C820" t="str">
            <v>Pó de pedra</v>
          </cell>
          <cell r="D820" t="str">
            <v>M3</v>
          </cell>
          <cell r="E820">
            <v>307.62</v>
          </cell>
          <cell r="F820">
            <v>74.53</v>
          </cell>
          <cell r="G820">
            <v>86.05</v>
          </cell>
          <cell r="H820">
            <v>26470.7</v>
          </cell>
          <cell r="I820">
            <v>74.53</v>
          </cell>
          <cell r="J820">
            <v>82.04</v>
          </cell>
          <cell r="K820">
            <v>25237.14</v>
          </cell>
        </row>
        <row r="821">
          <cell r="A821" t="str">
            <v>1.13.9.9</v>
          </cell>
          <cell r="B821" t="str">
            <v>INS-54745269</v>
          </cell>
          <cell r="C821" t="str">
            <v>ASFALTO DILUÍDO CM - 30 - JUNHO/22</v>
          </cell>
          <cell r="D821" t="str">
            <v>KG</v>
          </cell>
          <cell r="E821">
            <v>10233.549999999999</v>
          </cell>
          <cell r="F821">
            <v>5.32</v>
          </cell>
          <cell r="G821">
            <v>6.14</v>
          </cell>
          <cell r="H821">
            <v>62834</v>
          </cell>
          <cell r="I821">
            <v>5.32</v>
          </cell>
          <cell r="J821">
            <v>5.86</v>
          </cell>
          <cell r="K821">
            <v>59968.6</v>
          </cell>
        </row>
        <row r="822">
          <cell r="A822" t="str">
            <v>1.13.9.10</v>
          </cell>
          <cell r="B822">
            <v>34492</v>
          </cell>
          <cell r="C822" t="str">
            <v xml:space="preserve">CONCRETO USINADO BOMBEAVEL, CLASSE DE RESISTENCIA C20, COM BRITA 0 E 1, SLUMP = 100 +/- 20 MM, EXCLUI SERVICO DE BOMBEAMENTO (NBR 8953)                                                                                                                                                                                                                                                                                                                                                                   </v>
          </cell>
          <cell r="D822" t="str">
            <v xml:space="preserve">M3    </v>
          </cell>
          <cell r="E822">
            <v>384.02</v>
          </cell>
          <cell r="F822">
            <v>422.5</v>
          </cell>
          <cell r="G822">
            <v>487.82</v>
          </cell>
          <cell r="H822">
            <v>187332.64</v>
          </cell>
          <cell r="I822">
            <v>422.5</v>
          </cell>
          <cell r="J822">
            <v>465.05</v>
          </cell>
          <cell r="K822">
            <v>178588.5</v>
          </cell>
        </row>
        <row r="823">
          <cell r="A823" t="str">
            <v>1.13.9.11</v>
          </cell>
          <cell r="B823">
            <v>1345</v>
          </cell>
          <cell r="C823" t="str">
            <v xml:space="preserve">CHAPA/PAINEL DE MADEIRA COMPENSADA PLASTIFICADA (MADEIRITE PLASTIFICADO) PARA FORMA DE CONCRETO, DE 2200 x 1100 MM, E = *17* MM                                                                                                                                                                                                                                                                                                                                                                           </v>
          </cell>
          <cell r="D823" t="str">
            <v xml:space="preserve">M2    </v>
          </cell>
          <cell r="E823">
            <v>350.28</v>
          </cell>
          <cell r="F823">
            <v>94.4</v>
          </cell>
          <cell r="G823">
            <v>108.99</v>
          </cell>
          <cell r="H823">
            <v>38177.019999999997</v>
          </cell>
          <cell r="I823">
            <v>94.4</v>
          </cell>
          <cell r="J823">
            <v>103.91</v>
          </cell>
          <cell r="K823">
            <v>36397.589999999997</v>
          </cell>
        </row>
        <row r="824">
          <cell r="A824" t="str">
            <v>1.14</v>
          </cell>
          <cell r="B824"/>
          <cell r="C824" t="str">
            <v>RUA JOSÉ NUNES DA CUNHA - CANDEIAS</v>
          </cell>
          <cell r="D824"/>
          <cell r="E824"/>
          <cell r="F824"/>
          <cell r="G824"/>
          <cell r="H824">
            <v>606182.28</v>
          </cell>
          <cell r="I824"/>
          <cell r="J824"/>
          <cell r="K824">
            <v>590339.88</v>
          </cell>
        </row>
        <row r="825">
          <cell r="A825" t="str">
            <v>1.14.1</v>
          </cell>
          <cell r="B825"/>
          <cell r="C825" t="str">
            <v>INSTALAÇÕES PROVISÓRIAS</v>
          </cell>
          <cell r="D825"/>
          <cell r="E825"/>
          <cell r="F825"/>
          <cell r="G825"/>
          <cell r="H825">
            <v>8115.87</v>
          </cell>
          <cell r="I825"/>
          <cell r="J825"/>
          <cell r="K825">
            <v>7783.05</v>
          </cell>
        </row>
        <row r="826">
          <cell r="A826" t="str">
            <v>1.14.1.1</v>
          </cell>
          <cell r="B826" t="str">
            <v>CP-74209/001-15055090</v>
          </cell>
          <cell r="C826" t="str">
            <v>PLACA DE OBRA EM CHAPA DE ACO GALVANIZADO</v>
          </cell>
          <cell r="D826" t="str">
            <v xml:space="preserve">M2    </v>
          </cell>
          <cell r="E826">
            <v>8</v>
          </cell>
          <cell r="F826">
            <v>558.35</v>
          </cell>
          <cell r="G826">
            <v>690.06</v>
          </cell>
          <cell r="H826">
            <v>5520.48</v>
          </cell>
          <cell r="I826">
            <v>564.99</v>
          </cell>
          <cell r="J826">
            <v>664.26</v>
          </cell>
          <cell r="K826">
            <v>5314.08</v>
          </cell>
        </row>
        <row r="827">
          <cell r="A827" t="str">
            <v>1.14.1.2</v>
          </cell>
          <cell r="B827" t="str">
            <v>COMP-07440249</v>
          </cell>
          <cell r="C827" t="str">
            <v>BANHEIRO QUÍMICO, COM LOCAÇÃO, TRANSPORTE E LIMPEZA</v>
          </cell>
          <cell r="D827" t="str">
            <v>MÊS</v>
          </cell>
          <cell r="E827">
            <v>3</v>
          </cell>
          <cell r="F827">
            <v>700</v>
          </cell>
          <cell r="G827">
            <v>865.13</v>
          </cell>
          <cell r="H827">
            <v>2595.39</v>
          </cell>
          <cell r="I827">
            <v>700</v>
          </cell>
          <cell r="J827">
            <v>822.99</v>
          </cell>
          <cell r="K827">
            <v>2468.9699999999998</v>
          </cell>
        </row>
        <row r="828">
          <cell r="A828" t="str">
            <v>1.14.2</v>
          </cell>
          <cell r="B828"/>
          <cell r="C828" t="str">
            <v>ADMINISTRAÇÃO LOCAL</v>
          </cell>
          <cell r="D828"/>
          <cell r="E828"/>
          <cell r="F828"/>
          <cell r="G828"/>
          <cell r="H828">
            <v>24253.91</v>
          </cell>
          <cell r="I828"/>
          <cell r="J828"/>
          <cell r="K828">
            <v>26597.11</v>
          </cell>
        </row>
        <row r="829">
          <cell r="A829" t="str">
            <v>1.14.2.1</v>
          </cell>
          <cell r="B829">
            <v>93565</v>
          </cell>
          <cell r="C829" t="str">
            <v>ENGENHEIRO CIVIL DE OBRA JUNIOR COM ENCARGOS COMPLEMENTARES</v>
          </cell>
          <cell r="D829" t="str">
            <v>MES</v>
          </cell>
          <cell r="E829">
            <v>0.75</v>
          </cell>
          <cell r="F829">
            <v>14549.96</v>
          </cell>
          <cell r="G829">
            <v>17982.3</v>
          </cell>
          <cell r="H829">
            <v>13486.73</v>
          </cell>
          <cell r="I829">
            <v>16819.14</v>
          </cell>
          <cell r="J829">
            <v>19774.259999999998</v>
          </cell>
          <cell r="K829">
            <v>14830.7</v>
          </cell>
        </row>
        <row r="830">
          <cell r="A830" t="str">
            <v>1.24.2.2</v>
          </cell>
          <cell r="B830">
            <v>93572</v>
          </cell>
          <cell r="C830" t="str">
            <v>ENCARREGADO GERAL DE OBRAS COM ENCARGOS COMPLEMENTARES</v>
          </cell>
          <cell r="D830" t="str">
            <v>MES</v>
          </cell>
          <cell r="E830">
            <v>1.5</v>
          </cell>
          <cell r="F830">
            <v>5808.01</v>
          </cell>
          <cell r="G830">
            <v>7178.12</v>
          </cell>
          <cell r="H830">
            <v>10767.18</v>
          </cell>
          <cell r="I830">
            <v>6672</v>
          </cell>
          <cell r="J830">
            <v>7844.27</v>
          </cell>
          <cell r="K830">
            <v>11766.41</v>
          </cell>
        </row>
        <row r="831">
          <cell r="A831" t="str">
            <v>1.14.3</v>
          </cell>
          <cell r="B831"/>
          <cell r="C831" t="str">
            <v>SERVIÇOS PRELIMINARES</v>
          </cell>
          <cell r="D831"/>
          <cell r="E831"/>
          <cell r="F831"/>
          <cell r="G831"/>
          <cell r="H831">
            <v>24073.31</v>
          </cell>
          <cell r="I831"/>
          <cell r="J831"/>
          <cell r="K831">
            <v>25285</v>
          </cell>
        </row>
        <row r="832">
          <cell r="A832" t="str">
            <v>1.14.3.1</v>
          </cell>
          <cell r="B832">
            <v>99064</v>
          </cell>
          <cell r="C832" t="str">
            <v>LOCAÇÃO DE PAVIMENTAÇÃO. AF_10/2018</v>
          </cell>
          <cell r="D832" t="str">
            <v>M</v>
          </cell>
          <cell r="E832">
            <v>97.68</v>
          </cell>
          <cell r="F832">
            <v>0.43</v>
          </cell>
          <cell r="G832">
            <v>0.53</v>
          </cell>
          <cell r="H832">
            <v>51.77</v>
          </cell>
          <cell r="I832">
            <v>0.49</v>
          </cell>
          <cell r="J832">
            <v>0.57999999999999996</v>
          </cell>
          <cell r="K832">
            <v>56.65</v>
          </cell>
        </row>
        <row r="833">
          <cell r="A833" t="str">
            <v>1.14.3.2</v>
          </cell>
          <cell r="B833" t="str">
            <v>COMP-17562084</v>
          </cell>
          <cell r="C833" t="str">
            <v>DEMOLIÇÃO MANUAL DE CONCRETO SIMPLES</v>
          </cell>
          <cell r="D833" t="str">
            <v>M3</v>
          </cell>
          <cell r="E833">
            <v>88.23</v>
          </cell>
          <cell r="F833">
            <v>190.89</v>
          </cell>
          <cell r="G833">
            <v>235.92</v>
          </cell>
          <cell r="H833">
            <v>20815.22</v>
          </cell>
          <cell r="I833">
            <v>212.24</v>
          </cell>
          <cell r="J833">
            <v>249.53</v>
          </cell>
          <cell r="K833">
            <v>22016.03</v>
          </cell>
        </row>
        <row r="834">
          <cell r="A834" t="str">
            <v>1.14.3.3</v>
          </cell>
          <cell r="B834" t="str">
            <v>COMP-01471766</v>
          </cell>
          <cell r="C834" t="str">
            <v>DEMOLIÇÃO DE MEIO-FIO</v>
          </cell>
          <cell r="D834" t="str">
            <v>M</v>
          </cell>
          <cell r="E834">
            <v>101.6</v>
          </cell>
          <cell r="F834">
            <v>10.02</v>
          </cell>
          <cell r="G834">
            <v>12.38</v>
          </cell>
          <cell r="H834">
            <v>1257.81</v>
          </cell>
          <cell r="I834">
            <v>11.13</v>
          </cell>
          <cell r="J834">
            <v>13.09</v>
          </cell>
          <cell r="K834">
            <v>1329.94</v>
          </cell>
        </row>
        <row r="835">
          <cell r="A835" t="str">
            <v>1.14.3.4</v>
          </cell>
          <cell r="B835" t="str">
            <v>COMP-35145154</v>
          </cell>
          <cell r="C835" t="str">
            <v>CARGA E DESCARGA MECANICA DE SOLO UTILIZANDO CAMINHAO BASCULANTE 14,0M3/36T E PA CARREGADEIRA SOBRE PNEUS 128 HP, CAPACIDADE DA CAÇAMBA 1,7 A 2,8 M3, PESO OPERACIONAL 11632 KH</v>
          </cell>
          <cell r="D835" t="str">
            <v>M3</v>
          </cell>
          <cell r="E835">
            <v>116.01</v>
          </cell>
          <cell r="F835">
            <v>2.83</v>
          </cell>
          <cell r="G835">
            <v>3.5</v>
          </cell>
          <cell r="H835">
            <v>406.04</v>
          </cell>
          <cell r="I835">
            <v>2.9</v>
          </cell>
          <cell r="J835">
            <v>3.41</v>
          </cell>
          <cell r="K835">
            <v>395.59</v>
          </cell>
        </row>
        <row r="836">
          <cell r="A836" t="str">
            <v>1.14.3.5</v>
          </cell>
          <cell r="B836">
            <v>95876</v>
          </cell>
          <cell r="C836" t="str">
            <v>TRANSPORTE COM CAMINHÃO BASCULANTE DE 14 M³, EM VIA URBANA PAVIMENTADA, DMT ATÉ 30 KM (UNIDADE: M3XKM). AF_07/2020</v>
          </cell>
          <cell r="D836" t="str">
            <v>M3XKM</v>
          </cell>
          <cell r="E836">
            <v>556.85</v>
          </cell>
          <cell r="F836">
            <v>2.2400000000000002</v>
          </cell>
          <cell r="G836">
            <v>2.77</v>
          </cell>
          <cell r="H836">
            <v>1542.47</v>
          </cell>
          <cell r="I836">
            <v>2.27</v>
          </cell>
          <cell r="J836">
            <v>2.67</v>
          </cell>
          <cell r="K836">
            <v>1486.79</v>
          </cell>
        </row>
        <row r="837">
          <cell r="A837" t="str">
            <v>1.14.4</v>
          </cell>
          <cell r="B837"/>
          <cell r="C837" t="str">
            <v>TERRAPLENAGEM</v>
          </cell>
          <cell r="D837"/>
          <cell r="E837"/>
          <cell r="F837"/>
          <cell r="G837"/>
          <cell r="H837">
            <v>7739.82</v>
          </cell>
          <cell r="I837"/>
          <cell r="J837"/>
          <cell r="K837">
            <v>7482.46</v>
          </cell>
        </row>
        <row r="838">
          <cell r="A838" t="str">
            <v>1.14.4.1</v>
          </cell>
          <cell r="B838" t="str">
            <v>CP-74205/001-17324935</v>
          </cell>
          <cell r="C838" t="str">
            <v>ESCAVAÇÃO MECÂNICA DE MATERIAL 1A. CATEGORIA, PROVENIENTE DE CORTE DE SUBLEITO (C/TRATOR ESTEIRAS  160HP)</v>
          </cell>
          <cell r="D838" t="str">
            <v>M3</v>
          </cell>
          <cell r="E838">
            <v>320.69</v>
          </cell>
          <cell r="F838">
            <v>2.54</v>
          </cell>
          <cell r="G838">
            <v>3.14</v>
          </cell>
          <cell r="H838">
            <v>1006.97</v>
          </cell>
          <cell r="I838">
            <v>2.59</v>
          </cell>
          <cell r="J838">
            <v>3.05</v>
          </cell>
          <cell r="K838">
            <v>978.1</v>
          </cell>
        </row>
        <row r="839">
          <cell r="A839" t="str">
            <v>1.14.4.2</v>
          </cell>
          <cell r="B839" t="str">
            <v>COMP-35145154</v>
          </cell>
          <cell r="C839" t="str">
            <v>CARGA E DESCARGA MECANICA DE SOLO UTILIZANDO CAMINHAO BASCULANTE 14,0M3/36T E PA CARREGADEIRA SOBRE PNEUS 128 HP, CAPACIDADE DA CAÇAMBA 1,7 A 2,8 M3, PESO OPERACIONAL 11632 KH</v>
          </cell>
          <cell r="D839" t="str">
            <v>M3</v>
          </cell>
          <cell r="E839">
            <v>400.86</v>
          </cell>
          <cell r="F839">
            <v>2.83</v>
          </cell>
          <cell r="G839">
            <v>3.5</v>
          </cell>
          <cell r="H839">
            <v>1403.01</v>
          </cell>
          <cell r="I839">
            <v>2.9</v>
          </cell>
          <cell r="J839">
            <v>3.41</v>
          </cell>
          <cell r="K839">
            <v>1366.93</v>
          </cell>
        </row>
        <row r="840">
          <cell r="A840" t="str">
            <v>1.14.4.3</v>
          </cell>
          <cell r="B840">
            <v>95876</v>
          </cell>
          <cell r="C840" t="str">
            <v>TRANSPORTE COM CAMINHÃO BASCULANTE DE 14 M³, EM VIA URBANA PAVIMENTADA, DMT ATÉ 30 KM (UNIDADE: M3XKM). AF_07/2020</v>
          </cell>
          <cell r="D840" t="str">
            <v>M3XKM</v>
          </cell>
          <cell r="E840">
            <v>1924.13</v>
          </cell>
          <cell r="F840">
            <v>2.2400000000000002</v>
          </cell>
          <cell r="G840">
            <v>2.77</v>
          </cell>
          <cell r="H840">
            <v>5329.84</v>
          </cell>
          <cell r="I840">
            <v>2.27</v>
          </cell>
          <cell r="J840">
            <v>2.67</v>
          </cell>
          <cell r="K840">
            <v>5137.43</v>
          </cell>
        </row>
        <row r="841">
          <cell r="A841" t="str">
            <v>1.14.5</v>
          </cell>
          <cell r="B841"/>
          <cell r="C841" t="str">
            <v>PAVIMENTAÇÃO</v>
          </cell>
          <cell r="D841"/>
          <cell r="E841"/>
          <cell r="F841"/>
          <cell r="G841"/>
          <cell r="H841">
            <v>166613.38</v>
          </cell>
          <cell r="I841"/>
          <cell r="J841"/>
          <cell r="K841">
            <v>164648.63</v>
          </cell>
        </row>
        <row r="842">
          <cell r="A842" t="str">
            <v>1.14.5.1</v>
          </cell>
          <cell r="B842">
            <v>96001</v>
          </cell>
          <cell r="C842" t="str">
            <v>FRESAGEM DE PAVIMENTO ASFÁLTICO (PROFUNDIDADE ATÉ 5,0 CM) - EXCLUSIVE TRANSPORTE. AF_11/2019</v>
          </cell>
          <cell r="D842" t="str">
            <v>M2</v>
          </cell>
          <cell r="E842">
            <v>1690</v>
          </cell>
          <cell r="F842">
            <v>8.16</v>
          </cell>
          <cell r="G842">
            <v>10.08</v>
          </cell>
          <cell r="H842">
            <v>17035.2</v>
          </cell>
          <cell r="I842">
            <v>8.2899999999999991</v>
          </cell>
          <cell r="J842">
            <v>9.75</v>
          </cell>
          <cell r="K842">
            <v>16477.5</v>
          </cell>
        </row>
        <row r="843">
          <cell r="A843" t="str">
            <v>1.14.5.2</v>
          </cell>
          <cell r="B843">
            <v>100983</v>
          </cell>
          <cell r="C843" t="str">
            <v>CARGA, MANOBRA E DESCARGA DE ENTULHO EM CAMINHÃO BASCULANTE 14 M³ - CARGA COM ESCAVADEIRA HIDRÁULICA  (CAÇAMBA DE 0,80 M³ / 111 HP) E DESCARGA LIVRE (UNIDADE: M3). AF_07/2020</v>
          </cell>
          <cell r="D843" t="str">
            <v>M3</v>
          </cell>
          <cell r="E843">
            <v>84.5</v>
          </cell>
          <cell r="F843">
            <v>9.31</v>
          </cell>
          <cell r="G843">
            <v>11.51</v>
          </cell>
          <cell r="H843">
            <v>972.6</v>
          </cell>
          <cell r="I843">
            <v>9.49</v>
          </cell>
          <cell r="J843">
            <v>11.16</v>
          </cell>
          <cell r="K843">
            <v>943.02</v>
          </cell>
        </row>
        <row r="844">
          <cell r="A844" t="str">
            <v>1.14.5.3</v>
          </cell>
          <cell r="B844">
            <v>95876</v>
          </cell>
          <cell r="C844" t="str">
            <v>TRANSPORTE COM CAMINHÃO BASCULANTE DE 14 M³, EM VIA URBANA PAVIMENTADA, DMT ATÉ 30 KM (UNIDADE: M3XKM). AF_07/2020</v>
          </cell>
          <cell r="D844" t="str">
            <v>M3XKM</v>
          </cell>
          <cell r="E844">
            <v>405.6</v>
          </cell>
          <cell r="F844">
            <v>2.2400000000000002</v>
          </cell>
          <cell r="G844">
            <v>2.77</v>
          </cell>
          <cell r="H844">
            <v>1123.51</v>
          </cell>
          <cell r="I844">
            <v>2.27</v>
          </cell>
          <cell r="J844">
            <v>2.67</v>
          </cell>
          <cell r="K844">
            <v>1082.95</v>
          </cell>
        </row>
        <row r="845">
          <cell r="A845" t="str">
            <v>1.14.5.4</v>
          </cell>
          <cell r="B845">
            <v>96402</v>
          </cell>
          <cell r="C845" t="str">
            <v>EXECUÇÃO DE PINTURA DE LIGAÇÃO COM EMULSÃO ASFÁLTICA RR-2C. AF_11/2019</v>
          </cell>
          <cell r="D845" t="str">
            <v>M2</v>
          </cell>
          <cell r="E845">
            <v>2901.34</v>
          </cell>
          <cell r="F845">
            <v>2.88</v>
          </cell>
          <cell r="G845">
            <v>3.56</v>
          </cell>
          <cell r="H845">
            <v>10328.77</v>
          </cell>
          <cell r="I845">
            <v>2.93</v>
          </cell>
          <cell r="J845">
            <v>3.44</v>
          </cell>
          <cell r="K845">
            <v>9980.61</v>
          </cell>
        </row>
        <row r="846">
          <cell r="A846" t="str">
            <v>1.14.5.5</v>
          </cell>
          <cell r="B846" t="str">
            <v>CP-96401-52745838</v>
          </cell>
          <cell r="C846" t="str">
            <v>EXECUÇÃO DE IMPRIMAÇÃO COM ASFALTO DILUÍDO CM-30, EXCLUSIVE MATERIAL.</v>
          </cell>
          <cell r="D846" t="str">
            <v>M2</v>
          </cell>
          <cell r="E846">
            <v>586.44000000000005</v>
          </cell>
          <cell r="F846">
            <v>1.18</v>
          </cell>
          <cell r="G846">
            <v>1.46</v>
          </cell>
          <cell r="H846">
            <v>856.2</v>
          </cell>
          <cell r="I846">
            <v>1.24</v>
          </cell>
          <cell r="J846">
            <v>1.46</v>
          </cell>
          <cell r="K846">
            <v>856.2</v>
          </cell>
        </row>
        <row r="847">
          <cell r="A847" t="str">
            <v>1.14.5.6</v>
          </cell>
          <cell r="B847" t="str">
            <v>CP-95995-51339760</v>
          </cell>
          <cell r="C847" t="str">
            <v>EXECUÇÃO DE PAVIMENTO COM APLICAÇÃO DE CONCRETO ASFÁLTICO, CAMADA DE ROLAMENTO - EXCLUSIVE CARGA E TRANSPORTE E CONCRETO BETUMINOSO</v>
          </cell>
          <cell r="D847" t="str">
            <v>M3</v>
          </cell>
          <cell r="E847">
            <v>174.39</v>
          </cell>
          <cell r="F847">
            <v>127.58</v>
          </cell>
          <cell r="G847">
            <v>157.68</v>
          </cell>
          <cell r="H847">
            <v>27497.82</v>
          </cell>
          <cell r="I847">
            <v>133.37</v>
          </cell>
          <cell r="J847">
            <v>156.80000000000001</v>
          </cell>
          <cell r="K847">
            <v>27344.35</v>
          </cell>
        </row>
        <row r="848">
          <cell r="A848" t="str">
            <v>1.14.5.7</v>
          </cell>
          <cell r="B848" t="str">
            <v>COMP-10034101</v>
          </cell>
          <cell r="C848" t="str">
            <v>CARGA, MANOBRAS E DESCARGA DE MISTURA BETUMINOSA A QUENTE, COM CAMINHAO BASCULANTE 6 M3, DESCARGA EM VIBRO-ACABADORA</v>
          </cell>
          <cell r="D848" t="str">
            <v>M3</v>
          </cell>
          <cell r="E848">
            <v>174.39</v>
          </cell>
          <cell r="F848">
            <v>7.74</v>
          </cell>
          <cell r="G848">
            <v>9.57</v>
          </cell>
          <cell r="H848">
            <v>1668.91</v>
          </cell>
          <cell r="I848">
            <v>7.86</v>
          </cell>
          <cell r="J848">
            <v>9.24</v>
          </cell>
          <cell r="K848">
            <v>1611.36</v>
          </cell>
        </row>
        <row r="849">
          <cell r="A849" t="str">
            <v>1.14.5.8</v>
          </cell>
          <cell r="B849" t="str">
            <v>CP-95303-56931542</v>
          </cell>
          <cell r="C849" t="str">
            <v>TRANSPORTE COM CAMINHÃO BASCULANTE 10 M3 DE MASSA ASFALTICA PARA PAVIMENTAÇÃO URBANA</v>
          </cell>
          <cell r="D849" t="str">
            <v>M3XKM</v>
          </cell>
          <cell r="E849">
            <v>3104.14</v>
          </cell>
          <cell r="F849">
            <v>1.75</v>
          </cell>
          <cell r="G849">
            <v>2.16</v>
          </cell>
          <cell r="H849">
            <v>6704.94</v>
          </cell>
          <cell r="I849">
            <v>1.77</v>
          </cell>
          <cell r="J849">
            <v>2.08</v>
          </cell>
          <cell r="K849">
            <v>6456.61</v>
          </cell>
        </row>
        <row r="850">
          <cell r="A850" t="str">
            <v>1.14.5.9</v>
          </cell>
          <cell r="B850">
            <v>100576</v>
          </cell>
          <cell r="C850" t="str">
            <v>REGULARIZAÇÃO E COMPACTAÇÃO DE SUBLEITO DE SOLO  PREDOMINANTEMENTE ARGILOSO. AF_11/2019</v>
          </cell>
          <cell r="D850" t="str">
            <v>M2</v>
          </cell>
          <cell r="E850">
            <v>683.76</v>
          </cell>
          <cell r="F850">
            <v>2.64</v>
          </cell>
          <cell r="G850">
            <v>3.26</v>
          </cell>
          <cell r="H850">
            <v>2229.06</v>
          </cell>
          <cell r="I850">
            <v>2.79</v>
          </cell>
          <cell r="J850">
            <v>3.28</v>
          </cell>
          <cell r="K850">
            <v>2242.73</v>
          </cell>
        </row>
        <row r="851">
          <cell r="A851" t="str">
            <v>1.14.5.10</v>
          </cell>
          <cell r="B851" t="str">
            <v>COMP-28881239</v>
          </cell>
          <cell r="C851" t="str">
            <v>Base ou sub-base de macadame hidráulico com brita comercial - EXCLUSIVE MATERIAL, CARGA E TRANSPORTE - NÃO DESONERADO</v>
          </cell>
          <cell r="D851" t="str">
            <v>M3</v>
          </cell>
          <cell r="E851">
            <v>102.56</v>
          </cell>
          <cell r="F851">
            <v>11.24</v>
          </cell>
          <cell r="G851">
            <v>13.89</v>
          </cell>
          <cell r="H851">
            <v>1424.56</v>
          </cell>
          <cell r="I851">
            <v>11.4</v>
          </cell>
          <cell r="J851">
            <v>13.4</v>
          </cell>
          <cell r="K851">
            <v>1374.3</v>
          </cell>
        </row>
        <row r="852">
          <cell r="A852" t="str">
            <v>1.14.5.11</v>
          </cell>
          <cell r="B852" t="str">
            <v>CP-96396-26507981</v>
          </cell>
          <cell r="C852" t="str">
            <v>EXECUÇÃO E COMPACTAÇÃO DE BASE E OU SUB BASE PARA PAVIMENTAÇÃO DE BRITA GRADUADA SIMPLES - EXCLUSIVE MATERIAL, CARGA E TRANSPORTE</v>
          </cell>
          <cell r="D852" t="str">
            <v>M3</v>
          </cell>
          <cell r="E852">
            <v>117.22</v>
          </cell>
          <cell r="F852">
            <v>13.86</v>
          </cell>
          <cell r="G852">
            <v>17.13</v>
          </cell>
          <cell r="H852">
            <v>2007.98</v>
          </cell>
          <cell r="I852">
            <v>14.44</v>
          </cell>
          <cell r="J852">
            <v>16.98</v>
          </cell>
          <cell r="K852">
            <v>1990.4</v>
          </cell>
        </row>
        <row r="853">
          <cell r="A853" t="str">
            <v>1.14.5.12</v>
          </cell>
          <cell r="B853" t="str">
            <v>COMP-35145154</v>
          </cell>
          <cell r="C853" t="str">
            <v>CARGA E DESCARGA MECANICA DE SOLO UTILIZANDO CAMINHAO BASCULANTE 14,0M3/36T E PA CARREGADEIRA SOBRE PNEUS 128 HP, CAPACIDADE DA CAÇAMBA 1,7 A 2,8 M3, PESO OPERACIONAL 11632 KH</v>
          </cell>
          <cell r="D853" t="str">
            <v>M3</v>
          </cell>
          <cell r="E853">
            <v>274.73</v>
          </cell>
          <cell r="F853">
            <v>2.83</v>
          </cell>
          <cell r="G853">
            <v>3.5</v>
          </cell>
          <cell r="H853">
            <v>961.56</v>
          </cell>
          <cell r="I853">
            <v>2.9</v>
          </cell>
          <cell r="J853">
            <v>3.41</v>
          </cell>
          <cell r="K853">
            <v>936.83</v>
          </cell>
        </row>
        <row r="854">
          <cell r="A854" t="str">
            <v>1.14.5.13</v>
          </cell>
          <cell r="B854" t="str">
            <v>COMP-83526730</v>
          </cell>
          <cell r="C854" t="str">
            <v>TRANSPORTE COMERCIAL DE BRITA</v>
          </cell>
          <cell r="D854" t="str">
            <v>M3XKM</v>
          </cell>
          <cell r="E854">
            <v>3131.92</v>
          </cell>
          <cell r="F854">
            <v>1.36</v>
          </cell>
          <cell r="G854">
            <v>1.68</v>
          </cell>
          <cell r="H854">
            <v>5261.63</v>
          </cell>
          <cell r="I854">
            <v>1.37</v>
          </cell>
          <cell r="J854">
            <v>1.61</v>
          </cell>
          <cell r="K854">
            <v>5042.3900000000003</v>
          </cell>
        </row>
        <row r="855">
          <cell r="A855" t="str">
            <v>1.14.5.14</v>
          </cell>
          <cell r="B855" t="str">
            <v>CP-97084-89637704</v>
          </cell>
          <cell r="C855" t="str">
            <v>REGULARIZACAO E COMPACTAÇÃO MANUAL DE TERRENO COM PLACA VIBRATÓRIA</v>
          </cell>
          <cell r="D855" t="str">
            <v>M2</v>
          </cell>
          <cell r="E855">
            <v>1335.98</v>
          </cell>
          <cell r="F855">
            <v>0.59</v>
          </cell>
          <cell r="G855">
            <v>0.73</v>
          </cell>
          <cell r="H855">
            <v>975.27</v>
          </cell>
          <cell r="I855">
            <v>0.65</v>
          </cell>
          <cell r="J855">
            <v>0.76</v>
          </cell>
          <cell r="K855">
            <v>1015.34</v>
          </cell>
        </row>
        <row r="856">
          <cell r="A856" t="str">
            <v>1.14.5.15</v>
          </cell>
          <cell r="B856" t="str">
            <v>CP-94991-12549457</v>
          </cell>
          <cell r="C856" t="str">
            <v>EXECUÇÃO DE PASSEIO (CALÇADA) OU PISO DE CONCRETO COM CONCRETO MOLDADO IN LOCO, USINADO, ACABAMENTO CONVENCIONAL, NÃO ARMADO - EXCLUINDO O CONCRETO USINADO 20MPA</v>
          </cell>
          <cell r="D856" t="str">
            <v>M3</v>
          </cell>
          <cell r="E856">
            <v>91.66</v>
          </cell>
          <cell r="F856">
            <v>104.6</v>
          </cell>
          <cell r="G856">
            <v>129.28</v>
          </cell>
          <cell r="H856">
            <v>11849.8</v>
          </cell>
          <cell r="I856">
            <v>112.75</v>
          </cell>
          <cell r="J856">
            <v>132.56</v>
          </cell>
          <cell r="K856">
            <v>12150.45</v>
          </cell>
        </row>
        <row r="857">
          <cell r="A857" t="str">
            <v>1.14.5.16</v>
          </cell>
          <cell r="B857">
            <v>94273</v>
          </cell>
          <cell r="C857" t="str">
            <v>ASSENTAMENTO DE GUIA (MEIO-FIO) EM TRECHO RETO, CONFECCIONADA EM CONCRETO PRÉ-FABRICADO, DIMENSÕES 100X15X13X30 CM (COMPRIMENTO X BASE INFERIOR X BASE SUPERIOR X ALTURA), PARA VIAS URBANAS (USO VIÁRIO). AF_06/2016</v>
          </cell>
          <cell r="D857" t="str">
            <v>M</v>
          </cell>
          <cell r="E857">
            <v>623.99</v>
          </cell>
          <cell r="F857">
            <v>54.61</v>
          </cell>
          <cell r="G857">
            <v>67.489999999999995</v>
          </cell>
          <cell r="H857">
            <v>42113.09</v>
          </cell>
          <cell r="I857">
            <v>56.47</v>
          </cell>
          <cell r="J857">
            <v>66.39</v>
          </cell>
          <cell r="K857">
            <v>41426.699999999997</v>
          </cell>
        </row>
        <row r="858">
          <cell r="A858" t="str">
            <v>1.14.5.17</v>
          </cell>
          <cell r="B858">
            <v>94274</v>
          </cell>
          <cell r="C858" t="str">
            <v>ASSENTAMENTO DE GUIA (MEIO-FIO) EM TRECHO CURVO, CONFECCIONADA EM CONCRETO PRÉ-FABRICADO, DIMENSÕES 100X15X13X30 CM (COMPRIMENTO X BASE INFERIOR X BASE SUPERIOR X ALTURA), PARA VIAS URBANAS (USO VIÁRIO). AF_06/2016</v>
          </cell>
          <cell r="D858" t="str">
            <v>M</v>
          </cell>
          <cell r="E858">
            <v>34.86</v>
          </cell>
          <cell r="F858">
            <v>58.17</v>
          </cell>
          <cell r="G858">
            <v>71.89</v>
          </cell>
          <cell r="H858">
            <v>2506.09</v>
          </cell>
          <cell r="I858">
            <v>60.43</v>
          </cell>
          <cell r="J858">
            <v>71.05</v>
          </cell>
          <cell r="K858">
            <v>2476.8000000000002</v>
          </cell>
        </row>
        <row r="859">
          <cell r="A859" t="str">
            <v>1.14.5.18</v>
          </cell>
          <cell r="B859">
            <v>94287</v>
          </cell>
          <cell r="C859" t="str">
            <v>EXECUÇÃO DE SARJETA DE CONCRETO USINADO, MOLDADA  IN LOCO  EM TRECHO RETO, 30 CM BASE X 10 CM ALTURA. AF_06/2016</v>
          </cell>
          <cell r="D859" t="str">
            <v>M</v>
          </cell>
          <cell r="E859">
            <v>623.99</v>
          </cell>
          <cell r="F859">
            <v>37.69</v>
          </cell>
          <cell r="G859">
            <v>46.58</v>
          </cell>
          <cell r="H859">
            <v>29065.45</v>
          </cell>
          <cell r="I859">
            <v>39.770000000000003</v>
          </cell>
          <cell r="J859">
            <v>46.76</v>
          </cell>
          <cell r="K859">
            <v>29177.77</v>
          </cell>
        </row>
        <row r="860">
          <cell r="A860" t="str">
            <v>1.14.5.19</v>
          </cell>
          <cell r="B860">
            <v>94288</v>
          </cell>
          <cell r="C860" t="str">
            <v>EXECUÇÃO DE SARJETA DE CONCRETO USINADO, MOLDADA  IN LOCO  EM TRECHO CURVO, 30 CM BASE X 10 CM ALTURA. AF_06/2016</v>
          </cell>
          <cell r="D860" t="str">
            <v>M</v>
          </cell>
          <cell r="E860">
            <v>34.86</v>
          </cell>
          <cell r="F860">
            <v>47.14</v>
          </cell>
          <cell r="G860">
            <v>58.26</v>
          </cell>
          <cell r="H860">
            <v>2030.94</v>
          </cell>
          <cell r="I860">
            <v>50.32</v>
          </cell>
          <cell r="J860">
            <v>59.16</v>
          </cell>
          <cell r="K860">
            <v>2062.3200000000002</v>
          </cell>
        </row>
        <row r="861">
          <cell r="A861" t="str">
            <v>1.14.6</v>
          </cell>
          <cell r="B861"/>
          <cell r="C861" t="str">
            <v>SINALIZAÇÃO</v>
          </cell>
          <cell r="D861"/>
          <cell r="E861"/>
          <cell r="F861"/>
          <cell r="G861"/>
          <cell r="H861">
            <v>17002.25</v>
          </cell>
          <cell r="I861"/>
          <cell r="J861"/>
          <cell r="K861">
            <v>16776.330000000002</v>
          </cell>
        </row>
        <row r="862">
          <cell r="A862" t="str">
            <v>1.14.6.1</v>
          </cell>
          <cell r="B862">
            <v>5213416</v>
          </cell>
          <cell r="C862" t="str">
            <v>Confecção de placa em aço nº 16 galvanizado, com película tipo I + I</v>
          </cell>
          <cell r="D862" t="str">
            <v xml:space="preserve">M2    </v>
          </cell>
          <cell r="E862">
            <v>0.6</v>
          </cell>
          <cell r="F862">
            <v>351.9</v>
          </cell>
          <cell r="G862">
            <v>434.91</v>
          </cell>
          <cell r="H862">
            <v>260.95</v>
          </cell>
          <cell r="I862">
            <v>355.35</v>
          </cell>
          <cell r="J862">
            <v>417.78</v>
          </cell>
          <cell r="K862">
            <v>250.67</v>
          </cell>
        </row>
        <row r="863">
          <cell r="A863" t="str">
            <v>1.14.6.2</v>
          </cell>
          <cell r="B863">
            <v>5213421</v>
          </cell>
          <cell r="C863" t="str">
            <v>Confecção de placa em aço nº 16 galvanizado, com película tipo I + IV</v>
          </cell>
          <cell r="D863" t="str">
            <v xml:space="preserve">M2    </v>
          </cell>
          <cell r="E863">
            <v>6.53</v>
          </cell>
          <cell r="F863">
            <v>343.8</v>
          </cell>
          <cell r="G863">
            <v>424.9</v>
          </cell>
          <cell r="H863">
            <v>2774.6</v>
          </cell>
          <cell r="I863">
            <v>347.25</v>
          </cell>
          <cell r="J863">
            <v>408.26</v>
          </cell>
          <cell r="K863">
            <v>2665.94</v>
          </cell>
        </row>
        <row r="864">
          <cell r="A864" t="str">
            <v>1.14.6.3</v>
          </cell>
          <cell r="B864">
            <v>5216111</v>
          </cell>
          <cell r="C864" t="str">
            <v>FORNECIMENTO E IMPLANTAÇÃO DE SUPORTE E TRAVESSA PARA PLACA DE SINALIZAÇÃO EM MADEIRA DE LEI TRATADA 8 X 8 CM</v>
          </cell>
          <cell r="D864" t="str">
            <v>UND</v>
          </cell>
          <cell r="E864">
            <v>12</v>
          </cell>
          <cell r="F864">
            <v>119.1379</v>
          </cell>
          <cell r="G864">
            <v>147.24</v>
          </cell>
          <cell r="H864">
            <v>1766.88</v>
          </cell>
          <cell r="I864">
            <v>121.48</v>
          </cell>
          <cell r="J864">
            <v>142.82</v>
          </cell>
          <cell r="K864">
            <v>1713.84</v>
          </cell>
        </row>
        <row r="865">
          <cell r="A865" t="str">
            <v>1.14.6.4</v>
          </cell>
          <cell r="B865" t="str">
            <v>COMP-58084869</v>
          </cell>
          <cell r="C865" t="str">
            <v>PLACA ESMALTADA PARA IDENTIFICAÇÃO NR DE RUA, DIMENSÕES 45X25CM</v>
          </cell>
          <cell r="D865" t="str">
            <v>UND</v>
          </cell>
          <cell r="E865">
            <v>6</v>
          </cell>
          <cell r="F865">
            <v>155.54</v>
          </cell>
          <cell r="G865">
            <v>192.23</v>
          </cell>
          <cell r="H865">
            <v>1153.3800000000001</v>
          </cell>
          <cell r="I865">
            <v>156.33000000000001</v>
          </cell>
          <cell r="J865">
            <v>183.8</v>
          </cell>
          <cell r="K865">
            <v>1102.8</v>
          </cell>
        </row>
        <row r="866">
          <cell r="A866" t="str">
            <v>1.14.6.5</v>
          </cell>
          <cell r="B866">
            <v>102509</v>
          </cell>
          <cell r="C866" t="str">
            <v>PINTURA DE FAIXA DE PEDESTRE OU ZEBRADA TINTA RETRORREFLETIVA A BASE DE RESINA ACRÍLICA COM MICROESFERAS DE VIDRO, E = 30 CM, APLICAÇÃO MANUAL. AF_05/2021</v>
          </cell>
          <cell r="D866" t="str">
            <v>M2</v>
          </cell>
          <cell r="E866">
            <v>111.18</v>
          </cell>
          <cell r="F866">
            <v>22.91</v>
          </cell>
          <cell r="G866">
            <v>28.31</v>
          </cell>
          <cell r="H866">
            <v>3147.51</v>
          </cell>
          <cell r="I866">
            <v>24.15</v>
          </cell>
          <cell r="J866">
            <v>28.39</v>
          </cell>
          <cell r="K866">
            <v>3156.4</v>
          </cell>
        </row>
        <row r="867">
          <cell r="A867" t="str">
            <v>1.14.6.6</v>
          </cell>
          <cell r="B867">
            <v>102512</v>
          </cell>
          <cell r="C867" t="str">
            <v>PINTURA DE EIXO VIÁRIO SOBRE ASFALTO COM TINTA RETRORREFLETIVA A BASE DE RESINA ACRÍLICA COM MICROESFERAS DE VIDRO, APLICAÇÃO MECÂNICA COM DEMARCADORA AUTOPROPELIDA. AF_05/2021</v>
          </cell>
          <cell r="D867" t="str">
            <v>M</v>
          </cell>
          <cell r="E867">
            <v>1224.6400000000001</v>
          </cell>
          <cell r="F867">
            <v>5.22</v>
          </cell>
          <cell r="G867">
            <v>6.45</v>
          </cell>
          <cell r="H867">
            <v>7898.93</v>
          </cell>
          <cell r="I867">
            <v>5.48</v>
          </cell>
          <cell r="J867">
            <v>6.44</v>
          </cell>
          <cell r="K867">
            <v>7886.68</v>
          </cell>
        </row>
        <row r="868">
          <cell r="A868" t="str">
            <v>1.14.7</v>
          </cell>
          <cell r="B868"/>
          <cell r="C868" t="str">
            <v>ACESSIBILIDADE</v>
          </cell>
          <cell r="D868"/>
          <cell r="E868"/>
          <cell r="F868"/>
          <cell r="G868"/>
          <cell r="H868">
            <v>3559.22</v>
          </cell>
          <cell r="I868"/>
          <cell r="J868"/>
          <cell r="K868">
            <v>3500.12</v>
          </cell>
        </row>
        <row r="869">
          <cell r="A869" t="str">
            <v>1.14.7.1</v>
          </cell>
          <cell r="B869" t="str">
            <v>CP-S12039-81921471</v>
          </cell>
          <cell r="C869" t="str">
            <v>Piso tátil direcional e/ou alerta, de concreto, na cor natural, p/deficientes visuais, dimensões 40x40cm, aplicado com argamassa industrializada ac-ii, rejuntado, exclusive regularização de base</v>
          </cell>
          <cell r="D869" t="str">
            <v>M2</v>
          </cell>
          <cell r="E869">
            <v>26.5</v>
          </cell>
          <cell r="F869">
            <v>108.67</v>
          </cell>
          <cell r="G869">
            <v>134.31</v>
          </cell>
          <cell r="H869">
            <v>3559.22</v>
          </cell>
          <cell r="I869">
            <v>112.34</v>
          </cell>
          <cell r="J869">
            <v>132.08000000000001</v>
          </cell>
          <cell r="K869">
            <v>3500.12</v>
          </cell>
        </row>
        <row r="870">
          <cell r="A870" t="str">
            <v>1.14.8</v>
          </cell>
          <cell r="B870"/>
          <cell r="C870" t="str">
            <v>MATERIAIS</v>
          </cell>
          <cell r="D870"/>
          <cell r="E870"/>
          <cell r="F870"/>
          <cell r="G870"/>
          <cell r="H870">
            <v>354824.52</v>
          </cell>
          <cell r="I870"/>
          <cell r="J870"/>
          <cell r="K870">
            <v>338267.18</v>
          </cell>
        </row>
        <row r="871">
          <cell r="A871" t="str">
            <v>1.14.8.1</v>
          </cell>
          <cell r="B871">
            <v>10775</v>
          </cell>
          <cell r="C871" t="str">
            <v xml:space="preserve">LOCACAO DE CONTAINER 2,30 X 6,00 M, ALT. 2,50 M, COM 1 SANITARIO, PARA ESCRITORIO, COMPLETO, SEM DIVISORIAS INTERNAS (NAO INCLUI MOBILIZACAO/DESMOBILIZACAO)                                                                                                                                                                                                                                                                                                                                              </v>
          </cell>
          <cell r="D871" t="str">
            <v xml:space="preserve">MES   </v>
          </cell>
          <cell r="E871">
            <v>3</v>
          </cell>
          <cell r="F871">
            <v>830</v>
          </cell>
          <cell r="G871">
            <v>958.32</v>
          </cell>
          <cell r="H871">
            <v>2874.96</v>
          </cell>
          <cell r="I871">
            <v>830</v>
          </cell>
          <cell r="J871">
            <v>913.58</v>
          </cell>
          <cell r="K871">
            <v>2740.74</v>
          </cell>
        </row>
        <row r="872">
          <cell r="A872" t="str">
            <v>1.14.8.2</v>
          </cell>
          <cell r="B872">
            <v>10776</v>
          </cell>
          <cell r="C872" t="str">
            <v xml:space="preserve">LOCACAO DE CONTAINER 2,30 X 6,00 M, ALT. 2,50 M, PARA ESCRITORIO, SEM DIVISORIAS INTERNAS E SEM SANITARIO (NAO INCLUI MOBILIZACAO/DESMOBILIZACAO)                                                                                                                                                                                                                                                                                                                                                         </v>
          </cell>
          <cell r="D872" t="str">
            <v xml:space="preserve">MES   </v>
          </cell>
          <cell r="E872">
            <v>3</v>
          </cell>
          <cell r="F872">
            <v>648.42999999999995</v>
          </cell>
          <cell r="G872">
            <v>748.68</v>
          </cell>
          <cell r="H872">
            <v>2246.04</v>
          </cell>
          <cell r="I872">
            <v>648.42999999999995</v>
          </cell>
          <cell r="J872">
            <v>713.73</v>
          </cell>
          <cell r="K872">
            <v>2141.19</v>
          </cell>
        </row>
        <row r="873">
          <cell r="A873" t="str">
            <v>1.14.8.3</v>
          </cell>
          <cell r="B873">
            <v>1518</v>
          </cell>
          <cell r="C873" t="str">
            <v xml:space="preserve">CONCRETO BETUMINOSO USINADO A QUENTE (CBUQ) PARA PAVIMENTACAO ASFALTICA, PADRAO DNIT, FAIXA C, COM CAP 50/70 - AQUISICAO POSTO USINA                                                                                                                                                                                                                                                                                                                                                                      </v>
          </cell>
          <cell r="D873" t="str">
            <v xml:space="preserve">T     </v>
          </cell>
          <cell r="E873">
            <v>445.53</v>
          </cell>
          <cell r="F873">
            <v>522.5</v>
          </cell>
          <cell r="G873">
            <v>603.28</v>
          </cell>
          <cell r="H873">
            <v>268779.34000000003</v>
          </cell>
          <cell r="I873">
            <v>522.5</v>
          </cell>
          <cell r="J873">
            <v>575.12</v>
          </cell>
          <cell r="K873">
            <v>256233.21</v>
          </cell>
        </row>
        <row r="874">
          <cell r="A874" t="str">
            <v>1.14.8.4</v>
          </cell>
          <cell r="B874" t="str">
            <v>INS-185032</v>
          </cell>
          <cell r="C874" t="str">
            <v>BRITA GRADUADA SIMPLES (BGS)</v>
          </cell>
          <cell r="D874" t="str">
            <v>M3</v>
          </cell>
          <cell r="E874">
            <v>117.22</v>
          </cell>
          <cell r="F874">
            <v>56.099999999999994</v>
          </cell>
          <cell r="G874">
            <v>64.77</v>
          </cell>
          <cell r="H874">
            <v>7592.34</v>
          </cell>
          <cell r="I874">
            <v>56.099999999999994</v>
          </cell>
          <cell r="J874">
            <v>61.75</v>
          </cell>
          <cell r="K874">
            <v>7238.34</v>
          </cell>
        </row>
        <row r="875">
          <cell r="A875" t="str">
            <v>1.14.8.5</v>
          </cell>
          <cell r="B875" t="str">
            <v>M0808</v>
          </cell>
          <cell r="C875" t="str">
            <v>Brita 4</v>
          </cell>
          <cell r="D875" t="str">
            <v>M3</v>
          </cell>
          <cell r="E875">
            <v>129.22999999999999</v>
          </cell>
          <cell r="F875">
            <v>90.74</v>
          </cell>
          <cell r="G875">
            <v>104.77</v>
          </cell>
          <cell r="H875">
            <v>13539.43</v>
          </cell>
          <cell r="I875">
            <v>90.74</v>
          </cell>
          <cell r="J875">
            <v>99.88</v>
          </cell>
          <cell r="K875">
            <v>12907.49</v>
          </cell>
        </row>
        <row r="876">
          <cell r="A876" t="str">
            <v>1.14.8.6</v>
          </cell>
          <cell r="B876" t="str">
            <v>M1135</v>
          </cell>
          <cell r="C876" t="str">
            <v>Pó de pedra</v>
          </cell>
          <cell r="D876" t="str">
            <v>M3</v>
          </cell>
          <cell r="E876">
            <v>14.36</v>
          </cell>
          <cell r="F876">
            <v>74.53</v>
          </cell>
          <cell r="G876">
            <v>86.05</v>
          </cell>
          <cell r="H876">
            <v>1235.68</v>
          </cell>
          <cell r="I876">
            <v>74.53</v>
          </cell>
          <cell r="J876">
            <v>82.04</v>
          </cell>
          <cell r="K876">
            <v>1178.0899999999999</v>
          </cell>
        </row>
        <row r="877">
          <cell r="A877" t="str">
            <v>1.14.8.7</v>
          </cell>
          <cell r="B877" t="str">
            <v>INS-54745269</v>
          </cell>
          <cell r="C877" t="str">
            <v>ASFALTO DILUÍDO CM - 30 - JUNHO/22</v>
          </cell>
          <cell r="D877" t="str">
            <v>KG</v>
          </cell>
          <cell r="E877">
            <v>703.73</v>
          </cell>
          <cell r="F877">
            <v>5.32</v>
          </cell>
          <cell r="G877">
            <v>6.14</v>
          </cell>
          <cell r="H877">
            <v>4320.8999999999996</v>
          </cell>
          <cell r="I877">
            <v>5.32</v>
          </cell>
          <cell r="J877">
            <v>5.86</v>
          </cell>
          <cell r="K877">
            <v>4123.8599999999997</v>
          </cell>
        </row>
        <row r="878">
          <cell r="A878" t="str">
            <v>1.14.8.8</v>
          </cell>
          <cell r="B878">
            <v>34492</v>
          </cell>
          <cell r="C878" t="str">
            <v xml:space="preserve">CONCRETO USINADO BOMBEAVEL, CLASSE DE RESISTENCIA C20, COM BRITA 0 E 1, SLUMP = 100 +/- 20 MM, EXCLUI SERVICO DE BOMBEAMENTO (NBR 8953)                                                                                                                                                                                                                                                                                                                                                                   </v>
          </cell>
          <cell r="D878" t="str">
            <v xml:space="preserve">M3    </v>
          </cell>
          <cell r="E878">
            <v>111.18</v>
          </cell>
          <cell r="F878">
            <v>422.5</v>
          </cell>
          <cell r="G878">
            <v>487.82</v>
          </cell>
          <cell r="H878">
            <v>54235.83</v>
          </cell>
          <cell r="I878">
            <v>422.5</v>
          </cell>
          <cell r="J878">
            <v>465.05</v>
          </cell>
          <cell r="K878">
            <v>51704.26</v>
          </cell>
        </row>
        <row r="879">
          <cell r="A879" t="str">
            <v>1.15</v>
          </cell>
          <cell r="B879"/>
          <cell r="C879" t="str">
            <v>RUA PARAGOMINAS - PRAZERES</v>
          </cell>
          <cell r="D879"/>
          <cell r="E879"/>
          <cell r="F879"/>
          <cell r="G879"/>
          <cell r="H879">
            <v>1976761.62</v>
          </cell>
          <cell r="I879"/>
          <cell r="J879"/>
          <cell r="K879">
            <v>1933447.72</v>
          </cell>
        </row>
        <row r="880">
          <cell r="A880" t="str">
            <v>1.15.1</v>
          </cell>
          <cell r="B880"/>
          <cell r="C880" t="str">
            <v>INSTALAÇÕES PROVISÓRIAS</v>
          </cell>
          <cell r="D880"/>
          <cell r="E880"/>
          <cell r="F880"/>
          <cell r="G880"/>
          <cell r="H880">
            <v>14171.78</v>
          </cell>
          <cell r="I880"/>
          <cell r="J880"/>
          <cell r="K880">
            <v>13543.98</v>
          </cell>
        </row>
        <row r="881">
          <cell r="A881" t="str">
            <v>1.15.1.1</v>
          </cell>
          <cell r="B881" t="str">
            <v>CP-74209/001-15055090</v>
          </cell>
          <cell r="C881" t="str">
            <v>PLACA DE OBRA EM CHAPA DE ACO GALVANIZADO</v>
          </cell>
          <cell r="D881" t="str">
            <v xml:space="preserve">M2    </v>
          </cell>
          <cell r="E881">
            <v>8</v>
          </cell>
          <cell r="F881">
            <v>558.35</v>
          </cell>
          <cell r="G881">
            <v>690.06</v>
          </cell>
          <cell r="H881">
            <v>5520.48</v>
          </cell>
          <cell r="I881">
            <v>564.99</v>
          </cell>
          <cell r="J881">
            <v>664.26</v>
          </cell>
          <cell r="K881">
            <v>5314.08</v>
          </cell>
        </row>
        <row r="882">
          <cell r="A882" t="str">
            <v>1.15.1.2</v>
          </cell>
          <cell r="B882" t="str">
            <v>COMP-07440249</v>
          </cell>
          <cell r="C882" t="str">
            <v>BANHEIRO QUÍMICO, COM LOCAÇÃO, TRANSPORTE E LIMPEZA</v>
          </cell>
          <cell r="D882" t="str">
            <v>MÊS</v>
          </cell>
          <cell r="E882">
            <v>10</v>
          </cell>
          <cell r="F882">
            <v>700</v>
          </cell>
          <cell r="G882">
            <v>865.13</v>
          </cell>
          <cell r="H882">
            <v>8651.2999999999993</v>
          </cell>
          <cell r="I882">
            <v>700</v>
          </cell>
          <cell r="J882">
            <v>822.99</v>
          </cell>
          <cell r="K882">
            <v>8229.9</v>
          </cell>
        </row>
        <row r="883">
          <cell r="A883" t="str">
            <v>1.15.2</v>
          </cell>
          <cell r="B883"/>
          <cell r="C883" t="str">
            <v>ADMINISTRAÇÃO LOCAL</v>
          </cell>
          <cell r="D883"/>
          <cell r="E883"/>
          <cell r="F883"/>
          <cell r="G883"/>
          <cell r="H883">
            <v>58368.480000000003</v>
          </cell>
          <cell r="I883"/>
          <cell r="J883"/>
          <cell r="K883">
            <v>63939.18</v>
          </cell>
        </row>
        <row r="884">
          <cell r="A884" t="str">
            <v>1.15.2.1</v>
          </cell>
          <cell r="B884">
            <v>93565</v>
          </cell>
          <cell r="C884" t="str">
            <v>ENGENHEIRO CIVIL DE OBRA JUNIOR COM ENCARGOS COMPLEMENTARES</v>
          </cell>
          <cell r="D884" t="str">
            <v>MES</v>
          </cell>
          <cell r="E884">
            <v>1.25</v>
          </cell>
          <cell r="F884">
            <v>14549.96</v>
          </cell>
          <cell r="G884">
            <v>17982.3</v>
          </cell>
          <cell r="H884">
            <v>22477.88</v>
          </cell>
          <cell r="I884">
            <v>16819.14</v>
          </cell>
          <cell r="J884">
            <v>19774.259999999998</v>
          </cell>
          <cell r="K884">
            <v>24717.83</v>
          </cell>
        </row>
        <row r="885">
          <cell r="A885" t="str">
            <v>1.15.2.2</v>
          </cell>
          <cell r="B885">
            <v>93572</v>
          </cell>
          <cell r="C885" t="str">
            <v>ENCARREGADO GERAL DE OBRAS COM ENCARGOS COMPLEMENTARES</v>
          </cell>
          <cell r="D885" t="str">
            <v>MES</v>
          </cell>
          <cell r="E885">
            <v>5</v>
          </cell>
          <cell r="F885">
            <v>5808.01</v>
          </cell>
          <cell r="G885">
            <v>7178.12</v>
          </cell>
          <cell r="H885">
            <v>35890.6</v>
          </cell>
          <cell r="I885">
            <v>6672</v>
          </cell>
          <cell r="J885">
            <v>7844.27</v>
          </cell>
          <cell r="K885">
            <v>39221.35</v>
          </cell>
        </row>
        <row r="886">
          <cell r="A886" t="str">
            <v>1.15.3</v>
          </cell>
          <cell r="B886"/>
          <cell r="C886" t="str">
            <v>SERVIÇOS PRELIMINARES</v>
          </cell>
          <cell r="D886"/>
          <cell r="E886"/>
          <cell r="F886"/>
          <cell r="G886"/>
          <cell r="H886">
            <v>518.5</v>
          </cell>
          <cell r="I886"/>
          <cell r="J886"/>
          <cell r="K886">
            <v>567.41999999999996</v>
          </cell>
        </row>
        <row r="887">
          <cell r="A887" t="str">
            <v>1.15.3.1</v>
          </cell>
          <cell r="B887">
            <v>99064</v>
          </cell>
          <cell r="C887" t="str">
            <v>LOCAÇÃO DE PAVIMENTAÇÃO. AF_10/2018</v>
          </cell>
          <cell r="D887" t="str">
            <v>M</v>
          </cell>
          <cell r="E887">
            <v>978.31</v>
          </cell>
          <cell r="F887">
            <v>0.43</v>
          </cell>
          <cell r="G887">
            <v>0.53</v>
          </cell>
          <cell r="H887">
            <v>518.5</v>
          </cell>
          <cell r="I887">
            <v>0.49</v>
          </cell>
          <cell r="J887">
            <v>0.57999999999999996</v>
          </cell>
          <cell r="K887">
            <v>567.41999999999996</v>
          </cell>
        </row>
        <row r="888">
          <cell r="A888" t="str">
            <v>1.15.4</v>
          </cell>
          <cell r="B888"/>
          <cell r="C888" t="str">
            <v>TERRAPLENAGEM</v>
          </cell>
          <cell r="D888"/>
          <cell r="E888"/>
          <cell r="F888"/>
          <cell r="G888"/>
          <cell r="H888">
            <v>121716.61</v>
          </cell>
          <cell r="I888"/>
          <cell r="J888"/>
          <cell r="K888">
            <v>117553.49</v>
          </cell>
        </row>
        <row r="889">
          <cell r="A889" t="str">
            <v>1.15.4.1</v>
          </cell>
          <cell r="B889" t="str">
            <v>CP-74205/001-17324935</v>
          </cell>
          <cell r="C889" t="str">
            <v>ESCAVAÇÃO MECÂNICA DE MATERIAL 1A. CATEGORIA, PROVENIENTE DE CORTE DE SUBLEITO (C/TRATOR ESTEIRAS  160HP)</v>
          </cell>
          <cell r="D889" t="str">
            <v>M3</v>
          </cell>
          <cell r="E889">
            <v>3357.35</v>
          </cell>
          <cell r="F889">
            <v>2.54</v>
          </cell>
          <cell r="G889">
            <v>3.14</v>
          </cell>
          <cell r="H889">
            <v>10542.08</v>
          </cell>
          <cell r="I889">
            <v>2.59</v>
          </cell>
          <cell r="J889">
            <v>3.05</v>
          </cell>
          <cell r="K889">
            <v>10239.92</v>
          </cell>
        </row>
        <row r="890">
          <cell r="A890" t="str">
            <v>1.15.4.2</v>
          </cell>
          <cell r="B890" t="str">
            <v>COMP-35145154</v>
          </cell>
          <cell r="C890" t="str">
            <v>CARGA E DESCARGA MECANICA DE SOLO UTILIZANDO CAMINHAO BASCULANTE 14,0M3/36T E PA CARREGADEIRA SOBRE PNEUS 128 HP, CAPACIDADE DA CAÇAMBA 1,7 A 2,8 M3, PESO OPERACIONAL 11632 KH</v>
          </cell>
          <cell r="D890" t="str">
            <v>M3</v>
          </cell>
          <cell r="E890">
            <v>4196.6899999999996</v>
          </cell>
          <cell r="F890">
            <v>2.83</v>
          </cell>
          <cell r="G890">
            <v>3.5</v>
          </cell>
          <cell r="H890">
            <v>14688.42</v>
          </cell>
          <cell r="I890">
            <v>2.9</v>
          </cell>
          <cell r="J890">
            <v>3.41</v>
          </cell>
          <cell r="K890">
            <v>14310.71</v>
          </cell>
        </row>
        <row r="891">
          <cell r="A891" t="str">
            <v>1.15.4.3</v>
          </cell>
          <cell r="B891">
            <v>95876</v>
          </cell>
          <cell r="C891" t="str">
            <v>TRANSPORTE COM CAMINHÃO BASCULANTE DE 14 M³, EM VIA URBANA PAVIMENTADA, DMT ATÉ 30 KM (UNIDADE: M3XKM). AF_07/2020</v>
          </cell>
          <cell r="D891" t="str">
            <v>M3XKM</v>
          </cell>
          <cell r="E891">
            <v>34832.53</v>
          </cell>
          <cell r="F891">
            <v>2.2400000000000002</v>
          </cell>
          <cell r="G891">
            <v>2.77</v>
          </cell>
          <cell r="H891">
            <v>96486.11</v>
          </cell>
          <cell r="I891">
            <v>2.27</v>
          </cell>
          <cell r="J891">
            <v>2.67</v>
          </cell>
          <cell r="K891">
            <v>93002.86</v>
          </cell>
        </row>
        <row r="892">
          <cell r="A892" t="str">
            <v>1.15.5</v>
          </cell>
          <cell r="B892"/>
          <cell r="C892" t="str">
            <v>PAVIMENTAÇÃO</v>
          </cell>
          <cell r="D892"/>
          <cell r="E892"/>
          <cell r="F892"/>
          <cell r="G892"/>
          <cell r="H892">
            <v>456972.75</v>
          </cell>
          <cell r="I892"/>
          <cell r="J892"/>
          <cell r="K892">
            <v>448249.48</v>
          </cell>
        </row>
        <row r="893">
          <cell r="A893" t="str">
            <v>1.15.5.1</v>
          </cell>
          <cell r="B893">
            <v>100576</v>
          </cell>
          <cell r="C893" t="str">
            <v>REGULARIZAÇÃO E COMPACTAÇÃO DE SUBLEITO DE SOLO  PREDOMINANTEMENTE ARGILOSO. AF_11/2019</v>
          </cell>
          <cell r="D893" t="str">
            <v>M2</v>
          </cell>
          <cell r="E893">
            <v>5380.71</v>
          </cell>
          <cell r="F893">
            <v>2.64</v>
          </cell>
          <cell r="G893">
            <v>3.26</v>
          </cell>
          <cell r="H893">
            <v>17541.11</v>
          </cell>
          <cell r="I893">
            <v>2.79</v>
          </cell>
          <cell r="J893">
            <v>3.28</v>
          </cell>
          <cell r="K893">
            <v>17648.73</v>
          </cell>
        </row>
        <row r="894">
          <cell r="A894" t="str">
            <v>1.15.5.2</v>
          </cell>
          <cell r="B894" t="str">
            <v>COMP-47176600</v>
          </cell>
          <cell r="C894" t="str">
            <v xml:space="preserve">EXEC. DE ATERRO COM AREIA COM ADENSAMENTO HIDRAULICO </v>
          </cell>
          <cell r="D894" t="str">
            <v xml:space="preserve">M3    </v>
          </cell>
          <cell r="E894">
            <v>1076.1400000000001</v>
          </cell>
          <cell r="F894">
            <v>103.23</v>
          </cell>
          <cell r="G894">
            <v>127.58</v>
          </cell>
          <cell r="H894">
            <v>137293.94</v>
          </cell>
          <cell r="I894">
            <v>104.33</v>
          </cell>
          <cell r="J894">
            <v>122.66</v>
          </cell>
          <cell r="K894">
            <v>131999.32999999999</v>
          </cell>
        </row>
        <row r="895">
          <cell r="A895" t="str">
            <v>1.15.5.3</v>
          </cell>
          <cell r="B895" t="str">
            <v>COMP-28881239</v>
          </cell>
          <cell r="C895" t="str">
            <v>Base ou sub-base de macadame hidráulico com brita comercial - EXCLUSIVE MATERIAL, CARGA E TRANSPORTE - NÃO DESONERADO</v>
          </cell>
          <cell r="D895" t="str">
            <v>M3</v>
          </cell>
          <cell r="E895">
            <v>660.36</v>
          </cell>
          <cell r="F895">
            <v>11.24</v>
          </cell>
          <cell r="G895">
            <v>13.89</v>
          </cell>
          <cell r="H895">
            <v>9172.4</v>
          </cell>
          <cell r="I895">
            <v>11.4</v>
          </cell>
          <cell r="J895">
            <v>13.4</v>
          </cell>
          <cell r="K895">
            <v>8848.82</v>
          </cell>
        </row>
        <row r="896">
          <cell r="A896" t="str">
            <v>1.15.5.4</v>
          </cell>
          <cell r="B896" t="str">
            <v>CP-96396-26507981</v>
          </cell>
          <cell r="C896" t="str">
            <v>EXECUÇÃO E COMPACTAÇÃO DE BASE E OU SUB BASE PARA PAVIMENTAÇÃO DE BRITA GRADUADA SIMPLES - EXCLUSIVE MATERIAL, CARGA E TRANSPORTE</v>
          </cell>
          <cell r="D896" t="str">
            <v>M3</v>
          </cell>
          <cell r="E896">
            <v>880.48</v>
          </cell>
          <cell r="F896">
            <v>13.86</v>
          </cell>
          <cell r="G896">
            <v>17.13</v>
          </cell>
          <cell r="H896">
            <v>15082.62</v>
          </cell>
          <cell r="I896">
            <v>14.44</v>
          </cell>
          <cell r="J896">
            <v>16.98</v>
          </cell>
          <cell r="K896">
            <v>14950.55</v>
          </cell>
        </row>
        <row r="897">
          <cell r="A897" t="str">
            <v>1.15.5.5</v>
          </cell>
          <cell r="B897" t="str">
            <v>COMP-35145154</v>
          </cell>
          <cell r="C897" t="str">
            <v>CARGA E DESCARGA MECANICA DE SOLO UTILIZANDO CAMINHAO BASCULANTE 14,0M3/36T E PA CARREGADEIRA SOBRE PNEUS 128 HP, CAPACIDADE DA CAÇAMBA 1,7 A 2,8 M3, PESO OPERACIONAL 11632 KH</v>
          </cell>
          <cell r="D897" t="str">
            <v>M3</v>
          </cell>
          <cell r="E897">
            <v>1926.05</v>
          </cell>
          <cell r="F897">
            <v>2.83</v>
          </cell>
          <cell r="G897">
            <v>3.5</v>
          </cell>
          <cell r="H897">
            <v>6741.18</v>
          </cell>
          <cell r="I897">
            <v>2.9</v>
          </cell>
          <cell r="J897">
            <v>3.41</v>
          </cell>
          <cell r="K897">
            <v>6567.83</v>
          </cell>
        </row>
        <row r="898">
          <cell r="A898" t="str">
            <v>1.15.5.6</v>
          </cell>
          <cell r="B898" t="str">
            <v>COMP-83526730</v>
          </cell>
          <cell r="C898" t="str">
            <v>TRANSPORTE COMERCIAL DE BRITA</v>
          </cell>
          <cell r="D898" t="str">
            <v>M3XKM</v>
          </cell>
          <cell r="E898">
            <v>16178.82</v>
          </cell>
          <cell r="F898">
            <v>1.36</v>
          </cell>
          <cell r="G898">
            <v>1.68</v>
          </cell>
          <cell r="H898">
            <v>27180.42</v>
          </cell>
          <cell r="I898">
            <v>1.37</v>
          </cell>
          <cell r="J898">
            <v>1.61</v>
          </cell>
          <cell r="K898">
            <v>26047.9</v>
          </cell>
        </row>
        <row r="899">
          <cell r="A899" t="str">
            <v>1.15.5.7</v>
          </cell>
          <cell r="B899" t="str">
            <v>CP-96401-52745838</v>
          </cell>
          <cell r="C899" t="str">
            <v>EXECUÇÃO DE IMPRIMAÇÃO COM ASFALTO DILUÍDO CM-30, EXCLUSIVE MATERIAL.</v>
          </cell>
          <cell r="D899" t="str">
            <v>M2</v>
          </cell>
          <cell r="E899">
            <v>3958.6</v>
          </cell>
          <cell r="F899">
            <v>1.18</v>
          </cell>
          <cell r="G899">
            <v>1.46</v>
          </cell>
          <cell r="H899">
            <v>5779.56</v>
          </cell>
          <cell r="I899">
            <v>1.24</v>
          </cell>
          <cell r="J899">
            <v>1.46</v>
          </cell>
          <cell r="K899">
            <v>5779.56</v>
          </cell>
        </row>
        <row r="900">
          <cell r="A900" t="str">
            <v>1.15.5.8</v>
          </cell>
          <cell r="B900" t="str">
            <v>CP-95995-51339760</v>
          </cell>
          <cell r="C900" t="str">
            <v>EXECUÇÃO DE PAVIMENTO COM APLICAÇÃO DE CONCRETO ASFÁLTICO, CAMADA DE ROLAMENTO - EXCLUSIVE CARGA E TRANSPORTE E CONCRETO BETUMINOSO</v>
          </cell>
          <cell r="D900" t="str">
            <v>M3</v>
          </cell>
          <cell r="E900">
            <v>197.93</v>
          </cell>
          <cell r="F900">
            <v>127.58</v>
          </cell>
          <cell r="G900">
            <v>157.68</v>
          </cell>
          <cell r="H900">
            <v>31209.599999999999</v>
          </cell>
          <cell r="I900">
            <v>133.37</v>
          </cell>
          <cell r="J900">
            <v>156.80000000000001</v>
          </cell>
          <cell r="K900">
            <v>31035.42</v>
          </cell>
        </row>
        <row r="901">
          <cell r="A901" t="str">
            <v>1.15.5.9</v>
          </cell>
          <cell r="B901" t="str">
            <v>COMP-10034101</v>
          </cell>
          <cell r="C901" t="str">
            <v>CARGA, MANOBRAS E DESCARGA DE MISTURA BETUMINOSA A QUENTE, COM CAMINHAO BASCULANTE 6 M3, DESCARGA EM VIBRO-ACABADORA</v>
          </cell>
          <cell r="D901" t="str">
            <v>M3</v>
          </cell>
          <cell r="E901">
            <v>197.93</v>
          </cell>
          <cell r="F901">
            <v>7.74</v>
          </cell>
          <cell r="G901">
            <v>9.57</v>
          </cell>
          <cell r="H901">
            <v>1894.19</v>
          </cell>
          <cell r="I901">
            <v>7.86</v>
          </cell>
          <cell r="J901">
            <v>9.24</v>
          </cell>
          <cell r="K901">
            <v>1828.87</v>
          </cell>
        </row>
        <row r="902">
          <cell r="A902" t="str">
            <v>1.15.5.10</v>
          </cell>
          <cell r="B902" t="str">
            <v>CP-95303-56931542</v>
          </cell>
          <cell r="C902" t="str">
            <v>TRANSPORTE COM CAMINHÃO BASCULANTE 10 M3 DE MASSA ASFALTICA PARA PAVIMENTAÇÃO URBANA</v>
          </cell>
          <cell r="D902" t="str">
            <v>M3XKM</v>
          </cell>
          <cell r="E902">
            <v>3740.88</v>
          </cell>
          <cell r="F902">
            <v>1.75</v>
          </cell>
          <cell r="G902">
            <v>2.16</v>
          </cell>
          <cell r="H902">
            <v>8080.3</v>
          </cell>
          <cell r="I902">
            <v>1.77</v>
          </cell>
          <cell r="J902">
            <v>2.08</v>
          </cell>
          <cell r="K902">
            <v>7781.03</v>
          </cell>
        </row>
        <row r="903">
          <cell r="A903" t="str">
            <v>1.15.5.11</v>
          </cell>
          <cell r="B903" t="str">
            <v>CP-97084-89637704</v>
          </cell>
          <cell r="C903" t="str">
            <v>REGULARIZACAO E COMPACTAÇÃO MANUAL DE TERRENO COM PLACA VIBRATÓRIA</v>
          </cell>
          <cell r="D903" t="str">
            <v>M2</v>
          </cell>
          <cell r="E903">
            <v>3729.52</v>
          </cell>
          <cell r="F903">
            <v>0.59</v>
          </cell>
          <cell r="G903">
            <v>0.73</v>
          </cell>
          <cell r="H903">
            <v>2722.55</v>
          </cell>
          <cell r="I903">
            <v>0.65</v>
          </cell>
          <cell r="J903">
            <v>0.76</v>
          </cell>
          <cell r="K903">
            <v>2834.44</v>
          </cell>
        </row>
        <row r="904">
          <cell r="A904" t="str">
            <v>1.15.5.12</v>
          </cell>
          <cell r="B904" t="str">
            <v>CP-94991-12549457</v>
          </cell>
          <cell r="C904" t="str">
            <v>EXECUÇÃO DE PASSEIO (CALÇADA) OU PISO DE CONCRETO COM CONCRETO MOLDADO IN LOCO, USINADO, ACABAMENTO CONVENCIONAL, NÃO ARMADO - EXCLUINDO O CONCRETO USINADO 20MPA</v>
          </cell>
          <cell r="D904" t="str">
            <v>M3</v>
          </cell>
          <cell r="E904">
            <v>254.52</v>
          </cell>
          <cell r="F904">
            <v>104.6</v>
          </cell>
          <cell r="G904">
            <v>129.28</v>
          </cell>
          <cell r="H904">
            <v>32904.35</v>
          </cell>
          <cell r="I904">
            <v>112.75</v>
          </cell>
          <cell r="J904">
            <v>132.56</v>
          </cell>
          <cell r="K904">
            <v>33739.17</v>
          </cell>
        </row>
        <row r="905">
          <cell r="A905" t="str">
            <v>1.15.5.13</v>
          </cell>
          <cell r="B905">
            <v>94273</v>
          </cell>
          <cell r="C905" t="str">
            <v>ASSENTAMENTO DE GUIA (MEIO-FIO) EM TRECHO RETO, CONFECCIONADA EM CONCRETO PRÉ-FABRICADO, DIMENSÕES 100X15X13X30 CM (COMPRIMENTO X BASE INFERIOR X BASE SUPERIOR X ALTURA), PARA VIAS URBANAS (USO VIÁRIO). AF_06/2016</v>
          </cell>
          <cell r="D905" t="str">
            <v>M</v>
          </cell>
          <cell r="E905">
            <v>2002.55</v>
          </cell>
          <cell r="F905">
            <v>54.61</v>
          </cell>
          <cell r="G905">
            <v>67.489999999999995</v>
          </cell>
          <cell r="H905">
            <v>135152.1</v>
          </cell>
          <cell r="I905">
            <v>56.47</v>
          </cell>
          <cell r="J905">
            <v>66.39</v>
          </cell>
          <cell r="K905">
            <v>132949.29</v>
          </cell>
        </row>
        <row r="906">
          <cell r="A906" t="str">
            <v>1.15.5.14</v>
          </cell>
          <cell r="B906">
            <v>94274</v>
          </cell>
          <cell r="C906" t="str">
            <v>ASSENTAMENTO DE GUIA (MEIO-FIO) EM TRECHO CURVO, CONFECCIONADA EM CONCRETO PRÉ-FABRICADO, DIMENSÕES 100X15X13X30 CM (COMPRIMENTO X BASE INFERIOR X BASE SUPERIOR X ALTURA), PARA VIAS URBANAS (USO VIÁRIO). AF_06/2016</v>
          </cell>
          <cell r="D906" t="str">
            <v>M</v>
          </cell>
          <cell r="E906">
            <v>84.77</v>
          </cell>
          <cell r="F906">
            <v>58.17</v>
          </cell>
          <cell r="G906">
            <v>71.89</v>
          </cell>
          <cell r="H906">
            <v>6094.12</v>
          </cell>
          <cell r="I906">
            <v>60.43</v>
          </cell>
          <cell r="J906">
            <v>71.05</v>
          </cell>
          <cell r="K906">
            <v>6022.91</v>
          </cell>
        </row>
        <row r="907">
          <cell r="A907" t="str">
            <v>1.15.5.15</v>
          </cell>
          <cell r="B907">
            <v>94287</v>
          </cell>
          <cell r="C907" t="str">
            <v>EXECUÇÃO DE SARJETA DE CONCRETO USINADO, MOLDADA  IN LOCO  EM TRECHO RETO, 30 CM BASE X 10 CM ALTURA. AF_06/2016</v>
          </cell>
          <cell r="D907" t="str">
            <v>M</v>
          </cell>
          <cell r="E907">
            <v>406.91</v>
          </cell>
          <cell r="F907">
            <v>37.69</v>
          </cell>
          <cell r="G907">
            <v>46.58</v>
          </cell>
          <cell r="H907">
            <v>18953.87</v>
          </cell>
          <cell r="I907">
            <v>39.770000000000003</v>
          </cell>
          <cell r="J907">
            <v>46.76</v>
          </cell>
          <cell r="K907">
            <v>19027.11</v>
          </cell>
        </row>
        <row r="908">
          <cell r="A908" t="str">
            <v>1.15.5.16</v>
          </cell>
          <cell r="B908">
            <v>94288</v>
          </cell>
          <cell r="C908" t="str">
            <v>EXECUÇÃO DE SARJETA DE CONCRETO USINADO, MOLDADA  IN LOCO  EM TRECHO CURVO, 30 CM BASE X 10 CM ALTURA. AF_06/2016</v>
          </cell>
          <cell r="D908" t="str">
            <v>M</v>
          </cell>
          <cell r="E908">
            <v>20.09</v>
          </cell>
          <cell r="F908">
            <v>47.14</v>
          </cell>
          <cell r="G908">
            <v>58.26</v>
          </cell>
          <cell r="H908">
            <v>1170.44</v>
          </cell>
          <cell r="I908">
            <v>50.32</v>
          </cell>
          <cell r="J908">
            <v>59.16</v>
          </cell>
          <cell r="K908">
            <v>1188.52</v>
          </cell>
        </row>
        <row r="909">
          <cell r="A909" t="str">
            <v>1.15.6</v>
          </cell>
          <cell r="B909"/>
          <cell r="C909" t="str">
            <v>CONTENÇÃO</v>
          </cell>
          <cell r="D909"/>
          <cell r="E909"/>
          <cell r="F909"/>
          <cell r="G909"/>
          <cell r="H909">
            <v>274231.95</v>
          </cell>
          <cell r="I909"/>
          <cell r="J909"/>
          <cell r="K909">
            <v>277668.58</v>
          </cell>
        </row>
        <row r="910">
          <cell r="A910" t="str">
            <v>1.15.6.1</v>
          </cell>
          <cell r="B910">
            <v>100206</v>
          </cell>
          <cell r="C910" t="str">
            <v>TRANSPORTE HORIZONTAL COM JERICA DE 90 L, DE MASSA/ GRANEL (UNIDADE: M3XKM). AF_07/2019</v>
          </cell>
          <cell r="D910" t="str">
            <v>M3XKM</v>
          </cell>
          <cell r="E910">
            <v>39.450000000000003</v>
          </cell>
          <cell r="F910">
            <v>880.33</v>
          </cell>
          <cell r="G910">
            <v>1088</v>
          </cell>
          <cell r="H910">
            <v>42921.599999999999</v>
          </cell>
          <cell r="I910">
            <v>977.6</v>
          </cell>
          <cell r="J910">
            <v>1149.3599999999999</v>
          </cell>
          <cell r="K910">
            <v>45342.25</v>
          </cell>
        </row>
        <row r="911">
          <cell r="A911" t="str">
            <v>1.15.6.2</v>
          </cell>
          <cell r="B911" t="str">
            <v>CP-95467-90315369</v>
          </cell>
          <cell r="C911" t="str">
            <v>EMBASAMENTO C/PEDRA ARGAMASSADA UTILIZANDO ARG.CIM/AREIA 1:6</v>
          </cell>
          <cell r="D911" t="str">
            <v>M3</v>
          </cell>
          <cell r="E911">
            <v>86.59</v>
          </cell>
          <cell r="F911">
            <v>475.44</v>
          </cell>
          <cell r="G911">
            <v>587.6</v>
          </cell>
          <cell r="H911">
            <v>50880.28</v>
          </cell>
          <cell r="I911">
            <v>507.45</v>
          </cell>
          <cell r="J911">
            <v>596.61</v>
          </cell>
          <cell r="K911">
            <v>51660.46</v>
          </cell>
        </row>
        <row r="912">
          <cell r="A912" t="str">
            <v>1.15.6.3</v>
          </cell>
          <cell r="B912">
            <v>96620</v>
          </cell>
          <cell r="C912" t="str">
            <v>LASTRO DE CONCRETO MAGRO, APLICADO EM PISOS, LAJES SOBRE SOLO OU RADIERS. AF_08/2017</v>
          </cell>
          <cell r="D912" t="str">
            <v>M3</v>
          </cell>
          <cell r="E912">
            <v>44.61</v>
          </cell>
          <cell r="F912">
            <v>574.05999999999995</v>
          </cell>
          <cell r="G912">
            <v>709.48</v>
          </cell>
          <cell r="H912">
            <v>31649.9</v>
          </cell>
          <cell r="I912">
            <v>600.74</v>
          </cell>
          <cell r="J912">
            <v>706.29</v>
          </cell>
          <cell r="K912">
            <v>31507.599999999999</v>
          </cell>
        </row>
        <row r="913">
          <cell r="A913" t="str">
            <v>1.15.6.4</v>
          </cell>
          <cell r="B913">
            <v>99839</v>
          </cell>
          <cell r="C913" t="str">
            <v>GUARDA-CORPO DE AÇO GALVANIZADO DE 1,10M DE ALTURA, MONTANTES TUBULARES DE 1.1/2 ESPAÇADOS DE 1,20M, TRAVESSA SUPERIOR DE 2, GRADIL FORMADO POR BARRAS CHATAS EM FERRO DE 32X4,8MM, FIXADO COM CHUMBADOR MECÂNICO. AF_04/2019_P</v>
          </cell>
          <cell r="D913" t="str">
            <v>M</v>
          </cell>
          <cell r="E913">
            <v>250.4</v>
          </cell>
          <cell r="F913">
            <v>480.76</v>
          </cell>
          <cell r="G913">
            <v>594.16999999999996</v>
          </cell>
          <cell r="H913">
            <v>148780.17000000001</v>
          </cell>
          <cell r="I913">
            <v>506.66</v>
          </cell>
          <cell r="J913">
            <v>595.67999999999995</v>
          </cell>
          <cell r="K913">
            <v>149158.26999999999</v>
          </cell>
        </row>
        <row r="914">
          <cell r="A914" t="str">
            <v>1.15.7</v>
          </cell>
          <cell r="B914"/>
          <cell r="C914" t="str">
            <v>DRENAGEM</v>
          </cell>
          <cell r="D914"/>
          <cell r="E914"/>
          <cell r="F914"/>
          <cell r="G914"/>
          <cell r="H914">
            <v>312434.87</v>
          </cell>
          <cell r="I914"/>
          <cell r="J914"/>
          <cell r="K914">
            <v>306689.46999999997</v>
          </cell>
        </row>
        <row r="915">
          <cell r="A915" t="str">
            <v>1.15.7.1</v>
          </cell>
          <cell r="B915">
            <v>90091</v>
          </cell>
          <cell r="C915" t="str">
            <v>ESCAVAÇÃO MECANIZADA DE VALA COM PROF. ATÉ 1,5 M (MÉDIA MONTANTE E JUSANTE/UMA COMPOSIÇÃO POR TRECHO), ESCAVADEIRA (0,8 M3), LARG. DE 1,5 M A 2,5 M, EM SOLO DE 1A CATEGORIA, LOCAIS COM BAIXO NÍVEL DE INTERFERÊNCIA. AF_02/2021</v>
          </cell>
          <cell r="D915" t="str">
            <v>M3</v>
          </cell>
          <cell r="E915">
            <v>143</v>
          </cell>
          <cell r="F915">
            <v>6.24</v>
          </cell>
          <cell r="G915">
            <v>7.71</v>
          </cell>
          <cell r="H915">
            <v>1102.53</v>
          </cell>
          <cell r="I915">
            <v>6.48</v>
          </cell>
          <cell r="J915">
            <v>7.62</v>
          </cell>
          <cell r="K915">
            <v>1089.6600000000001</v>
          </cell>
        </row>
        <row r="916">
          <cell r="A916" t="str">
            <v>1.15.7.2</v>
          </cell>
          <cell r="B916">
            <v>90106</v>
          </cell>
          <cell r="C916" t="str">
            <v>ESCAVAÇÃO MECANIZADA DE VALA COM PROFUNDIDADE ATÉ 1,5 M (MÉDIA MONTANTE E JUSANTE/UMA COMPOSIÇÃO POR TRECHO), RETROESCAV. (0,26 M3), LARGURA DE 0,8 M A 1,5 M, EM SOLO DE 1A CATEGORIA, LOCAIS COM BAIXO NÍVEL DE INTERFERÊNCIA. AF_02/2021</v>
          </cell>
          <cell r="D916" t="str">
            <v>M3</v>
          </cell>
          <cell r="E916">
            <v>0.99</v>
          </cell>
          <cell r="F916">
            <v>8.15</v>
          </cell>
          <cell r="G916">
            <v>10.07</v>
          </cell>
          <cell r="H916">
            <v>9.9700000000000006</v>
          </cell>
          <cell r="I916">
            <v>8.5399999999999991</v>
          </cell>
          <cell r="J916">
            <v>10.039999999999999</v>
          </cell>
          <cell r="K916">
            <v>9.94</v>
          </cell>
        </row>
        <row r="917">
          <cell r="A917" t="str">
            <v>1.15.7.3</v>
          </cell>
          <cell r="B917">
            <v>93379</v>
          </cell>
          <cell r="C917" t="str">
            <v>REATERRO MECANIZADO DE VALA COM RETROESCAVADEIRA (CAPACIDADE DA CAÇAMBA DA RETRO: 0,26 M³ / POTÊNCIA: 88 HP), LARGURA DE 0,8 A 1,5 M, PROFUNDIDADE ATÉ 1,5 M, COM SOLO DE 1ª CATEGORIA EM LOCAIS COM BAIXO NÍVEL DE INTERFERÊNCIA. AF_04/2016</v>
          </cell>
          <cell r="D917" t="str">
            <v>M3</v>
          </cell>
          <cell r="E917">
            <v>0.42</v>
          </cell>
          <cell r="F917">
            <v>21.03</v>
          </cell>
          <cell r="G917">
            <v>25.99</v>
          </cell>
          <cell r="H917">
            <v>10.92</v>
          </cell>
          <cell r="I917">
            <v>22.62</v>
          </cell>
          <cell r="J917">
            <v>26.59</v>
          </cell>
          <cell r="K917">
            <v>11.17</v>
          </cell>
        </row>
        <row r="918">
          <cell r="A918" t="str">
            <v>1.15.7.4</v>
          </cell>
          <cell r="B918">
            <v>93367</v>
          </cell>
          <cell r="C918" t="str">
            <v>REATERRO MECANIZADO DE VALA COM ESCAVADEIRA HIDRÁULICA (CAPACIDADE DA CAÇAMBA: 0,8 M³ / POTÊNCIA: 111 HP), LARGURA DE 1,5 A 2,5 M, PROFUNDIDADE ATÉ 1,5 M, COM SOLO DE 1ª CATEGORIA EM LOCAIS COM BAIXO NÍVEL DE INTERFERÊNCIA. AF_04/2016</v>
          </cell>
          <cell r="D918" t="str">
            <v>M3</v>
          </cell>
          <cell r="E918">
            <v>53.63</v>
          </cell>
          <cell r="F918">
            <v>22.53</v>
          </cell>
          <cell r="G918">
            <v>27.84</v>
          </cell>
          <cell r="H918">
            <v>1493.06</v>
          </cell>
          <cell r="I918">
            <v>23.75</v>
          </cell>
          <cell r="J918">
            <v>27.92</v>
          </cell>
          <cell r="K918">
            <v>1497.35</v>
          </cell>
        </row>
        <row r="919">
          <cell r="A919" t="str">
            <v>1.15.7.5</v>
          </cell>
          <cell r="B919" t="str">
            <v>COMP-35145154</v>
          </cell>
          <cell r="C919" t="str">
            <v>CARGA E DESCARGA MECANICA DE SOLO UTILIZANDO CAMINHAO BASCULANTE 14,0M3/36T E PA CARREGADEIRA SOBRE PNEUS 128 HP, CAPACIDADE DA CAÇAMBA 1,7 A 2,8 M3, PESO OPERACIONAL 11632 KH</v>
          </cell>
          <cell r="D919" t="str">
            <v>M3</v>
          </cell>
          <cell r="E919">
            <v>112.43</v>
          </cell>
          <cell r="F919">
            <v>2.83</v>
          </cell>
          <cell r="G919">
            <v>3.5</v>
          </cell>
          <cell r="H919">
            <v>393.51</v>
          </cell>
          <cell r="I919">
            <v>2.9</v>
          </cell>
          <cell r="J919">
            <v>3.41</v>
          </cell>
          <cell r="K919">
            <v>383.39</v>
          </cell>
        </row>
        <row r="920">
          <cell r="A920" t="str">
            <v>1.15.7.6</v>
          </cell>
          <cell r="B920">
            <v>95876</v>
          </cell>
          <cell r="C920" t="str">
            <v>TRANSPORTE COM CAMINHÃO BASCULANTE DE 14 M³, EM VIA URBANA PAVIMENTADA, DMT ATÉ 30 KM (UNIDADE: M3XKM). AF_07/2020</v>
          </cell>
          <cell r="D920" t="str">
            <v>M3XKM</v>
          </cell>
          <cell r="E920">
            <v>933.17</v>
          </cell>
          <cell r="F920">
            <v>2.2400000000000002</v>
          </cell>
          <cell r="G920">
            <v>2.77</v>
          </cell>
          <cell r="H920">
            <v>2584.88</v>
          </cell>
          <cell r="I920">
            <v>2.27</v>
          </cell>
          <cell r="J920">
            <v>2.67</v>
          </cell>
          <cell r="K920">
            <v>2491.56</v>
          </cell>
        </row>
        <row r="921">
          <cell r="A921" t="str">
            <v>1.15.7.7</v>
          </cell>
          <cell r="B921">
            <v>94971</v>
          </cell>
          <cell r="C921" t="str">
            <v>CONCRETO FCK = 25MPA, TRAÇO 1:2,3:2,7 (EM MASSA SECA DE CIMENTO/ AREIA MÉDIA/ BRITA 1) - PREPARO MECÂNICO COM BETONEIRA 600 L. AF_05/2021</v>
          </cell>
          <cell r="D921" t="str">
            <v>M3</v>
          </cell>
          <cell r="E921">
            <v>75.930000000000007</v>
          </cell>
          <cell r="F921">
            <v>464.88</v>
          </cell>
          <cell r="G921">
            <v>574.54999999999995</v>
          </cell>
          <cell r="H921">
            <v>43625.58</v>
          </cell>
          <cell r="I921">
            <v>472.74</v>
          </cell>
          <cell r="J921">
            <v>555.79999999999995</v>
          </cell>
          <cell r="K921">
            <v>42201.89</v>
          </cell>
        </row>
        <row r="922">
          <cell r="A922" t="str">
            <v>1.15.7.8</v>
          </cell>
          <cell r="B922">
            <v>94974</v>
          </cell>
          <cell r="C922" t="str">
            <v>CONCRETO MAGRO PARA LASTRO, TRAÇO 1:4,5:4,5 (EM MASSA SECA DE CIMENTO/ AREIA MÉDIA/ BRITA 1) - PREPARO MANUAL. AF_05/2021</v>
          </cell>
          <cell r="D922" t="str">
            <v>M3</v>
          </cell>
          <cell r="E922">
            <v>59.58</v>
          </cell>
          <cell r="F922">
            <v>423.75</v>
          </cell>
          <cell r="G922">
            <v>523.71</v>
          </cell>
          <cell r="H922">
            <v>31202.639999999999</v>
          </cell>
          <cell r="I922">
            <v>436.13</v>
          </cell>
          <cell r="J922">
            <v>512.76</v>
          </cell>
          <cell r="K922">
            <v>30550.240000000002</v>
          </cell>
        </row>
        <row r="923">
          <cell r="A923" t="str">
            <v>1.15.7.9</v>
          </cell>
          <cell r="B923">
            <v>92771</v>
          </cell>
          <cell r="C923" t="str">
            <v>ARMAÇÃO DE LAJE DE ESTRUTURA CONVENCIONAL DE CONCRETO ARMADO UTILIZANDO AÇO CA-50 DE 10,0 MM - MONTAGEM. AF_06/2022</v>
          </cell>
          <cell r="D923" t="str">
            <v>KG</v>
          </cell>
          <cell r="E923">
            <v>4939.3500000000004</v>
          </cell>
          <cell r="F923">
            <v>15.04</v>
          </cell>
          <cell r="G923">
            <v>18.59</v>
          </cell>
          <cell r="H923">
            <v>91822.52</v>
          </cell>
          <cell r="I923">
            <v>15.14</v>
          </cell>
          <cell r="J923">
            <v>17.8</v>
          </cell>
          <cell r="K923">
            <v>87920.43</v>
          </cell>
        </row>
        <row r="924">
          <cell r="A924" t="str">
            <v>1.15.7.10</v>
          </cell>
          <cell r="B924" t="str">
            <v>CP-92268-29291149</v>
          </cell>
          <cell r="C924" t="str">
            <v>FABRICAÇÃO DE FÔRMA PARA LAJES, EM CHAPA DE MADEIRA COMPENSADA PLASTIFICADA, E = 18 MM - EXCLUINDO O PAINEL DE MADEIRA COMPENSADA PLASTIFICADA DE 2200 x 1100 MM, E = *17* MM</v>
          </cell>
          <cell r="D924" t="str">
            <v>M2</v>
          </cell>
          <cell r="E924">
            <v>357.49</v>
          </cell>
          <cell r="F924">
            <v>0.98</v>
          </cell>
          <cell r="G924">
            <v>1.21</v>
          </cell>
          <cell r="H924">
            <v>432.56</v>
          </cell>
          <cell r="I924">
            <v>1.1000000000000001</v>
          </cell>
          <cell r="J924">
            <v>1.29</v>
          </cell>
          <cell r="K924">
            <v>461.16</v>
          </cell>
        </row>
        <row r="925">
          <cell r="A925" t="str">
            <v>1.15.7.11</v>
          </cell>
          <cell r="B925">
            <v>103320</v>
          </cell>
          <cell r="C925" t="str">
            <v>ALVENARIA DE VEDAÇÃO DE BLOCOS VAZADOS DE CONCRETO DE 19X19X39 CM (ESPESSURA 19 CM) E ARGAMASSA DE ASSENTAMENTO COM PREPARO EM BETONEIRA. AF_12/2021</v>
          </cell>
          <cell r="D925" t="str">
            <v>M2</v>
          </cell>
          <cell r="E925">
            <v>476.66</v>
          </cell>
          <cell r="F925">
            <v>101.36</v>
          </cell>
          <cell r="G925">
            <v>125.27</v>
          </cell>
          <cell r="H925">
            <v>59711.199999999997</v>
          </cell>
          <cell r="I925">
            <v>105.62</v>
          </cell>
          <cell r="J925">
            <v>124.18</v>
          </cell>
          <cell r="K925">
            <v>59191.64</v>
          </cell>
        </row>
        <row r="926">
          <cell r="A926" t="str">
            <v>1.15.7.12</v>
          </cell>
          <cell r="B926">
            <v>87879</v>
          </cell>
          <cell r="C926" t="str">
            <v>CHAPISCO APLICADO EM ALVENARIAS E ESTRUTURAS DE CONCRETO INTERNAS, COM COLHER DE PEDREIRO.  ARGAMASSA TRAÇO 1:3 COM PREPARO EM BETONEIRA 400L. AF_06/2014</v>
          </cell>
          <cell r="D926" t="str">
            <v>M2</v>
          </cell>
          <cell r="E926">
            <v>476.66</v>
          </cell>
          <cell r="F926">
            <v>3.85</v>
          </cell>
          <cell r="G926">
            <v>4.76</v>
          </cell>
          <cell r="H926">
            <v>2268.9</v>
          </cell>
          <cell r="I926">
            <v>4.0999999999999996</v>
          </cell>
          <cell r="J926">
            <v>4.82</v>
          </cell>
          <cell r="K926">
            <v>2297.5</v>
          </cell>
        </row>
        <row r="927">
          <cell r="A927" t="str">
            <v>1.15.7.13</v>
          </cell>
          <cell r="B927">
            <v>87547</v>
          </cell>
          <cell r="C927" t="str">
            <v>MASSA ÚNICA, PARA RECEBIMENTO DE PINTURA, EM ARGAMASSA TRAÇO 1:2:8, PREPARO MECÂNICO COM BETONEIRA 400L, APLICADA MANUALMENTE EM FACES INTERNAS DE PAREDES, ESPESSURA DE 10MM, COM EXECUÇÃO DE TALISCAS. AF_06/2014</v>
          </cell>
          <cell r="D927" t="str">
            <v>M2</v>
          </cell>
          <cell r="E927">
            <v>476.66</v>
          </cell>
          <cell r="F927">
            <v>23.35</v>
          </cell>
          <cell r="G927">
            <v>28.86</v>
          </cell>
          <cell r="H927">
            <v>13756.41</v>
          </cell>
          <cell r="I927">
            <v>24.83</v>
          </cell>
          <cell r="J927">
            <v>29.19</v>
          </cell>
          <cell r="K927">
            <v>13913.71</v>
          </cell>
        </row>
        <row r="928">
          <cell r="A928" t="str">
            <v>1.15.7.14</v>
          </cell>
          <cell r="B928">
            <v>94975</v>
          </cell>
          <cell r="C928" t="str">
            <v>CONCRETO FCK = 15MPA, TRAÇO 1:3,4:3,5 (EM MASSA SECA DE CIMENTO/ AREIA MÉDIA/ BRITA 1) - PREPARO MANUAL. AF_05/2021</v>
          </cell>
          <cell r="D928" t="str">
            <v>M3</v>
          </cell>
          <cell r="E928">
            <v>50.7</v>
          </cell>
          <cell r="F928">
            <v>457.19</v>
          </cell>
          <cell r="G928">
            <v>565.04</v>
          </cell>
          <cell r="H928">
            <v>28647.53</v>
          </cell>
          <cell r="I928">
            <v>469.42</v>
          </cell>
          <cell r="J928">
            <v>551.9</v>
          </cell>
          <cell r="K928">
            <v>27981.33</v>
          </cell>
        </row>
        <row r="929">
          <cell r="A929" t="str">
            <v>1.15.7.15</v>
          </cell>
          <cell r="B929" t="str">
            <v>CP-74157/004-48264518</v>
          </cell>
          <cell r="C929" t="str">
            <v>LANCAMENTO/APLICACAO MANUAL DE CONCRETO EM FUNDACOES (concreto magro)</v>
          </cell>
          <cell r="D929" t="str">
            <v>M3</v>
          </cell>
          <cell r="E929">
            <v>186.21</v>
          </cell>
          <cell r="F929">
            <v>116.59</v>
          </cell>
          <cell r="G929">
            <v>144.09</v>
          </cell>
          <cell r="H929">
            <v>26831</v>
          </cell>
          <cell r="I929">
            <v>129.79</v>
          </cell>
          <cell r="J929">
            <v>152.59</v>
          </cell>
          <cell r="K929">
            <v>28413.78</v>
          </cell>
        </row>
        <row r="930">
          <cell r="A930" t="str">
            <v>1.15.7.16</v>
          </cell>
          <cell r="B930">
            <v>90747</v>
          </cell>
          <cell r="C930" t="str">
            <v>ASSENTAMENTO DE TUBO DE PEAD CORRUGADO DE DUPLA PAREDE PARA REDE COLETORA DE ESGOTO, DN 600 MM, JUNTA ELÁSTICA INTEGRADA (NÃO INCLUI FORNECIMENTO). AF_01/2021</v>
          </cell>
          <cell r="D930" t="str">
            <v>M</v>
          </cell>
          <cell r="E930">
            <v>2</v>
          </cell>
          <cell r="F930">
            <v>17.54</v>
          </cell>
          <cell r="G930">
            <v>21.68</v>
          </cell>
          <cell r="H930">
            <v>43.36</v>
          </cell>
          <cell r="I930">
            <v>18.55</v>
          </cell>
          <cell r="J930">
            <v>21.81</v>
          </cell>
          <cell r="K930">
            <v>43.62</v>
          </cell>
        </row>
        <row r="931">
          <cell r="A931" t="str">
            <v>1.15.7.17</v>
          </cell>
          <cell r="B931" t="str">
            <v>COM-66148211</v>
          </cell>
          <cell r="C931" t="str">
            <v>SAÍDA D'ÁGUA</v>
          </cell>
          <cell r="D931" t="str">
            <v>UND</v>
          </cell>
          <cell r="E931">
            <v>10</v>
          </cell>
          <cell r="F931">
            <v>687.62</v>
          </cell>
          <cell r="G931">
            <v>849.83</v>
          </cell>
          <cell r="H931">
            <v>8498.2999999999993</v>
          </cell>
          <cell r="I931">
            <v>700.1</v>
          </cell>
          <cell r="J931">
            <v>823.11</v>
          </cell>
          <cell r="K931">
            <v>8231.1</v>
          </cell>
        </row>
        <row r="932">
          <cell r="A932" t="str">
            <v>1.15.8</v>
          </cell>
          <cell r="B932"/>
          <cell r="C932" t="str">
            <v>SINALIZAÇÃO</v>
          </cell>
          <cell r="D932"/>
          <cell r="E932"/>
          <cell r="F932"/>
          <cell r="G932"/>
          <cell r="H932">
            <v>31716.37</v>
          </cell>
          <cell r="I932"/>
          <cell r="J932"/>
          <cell r="K932">
            <v>31235.99</v>
          </cell>
        </row>
        <row r="933">
          <cell r="A933" t="str">
            <v>1.15.8.1</v>
          </cell>
          <cell r="B933">
            <v>5213421</v>
          </cell>
          <cell r="C933" t="str">
            <v>Confecção de placa em aço nº 16 galvanizado, com película tipo I + IV</v>
          </cell>
          <cell r="D933" t="str">
            <v xml:space="preserve">M2    </v>
          </cell>
          <cell r="E933">
            <v>12.9</v>
          </cell>
          <cell r="F933">
            <v>343.8</v>
          </cell>
          <cell r="G933">
            <v>424.9</v>
          </cell>
          <cell r="H933">
            <v>5481.21</v>
          </cell>
          <cell r="I933">
            <v>347.25</v>
          </cell>
          <cell r="J933">
            <v>408.26</v>
          </cell>
          <cell r="K933">
            <v>5266.55</v>
          </cell>
        </row>
        <row r="934">
          <cell r="A934" t="str">
            <v>1.15.8.2</v>
          </cell>
          <cell r="B934">
            <v>5216111</v>
          </cell>
          <cell r="C934" t="str">
            <v>FORNECIMENTO E IMPLANTAÇÃO DE SUPORTE E TRAVESSA PARA PLACA DE SINALIZAÇÃO EM MADEIRA DE LEI TRATADA 8 X 8 CM</v>
          </cell>
          <cell r="D934" t="str">
            <v>UND</v>
          </cell>
          <cell r="E934">
            <v>34</v>
          </cell>
          <cell r="F934">
            <v>119.1379</v>
          </cell>
          <cell r="G934">
            <v>147.24</v>
          </cell>
          <cell r="H934">
            <v>5006.16</v>
          </cell>
          <cell r="I934">
            <v>121.48</v>
          </cell>
          <cell r="J934">
            <v>142.82</v>
          </cell>
          <cell r="K934">
            <v>4855.88</v>
          </cell>
        </row>
        <row r="935">
          <cell r="A935" t="str">
            <v>1.15.8.3</v>
          </cell>
          <cell r="B935" t="str">
            <v>COMP-58084869</v>
          </cell>
          <cell r="C935" t="str">
            <v>PLACA ESMALTADA PARA IDENTIFICAÇÃO NR DE RUA, DIMENSÕES 45X25CM</v>
          </cell>
          <cell r="D935" t="str">
            <v>UND</v>
          </cell>
          <cell r="E935">
            <v>12</v>
          </cell>
          <cell r="F935">
            <v>155.54</v>
          </cell>
          <cell r="G935">
            <v>192.23</v>
          </cell>
          <cell r="H935">
            <v>2306.7600000000002</v>
          </cell>
          <cell r="I935">
            <v>156.33000000000001</v>
          </cell>
          <cell r="J935">
            <v>183.8</v>
          </cell>
          <cell r="K935">
            <v>2205.6</v>
          </cell>
        </row>
        <row r="936">
          <cell r="A936" t="str">
            <v>1.15.8.4</v>
          </cell>
          <cell r="B936">
            <v>102509</v>
          </cell>
          <cell r="C936" t="str">
            <v>PINTURA DE FAIXA DE PEDESTRE OU ZEBRADA TINTA RETRORREFLETIVA A BASE DE RESINA ACRÍLICA COM MICROESFERAS DE VIDRO, E = 30 CM, APLICAÇÃO MANUAL. AF_05/2021</v>
          </cell>
          <cell r="D936" t="str">
            <v>M2</v>
          </cell>
          <cell r="E936">
            <v>121.6</v>
          </cell>
          <cell r="F936">
            <v>22.91</v>
          </cell>
          <cell r="G936">
            <v>28.31</v>
          </cell>
          <cell r="H936">
            <v>3442.5</v>
          </cell>
          <cell r="I936">
            <v>24.15</v>
          </cell>
          <cell r="J936">
            <v>28.39</v>
          </cell>
          <cell r="K936">
            <v>3452.22</v>
          </cell>
        </row>
        <row r="937">
          <cell r="A937" t="str">
            <v>1.15.8.5</v>
          </cell>
          <cell r="B937">
            <v>102512</v>
          </cell>
          <cell r="C937" t="str">
            <v>PINTURA DE EIXO VIÁRIO SOBRE ASFALTO COM TINTA RETRORREFLETIVA A BASE DE RESINA ACRÍLICA COM MICROESFERAS DE VIDRO, APLICAÇÃO MECÂNICA COM DEMARCADORA AUTOPROPELIDA. AF_05/2021</v>
          </cell>
          <cell r="D937" t="str">
            <v>M</v>
          </cell>
          <cell r="E937">
            <v>2399.96</v>
          </cell>
          <cell r="F937">
            <v>5.22</v>
          </cell>
          <cell r="G937">
            <v>6.45</v>
          </cell>
          <cell r="H937">
            <v>15479.74</v>
          </cell>
          <cell r="I937">
            <v>5.48</v>
          </cell>
          <cell r="J937">
            <v>6.44</v>
          </cell>
          <cell r="K937">
            <v>15455.74</v>
          </cell>
        </row>
        <row r="938">
          <cell r="A938" t="str">
            <v>1.15.9</v>
          </cell>
          <cell r="B938"/>
          <cell r="C938" t="str">
            <v>ACESSIBILIDADE</v>
          </cell>
          <cell r="D938"/>
          <cell r="E938"/>
          <cell r="F938"/>
          <cell r="G938"/>
          <cell r="H938">
            <v>10501.7</v>
          </cell>
          <cell r="I938"/>
          <cell r="J938"/>
          <cell r="K938">
            <v>10327.34</v>
          </cell>
        </row>
        <row r="939">
          <cell r="A939" t="str">
            <v>1.15.9.1</v>
          </cell>
          <cell r="B939" t="str">
            <v>CP-S12039-81921471</v>
          </cell>
          <cell r="C939" t="str">
            <v>Piso tátil direcional e/ou alerta, de concreto, na cor natural, p/deficientes visuais, dimensões 40x40cm, aplicado com argamassa industrializada ac-ii, rejuntado, exclusive regularização de base</v>
          </cell>
          <cell r="D939" t="str">
            <v>M2</v>
          </cell>
          <cell r="E939">
            <v>78.19</v>
          </cell>
          <cell r="F939">
            <v>108.67</v>
          </cell>
          <cell r="G939">
            <v>134.31</v>
          </cell>
          <cell r="H939">
            <v>10501.7</v>
          </cell>
          <cell r="I939">
            <v>112.34</v>
          </cell>
          <cell r="J939">
            <v>132.08000000000001</v>
          </cell>
          <cell r="K939">
            <v>10327.34</v>
          </cell>
        </row>
        <row r="940">
          <cell r="A940" t="str">
            <v>1.15.10</v>
          </cell>
          <cell r="B940"/>
          <cell r="C940" t="str">
            <v>MATERIAIS</v>
          </cell>
          <cell r="D940"/>
          <cell r="E940"/>
          <cell r="F940"/>
          <cell r="G940"/>
          <cell r="H940">
            <v>696128.61</v>
          </cell>
          <cell r="I940"/>
          <cell r="J940"/>
          <cell r="K940">
            <v>663672.79</v>
          </cell>
        </row>
        <row r="941">
          <cell r="A941" t="str">
            <v>1.15.10.1</v>
          </cell>
          <cell r="B941">
            <v>10775</v>
          </cell>
          <cell r="C941" t="str">
            <v xml:space="preserve">LOCACAO DE CONTAINER 2,30 X 6,00 M, ALT. 2,50 M, COM 1 SANITARIO, PARA ESCRITORIO, COMPLETO, SEM DIVISORIAS INTERNAS (NAO INCLUI MOBILIZACAO/DESMOBILIZACAO)                                                                                                                                                                                                                                                                                                                                              </v>
          </cell>
          <cell r="D941" t="str">
            <v xml:space="preserve">MES   </v>
          </cell>
          <cell r="E941">
            <v>10</v>
          </cell>
          <cell r="F941">
            <v>830</v>
          </cell>
          <cell r="G941">
            <v>958.32</v>
          </cell>
          <cell r="H941">
            <v>9583.2000000000007</v>
          </cell>
          <cell r="I941">
            <v>830</v>
          </cell>
          <cell r="J941">
            <v>913.58</v>
          </cell>
          <cell r="K941">
            <v>9135.7999999999993</v>
          </cell>
        </row>
        <row r="942">
          <cell r="A942" t="str">
            <v>1.15.10.2</v>
          </cell>
          <cell r="B942">
            <v>10776</v>
          </cell>
          <cell r="C942" t="str">
            <v xml:space="preserve">LOCACAO DE CONTAINER 2,30 X 6,00 M, ALT. 2,50 M, PARA ESCRITORIO, SEM DIVISORIAS INTERNAS E SEM SANITARIO (NAO INCLUI MOBILIZACAO/DESMOBILIZACAO)                                                                                                                                                                                                                                                                                                                                                         </v>
          </cell>
          <cell r="D942" t="str">
            <v xml:space="preserve">MES   </v>
          </cell>
          <cell r="E942">
            <v>10</v>
          </cell>
          <cell r="F942">
            <v>648.42999999999995</v>
          </cell>
          <cell r="G942">
            <v>748.68</v>
          </cell>
          <cell r="H942">
            <v>7486.8</v>
          </cell>
          <cell r="I942">
            <v>648.42999999999995</v>
          </cell>
          <cell r="J942">
            <v>713.73</v>
          </cell>
          <cell r="K942">
            <v>7137.3</v>
          </cell>
        </row>
        <row r="943">
          <cell r="A943" t="str">
            <v>1.15.10.3</v>
          </cell>
          <cell r="B943">
            <v>1518</v>
          </cell>
          <cell r="C943" t="str">
            <v xml:space="preserve">CONCRETO BETUMINOSO USINADO A QUENTE (CBUQ) PARA PAVIMENTACAO ASFALTICA, PADRAO DNIT, FAIXA C, COM CAP 50/70 - AQUISICAO POSTO USINA                                                                                                                                                                                                                                                                                                                                                                      </v>
          </cell>
          <cell r="D943" t="str">
            <v xml:space="preserve">T     </v>
          </cell>
          <cell r="E943">
            <v>505.67</v>
          </cell>
          <cell r="F943">
            <v>522.5</v>
          </cell>
          <cell r="G943">
            <v>603.28</v>
          </cell>
          <cell r="H943">
            <v>305060.59999999998</v>
          </cell>
          <cell r="I943">
            <v>522.5</v>
          </cell>
          <cell r="J943">
            <v>575.12</v>
          </cell>
          <cell r="K943">
            <v>290820.93</v>
          </cell>
        </row>
        <row r="944">
          <cell r="A944" t="str">
            <v>1.15.10.4</v>
          </cell>
          <cell r="B944" t="str">
            <v>M0134</v>
          </cell>
          <cell r="C944" t="str">
            <v>Tubo PEAD corrugado com paredes estruturadas para drenagem - D = 600 mm</v>
          </cell>
          <cell r="D944" t="str">
            <v>M</v>
          </cell>
          <cell r="E944">
            <v>2</v>
          </cell>
          <cell r="F944">
            <v>501.47</v>
          </cell>
          <cell r="G944">
            <v>579</v>
          </cell>
          <cell r="H944">
            <v>1158</v>
          </cell>
          <cell r="I944">
            <v>501.47</v>
          </cell>
          <cell r="J944">
            <v>551.97</v>
          </cell>
          <cell r="K944">
            <v>1103.94</v>
          </cell>
        </row>
        <row r="945">
          <cell r="A945" t="str">
            <v>1.15.10.5</v>
          </cell>
          <cell r="B945" t="str">
            <v>INS-185032</v>
          </cell>
          <cell r="C945" t="str">
            <v>BRITA GRADUADA SIMPLES (BGS)</v>
          </cell>
          <cell r="D945" t="str">
            <v>M3</v>
          </cell>
          <cell r="E945">
            <v>880.48</v>
          </cell>
          <cell r="F945">
            <v>56.099999999999994</v>
          </cell>
          <cell r="G945">
            <v>64.77</v>
          </cell>
          <cell r="H945">
            <v>57028.69</v>
          </cell>
          <cell r="I945">
            <v>56.099999999999994</v>
          </cell>
          <cell r="J945">
            <v>61.75</v>
          </cell>
          <cell r="K945">
            <v>54369.64</v>
          </cell>
        </row>
        <row r="946">
          <cell r="A946" t="str">
            <v>1.15.10.6</v>
          </cell>
          <cell r="B946" t="str">
            <v>M0808</v>
          </cell>
          <cell r="C946" t="str">
            <v>Brita 4</v>
          </cell>
          <cell r="D946" t="str">
            <v>M3</v>
          </cell>
          <cell r="E946">
            <v>832.05</v>
          </cell>
          <cell r="F946">
            <v>90.74</v>
          </cell>
          <cell r="G946">
            <v>104.77</v>
          </cell>
          <cell r="H946">
            <v>87173.88</v>
          </cell>
          <cell r="I946">
            <v>90.74</v>
          </cell>
          <cell r="J946">
            <v>99.88</v>
          </cell>
          <cell r="K946">
            <v>83105.149999999994</v>
          </cell>
        </row>
        <row r="947">
          <cell r="A947" t="str">
            <v>1.15.10.7</v>
          </cell>
          <cell r="B947" t="str">
            <v>M1135</v>
          </cell>
          <cell r="C947" t="str">
            <v>Pó de pedra</v>
          </cell>
          <cell r="D947" t="str">
            <v>M3</v>
          </cell>
          <cell r="E947">
            <v>92.45</v>
          </cell>
          <cell r="F947">
            <v>74.53</v>
          </cell>
          <cell r="G947">
            <v>86.05</v>
          </cell>
          <cell r="H947">
            <v>7955.32</v>
          </cell>
          <cell r="I947">
            <v>74.53</v>
          </cell>
          <cell r="J947">
            <v>82.04</v>
          </cell>
          <cell r="K947">
            <v>7584.6</v>
          </cell>
        </row>
        <row r="948">
          <cell r="A948" t="str">
            <v>1.15.10.8</v>
          </cell>
          <cell r="B948" t="str">
            <v>INS-54745269</v>
          </cell>
          <cell r="C948" t="str">
            <v>ASFALTO DILUÍDO CM - 30 - JUNHO/22</v>
          </cell>
          <cell r="D948" t="str">
            <v>KG</v>
          </cell>
          <cell r="E948">
            <v>4750.32</v>
          </cell>
          <cell r="F948">
            <v>5.32</v>
          </cell>
          <cell r="G948">
            <v>6.14</v>
          </cell>
          <cell r="H948">
            <v>29166.959999999999</v>
          </cell>
          <cell r="I948">
            <v>5.32</v>
          </cell>
          <cell r="J948">
            <v>5.86</v>
          </cell>
          <cell r="K948">
            <v>27836.880000000001</v>
          </cell>
        </row>
        <row r="949">
          <cell r="A949" t="str">
            <v>1.15.10.9</v>
          </cell>
          <cell r="B949">
            <v>34492</v>
          </cell>
          <cell r="C949" t="str">
            <v xml:space="preserve">CONCRETO USINADO BOMBEAVEL, CLASSE DE RESISTENCIA C20, COM BRITA 0 E 1, SLUMP = 100 +/- 20 MM, EXCLUI SERVICO DE BOMBEAMENTO (NBR 8953)                                                                                                                                                                                                                                                                                                                                                                   </v>
          </cell>
          <cell r="D949" t="str">
            <v xml:space="preserve">M3    </v>
          </cell>
          <cell r="E949">
            <v>308.73</v>
          </cell>
          <cell r="F949">
            <v>422.5</v>
          </cell>
          <cell r="G949">
            <v>487.82</v>
          </cell>
          <cell r="H949">
            <v>150604.67000000001</v>
          </cell>
          <cell r="I949">
            <v>422.5</v>
          </cell>
          <cell r="J949">
            <v>465.05</v>
          </cell>
          <cell r="K949">
            <v>143574.89000000001</v>
          </cell>
        </row>
        <row r="950">
          <cell r="A950" t="str">
            <v>1.15.10.10</v>
          </cell>
          <cell r="B950">
            <v>1345</v>
          </cell>
          <cell r="C950" t="str">
            <v xml:space="preserve">CHAPA/PAINEL DE MADEIRA COMPENSADA PLASTIFICADA (MADEIRITE PLASTIFICADO) PARA FORMA DE CONCRETO, DE 2200 x 1100 MM, E = *17* MM                                                                                                                                                                                                                                                                                                                                                                           </v>
          </cell>
          <cell r="D950" t="str">
            <v xml:space="preserve">M2    </v>
          </cell>
          <cell r="E950">
            <v>375.36</v>
          </cell>
          <cell r="F950">
            <v>94.4</v>
          </cell>
          <cell r="G950">
            <v>108.99</v>
          </cell>
          <cell r="H950">
            <v>40910.49</v>
          </cell>
          <cell r="I950">
            <v>94.4</v>
          </cell>
          <cell r="J950">
            <v>103.91</v>
          </cell>
          <cell r="K950">
            <v>39003.660000000003</v>
          </cell>
        </row>
        <row r="951">
          <cell r="A951" t="str">
            <v>2.0</v>
          </cell>
          <cell r="B951"/>
          <cell r="C951" t="str">
            <v>IMPLANTAÇÃO DE CICLOFAIXA</v>
          </cell>
          <cell r="D951"/>
          <cell r="E951"/>
          <cell r="F951"/>
          <cell r="G951"/>
          <cell r="H951"/>
          <cell r="I951"/>
          <cell r="J951"/>
          <cell r="K951"/>
        </row>
        <row r="952">
          <cell r="A952" t="str">
            <v>2.1</v>
          </cell>
          <cell r="B952"/>
          <cell r="C952" t="str">
            <v>CICLOFAIXA - AVENIDA BARRETO DE MENEZES</v>
          </cell>
          <cell r="D952"/>
          <cell r="E952"/>
          <cell r="F952"/>
          <cell r="G952"/>
          <cell r="H952">
            <v>44400.480000000003</v>
          </cell>
          <cell r="I952"/>
          <cell r="J952"/>
          <cell r="K952">
            <v>43327</v>
          </cell>
        </row>
        <row r="953">
          <cell r="A953" t="str">
            <v>2.1.1</v>
          </cell>
          <cell r="B953"/>
          <cell r="C953" t="str">
            <v>INSTALAÇÕES PROVISÓRIAS</v>
          </cell>
          <cell r="D953"/>
          <cell r="E953"/>
          <cell r="F953"/>
          <cell r="G953"/>
          <cell r="H953">
            <v>3717.63</v>
          </cell>
          <cell r="I953"/>
          <cell r="J953"/>
          <cell r="K953">
            <v>3559.05</v>
          </cell>
        </row>
        <row r="954">
          <cell r="A954" t="str">
            <v>2.1.1.1</v>
          </cell>
          <cell r="B954" t="str">
            <v>CP-74209/001-15055090</v>
          </cell>
          <cell r="C954" t="str">
            <v>PLACA DE OBRA EM CHAPA DE ACO GALVANIZADO</v>
          </cell>
          <cell r="D954" t="str">
            <v xml:space="preserve">M2    </v>
          </cell>
          <cell r="E954">
            <v>2.88</v>
          </cell>
          <cell r="F954">
            <v>558.35</v>
          </cell>
          <cell r="G954">
            <v>690.06</v>
          </cell>
          <cell r="H954">
            <v>1987.37</v>
          </cell>
          <cell r="I954">
            <v>564.99</v>
          </cell>
          <cell r="J954">
            <v>664.26</v>
          </cell>
          <cell r="K954">
            <v>1913.07</v>
          </cell>
        </row>
        <row r="955">
          <cell r="A955" t="str">
            <v>2.1.1.2</v>
          </cell>
          <cell r="B955" t="str">
            <v>COMP-07440249</v>
          </cell>
          <cell r="C955" t="str">
            <v>BANHEIRO QUÍMICO, COM LOCAÇÃO, TRANSPORTE E LIMPEZA</v>
          </cell>
          <cell r="D955" t="str">
            <v>MÊS</v>
          </cell>
          <cell r="E955">
            <v>2</v>
          </cell>
          <cell r="F955">
            <v>700</v>
          </cell>
          <cell r="G955">
            <v>865.13</v>
          </cell>
          <cell r="H955">
            <v>1730.26</v>
          </cell>
          <cell r="I955">
            <v>700</v>
          </cell>
          <cell r="J955">
            <v>822.99</v>
          </cell>
          <cell r="K955">
            <v>1645.98</v>
          </cell>
        </row>
        <row r="956">
          <cell r="A956" t="str">
            <v>2.1.2</v>
          </cell>
          <cell r="B956"/>
          <cell r="C956" t="str">
            <v>ADMINISTRAÇÃO LOCAL</v>
          </cell>
          <cell r="D956"/>
          <cell r="E956"/>
          <cell r="F956"/>
          <cell r="G956"/>
          <cell r="H956">
            <v>1794.53</v>
          </cell>
          <cell r="I956"/>
          <cell r="J956"/>
          <cell r="K956">
            <v>1961.07</v>
          </cell>
        </row>
        <row r="957">
          <cell r="A957" t="str">
            <v>2.1.2.1</v>
          </cell>
          <cell r="B957">
            <v>93572</v>
          </cell>
          <cell r="C957" t="str">
            <v>ENCARREGADO GERAL DE OBRAS COM ENCARGOS COMPLEMENTARES</v>
          </cell>
          <cell r="D957" t="str">
            <v>MES</v>
          </cell>
          <cell r="E957">
            <v>0.25</v>
          </cell>
          <cell r="F957">
            <v>5808.01</v>
          </cell>
          <cell r="G957">
            <v>7178.12</v>
          </cell>
          <cell r="H957">
            <v>1794.53</v>
          </cell>
          <cell r="I957">
            <v>6672</v>
          </cell>
          <cell r="J957">
            <v>7844.27</v>
          </cell>
          <cell r="K957">
            <v>1961.07</v>
          </cell>
        </row>
        <row r="958">
          <cell r="A958" t="str">
            <v>2.1.3</v>
          </cell>
          <cell r="B958"/>
          <cell r="C958" t="str">
            <v>SINALIZAÇÃO VERTICAL E HORIZONTAL</v>
          </cell>
          <cell r="D958"/>
          <cell r="E958"/>
          <cell r="F958"/>
          <cell r="G958"/>
          <cell r="H958">
            <v>38888.32</v>
          </cell>
          <cell r="I958"/>
          <cell r="J958"/>
          <cell r="K958">
            <v>37806.879999999997</v>
          </cell>
        </row>
        <row r="959">
          <cell r="A959" t="str">
            <v>2.1.3.1</v>
          </cell>
          <cell r="B959">
            <v>5213416</v>
          </cell>
          <cell r="C959" t="str">
            <v>Confecção de placa em aço nº 16 galvanizado, com película tipo I + I</v>
          </cell>
          <cell r="D959" t="str">
            <v xml:space="preserve">M2    </v>
          </cell>
          <cell r="E959">
            <v>2.4</v>
          </cell>
          <cell r="F959">
            <v>351.9</v>
          </cell>
          <cell r="G959">
            <v>434.91</v>
          </cell>
          <cell r="H959">
            <v>1043.78</v>
          </cell>
          <cell r="I959">
            <v>355.35</v>
          </cell>
          <cell r="J959">
            <v>417.78</v>
          </cell>
          <cell r="K959">
            <v>1002.67</v>
          </cell>
        </row>
        <row r="960">
          <cell r="A960" t="str">
            <v>2.1.3.2</v>
          </cell>
          <cell r="B960">
            <v>5213421</v>
          </cell>
          <cell r="C960" t="str">
            <v>Confecção de placa em aço nº 16 galvanizado, com película tipo I + IV</v>
          </cell>
          <cell r="D960" t="str">
            <v xml:space="preserve">M2    </v>
          </cell>
          <cell r="E960">
            <v>3.8</v>
          </cell>
          <cell r="F960">
            <v>343.8</v>
          </cell>
          <cell r="G960">
            <v>424.9</v>
          </cell>
          <cell r="H960">
            <v>1614.62</v>
          </cell>
          <cell r="I960">
            <v>347.25</v>
          </cell>
          <cell r="J960">
            <v>408.26</v>
          </cell>
          <cell r="K960">
            <v>1551.39</v>
          </cell>
        </row>
        <row r="961">
          <cell r="A961" t="str">
            <v>2.1.3.3</v>
          </cell>
          <cell r="B961">
            <v>5216111</v>
          </cell>
          <cell r="C961" t="str">
            <v>FORNECIMENTO E IMPLANTAÇÃO DE SUPORTE E TRAVESSA PARA PLACA DE SINALIZAÇÃO EM MADEIRA DE LEI TRATADA 8 X 8 CM</v>
          </cell>
          <cell r="D961" t="str">
            <v>UND</v>
          </cell>
          <cell r="E961">
            <v>10</v>
          </cell>
          <cell r="F961">
            <v>119.1379</v>
          </cell>
          <cell r="G961">
            <v>147.24</v>
          </cell>
          <cell r="H961">
            <v>1472.4</v>
          </cell>
          <cell r="I961">
            <v>121.48</v>
          </cell>
          <cell r="J961">
            <v>142.82</v>
          </cell>
          <cell r="K961">
            <v>1428.2</v>
          </cell>
        </row>
        <row r="962">
          <cell r="A962" t="str">
            <v>2.1.3.4</v>
          </cell>
          <cell r="B962">
            <v>102512</v>
          </cell>
          <cell r="C962" t="str">
            <v>PINTURA DE EIXO VIÁRIO SOBRE ASFALTO COM TINTA RETRORREFLETIVA A BASE DE RESINA ACRÍLICA COM MICROESFERAS DE VIDRO, APLICAÇÃO MECÂNICA COM DEMARCADORA AUTOPROPELIDA. AF_05/2021</v>
          </cell>
          <cell r="D962" t="str">
            <v>M</v>
          </cell>
          <cell r="E962">
            <v>1281.1400000000001</v>
          </cell>
          <cell r="F962">
            <v>5.22</v>
          </cell>
          <cell r="G962">
            <v>6.45</v>
          </cell>
          <cell r="H962">
            <v>8263.35</v>
          </cell>
          <cell r="I962">
            <v>5.48</v>
          </cell>
          <cell r="J962">
            <v>6.44</v>
          </cell>
          <cell r="K962">
            <v>8250.5400000000009</v>
          </cell>
        </row>
        <row r="963">
          <cell r="A963" t="str">
            <v>2.1.3.5</v>
          </cell>
          <cell r="B963">
            <v>102513</v>
          </cell>
          <cell r="C963" t="str">
            <v>PINTURA DE SÍMBOLOS E TEXTOS COM TINTA ACRÍLICA, DEMARCAÇÃO COM FITA ADESIVA E APLICAÇÃO COM ROLO. AF_05/2021</v>
          </cell>
          <cell r="D963" t="str">
            <v>M2</v>
          </cell>
          <cell r="E963">
            <v>23.6</v>
          </cell>
          <cell r="F963">
            <v>39.49</v>
          </cell>
          <cell r="G963">
            <v>48.81</v>
          </cell>
          <cell r="H963">
            <v>1151.92</v>
          </cell>
          <cell r="I963">
            <v>42.79</v>
          </cell>
          <cell r="J963">
            <v>50.31</v>
          </cell>
          <cell r="K963">
            <v>1187.32</v>
          </cell>
        </row>
        <row r="964">
          <cell r="A964" t="str">
            <v>2.1.3.6</v>
          </cell>
          <cell r="B964">
            <v>5213395</v>
          </cell>
          <cell r="C964" t="str">
            <v>Tacha refletiva metálica - bidirecional tipo II - com dois pinos - fornecimento e colocação</v>
          </cell>
          <cell r="D964" t="str">
            <v>UND</v>
          </cell>
          <cell r="E964">
            <v>455</v>
          </cell>
          <cell r="F964">
            <v>35.15</v>
          </cell>
          <cell r="G964">
            <v>43.44</v>
          </cell>
          <cell r="H964">
            <v>19765.2</v>
          </cell>
          <cell r="I964">
            <v>35.619999999999997</v>
          </cell>
          <cell r="J964">
            <v>41.88</v>
          </cell>
          <cell r="K964">
            <v>19055.400000000001</v>
          </cell>
        </row>
        <row r="965">
          <cell r="A965" t="str">
            <v>2.1.3.7</v>
          </cell>
          <cell r="B965" t="str">
            <v>CP-72947-21572945</v>
          </cell>
          <cell r="C965" t="str">
            <v>SINALIZACAO HORIZONTAL COM TINTA RETRORREFLETIVA A BASE DE RESINA ACRILICA COM MICROESFERAS DE VIDRO</v>
          </cell>
          <cell r="D965" t="str">
            <v>M2</v>
          </cell>
          <cell r="E965">
            <v>223.35</v>
          </cell>
          <cell r="F965">
            <v>20.2</v>
          </cell>
          <cell r="G965">
            <v>24.97</v>
          </cell>
          <cell r="H965">
            <v>5577.05</v>
          </cell>
          <cell r="I965">
            <v>20.3</v>
          </cell>
          <cell r="J965">
            <v>23.87</v>
          </cell>
          <cell r="K965">
            <v>5331.36</v>
          </cell>
        </row>
        <row r="966">
          <cell r="A966" t="str">
            <v>Tabelas de Referência: SINAPI (JULHO-2022) / DNIT (ABRIL-22)</v>
          </cell>
          <cell r="B966"/>
          <cell r="C966"/>
          <cell r="D966"/>
          <cell r="E966"/>
          <cell r="F966"/>
          <cell r="G966"/>
          <cell r="H966">
            <v>13624106.619999997</v>
          </cell>
          <cell r="I966"/>
          <cell r="J966"/>
          <cell r="K966">
            <v>13273687.020000001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mailto:contato@limpexsolucoesambientais.com.br" TargetMode="External"/><Relationship Id="rId2" Type="http://schemas.openxmlformats.org/officeDocument/2006/relationships/hyperlink" Target="mailto:bwlocacoes@gmail.com" TargetMode="External"/><Relationship Id="rId1" Type="http://schemas.openxmlformats.org/officeDocument/2006/relationships/hyperlink" Target="mailto:sopedralima@hotmail.com" TargetMode="External"/><Relationship Id="rId6" Type="http://schemas.openxmlformats.org/officeDocument/2006/relationships/drawing" Target="../drawings/drawing9.xml"/><Relationship Id="rId5" Type="http://schemas.openxmlformats.org/officeDocument/2006/relationships/printerSettings" Target="../printerSettings/printerSettings10.bin"/><Relationship Id="rId4" Type="http://schemas.openxmlformats.org/officeDocument/2006/relationships/hyperlink" Target="mailto:litoralbanheirosquimic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E24"/>
  <sheetViews>
    <sheetView tabSelected="1" view="pageBreakPreview" zoomScaleNormal="100" zoomScaleSheetLayoutView="100" workbookViewId="0">
      <selection activeCell="B6" sqref="B6:C6"/>
    </sheetView>
  </sheetViews>
  <sheetFormatPr defaultRowHeight="15"/>
  <cols>
    <col min="1" max="1" width="9.28515625" customWidth="1"/>
    <col min="2" max="2" width="62.42578125" customWidth="1"/>
    <col min="3" max="3" width="22.85546875" customWidth="1"/>
    <col min="4" max="4" width="12.42578125" customWidth="1"/>
    <col min="5" max="5" width="8.28515625" customWidth="1"/>
  </cols>
  <sheetData>
    <row r="1" spans="1:5" ht="44.1" customHeight="1">
      <c r="A1" s="517"/>
      <c r="B1" s="517"/>
      <c r="C1" s="517"/>
      <c r="D1" s="517"/>
      <c r="E1" s="517"/>
    </row>
    <row r="2" spans="1:5" ht="21.95" customHeight="1">
      <c r="A2" s="517"/>
      <c r="B2" s="517"/>
      <c r="C2" s="517"/>
      <c r="D2" s="517"/>
      <c r="E2" s="517"/>
    </row>
    <row r="3" spans="1:5" ht="47.1" customHeight="1">
      <c r="A3" s="517"/>
      <c r="B3" s="517"/>
      <c r="C3" s="517"/>
      <c r="D3" s="517"/>
      <c r="E3" s="517"/>
    </row>
    <row r="4" spans="1:5" ht="20.100000000000001" customHeight="1">
      <c r="A4" s="28" t="s">
        <v>10</v>
      </c>
      <c r="B4" s="518" t="s">
        <v>11</v>
      </c>
      <c r="C4" s="518"/>
      <c r="D4" s="29">
        <v>13273614.82</v>
      </c>
      <c r="E4" s="29">
        <v>99.674647523540798</v>
      </c>
    </row>
    <row r="5" spans="1:5" ht="20.100000000000001" customHeight="1">
      <c r="A5" s="30" t="s">
        <v>12</v>
      </c>
      <c r="B5" s="519" t="s">
        <v>13</v>
      </c>
      <c r="C5" s="519"/>
      <c r="D5" s="31">
        <v>1061838.79</v>
      </c>
      <c r="E5" s="31">
        <v>7.9735933696524928</v>
      </c>
    </row>
    <row r="6" spans="1:5" ht="20.100000000000001" customHeight="1">
      <c r="A6" s="30" t="s">
        <v>214</v>
      </c>
      <c r="B6" s="519" t="s">
        <v>215</v>
      </c>
      <c r="C6" s="519"/>
      <c r="D6" s="31">
        <v>78047.820000000007</v>
      </c>
      <c r="E6" s="31">
        <v>0.58607915432043245</v>
      </c>
    </row>
    <row r="7" spans="1:5" ht="20.100000000000001" customHeight="1">
      <c r="A7" s="30" t="s">
        <v>274</v>
      </c>
      <c r="B7" s="519" t="s">
        <v>275</v>
      </c>
      <c r="C7" s="519"/>
      <c r="D7" s="31">
        <v>146237.70000000001</v>
      </c>
      <c r="E7" s="31">
        <v>1.0981327543263233</v>
      </c>
    </row>
    <row r="8" spans="1:5" ht="20.100000000000001" customHeight="1">
      <c r="A8" s="30" t="s">
        <v>364</v>
      </c>
      <c r="B8" s="519" t="s">
        <v>365</v>
      </c>
      <c r="C8" s="519"/>
      <c r="D8" s="31">
        <v>108371.72</v>
      </c>
      <c r="E8" s="31">
        <v>0.81378834168399183</v>
      </c>
    </row>
    <row r="9" spans="1:5" ht="20.100000000000001" customHeight="1">
      <c r="A9" s="30" t="s">
        <v>429</v>
      </c>
      <c r="B9" s="519" t="s">
        <v>430</v>
      </c>
      <c r="C9" s="519"/>
      <c r="D9" s="31">
        <v>548707.43000000005</v>
      </c>
      <c r="E9" s="31">
        <v>4.120371158909216</v>
      </c>
    </row>
    <row r="10" spans="1:5" ht="20.100000000000001" customHeight="1">
      <c r="A10" s="30" t="s">
        <v>483</v>
      </c>
      <c r="B10" s="519" t="s">
        <v>484</v>
      </c>
      <c r="C10" s="519"/>
      <c r="D10" s="31">
        <v>721603.77</v>
      </c>
      <c r="E10" s="31">
        <v>5.4186898144757381</v>
      </c>
    </row>
    <row r="11" spans="1:5" ht="20.100000000000001" customHeight="1">
      <c r="A11" s="30" t="s">
        <v>553</v>
      </c>
      <c r="B11" s="519" t="s">
        <v>554</v>
      </c>
      <c r="C11" s="519"/>
      <c r="D11" s="31">
        <v>339989.1</v>
      </c>
      <c r="E11" s="31">
        <v>2.5530568849477784</v>
      </c>
    </row>
    <row r="12" spans="1:5" ht="20.100000000000001" customHeight="1">
      <c r="A12" s="30" t="s">
        <v>605</v>
      </c>
      <c r="B12" s="519" t="s">
        <v>606</v>
      </c>
      <c r="C12" s="519"/>
      <c r="D12" s="31">
        <v>236285.57</v>
      </c>
      <c r="E12" s="31">
        <v>1.7743230630108737</v>
      </c>
    </row>
    <row r="13" spans="1:5" ht="20.100000000000001" customHeight="1">
      <c r="A13" s="30" t="s">
        <v>666</v>
      </c>
      <c r="B13" s="519" t="s">
        <v>667</v>
      </c>
      <c r="C13" s="519"/>
      <c r="D13" s="31">
        <v>320478.02</v>
      </c>
      <c r="E13" s="31">
        <v>2.4065436669452986</v>
      </c>
    </row>
    <row r="14" spans="1:5" ht="20.100000000000001" customHeight="1">
      <c r="A14" s="30" t="s">
        <v>739</v>
      </c>
      <c r="B14" s="519" t="s">
        <v>740</v>
      </c>
      <c r="C14" s="519"/>
      <c r="D14" s="31">
        <v>557762.54</v>
      </c>
      <c r="E14" s="31">
        <v>4.1883680768382296</v>
      </c>
    </row>
    <row r="15" spans="1:5" ht="20.100000000000001" customHeight="1">
      <c r="A15" s="30" t="s">
        <v>801</v>
      </c>
      <c r="B15" s="519" t="s">
        <v>802</v>
      </c>
      <c r="C15" s="519"/>
      <c r="D15" s="31">
        <v>338289.11</v>
      </c>
      <c r="E15" s="31">
        <v>2.5402912663622343</v>
      </c>
    </row>
    <row r="16" spans="1:5" ht="20.100000000000001" customHeight="1">
      <c r="A16" s="30" t="s">
        <v>869</v>
      </c>
      <c r="B16" s="519" t="s">
        <v>870</v>
      </c>
      <c r="C16" s="519"/>
      <c r="D16" s="31">
        <v>3101802.75</v>
      </c>
      <c r="E16" s="31">
        <v>23.29215515037821</v>
      </c>
    </row>
    <row r="17" spans="1:5" ht="20.100000000000001" customHeight="1">
      <c r="A17" s="30" t="s">
        <v>936</v>
      </c>
      <c r="B17" s="519" t="s">
        <v>937</v>
      </c>
      <c r="C17" s="519"/>
      <c r="D17" s="31">
        <v>3190412.9</v>
      </c>
      <c r="E17" s="31">
        <v>23.95754928664245</v>
      </c>
    </row>
    <row r="18" spans="1:5" ht="20.100000000000001" customHeight="1">
      <c r="A18" s="30" t="s">
        <v>1023</v>
      </c>
      <c r="B18" s="519" t="s">
        <v>1024</v>
      </c>
      <c r="C18" s="519"/>
      <c r="D18" s="31">
        <v>590339.88</v>
      </c>
      <c r="E18" s="31">
        <v>4.4329988670026346</v>
      </c>
    </row>
    <row r="19" spans="1:5" ht="20.100000000000001" customHeight="1">
      <c r="A19" s="30" t="s">
        <v>1079</v>
      </c>
      <c r="B19" s="519" t="s">
        <v>1080</v>
      </c>
      <c r="C19" s="519"/>
      <c r="D19" s="31">
        <v>1933447.72</v>
      </c>
      <c r="E19" s="31">
        <v>14.518706668044901</v>
      </c>
    </row>
    <row r="20" spans="1:5" ht="20.100000000000001" customHeight="1">
      <c r="A20" s="28" t="s">
        <v>1164</v>
      </c>
      <c r="B20" s="518" t="s">
        <v>1165</v>
      </c>
      <c r="C20" s="518"/>
      <c r="D20" s="29">
        <v>43327</v>
      </c>
      <c r="E20" s="29">
        <v>0.32535247645919352</v>
      </c>
    </row>
    <row r="21" spans="1:5" ht="20.100000000000001" customHeight="1">
      <c r="A21" s="30" t="s">
        <v>1166</v>
      </c>
      <c r="B21" s="519" t="s">
        <v>1167</v>
      </c>
      <c r="C21" s="519"/>
      <c r="D21" s="31">
        <v>43327</v>
      </c>
      <c r="E21" s="31">
        <v>0.32535247645919352</v>
      </c>
    </row>
    <row r="22" spans="1:5" ht="15" customHeight="1">
      <c r="A22" s="32"/>
      <c r="B22" s="32"/>
      <c r="C22" s="33" t="s">
        <v>1186</v>
      </c>
      <c r="D22" s="29">
        <v>1677077.46</v>
      </c>
      <c r="E22" s="29">
        <v>99.999999999999986</v>
      </c>
    </row>
    <row r="23" spans="1:5" ht="15" customHeight="1">
      <c r="A23" s="32"/>
      <c r="B23" s="32"/>
      <c r="C23" s="33" t="s">
        <v>1187</v>
      </c>
      <c r="D23" s="29">
        <v>11639864.359999999</v>
      </c>
      <c r="E23" s="32"/>
    </row>
    <row r="24" spans="1:5" ht="15" customHeight="1">
      <c r="A24" s="32"/>
      <c r="B24" s="32"/>
      <c r="C24" s="33" t="s">
        <v>1188</v>
      </c>
      <c r="D24" s="29">
        <v>13316941.82</v>
      </c>
      <c r="E24" s="32"/>
    </row>
  </sheetData>
  <mergeCells count="19">
    <mergeCell ref="B18:C18"/>
    <mergeCell ref="B19:C19"/>
    <mergeCell ref="B20:C20"/>
    <mergeCell ref="B21:C21"/>
    <mergeCell ref="B13:C13"/>
    <mergeCell ref="B14:C14"/>
    <mergeCell ref="B15:C15"/>
    <mergeCell ref="B16:C16"/>
    <mergeCell ref="B17:C17"/>
    <mergeCell ref="B8:C8"/>
    <mergeCell ref="B9:C9"/>
    <mergeCell ref="B10:C10"/>
    <mergeCell ref="B11:C11"/>
    <mergeCell ref="B12:C12"/>
    <mergeCell ref="A1:E3"/>
    <mergeCell ref="B4:C4"/>
    <mergeCell ref="B5:C5"/>
    <mergeCell ref="B6:C6"/>
    <mergeCell ref="B7:C7"/>
  </mergeCells>
  <printOptions horizontalCentered="1"/>
  <pageMargins left="0" right="0" top="0.39370078740157483" bottom="0.78740157480314965" header="0" footer="0"/>
  <pageSetup paperSize="9" scale="85" orientation="portrait" r:id="rId1"/>
  <headerFooter>
    <oddFooter>&amp;C&amp;P/&amp;N&amp;R&amp;G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J959"/>
  <sheetViews>
    <sheetView view="pageBreakPreview" zoomScale="90" zoomScaleNormal="100" zoomScaleSheetLayoutView="90" workbookViewId="0">
      <selection activeCell="D7" sqref="D7"/>
    </sheetView>
  </sheetViews>
  <sheetFormatPr defaultRowHeight="12"/>
  <cols>
    <col min="1" max="1" width="9.28515625" style="35" customWidth="1"/>
    <col min="2" max="2" width="13.42578125" style="35" customWidth="1"/>
    <col min="3" max="3" width="12.42578125" style="35" customWidth="1"/>
    <col min="4" max="4" width="59.7109375" style="35" bestFit="1"/>
    <col min="5" max="5" width="9.28515625" style="35" customWidth="1"/>
    <col min="6" max="7" width="12.42578125" style="35" customWidth="1"/>
    <col min="8" max="8" width="8.85546875" style="35" customWidth="1"/>
    <col min="9" max="9" width="16" style="35" customWidth="1"/>
    <col min="10" max="10" width="12.42578125" style="35" customWidth="1"/>
    <col min="11" max="16384" width="9.140625" style="35"/>
  </cols>
  <sheetData>
    <row r="1" spans="1:10" ht="99" customHeight="1">
      <c r="A1" s="520"/>
      <c r="B1" s="520"/>
      <c r="C1" s="520"/>
      <c r="D1" s="520"/>
      <c r="E1" s="520"/>
      <c r="F1" s="520"/>
      <c r="G1" s="520"/>
      <c r="H1" s="520"/>
      <c r="I1" s="520"/>
      <c r="J1" s="520"/>
    </row>
    <row r="2" spans="1:10" ht="21.95" customHeight="1">
      <c r="A2" s="36" t="s">
        <v>0</v>
      </c>
      <c r="B2" s="36" t="s">
        <v>1</v>
      </c>
      <c r="C2" s="36" t="s">
        <v>2</v>
      </c>
      <c r="D2" s="36" t="s">
        <v>3</v>
      </c>
      <c r="E2" s="36" t="s">
        <v>4</v>
      </c>
      <c r="F2" s="36" t="s">
        <v>5</v>
      </c>
      <c r="G2" s="36" t="s">
        <v>6</v>
      </c>
      <c r="H2" s="36" t="s">
        <v>7</v>
      </c>
      <c r="I2" s="36" t="s">
        <v>8</v>
      </c>
      <c r="J2" s="36" t="s">
        <v>9</v>
      </c>
    </row>
    <row r="3" spans="1:10" ht="20.100000000000001" customHeight="1">
      <c r="A3" s="37" t="s">
        <v>10</v>
      </c>
      <c r="B3" s="521" t="s">
        <v>11</v>
      </c>
      <c r="C3" s="521"/>
      <c r="D3" s="521"/>
      <c r="E3" s="521"/>
      <c r="F3" s="521"/>
      <c r="G3" s="521"/>
      <c r="H3" s="521"/>
      <c r="I3" s="521"/>
      <c r="J3" s="38">
        <v>13273614.82</v>
      </c>
    </row>
    <row r="4" spans="1:10" ht="20.100000000000001" customHeight="1">
      <c r="A4" s="37" t="s">
        <v>12</v>
      </c>
      <c r="B4" s="521" t="s">
        <v>13</v>
      </c>
      <c r="C4" s="521"/>
      <c r="D4" s="521"/>
      <c r="E4" s="521"/>
      <c r="F4" s="521"/>
      <c r="G4" s="521"/>
      <c r="H4" s="521"/>
      <c r="I4" s="521"/>
      <c r="J4" s="38">
        <v>1061838.79</v>
      </c>
    </row>
    <row r="5" spans="1:10" ht="20.100000000000001" customHeight="1">
      <c r="A5" s="37" t="s">
        <v>14</v>
      </c>
      <c r="B5" s="521" t="s">
        <v>15</v>
      </c>
      <c r="C5" s="521"/>
      <c r="D5" s="521"/>
      <c r="E5" s="521"/>
      <c r="F5" s="521"/>
      <c r="G5" s="521"/>
      <c r="H5" s="521"/>
      <c r="I5" s="521"/>
      <c r="J5" s="38">
        <v>10252.02</v>
      </c>
    </row>
    <row r="6" spans="1:10" ht="24">
      <c r="A6" s="39" t="s">
        <v>16</v>
      </c>
      <c r="B6" s="40" t="s">
        <v>17</v>
      </c>
      <c r="C6" s="40" t="s">
        <v>18</v>
      </c>
      <c r="D6" s="39" t="s">
        <v>19</v>
      </c>
      <c r="E6" s="40" t="s">
        <v>20</v>
      </c>
      <c r="F6" s="41">
        <v>8</v>
      </c>
      <c r="G6" s="41">
        <v>564.99</v>
      </c>
      <c r="H6" s="41">
        <v>17.57</v>
      </c>
      <c r="I6" s="41">
        <v>664.26</v>
      </c>
      <c r="J6" s="41">
        <v>5314.08</v>
      </c>
    </row>
    <row r="7" spans="1:10" ht="24">
      <c r="A7" s="39" t="s">
        <v>21</v>
      </c>
      <c r="B7" s="40" t="s">
        <v>22</v>
      </c>
      <c r="C7" s="40" t="s">
        <v>18</v>
      </c>
      <c r="D7" s="39" t="s">
        <v>23</v>
      </c>
      <c r="E7" s="40" t="s">
        <v>24</v>
      </c>
      <c r="F7" s="41">
        <v>6</v>
      </c>
      <c r="G7" s="41">
        <v>700</v>
      </c>
      <c r="H7" s="41">
        <v>17.57</v>
      </c>
      <c r="I7" s="41">
        <v>822.99</v>
      </c>
      <c r="J7" s="41">
        <v>4937.9399999999996</v>
      </c>
    </row>
    <row r="8" spans="1:10" ht="20.100000000000001" customHeight="1">
      <c r="A8" s="37" t="s">
        <v>25</v>
      </c>
      <c r="B8" s="521" t="s">
        <v>26</v>
      </c>
      <c r="C8" s="521"/>
      <c r="D8" s="521"/>
      <c r="E8" s="521"/>
      <c r="F8" s="521"/>
      <c r="G8" s="521"/>
      <c r="H8" s="521"/>
      <c r="I8" s="521"/>
      <c r="J8" s="38">
        <v>38363.51</v>
      </c>
    </row>
    <row r="9" spans="1:10" ht="24">
      <c r="A9" s="39" t="s">
        <v>27</v>
      </c>
      <c r="B9" s="40" t="s">
        <v>28</v>
      </c>
      <c r="C9" s="40" t="s">
        <v>29</v>
      </c>
      <c r="D9" s="39" t="s">
        <v>30</v>
      </c>
      <c r="E9" s="40" t="s">
        <v>31</v>
      </c>
      <c r="F9" s="41">
        <v>0.75</v>
      </c>
      <c r="G9" s="41">
        <v>16819.14</v>
      </c>
      <c r="H9" s="41">
        <v>17.57</v>
      </c>
      <c r="I9" s="41">
        <v>19774.259999999998</v>
      </c>
      <c r="J9" s="41">
        <v>14830.7</v>
      </c>
    </row>
    <row r="10" spans="1:10" ht="24">
      <c r="A10" s="39" t="s">
        <v>32</v>
      </c>
      <c r="B10" s="40" t="s">
        <v>33</v>
      </c>
      <c r="C10" s="40" t="s">
        <v>29</v>
      </c>
      <c r="D10" s="39" t="s">
        <v>34</v>
      </c>
      <c r="E10" s="40" t="s">
        <v>31</v>
      </c>
      <c r="F10" s="41">
        <v>3</v>
      </c>
      <c r="G10" s="41">
        <v>6672</v>
      </c>
      <c r="H10" s="41">
        <v>17.57</v>
      </c>
      <c r="I10" s="41">
        <v>7844.27</v>
      </c>
      <c r="J10" s="41">
        <v>23532.81</v>
      </c>
    </row>
    <row r="11" spans="1:10" ht="20.100000000000001" customHeight="1">
      <c r="A11" s="37" t="s">
        <v>35</v>
      </c>
      <c r="B11" s="521" t="s">
        <v>36</v>
      </c>
      <c r="C11" s="521"/>
      <c r="D11" s="521"/>
      <c r="E11" s="521"/>
      <c r="F11" s="521"/>
      <c r="G11" s="521"/>
      <c r="H11" s="521"/>
      <c r="I11" s="521"/>
      <c r="J11" s="38">
        <v>72916.73</v>
      </c>
    </row>
    <row r="12" spans="1:10">
      <c r="A12" s="39" t="s">
        <v>37</v>
      </c>
      <c r="B12" s="40" t="s">
        <v>38</v>
      </c>
      <c r="C12" s="40" t="s">
        <v>29</v>
      </c>
      <c r="D12" s="39" t="s">
        <v>39</v>
      </c>
      <c r="E12" s="40" t="s">
        <v>40</v>
      </c>
      <c r="F12" s="41">
        <v>614.66999999999996</v>
      </c>
      <c r="G12" s="41">
        <v>0.49</v>
      </c>
      <c r="H12" s="41">
        <v>17.57</v>
      </c>
      <c r="I12" s="41">
        <v>0.57999999999999996</v>
      </c>
      <c r="J12" s="41">
        <v>356.51</v>
      </c>
    </row>
    <row r="13" spans="1:10" ht="24">
      <c r="A13" s="39" t="s">
        <v>41</v>
      </c>
      <c r="B13" s="40" t="s">
        <v>42</v>
      </c>
      <c r="C13" s="40" t="s">
        <v>18</v>
      </c>
      <c r="D13" s="39" t="s">
        <v>43</v>
      </c>
      <c r="E13" s="40" t="s">
        <v>44</v>
      </c>
      <c r="F13" s="41">
        <v>211.49</v>
      </c>
      <c r="G13" s="41">
        <v>212.24</v>
      </c>
      <c r="H13" s="41">
        <v>17.57</v>
      </c>
      <c r="I13" s="41">
        <v>249.53</v>
      </c>
      <c r="J13" s="41">
        <v>52773.1</v>
      </c>
    </row>
    <row r="14" spans="1:10" ht="24">
      <c r="A14" s="39" t="s">
        <v>45</v>
      </c>
      <c r="B14" s="40" t="s">
        <v>46</v>
      </c>
      <c r="C14" s="40" t="s">
        <v>18</v>
      </c>
      <c r="D14" s="39" t="s">
        <v>47</v>
      </c>
      <c r="E14" s="40" t="s">
        <v>40</v>
      </c>
      <c r="F14" s="41">
        <v>1279.92</v>
      </c>
      <c r="G14" s="41">
        <v>11.13</v>
      </c>
      <c r="H14" s="41">
        <v>17.57</v>
      </c>
      <c r="I14" s="41">
        <v>13.09</v>
      </c>
      <c r="J14" s="41">
        <v>16754.150000000001</v>
      </c>
    </row>
    <row r="15" spans="1:10" ht="48">
      <c r="A15" s="39" t="s">
        <v>48</v>
      </c>
      <c r="B15" s="40" t="s">
        <v>49</v>
      </c>
      <c r="C15" s="40" t="s">
        <v>18</v>
      </c>
      <c r="D15" s="39" t="s">
        <v>50</v>
      </c>
      <c r="E15" s="40" t="s">
        <v>44</v>
      </c>
      <c r="F15" s="41">
        <v>336.36</v>
      </c>
      <c r="G15" s="41">
        <v>2.9</v>
      </c>
      <c r="H15" s="41">
        <v>17.57</v>
      </c>
      <c r="I15" s="41">
        <v>3.41</v>
      </c>
      <c r="J15" s="41">
        <v>1146.99</v>
      </c>
    </row>
    <row r="16" spans="1:10" ht="36">
      <c r="A16" s="39" t="s">
        <v>51</v>
      </c>
      <c r="B16" s="40" t="s">
        <v>52</v>
      </c>
      <c r="C16" s="40" t="s">
        <v>29</v>
      </c>
      <c r="D16" s="39" t="s">
        <v>53</v>
      </c>
      <c r="E16" s="40" t="s">
        <v>54</v>
      </c>
      <c r="F16" s="41">
        <v>706.36</v>
      </c>
      <c r="G16" s="41">
        <v>2.27</v>
      </c>
      <c r="H16" s="41">
        <v>17.57</v>
      </c>
      <c r="I16" s="41">
        <v>2.67</v>
      </c>
      <c r="J16" s="41">
        <v>1885.98</v>
      </c>
    </row>
    <row r="17" spans="1:10" ht="20.100000000000001" customHeight="1">
      <c r="A17" s="37" t="s">
        <v>55</v>
      </c>
      <c r="B17" s="521" t="s">
        <v>56</v>
      </c>
      <c r="C17" s="521"/>
      <c r="D17" s="521"/>
      <c r="E17" s="521"/>
      <c r="F17" s="521"/>
      <c r="G17" s="521"/>
      <c r="H17" s="521"/>
      <c r="I17" s="521"/>
      <c r="J17" s="38">
        <v>30382.37</v>
      </c>
    </row>
    <row r="18" spans="1:10" ht="24">
      <c r="A18" s="39" t="s">
        <v>57</v>
      </c>
      <c r="B18" s="40" t="s">
        <v>58</v>
      </c>
      <c r="C18" s="40" t="s">
        <v>18</v>
      </c>
      <c r="D18" s="39" t="s">
        <v>59</v>
      </c>
      <c r="E18" s="40" t="s">
        <v>60</v>
      </c>
      <c r="F18" s="41">
        <v>2121.4899999999998</v>
      </c>
      <c r="G18" s="41">
        <v>2.59</v>
      </c>
      <c r="H18" s="41">
        <v>17.57</v>
      </c>
      <c r="I18" s="41">
        <v>3.05</v>
      </c>
      <c r="J18" s="41">
        <v>6470.54</v>
      </c>
    </row>
    <row r="19" spans="1:10" ht="48">
      <c r="A19" s="39" t="s">
        <v>61</v>
      </c>
      <c r="B19" s="40" t="s">
        <v>49</v>
      </c>
      <c r="C19" s="40" t="s">
        <v>18</v>
      </c>
      <c r="D19" s="39" t="s">
        <v>50</v>
      </c>
      <c r="E19" s="40" t="s">
        <v>44</v>
      </c>
      <c r="F19" s="41">
        <v>2651.86</v>
      </c>
      <c r="G19" s="41">
        <v>2.9</v>
      </c>
      <c r="H19" s="41">
        <v>17.57</v>
      </c>
      <c r="I19" s="41">
        <v>3.41</v>
      </c>
      <c r="J19" s="41">
        <v>9042.84</v>
      </c>
    </row>
    <row r="20" spans="1:10" ht="36">
      <c r="A20" s="39" t="s">
        <v>62</v>
      </c>
      <c r="B20" s="40" t="s">
        <v>52</v>
      </c>
      <c r="C20" s="40" t="s">
        <v>29</v>
      </c>
      <c r="D20" s="39" t="s">
        <v>53</v>
      </c>
      <c r="E20" s="40" t="s">
        <v>54</v>
      </c>
      <c r="F20" s="41">
        <v>5568.91</v>
      </c>
      <c r="G20" s="41">
        <v>2.27</v>
      </c>
      <c r="H20" s="41">
        <v>17.57</v>
      </c>
      <c r="I20" s="41">
        <v>2.67</v>
      </c>
      <c r="J20" s="41">
        <v>14868.99</v>
      </c>
    </row>
    <row r="21" spans="1:10" ht="20.100000000000001" customHeight="1">
      <c r="A21" s="37" t="s">
        <v>63</v>
      </c>
      <c r="B21" s="521" t="s">
        <v>11</v>
      </c>
      <c r="C21" s="521"/>
      <c r="D21" s="521"/>
      <c r="E21" s="521"/>
      <c r="F21" s="521"/>
      <c r="G21" s="521"/>
      <c r="H21" s="521"/>
      <c r="I21" s="521"/>
      <c r="J21" s="38">
        <v>230771.49</v>
      </c>
    </row>
    <row r="22" spans="1:10" ht="24">
      <c r="A22" s="39" t="s">
        <v>64</v>
      </c>
      <c r="B22" s="40" t="s">
        <v>65</v>
      </c>
      <c r="C22" s="40" t="s">
        <v>29</v>
      </c>
      <c r="D22" s="39" t="s">
        <v>66</v>
      </c>
      <c r="E22" s="40" t="s">
        <v>20</v>
      </c>
      <c r="F22" s="41">
        <v>4302.6899999999996</v>
      </c>
      <c r="G22" s="41">
        <v>2.79</v>
      </c>
      <c r="H22" s="41">
        <v>17.57</v>
      </c>
      <c r="I22" s="41">
        <v>3.28</v>
      </c>
      <c r="J22" s="41">
        <v>14112.82</v>
      </c>
    </row>
    <row r="23" spans="1:10" ht="24">
      <c r="A23" s="39" t="s">
        <v>67</v>
      </c>
      <c r="B23" s="40" t="s">
        <v>68</v>
      </c>
      <c r="C23" s="40" t="s">
        <v>18</v>
      </c>
      <c r="D23" s="39" t="s">
        <v>69</v>
      </c>
      <c r="E23" s="40" t="s">
        <v>70</v>
      </c>
      <c r="F23" s="41">
        <v>553.20000000000005</v>
      </c>
      <c r="G23" s="41">
        <v>11.4</v>
      </c>
      <c r="H23" s="41">
        <v>17.57</v>
      </c>
      <c r="I23" s="41">
        <v>13.4</v>
      </c>
      <c r="J23" s="41">
        <v>7412.88</v>
      </c>
    </row>
    <row r="24" spans="1:10" ht="36">
      <c r="A24" s="39" t="s">
        <v>71</v>
      </c>
      <c r="B24" s="40" t="s">
        <v>72</v>
      </c>
      <c r="C24" s="40" t="s">
        <v>18</v>
      </c>
      <c r="D24" s="39" t="s">
        <v>73</v>
      </c>
      <c r="E24" s="40" t="s">
        <v>60</v>
      </c>
      <c r="F24" s="41">
        <v>614.66999999999996</v>
      </c>
      <c r="G24" s="41">
        <v>14.44</v>
      </c>
      <c r="H24" s="41">
        <v>17.57</v>
      </c>
      <c r="I24" s="41">
        <v>16.98</v>
      </c>
      <c r="J24" s="41">
        <v>10437.1</v>
      </c>
    </row>
    <row r="25" spans="1:10" ht="48">
      <c r="A25" s="39" t="s">
        <v>74</v>
      </c>
      <c r="B25" s="40" t="s">
        <v>49</v>
      </c>
      <c r="C25" s="40" t="s">
        <v>18</v>
      </c>
      <c r="D25" s="39" t="s">
        <v>50</v>
      </c>
      <c r="E25" s="40" t="s">
        <v>44</v>
      </c>
      <c r="F25" s="41">
        <v>1459.84</v>
      </c>
      <c r="G25" s="41">
        <v>2.9</v>
      </c>
      <c r="H25" s="41">
        <v>17.57</v>
      </c>
      <c r="I25" s="41">
        <v>3.41</v>
      </c>
      <c r="J25" s="41">
        <v>4978.05</v>
      </c>
    </row>
    <row r="26" spans="1:10" ht="24">
      <c r="A26" s="39" t="s">
        <v>75</v>
      </c>
      <c r="B26" s="40" t="s">
        <v>76</v>
      </c>
      <c r="C26" s="40" t="s">
        <v>18</v>
      </c>
      <c r="D26" s="39" t="s">
        <v>77</v>
      </c>
      <c r="E26" s="40" t="s">
        <v>78</v>
      </c>
      <c r="F26" s="41">
        <v>10218.879999999999</v>
      </c>
      <c r="G26" s="41">
        <v>1.37</v>
      </c>
      <c r="H26" s="41">
        <v>17.57</v>
      </c>
      <c r="I26" s="41">
        <v>1.61</v>
      </c>
      <c r="J26" s="41">
        <v>16452.400000000001</v>
      </c>
    </row>
    <row r="27" spans="1:10" ht="24">
      <c r="A27" s="39" t="s">
        <v>79</v>
      </c>
      <c r="B27" s="40" t="s">
        <v>80</v>
      </c>
      <c r="C27" s="40" t="s">
        <v>18</v>
      </c>
      <c r="D27" s="39" t="s">
        <v>81</v>
      </c>
      <c r="E27" s="40" t="s">
        <v>20</v>
      </c>
      <c r="F27" s="41">
        <v>3068.17</v>
      </c>
      <c r="G27" s="41">
        <v>1.24</v>
      </c>
      <c r="H27" s="41">
        <v>17.57</v>
      </c>
      <c r="I27" s="41">
        <v>1.46</v>
      </c>
      <c r="J27" s="41">
        <v>4479.53</v>
      </c>
    </row>
    <row r="28" spans="1:10" ht="36">
      <c r="A28" s="39" t="s">
        <v>82</v>
      </c>
      <c r="B28" s="40" t="s">
        <v>83</v>
      </c>
      <c r="C28" s="40" t="s">
        <v>18</v>
      </c>
      <c r="D28" s="39" t="s">
        <v>84</v>
      </c>
      <c r="E28" s="40" t="s">
        <v>60</v>
      </c>
      <c r="F28" s="41">
        <v>153.41</v>
      </c>
      <c r="G28" s="41">
        <v>133.37</v>
      </c>
      <c r="H28" s="41">
        <v>17.57</v>
      </c>
      <c r="I28" s="41">
        <v>156.80000000000001</v>
      </c>
      <c r="J28" s="41">
        <v>24054.69</v>
      </c>
    </row>
    <row r="29" spans="1:10" ht="36">
      <c r="A29" s="39" t="s">
        <v>85</v>
      </c>
      <c r="B29" s="40" t="s">
        <v>86</v>
      </c>
      <c r="C29" s="40" t="s">
        <v>18</v>
      </c>
      <c r="D29" s="39" t="s">
        <v>87</v>
      </c>
      <c r="E29" s="40" t="s">
        <v>44</v>
      </c>
      <c r="F29" s="41">
        <v>153.41</v>
      </c>
      <c r="G29" s="41">
        <v>7.86</v>
      </c>
      <c r="H29" s="41">
        <v>17.57</v>
      </c>
      <c r="I29" s="41">
        <v>9.24</v>
      </c>
      <c r="J29" s="41">
        <v>1417.51</v>
      </c>
    </row>
    <row r="30" spans="1:10" ht="24">
      <c r="A30" s="39" t="s">
        <v>88</v>
      </c>
      <c r="B30" s="40" t="s">
        <v>89</v>
      </c>
      <c r="C30" s="40" t="s">
        <v>18</v>
      </c>
      <c r="D30" s="39" t="s">
        <v>90</v>
      </c>
      <c r="E30" s="40" t="s">
        <v>54</v>
      </c>
      <c r="F30" s="41">
        <v>2316.4899999999998</v>
      </c>
      <c r="G30" s="41">
        <v>1.77</v>
      </c>
      <c r="H30" s="41">
        <v>17.57</v>
      </c>
      <c r="I30" s="41">
        <v>2.08</v>
      </c>
      <c r="J30" s="41">
        <v>4818.3</v>
      </c>
    </row>
    <row r="31" spans="1:10" ht="24">
      <c r="A31" s="39" t="s">
        <v>91</v>
      </c>
      <c r="B31" s="40" t="s">
        <v>92</v>
      </c>
      <c r="C31" s="40" t="s">
        <v>18</v>
      </c>
      <c r="D31" s="39" t="s">
        <v>93</v>
      </c>
      <c r="E31" s="40" t="s">
        <v>20</v>
      </c>
      <c r="F31" s="41">
        <v>3007.49</v>
      </c>
      <c r="G31" s="41">
        <v>0.65</v>
      </c>
      <c r="H31" s="41">
        <v>17.57</v>
      </c>
      <c r="I31" s="41">
        <v>0.76</v>
      </c>
      <c r="J31" s="41">
        <v>2285.69</v>
      </c>
    </row>
    <row r="32" spans="1:10" ht="48">
      <c r="A32" s="39" t="s">
        <v>94</v>
      </c>
      <c r="B32" s="40" t="s">
        <v>95</v>
      </c>
      <c r="C32" s="40" t="s">
        <v>18</v>
      </c>
      <c r="D32" s="39" t="s">
        <v>96</v>
      </c>
      <c r="E32" s="40" t="s">
        <v>60</v>
      </c>
      <c r="F32" s="41">
        <v>208.83</v>
      </c>
      <c r="G32" s="41">
        <v>112.75</v>
      </c>
      <c r="H32" s="41">
        <v>17.57</v>
      </c>
      <c r="I32" s="41">
        <v>132.56</v>
      </c>
      <c r="J32" s="41">
        <v>27682.5</v>
      </c>
    </row>
    <row r="33" spans="1:10" ht="60">
      <c r="A33" s="39" t="s">
        <v>97</v>
      </c>
      <c r="B33" s="40" t="s">
        <v>98</v>
      </c>
      <c r="C33" s="40" t="s">
        <v>29</v>
      </c>
      <c r="D33" s="39" t="s">
        <v>99</v>
      </c>
      <c r="E33" s="40" t="s">
        <v>40</v>
      </c>
      <c r="F33" s="41">
        <v>1282.3800000000001</v>
      </c>
      <c r="G33" s="41">
        <v>56.47</v>
      </c>
      <c r="H33" s="41">
        <v>17.57</v>
      </c>
      <c r="I33" s="41">
        <v>66.39</v>
      </c>
      <c r="J33" s="41">
        <v>85137.21</v>
      </c>
    </row>
    <row r="34" spans="1:10" ht="60">
      <c r="A34" s="39" t="s">
        <v>100</v>
      </c>
      <c r="B34" s="40" t="s">
        <v>101</v>
      </c>
      <c r="C34" s="40" t="s">
        <v>29</v>
      </c>
      <c r="D34" s="39" t="s">
        <v>102</v>
      </c>
      <c r="E34" s="40" t="s">
        <v>40</v>
      </c>
      <c r="F34" s="41">
        <v>36.159999999999997</v>
      </c>
      <c r="G34" s="41">
        <v>60.43</v>
      </c>
      <c r="H34" s="41">
        <v>17.57</v>
      </c>
      <c r="I34" s="41">
        <v>71.05</v>
      </c>
      <c r="J34" s="41">
        <v>2569.17</v>
      </c>
    </row>
    <row r="35" spans="1:10" ht="60">
      <c r="A35" s="39" t="s">
        <v>103</v>
      </c>
      <c r="B35" s="40" t="s">
        <v>104</v>
      </c>
      <c r="C35" s="40" t="s">
        <v>29</v>
      </c>
      <c r="D35" s="39" t="s">
        <v>105</v>
      </c>
      <c r="E35" s="40" t="s">
        <v>40</v>
      </c>
      <c r="F35" s="41">
        <v>77</v>
      </c>
      <c r="G35" s="41">
        <v>54.31</v>
      </c>
      <c r="H35" s="41">
        <v>17.57</v>
      </c>
      <c r="I35" s="41">
        <v>63.85</v>
      </c>
      <c r="J35" s="41">
        <v>4916.45</v>
      </c>
    </row>
    <row r="36" spans="1:10" ht="24">
      <c r="A36" s="39" t="s">
        <v>106</v>
      </c>
      <c r="B36" s="40" t="s">
        <v>107</v>
      </c>
      <c r="C36" s="40" t="s">
        <v>29</v>
      </c>
      <c r="D36" s="39" t="s">
        <v>108</v>
      </c>
      <c r="E36" s="40" t="s">
        <v>40</v>
      </c>
      <c r="F36" s="41">
        <v>330.83</v>
      </c>
      <c r="G36" s="41">
        <v>39.770000000000003</v>
      </c>
      <c r="H36" s="41">
        <v>17.57</v>
      </c>
      <c r="I36" s="41">
        <v>46.76</v>
      </c>
      <c r="J36" s="41">
        <v>15469.61</v>
      </c>
    </row>
    <row r="37" spans="1:10" ht="24">
      <c r="A37" s="39" t="s">
        <v>109</v>
      </c>
      <c r="B37" s="40" t="s">
        <v>110</v>
      </c>
      <c r="C37" s="40" t="s">
        <v>29</v>
      </c>
      <c r="D37" s="39" t="s">
        <v>111</v>
      </c>
      <c r="E37" s="40" t="s">
        <v>40</v>
      </c>
      <c r="F37" s="41">
        <v>17.84</v>
      </c>
      <c r="G37" s="41">
        <v>50.32</v>
      </c>
      <c r="H37" s="41">
        <v>17.57</v>
      </c>
      <c r="I37" s="41">
        <v>59.16</v>
      </c>
      <c r="J37" s="41">
        <v>1055.4100000000001</v>
      </c>
    </row>
    <row r="38" spans="1:10" ht="24">
      <c r="A38" s="39" t="s">
        <v>112</v>
      </c>
      <c r="B38" s="40" t="s">
        <v>113</v>
      </c>
      <c r="C38" s="40" t="s">
        <v>29</v>
      </c>
      <c r="D38" s="39" t="s">
        <v>114</v>
      </c>
      <c r="E38" s="40" t="s">
        <v>115</v>
      </c>
      <c r="F38" s="41">
        <v>11</v>
      </c>
      <c r="G38" s="41">
        <v>201.05</v>
      </c>
      <c r="H38" s="41">
        <v>17.57</v>
      </c>
      <c r="I38" s="41">
        <v>236.37</v>
      </c>
      <c r="J38" s="41">
        <v>2600.0700000000002</v>
      </c>
    </row>
    <row r="39" spans="1:10">
      <c r="A39" s="39" t="s">
        <v>116</v>
      </c>
      <c r="B39" s="40" t="s">
        <v>117</v>
      </c>
      <c r="C39" s="40" t="s">
        <v>29</v>
      </c>
      <c r="D39" s="39" t="s">
        <v>118</v>
      </c>
      <c r="E39" s="40" t="s">
        <v>20</v>
      </c>
      <c r="F39" s="41">
        <v>55</v>
      </c>
      <c r="G39" s="41">
        <v>13.8</v>
      </c>
      <c r="H39" s="41">
        <v>17.57</v>
      </c>
      <c r="I39" s="41">
        <v>16.22</v>
      </c>
      <c r="J39" s="41">
        <v>892.1</v>
      </c>
    </row>
    <row r="40" spans="1:10" ht="20.100000000000001" customHeight="1">
      <c r="A40" s="37" t="s">
        <v>119</v>
      </c>
      <c r="B40" s="521" t="s">
        <v>120</v>
      </c>
      <c r="C40" s="521"/>
      <c r="D40" s="521"/>
      <c r="E40" s="521"/>
      <c r="F40" s="521"/>
      <c r="G40" s="521"/>
      <c r="H40" s="521"/>
      <c r="I40" s="521"/>
      <c r="J40" s="38">
        <v>148501.4</v>
      </c>
    </row>
    <row r="41" spans="1:10" ht="60">
      <c r="A41" s="39" t="s">
        <v>121</v>
      </c>
      <c r="B41" s="40" t="s">
        <v>122</v>
      </c>
      <c r="C41" s="40" t="s">
        <v>29</v>
      </c>
      <c r="D41" s="39" t="s">
        <v>123</v>
      </c>
      <c r="E41" s="40" t="s">
        <v>60</v>
      </c>
      <c r="F41" s="41">
        <v>71.61</v>
      </c>
      <c r="G41" s="41">
        <v>6.48</v>
      </c>
      <c r="H41" s="41">
        <v>17.57</v>
      </c>
      <c r="I41" s="41">
        <v>7.62</v>
      </c>
      <c r="J41" s="41">
        <v>545.66999999999996</v>
      </c>
    </row>
    <row r="42" spans="1:10" ht="60">
      <c r="A42" s="39" t="s">
        <v>124</v>
      </c>
      <c r="B42" s="40" t="s">
        <v>125</v>
      </c>
      <c r="C42" s="40" t="s">
        <v>29</v>
      </c>
      <c r="D42" s="39" t="s">
        <v>126</v>
      </c>
      <c r="E42" s="40" t="s">
        <v>60</v>
      </c>
      <c r="F42" s="41">
        <v>26.85</v>
      </c>
      <c r="G42" s="41">
        <v>23.75</v>
      </c>
      <c r="H42" s="41">
        <v>17.57</v>
      </c>
      <c r="I42" s="41">
        <v>27.92</v>
      </c>
      <c r="J42" s="41">
        <v>749.65</v>
      </c>
    </row>
    <row r="43" spans="1:10" ht="48">
      <c r="A43" s="39" t="s">
        <v>127</v>
      </c>
      <c r="B43" s="40" t="s">
        <v>49</v>
      </c>
      <c r="C43" s="40" t="s">
        <v>18</v>
      </c>
      <c r="D43" s="39" t="s">
        <v>50</v>
      </c>
      <c r="E43" s="40" t="s">
        <v>44</v>
      </c>
      <c r="F43" s="41">
        <v>55.95</v>
      </c>
      <c r="G43" s="41">
        <v>2.9</v>
      </c>
      <c r="H43" s="41">
        <v>17.57</v>
      </c>
      <c r="I43" s="41">
        <v>3.41</v>
      </c>
      <c r="J43" s="41">
        <v>190.79</v>
      </c>
    </row>
    <row r="44" spans="1:10" ht="36">
      <c r="A44" s="39" t="s">
        <v>128</v>
      </c>
      <c r="B44" s="40" t="s">
        <v>52</v>
      </c>
      <c r="C44" s="40" t="s">
        <v>29</v>
      </c>
      <c r="D44" s="39" t="s">
        <v>53</v>
      </c>
      <c r="E44" s="40" t="s">
        <v>54</v>
      </c>
      <c r="F44" s="41">
        <v>117.5</v>
      </c>
      <c r="G44" s="41">
        <v>2.27</v>
      </c>
      <c r="H44" s="41">
        <v>17.57</v>
      </c>
      <c r="I44" s="41">
        <v>2.67</v>
      </c>
      <c r="J44" s="41">
        <v>313.73</v>
      </c>
    </row>
    <row r="45" spans="1:10" ht="36">
      <c r="A45" s="39" t="s">
        <v>129</v>
      </c>
      <c r="B45" s="40" t="s">
        <v>130</v>
      </c>
      <c r="C45" s="40" t="s">
        <v>29</v>
      </c>
      <c r="D45" s="39" t="s">
        <v>131</v>
      </c>
      <c r="E45" s="40" t="s">
        <v>60</v>
      </c>
      <c r="F45" s="41">
        <v>38.03</v>
      </c>
      <c r="G45" s="41">
        <v>472.74</v>
      </c>
      <c r="H45" s="41">
        <v>17.57</v>
      </c>
      <c r="I45" s="41">
        <v>555.79999999999995</v>
      </c>
      <c r="J45" s="41">
        <v>21137.07</v>
      </c>
    </row>
    <row r="46" spans="1:10" ht="24">
      <c r="A46" s="39" t="s">
        <v>132</v>
      </c>
      <c r="B46" s="40" t="s">
        <v>133</v>
      </c>
      <c r="C46" s="40" t="s">
        <v>29</v>
      </c>
      <c r="D46" s="39" t="s">
        <v>134</v>
      </c>
      <c r="E46" s="40" t="s">
        <v>60</v>
      </c>
      <c r="F46" s="41">
        <v>29.84</v>
      </c>
      <c r="G46" s="41">
        <v>436.13</v>
      </c>
      <c r="H46" s="41">
        <v>17.57</v>
      </c>
      <c r="I46" s="41">
        <v>512.76</v>
      </c>
      <c r="J46" s="41">
        <v>15300.76</v>
      </c>
    </row>
    <row r="47" spans="1:10" ht="36">
      <c r="A47" s="39" t="s">
        <v>135</v>
      </c>
      <c r="B47" s="40" t="s">
        <v>136</v>
      </c>
      <c r="C47" s="40" t="s">
        <v>29</v>
      </c>
      <c r="D47" s="39" t="s">
        <v>137</v>
      </c>
      <c r="E47" s="40" t="s">
        <v>138</v>
      </c>
      <c r="F47" s="41">
        <v>2473.5700000000002</v>
      </c>
      <c r="G47" s="41">
        <v>15.14</v>
      </c>
      <c r="H47" s="41">
        <v>17.57</v>
      </c>
      <c r="I47" s="41">
        <v>17.8</v>
      </c>
      <c r="J47" s="41">
        <v>44029.55</v>
      </c>
    </row>
    <row r="48" spans="1:10" ht="48">
      <c r="A48" s="39" t="s">
        <v>139</v>
      </c>
      <c r="B48" s="40" t="s">
        <v>140</v>
      </c>
      <c r="C48" s="40" t="s">
        <v>18</v>
      </c>
      <c r="D48" s="39" t="s">
        <v>141</v>
      </c>
      <c r="E48" s="40" t="s">
        <v>20</v>
      </c>
      <c r="F48" s="41">
        <v>179.03</v>
      </c>
      <c r="G48" s="41">
        <v>1.1000000000000001</v>
      </c>
      <c r="H48" s="41">
        <v>17.57</v>
      </c>
      <c r="I48" s="41">
        <v>1.29</v>
      </c>
      <c r="J48" s="41">
        <v>230.95</v>
      </c>
    </row>
    <row r="49" spans="1:10" ht="36">
      <c r="A49" s="39" t="s">
        <v>142</v>
      </c>
      <c r="B49" s="40" t="s">
        <v>143</v>
      </c>
      <c r="C49" s="40" t="s">
        <v>29</v>
      </c>
      <c r="D49" s="39" t="s">
        <v>144</v>
      </c>
      <c r="E49" s="40" t="s">
        <v>20</v>
      </c>
      <c r="F49" s="41">
        <v>238.7</v>
      </c>
      <c r="G49" s="41">
        <v>105.62</v>
      </c>
      <c r="H49" s="41">
        <v>17.57</v>
      </c>
      <c r="I49" s="41">
        <v>124.18</v>
      </c>
      <c r="J49" s="41">
        <v>29641.77</v>
      </c>
    </row>
    <row r="50" spans="1:10" ht="36">
      <c r="A50" s="39" t="s">
        <v>145</v>
      </c>
      <c r="B50" s="40" t="s">
        <v>146</v>
      </c>
      <c r="C50" s="40" t="s">
        <v>29</v>
      </c>
      <c r="D50" s="39" t="s">
        <v>147</v>
      </c>
      <c r="E50" s="40" t="s">
        <v>20</v>
      </c>
      <c r="F50" s="41">
        <v>238.7</v>
      </c>
      <c r="G50" s="41">
        <v>4.0999999999999996</v>
      </c>
      <c r="H50" s="41">
        <v>17.57</v>
      </c>
      <c r="I50" s="41">
        <v>4.82</v>
      </c>
      <c r="J50" s="41">
        <v>1150.53</v>
      </c>
    </row>
    <row r="51" spans="1:10" ht="48">
      <c r="A51" s="39" t="s">
        <v>148</v>
      </c>
      <c r="B51" s="40" t="s">
        <v>149</v>
      </c>
      <c r="C51" s="40" t="s">
        <v>29</v>
      </c>
      <c r="D51" s="39" t="s">
        <v>150</v>
      </c>
      <c r="E51" s="40" t="s">
        <v>20</v>
      </c>
      <c r="F51" s="41">
        <v>238.7</v>
      </c>
      <c r="G51" s="41">
        <v>24.83</v>
      </c>
      <c r="H51" s="41">
        <v>17.57</v>
      </c>
      <c r="I51" s="41">
        <v>29.19</v>
      </c>
      <c r="J51" s="41">
        <v>6967.65</v>
      </c>
    </row>
    <row r="52" spans="1:10" ht="24">
      <c r="A52" s="39" t="s">
        <v>151</v>
      </c>
      <c r="B52" s="40" t="s">
        <v>152</v>
      </c>
      <c r="C52" s="40" t="s">
        <v>29</v>
      </c>
      <c r="D52" s="39" t="s">
        <v>153</v>
      </c>
      <c r="E52" s="40" t="s">
        <v>60</v>
      </c>
      <c r="F52" s="41">
        <v>25.39</v>
      </c>
      <c r="G52" s="41">
        <v>469.42</v>
      </c>
      <c r="H52" s="41">
        <v>17.57</v>
      </c>
      <c r="I52" s="41">
        <v>551.9</v>
      </c>
      <c r="J52" s="41">
        <v>14012.74</v>
      </c>
    </row>
    <row r="53" spans="1:10" ht="24">
      <c r="A53" s="39" t="s">
        <v>154</v>
      </c>
      <c r="B53" s="40" t="s">
        <v>155</v>
      </c>
      <c r="C53" s="40" t="s">
        <v>18</v>
      </c>
      <c r="D53" s="39" t="s">
        <v>156</v>
      </c>
      <c r="E53" s="40" t="s">
        <v>60</v>
      </c>
      <c r="F53" s="41">
        <v>93.26</v>
      </c>
      <c r="G53" s="41">
        <v>129.79</v>
      </c>
      <c r="H53" s="41">
        <v>17.57</v>
      </c>
      <c r="I53" s="41">
        <v>152.59</v>
      </c>
      <c r="J53" s="41">
        <v>14230.54</v>
      </c>
    </row>
    <row r="54" spans="1:10" ht="20.100000000000001" customHeight="1">
      <c r="A54" s="37" t="s">
        <v>157</v>
      </c>
      <c r="B54" s="521" t="s">
        <v>158</v>
      </c>
      <c r="C54" s="521"/>
      <c r="D54" s="521"/>
      <c r="E54" s="521"/>
      <c r="F54" s="521"/>
      <c r="G54" s="521"/>
      <c r="H54" s="521"/>
      <c r="I54" s="521"/>
      <c r="J54" s="38">
        <v>19447.54</v>
      </c>
    </row>
    <row r="55" spans="1:10">
      <c r="A55" s="39" t="s">
        <v>159</v>
      </c>
      <c r="B55" s="40" t="s">
        <v>160</v>
      </c>
      <c r="C55" s="40" t="s">
        <v>161</v>
      </c>
      <c r="D55" s="39" t="s">
        <v>162</v>
      </c>
      <c r="E55" s="40" t="s">
        <v>163</v>
      </c>
      <c r="F55" s="41">
        <v>7.3</v>
      </c>
      <c r="G55" s="41">
        <v>347.25</v>
      </c>
      <c r="H55" s="41">
        <v>17.57</v>
      </c>
      <c r="I55" s="41">
        <v>408.26</v>
      </c>
      <c r="J55" s="41">
        <v>2980.3</v>
      </c>
    </row>
    <row r="56" spans="1:10" ht="24">
      <c r="A56" s="39" t="s">
        <v>164</v>
      </c>
      <c r="B56" s="40" t="s">
        <v>165</v>
      </c>
      <c r="C56" s="40" t="s">
        <v>161</v>
      </c>
      <c r="D56" s="39" t="s">
        <v>166</v>
      </c>
      <c r="E56" s="40" t="s">
        <v>167</v>
      </c>
      <c r="F56" s="41">
        <v>29</v>
      </c>
      <c r="G56" s="41">
        <v>121.48</v>
      </c>
      <c r="H56" s="41">
        <v>17.57</v>
      </c>
      <c r="I56" s="41">
        <v>142.82</v>
      </c>
      <c r="J56" s="41">
        <v>4141.78</v>
      </c>
    </row>
    <row r="57" spans="1:10" ht="24">
      <c r="A57" s="39" t="s">
        <v>168</v>
      </c>
      <c r="B57" s="40" t="s">
        <v>169</v>
      </c>
      <c r="C57" s="40" t="s">
        <v>18</v>
      </c>
      <c r="D57" s="39" t="s">
        <v>170</v>
      </c>
      <c r="E57" s="40" t="s">
        <v>171</v>
      </c>
      <c r="F57" s="41">
        <v>4</v>
      </c>
      <c r="G57" s="41">
        <v>156.33000000000001</v>
      </c>
      <c r="H57" s="41">
        <v>17.57</v>
      </c>
      <c r="I57" s="41">
        <v>183.8</v>
      </c>
      <c r="J57" s="41">
        <v>735.2</v>
      </c>
    </row>
    <row r="58" spans="1:10" ht="48">
      <c r="A58" s="39" t="s">
        <v>172</v>
      </c>
      <c r="B58" s="40" t="s">
        <v>173</v>
      </c>
      <c r="C58" s="40" t="s">
        <v>29</v>
      </c>
      <c r="D58" s="39" t="s">
        <v>174</v>
      </c>
      <c r="E58" s="40" t="s">
        <v>40</v>
      </c>
      <c r="F58" s="41">
        <v>1502.34</v>
      </c>
      <c r="G58" s="41">
        <v>5.48</v>
      </c>
      <c r="H58" s="41">
        <v>17.57</v>
      </c>
      <c r="I58" s="41">
        <v>6.44</v>
      </c>
      <c r="J58" s="41">
        <v>9675.07</v>
      </c>
    </row>
    <row r="59" spans="1:10" ht="48">
      <c r="A59" s="39" t="s">
        <v>175</v>
      </c>
      <c r="B59" s="40" t="s">
        <v>176</v>
      </c>
      <c r="C59" s="40" t="s">
        <v>29</v>
      </c>
      <c r="D59" s="39" t="s">
        <v>177</v>
      </c>
      <c r="E59" s="40" t="s">
        <v>20</v>
      </c>
      <c r="F59" s="41">
        <v>67.459999999999994</v>
      </c>
      <c r="G59" s="41">
        <v>24.15</v>
      </c>
      <c r="H59" s="41">
        <v>17.57</v>
      </c>
      <c r="I59" s="41">
        <v>28.39</v>
      </c>
      <c r="J59" s="41">
        <v>1915.19</v>
      </c>
    </row>
    <row r="60" spans="1:10" ht="20.100000000000001" customHeight="1">
      <c r="A60" s="37" t="s">
        <v>178</v>
      </c>
      <c r="B60" s="521" t="s">
        <v>179</v>
      </c>
      <c r="C60" s="521"/>
      <c r="D60" s="521"/>
      <c r="E60" s="521"/>
      <c r="F60" s="521"/>
      <c r="G60" s="521"/>
      <c r="H60" s="521"/>
      <c r="I60" s="521"/>
      <c r="J60" s="38">
        <v>3193.69</v>
      </c>
    </row>
    <row r="61" spans="1:10" ht="36">
      <c r="A61" s="39" t="s">
        <v>180</v>
      </c>
      <c r="B61" s="40" t="s">
        <v>181</v>
      </c>
      <c r="C61" s="40" t="s">
        <v>18</v>
      </c>
      <c r="D61" s="39" t="s">
        <v>182</v>
      </c>
      <c r="E61" s="40" t="s">
        <v>183</v>
      </c>
      <c r="F61" s="41">
        <v>24.18</v>
      </c>
      <c r="G61" s="41">
        <v>112.34</v>
      </c>
      <c r="H61" s="41">
        <v>17.57</v>
      </c>
      <c r="I61" s="41">
        <v>132.08000000000001</v>
      </c>
      <c r="J61" s="41">
        <v>3193.69</v>
      </c>
    </row>
    <row r="62" spans="1:10" ht="20.100000000000001" customHeight="1">
      <c r="A62" s="37" t="s">
        <v>184</v>
      </c>
      <c r="B62" s="521" t="s">
        <v>185</v>
      </c>
      <c r="C62" s="521"/>
      <c r="D62" s="521"/>
      <c r="E62" s="521"/>
      <c r="F62" s="521"/>
      <c r="G62" s="521"/>
      <c r="H62" s="521"/>
      <c r="I62" s="521"/>
      <c r="J62" s="38">
        <v>508010.04</v>
      </c>
    </row>
    <row r="63" spans="1:10" ht="48">
      <c r="A63" s="39" t="s">
        <v>186</v>
      </c>
      <c r="B63" s="40" t="s">
        <v>187</v>
      </c>
      <c r="C63" s="40" t="s">
        <v>29</v>
      </c>
      <c r="D63" s="39" t="s">
        <v>188</v>
      </c>
      <c r="E63" s="40" t="s">
        <v>31</v>
      </c>
      <c r="F63" s="41">
        <v>6</v>
      </c>
      <c r="G63" s="41">
        <v>830</v>
      </c>
      <c r="H63" s="41">
        <v>10.07</v>
      </c>
      <c r="I63" s="41">
        <v>913.58</v>
      </c>
      <c r="J63" s="41">
        <v>5481.48</v>
      </c>
    </row>
    <row r="64" spans="1:10" ht="36">
      <c r="A64" s="39" t="s">
        <v>189</v>
      </c>
      <c r="B64" s="40" t="s">
        <v>190</v>
      </c>
      <c r="C64" s="40" t="s">
        <v>29</v>
      </c>
      <c r="D64" s="39" t="s">
        <v>191</v>
      </c>
      <c r="E64" s="40" t="s">
        <v>31</v>
      </c>
      <c r="F64" s="41">
        <v>6</v>
      </c>
      <c r="G64" s="41">
        <v>648.42999999999995</v>
      </c>
      <c r="H64" s="41">
        <v>10.07</v>
      </c>
      <c r="I64" s="41">
        <v>713.73</v>
      </c>
      <c r="J64" s="41">
        <v>4282.38</v>
      </c>
    </row>
    <row r="65" spans="1:10" ht="36">
      <c r="A65" s="39" t="s">
        <v>192</v>
      </c>
      <c r="B65" s="40" t="s">
        <v>193</v>
      </c>
      <c r="C65" s="40" t="s">
        <v>29</v>
      </c>
      <c r="D65" s="39" t="s">
        <v>194</v>
      </c>
      <c r="E65" s="40" t="s">
        <v>195</v>
      </c>
      <c r="F65" s="41">
        <v>391.93</v>
      </c>
      <c r="G65" s="41">
        <v>522.5</v>
      </c>
      <c r="H65" s="41">
        <v>10.07</v>
      </c>
      <c r="I65" s="41">
        <v>575.12</v>
      </c>
      <c r="J65" s="41">
        <v>225406.78</v>
      </c>
    </row>
    <row r="66" spans="1:10" ht="24">
      <c r="A66" s="39" t="s">
        <v>196</v>
      </c>
      <c r="B66" s="40" t="s">
        <v>197</v>
      </c>
      <c r="C66" s="40" t="s">
        <v>18</v>
      </c>
      <c r="D66" s="39" t="s">
        <v>198</v>
      </c>
      <c r="E66" s="40" t="s">
        <v>44</v>
      </c>
      <c r="F66" s="41">
        <v>614.66999999999996</v>
      </c>
      <c r="G66" s="41">
        <v>56.1</v>
      </c>
      <c r="H66" s="41">
        <v>10.07</v>
      </c>
      <c r="I66" s="41">
        <v>61.75</v>
      </c>
      <c r="J66" s="41">
        <v>37955.870000000003</v>
      </c>
    </row>
    <row r="67" spans="1:10">
      <c r="A67" s="39" t="s">
        <v>199</v>
      </c>
      <c r="B67" s="40" t="s">
        <v>200</v>
      </c>
      <c r="C67" s="40" t="s">
        <v>161</v>
      </c>
      <c r="D67" s="39" t="s">
        <v>201</v>
      </c>
      <c r="E67" s="40" t="s">
        <v>70</v>
      </c>
      <c r="F67" s="41">
        <v>697.03</v>
      </c>
      <c r="G67" s="41">
        <v>90.74</v>
      </c>
      <c r="H67" s="41">
        <v>10.07</v>
      </c>
      <c r="I67" s="41">
        <v>99.88</v>
      </c>
      <c r="J67" s="41">
        <v>69619.360000000001</v>
      </c>
    </row>
    <row r="68" spans="1:10">
      <c r="A68" s="39" t="s">
        <v>202</v>
      </c>
      <c r="B68" s="40" t="s">
        <v>203</v>
      </c>
      <c r="C68" s="40" t="s">
        <v>161</v>
      </c>
      <c r="D68" s="39" t="s">
        <v>204</v>
      </c>
      <c r="E68" s="40" t="s">
        <v>70</v>
      </c>
      <c r="F68" s="41">
        <v>77.45</v>
      </c>
      <c r="G68" s="41">
        <v>74.53</v>
      </c>
      <c r="H68" s="41">
        <v>10.07</v>
      </c>
      <c r="I68" s="41">
        <v>82.04</v>
      </c>
      <c r="J68" s="41">
        <v>6354</v>
      </c>
    </row>
    <row r="69" spans="1:10" ht="24">
      <c r="A69" s="39" t="s">
        <v>205</v>
      </c>
      <c r="B69" s="40" t="s">
        <v>206</v>
      </c>
      <c r="C69" s="40" t="s">
        <v>18</v>
      </c>
      <c r="D69" s="39" t="s">
        <v>207</v>
      </c>
      <c r="E69" s="40" t="s">
        <v>138</v>
      </c>
      <c r="F69" s="41">
        <v>3681.8</v>
      </c>
      <c r="G69" s="41">
        <v>5.32</v>
      </c>
      <c r="H69" s="41">
        <v>10.07</v>
      </c>
      <c r="I69" s="41">
        <v>5.86</v>
      </c>
      <c r="J69" s="41">
        <v>21575.35</v>
      </c>
    </row>
    <row r="70" spans="1:10" ht="36">
      <c r="A70" s="39" t="s">
        <v>208</v>
      </c>
      <c r="B70" s="40" t="s">
        <v>209</v>
      </c>
      <c r="C70" s="40" t="s">
        <v>29</v>
      </c>
      <c r="D70" s="39" t="s">
        <v>210</v>
      </c>
      <c r="E70" s="40" t="s">
        <v>60</v>
      </c>
      <c r="F70" s="41">
        <v>253.31</v>
      </c>
      <c r="G70" s="41">
        <v>422.5</v>
      </c>
      <c r="H70" s="41">
        <v>10.07</v>
      </c>
      <c r="I70" s="41">
        <v>465.05</v>
      </c>
      <c r="J70" s="41">
        <v>117801.82</v>
      </c>
    </row>
    <row r="71" spans="1:10" ht="36">
      <c r="A71" s="39" t="s">
        <v>211</v>
      </c>
      <c r="B71" s="40" t="s">
        <v>212</v>
      </c>
      <c r="C71" s="40" t="s">
        <v>29</v>
      </c>
      <c r="D71" s="39" t="s">
        <v>213</v>
      </c>
      <c r="E71" s="40" t="s">
        <v>20</v>
      </c>
      <c r="F71" s="41">
        <v>187.98</v>
      </c>
      <c r="G71" s="41">
        <v>94.4</v>
      </c>
      <c r="H71" s="41">
        <v>10.07</v>
      </c>
      <c r="I71" s="41">
        <v>103.91</v>
      </c>
      <c r="J71" s="41">
        <v>19533</v>
      </c>
    </row>
    <row r="72" spans="1:10" ht="20.100000000000001" customHeight="1">
      <c r="A72" s="37" t="s">
        <v>214</v>
      </c>
      <c r="B72" s="521" t="s">
        <v>215</v>
      </c>
      <c r="C72" s="521"/>
      <c r="D72" s="521"/>
      <c r="E72" s="521"/>
      <c r="F72" s="521"/>
      <c r="G72" s="521"/>
      <c r="H72" s="521"/>
      <c r="I72" s="521"/>
      <c r="J72" s="38">
        <v>78047.820000000007</v>
      </c>
    </row>
    <row r="73" spans="1:10" ht="20.100000000000001" customHeight="1">
      <c r="A73" s="37" t="s">
        <v>216</v>
      </c>
      <c r="B73" s="521" t="s">
        <v>15</v>
      </c>
      <c r="C73" s="521"/>
      <c r="D73" s="521"/>
      <c r="E73" s="521"/>
      <c r="F73" s="521"/>
      <c r="G73" s="521"/>
      <c r="H73" s="521"/>
      <c r="I73" s="521"/>
      <c r="J73" s="38">
        <v>6137.07</v>
      </c>
    </row>
    <row r="74" spans="1:10" ht="24">
      <c r="A74" s="39" t="s">
        <v>217</v>
      </c>
      <c r="B74" s="40" t="s">
        <v>17</v>
      </c>
      <c r="C74" s="40" t="s">
        <v>18</v>
      </c>
      <c r="D74" s="39" t="s">
        <v>19</v>
      </c>
      <c r="E74" s="40" t="s">
        <v>20</v>
      </c>
      <c r="F74" s="41">
        <v>8</v>
      </c>
      <c r="G74" s="41">
        <v>564.99</v>
      </c>
      <c r="H74" s="41">
        <v>17.57</v>
      </c>
      <c r="I74" s="41">
        <v>664.26</v>
      </c>
      <c r="J74" s="41">
        <v>5314.08</v>
      </c>
    </row>
    <row r="75" spans="1:10" ht="24">
      <c r="A75" s="39" t="s">
        <v>218</v>
      </c>
      <c r="B75" s="40" t="s">
        <v>22</v>
      </c>
      <c r="C75" s="40" t="s">
        <v>18</v>
      </c>
      <c r="D75" s="39" t="s">
        <v>23</v>
      </c>
      <c r="E75" s="40" t="s">
        <v>24</v>
      </c>
      <c r="F75" s="41">
        <v>1</v>
      </c>
      <c r="G75" s="41">
        <v>700</v>
      </c>
      <c r="H75" s="41">
        <v>17.57</v>
      </c>
      <c r="I75" s="41">
        <v>822.99</v>
      </c>
      <c r="J75" s="41">
        <v>822.99</v>
      </c>
    </row>
    <row r="76" spans="1:10" ht="20.100000000000001" customHeight="1">
      <c r="A76" s="37" t="s">
        <v>219</v>
      </c>
      <c r="B76" s="521" t="s">
        <v>26</v>
      </c>
      <c r="C76" s="521"/>
      <c r="D76" s="521"/>
      <c r="E76" s="521"/>
      <c r="F76" s="521"/>
      <c r="G76" s="521"/>
      <c r="H76" s="521"/>
      <c r="I76" s="521"/>
      <c r="J76" s="38">
        <v>3590.41</v>
      </c>
    </row>
    <row r="77" spans="1:10" ht="24">
      <c r="A77" s="39" t="s">
        <v>220</v>
      </c>
      <c r="B77" s="40" t="s">
        <v>28</v>
      </c>
      <c r="C77" s="40" t="s">
        <v>29</v>
      </c>
      <c r="D77" s="39" t="s">
        <v>30</v>
      </c>
      <c r="E77" s="40" t="s">
        <v>31</v>
      </c>
      <c r="F77" s="41">
        <v>0.13</v>
      </c>
      <c r="G77" s="41">
        <v>16819.14</v>
      </c>
      <c r="H77" s="41">
        <v>17.57</v>
      </c>
      <c r="I77" s="41">
        <v>19774.259999999998</v>
      </c>
      <c r="J77" s="41">
        <v>2570.65</v>
      </c>
    </row>
    <row r="78" spans="1:10" ht="24">
      <c r="A78" s="39" t="s">
        <v>221</v>
      </c>
      <c r="B78" s="40" t="s">
        <v>33</v>
      </c>
      <c r="C78" s="40" t="s">
        <v>29</v>
      </c>
      <c r="D78" s="39" t="s">
        <v>34</v>
      </c>
      <c r="E78" s="40" t="s">
        <v>31</v>
      </c>
      <c r="F78" s="41">
        <v>0.13</v>
      </c>
      <c r="G78" s="41">
        <v>6672</v>
      </c>
      <c r="H78" s="41">
        <v>17.57</v>
      </c>
      <c r="I78" s="41">
        <v>7844.27</v>
      </c>
      <c r="J78" s="41">
        <v>1019.76</v>
      </c>
    </row>
    <row r="79" spans="1:10" ht="20.100000000000001" customHeight="1">
      <c r="A79" s="37" t="s">
        <v>222</v>
      </c>
      <c r="B79" s="521" t="s">
        <v>36</v>
      </c>
      <c r="C79" s="521"/>
      <c r="D79" s="521"/>
      <c r="E79" s="521"/>
      <c r="F79" s="521"/>
      <c r="G79" s="521"/>
      <c r="H79" s="521"/>
      <c r="I79" s="521"/>
      <c r="J79" s="38">
        <v>3156.04</v>
      </c>
    </row>
    <row r="80" spans="1:10">
      <c r="A80" s="39" t="s">
        <v>223</v>
      </c>
      <c r="B80" s="40" t="s">
        <v>38</v>
      </c>
      <c r="C80" s="40" t="s">
        <v>29</v>
      </c>
      <c r="D80" s="39" t="s">
        <v>39</v>
      </c>
      <c r="E80" s="40" t="s">
        <v>40</v>
      </c>
      <c r="F80" s="41">
        <v>46.54</v>
      </c>
      <c r="G80" s="41">
        <v>0.49</v>
      </c>
      <c r="H80" s="41">
        <v>17.57</v>
      </c>
      <c r="I80" s="41">
        <v>0.57999999999999996</v>
      </c>
      <c r="J80" s="41">
        <v>26.99</v>
      </c>
    </row>
    <row r="81" spans="1:10" ht="24">
      <c r="A81" s="39" t="s">
        <v>224</v>
      </c>
      <c r="B81" s="40" t="s">
        <v>42</v>
      </c>
      <c r="C81" s="40" t="s">
        <v>18</v>
      </c>
      <c r="D81" s="39" t="s">
        <v>43</v>
      </c>
      <c r="E81" s="40" t="s">
        <v>44</v>
      </c>
      <c r="F81" s="41">
        <v>7.32</v>
      </c>
      <c r="G81" s="41">
        <v>212.24</v>
      </c>
      <c r="H81" s="41">
        <v>17.57</v>
      </c>
      <c r="I81" s="41">
        <v>249.53</v>
      </c>
      <c r="J81" s="41">
        <v>1826.56</v>
      </c>
    </row>
    <row r="82" spans="1:10" ht="24">
      <c r="A82" s="39" t="s">
        <v>225</v>
      </c>
      <c r="B82" s="40" t="s">
        <v>46</v>
      </c>
      <c r="C82" s="40" t="s">
        <v>18</v>
      </c>
      <c r="D82" s="39" t="s">
        <v>47</v>
      </c>
      <c r="E82" s="40" t="s">
        <v>40</v>
      </c>
      <c r="F82" s="41">
        <v>90.28</v>
      </c>
      <c r="G82" s="41">
        <v>11.13</v>
      </c>
      <c r="H82" s="41">
        <v>17.57</v>
      </c>
      <c r="I82" s="41">
        <v>13.09</v>
      </c>
      <c r="J82" s="41">
        <v>1181.77</v>
      </c>
    </row>
    <row r="83" spans="1:10" ht="48">
      <c r="A83" s="39" t="s">
        <v>226</v>
      </c>
      <c r="B83" s="40" t="s">
        <v>49</v>
      </c>
      <c r="C83" s="40" t="s">
        <v>18</v>
      </c>
      <c r="D83" s="39" t="s">
        <v>50</v>
      </c>
      <c r="E83" s="40" t="s">
        <v>44</v>
      </c>
      <c r="F83" s="41">
        <v>14.23</v>
      </c>
      <c r="G83" s="41">
        <v>2.9</v>
      </c>
      <c r="H83" s="41">
        <v>17.57</v>
      </c>
      <c r="I83" s="41">
        <v>3.41</v>
      </c>
      <c r="J83" s="41">
        <v>48.52</v>
      </c>
    </row>
    <row r="84" spans="1:10" ht="36">
      <c r="A84" s="39" t="s">
        <v>227</v>
      </c>
      <c r="B84" s="40" t="s">
        <v>52</v>
      </c>
      <c r="C84" s="40" t="s">
        <v>29</v>
      </c>
      <c r="D84" s="39" t="s">
        <v>53</v>
      </c>
      <c r="E84" s="40" t="s">
        <v>54</v>
      </c>
      <c r="F84" s="41">
        <v>27.04</v>
      </c>
      <c r="G84" s="41">
        <v>2.27</v>
      </c>
      <c r="H84" s="41">
        <v>17.57</v>
      </c>
      <c r="I84" s="41">
        <v>2.67</v>
      </c>
      <c r="J84" s="41">
        <v>72.2</v>
      </c>
    </row>
    <row r="85" spans="1:10" ht="20.100000000000001" customHeight="1">
      <c r="A85" s="37" t="s">
        <v>228</v>
      </c>
      <c r="B85" s="521" t="s">
        <v>56</v>
      </c>
      <c r="C85" s="521"/>
      <c r="D85" s="521"/>
      <c r="E85" s="521"/>
      <c r="F85" s="521"/>
      <c r="G85" s="521"/>
      <c r="H85" s="521"/>
      <c r="I85" s="521"/>
      <c r="J85" s="38">
        <v>1438.12</v>
      </c>
    </row>
    <row r="86" spans="1:10" ht="24">
      <c r="A86" s="39" t="s">
        <v>229</v>
      </c>
      <c r="B86" s="40" t="s">
        <v>58</v>
      </c>
      <c r="C86" s="40" t="s">
        <v>18</v>
      </c>
      <c r="D86" s="39" t="s">
        <v>59</v>
      </c>
      <c r="E86" s="40" t="s">
        <v>60</v>
      </c>
      <c r="F86" s="41">
        <v>105.33</v>
      </c>
      <c r="G86" s="41">
        <v>2.59</v>
      </c>
      <c r="H86" s="41">
        <v>17.57</v>
      </c>
      <c r="I86" s="41">
        <v>3.05</v>
      </c>
      <c r="J86" s="41">
        <v>321.26</v>
      </c>
    </row>
    <row r="87" spans="1:10" ht="48">
      <c r="A87" s="39" t="s">
        <v>230</v>
      </c>
      <c r="B87" s="40" t="s">
        <v>49</v>
      </c>
      <c r="C87" s="40" t="s">
        <v>18</v>
      </c>
      <c r="D87" s="39" t="s">
        <v>50</v>
      </c>
      <c r="E87" s="40" t="s">
        <v>44</v>
      </c>
      <c r="F87" s="41">
        <v>131.66</v>
      </c>
      <c r="G87" s="41">
        <v>2.9</v>
      </c>
      <c r="H87" s="41">
        <v>17.57</v>
      </c>
      <c r="I87" s="41">
        <v>3.41</v>
      </c>
      <c r="J87" s="41">
        <v>448.96</v>
      </c>
    </row>
    <row r="88" spans="1:10" ht="36">
      <c r="A88" s="39" t="s">
        <v>231</v>
      </c>
      <c r="B88" s="40" t="s">
        <v>52</v>
      </c>
      <c r="C88" s="40" t="s">
        <v>29</v>
      </c>
      <c r="D88" s="39" t="s">
        <v>53</v>
      </c>
      <c r="E88" s="40" t="s">
        <v>54</v>
      </c>
      <c r="F88" s="41">
        <v>250.15</v>
      </c>
      <c r="G88" s="41">
        <v>2.27</v>
      </c>
      <c r="H88" s="41">
        <v>17.57</v>
      </c>
      <c r="I88" s="41">
        <v>2.67</v>
      </c>
      <c r="J88" s="41">
        <v>667.9</v>
      </c>
    </row>
    <row r="89" spans="1:10" ht="20.100000000000001" customHeight="1">
      <c r="A89" s="37" t="s">
        <v>232</v>
      </c>
      <c r="B89" s="521" t="s">
        <v>11</v>
      </c>
      <c r="C89" s="521"/>
      <c r="D89" s="521"/>
      <c r="E89" s="521"/>
      <c r="F89" s="521"/>
      <c r="G89" s="521"/>
      <c r="H89" s="521"/>
      <c r="I89" s="521"/>
      <c r="J89" s="38">
        <v>10970.73</v>
      </c>
    </row>
    <row r="90" spans="1:10" ht="24">
      <c r="A90" s="39" t="s">
        <v>233</v>
      </c>
      <c r="B90" s="40" t="s">
        <v>65</v>
      </c>
      <c r="C90" s="40" t="s">
        <v>29</v>
      </c>
      <c r="D90" s="39" t="s">
        <v>66</v>
      </c>
      <c r="E90" s="40" t="s">
        <v>20</v>
      </c>
      <c r="F90" s="41">
        <v>232.7</v>
      </c>
      <c r="G90" s="41">
        <v>2.79</v>
      </c>
      <c r="H90" s="41">
        <v>17.57</v>
      </c>
      <c r="I90" s="41">
        <v>3.28</v>
      </c>
      <c r="J90" s="41">
        <v>763.26</v>
      </c>
    </row>
    <row r="91" spans="1:10" ht="36">
      <c r="A91" s="39" t="s">
        <v>234</v>
      </c>
      <c r="B91" s="40" t="s">
        <v>72</v>
      </c>
      <c r="C91" s="40" t="s">
        <v>18</v>
      </c>
      <c r="D91" s="39" t="s">
        <v>73</v>
      </c>
      <c r="E91" s="40" t="s">
        <v>60</v>
      </c>
      <c r="F91" s="41">
        <v>34.909999999999997</v>
      </c>
      <c r="G91" s="41">
        <v>14.44</v>
      </c>
      <c r="H91" s="41">
        <v>17.57</v>
      </c>
      <c r="I91" s="41">
        <v>16.98</v>
      </c>
      <c r="J91" s="41">
        <v>592.77</v>
      </c>
    </row>
    <row r="92" spans="1:10" ht="48">
      <c r="A92" s="39" t="s">
        <v>235</v>
      </c>
      <c r="B92" s="40" t="s">
        <v>49</v>
      </c>
      <c r="C92" s="40" t="s">
        <v>18</v>
      </c>
      <c r="D92" s="39" t="s">
        <v>50</v>
      </c>
      <c r="E92" s="40" t="s">
        <v>44</v>
      </c>
      <c r="F92" s="41">
        <v>43.64</v>
      </c>
      <c r="G92" s="41">
        <v>2.9</v>
      </c>
      <c r="H92" s="41">
        <v>17.57</v>
      </c>
      <c r="I92" s="41">
        <v>3.41</v>
      </c>
      <c r="J92" s="41">
        <v>148.81</v>
      </c>
    </row>
    <row r="93" spans="1:10" ht="24">
      <c r="A93" s="39" t="s">
        <v>236</v>
      </c>
      <c r="B93" s="40" t="s">
        <v>76</v>
      </c>
      <c r="C93" s="40" t="s">
        <v>18</v>
      </c>
      <c r="D93" s="39" t="s">
        <v>77</v>
      </c>
      <c r="E93" s="40" t="s">
        <v>78</v>
      </c>
      <c r="F93" s="41">
        <v>226.93</v>
      </c>
      <c r="G93" s="41">
        <v>1.37</v>
      </c>
      <c r="H93" s="41">
        <v>17.57</v>
      </c>
      <c r="I93" s="41">
        <v>1.61</v>
      </c>
      <c r="J93" s="41">
        <v>365.36</v>
      </c>
    </row>
    <row r="94" spans="1:10" ht="24">
      <c r="A94" s="39" t="s">
        <v>237</v>
      </c>
      <c r="B94" s="40" t="s">
        <v>80</v>
      </c>
      <c r="C94" s="40" t="s">
        <v>18</v>
      </c>
      <c r="D94" s="39" t="s">
        <v>81</v>
      </c>
      <c r="E94" s="40" t="s">
        <v>20</v>
      </c>
      <c r="F94" s="41">
        <v>116.38</v>
      </c>
      <c r="G94" s="41">
        <v>1.24</v>
      </c>
      <c r="H94" s="41">
        <v>17.57</v>
      </c>
      <c r="I94" s="41">
        <v>1.46</v>
      </c>
      <c r="J94" s="41">
        <v>169.91</v>
      </c>
    </row>
    <row r="95" spans="1:10" ht="36">
      <c r="A95" s="39" t="s">
        <v>238</v>
      </c>
      <c r="B95" s="40" t="s">
        <v>83</v>
      </c>
      <c r="C95" s="40" t="s">
        <v>18</v>
      </c>
      <c r="D95" s="39" t="s">
        <v>84</v>
      </c>
      <c r="E95" s="40" t="s">
        <v>60</v>
      </c>
      <c r="F95" s="41">
        <v>5.81</v>
      </c>
      <c r="G95" s="41">
        <v>133.37</v>
      </c>
      <c r="H95" s="41">
        <v>17.57</v>
      </c>
      <c r="I95" s="41">
        <v>156.80000000000001</v>
      </c>
      <c r="J95" s="41">
        <v>911.01</v>
      </c>
    </row>
    <row r="96" spans="1:10" ht="36">
      <c r="A96" s="39" t="s">
        <v>239</v>
      </c>
      <c r="B96" s="40" t="s">
        <v>86</v>
      </c>
      <c r="C96" s="40" t="s">
        <v>18</v>
      </c>
      <c r="D96" s="39" t="s">
        <v>87</v>
      </c>
      <c r="E96" s="40" t="s">
        <v>44</v>
      </c>
      <c r="F96" s="41">
        <v>5.81</v>
      </c>
      <c r="G96" s="41">
        <v>7.86</v>
      </c>
      <c r="H96" s="41">
        <v>17.57</v>
      </c>
      <c r="I96" s="41">
        <v>9.24</v>
      </c>
      <c r="J96" s="41">
        <v>53.68</v>
      </c>
    </row>
    <row r="97" spans="1:10" ht="24">
      <c r="A97" s="39" t="s">
        <v>240</v>
      </c>
      <c r="B97" s="40" t="s">
        <v>89</v>
      </c>
      <c r="C97" s="40" t="s">
        <v>18</v>
      </c>
      <c r="D97" s="39" t="s">
        <v>90</v>
      </c>
      <c r="E97" s="40" t="s">
        <v>54</v>
      </c>
      <c r="F97" s="41">
        <v>93.54</v>
      </c>
      <c r="G97" s="41">
        <v>1.77</v>
      </c>
      <c r="H97" s="41">
        <v>17.57</v>
      </c>
      <c r="I97" s="41">
        <v>2.08</v>
      </c>
      <c r="J97" s="41">
        <v>194.56</v>
      </c>
    </row>
    <row r="98" spans="1:10" ht="24">
      <c r="A98" s="39" t="s">
        <v>241</v>
      </c>
      <c r="B98" s="40" t="s">
        <v>92</v>
      </c>
      <c r="C98" s="40" t="s">
        <v>18</v>
      </c>
      <c r="D98" s="39" t="s">
        <v>93</v>
      </c>
      <c r="E98" s="40" t="s">
        <v>20</v>
      </c>
      <c r="F98" s="41">
        <v>123.1</v>
      </c>
      <c r="G98" s="41">
        <v>0.65</v>
      </c>
      <c r="H98" s="41">
        <v>17.57</v>
      </c>
      <c r="I98" s="41">
        <v>0.76</v>
      </c>
      <c r="J98" s="41">
        <v>93.56</v>
      </c>
    </row>
    <row r="99" spans="1:10" ht="48">
      <c r="A99" s="39" t="s">
        <v>242</v>
      </c>
      <c r="B99" s="40" t="s">
        <v>95</v>
      </c>
      <c r="C99" s="40" t="s">
        <v>18</v>
      </c>
      <c r="D99" s="39" t="s">
        <v>96</v>
      </c>
      <c r="E99" s="40" t="s">
        <v>60</v>
      </c>
      <c r="F99" s="41">
        <v>8.0399999999999991</v>
      </c>
      <c r="G99" s="41">
        <v>112.75</v>
      </c>
      <c r="H99" s="41">
        <v>17.57</v>
      </c>
      <c r="I99" s="41">
        <v>132.56</v>
      </c>
      <c r="J99" s="41">
        <v>1065.78</v>
      </c>
    </row>
    <row r="100" spans="1:10" ht="60">
      <c r="A100" s="39" t="s">
        <v>243</v>
      </c>
      <c r="B100" s="40" t="s">
        <v>98</v>
      </c>
      <c r="C100" s="40" t="s">
        <v>29</v>
      </c>
      <c r="D100" s="39" t="s">
        <v>99</v>
      </c>
      <c r="E100" s="40" t="s">
        <v>40</v>
      </c>
      <c r="F100" s="41">
        <v>89.93</v>
      </c>
      <c r="G100" s="41">
        <v>56.47</v>
      </c>
      <c r="H100" s="41">
        <v>17.57</v>
      </c>
      <c r="I100" s="41">
        <v>66.39</v>
      </c>
      <c r="J100" s="41">
        <v>5970.45</v>
      </c>
    </row>
    <row r="101" spans="1:10" ht="60">
      <c r="A101" s="39" t="s">
        <v>244</v>
      </c>
      <c r="B101" s="40" t="s">
        <v>101</v>
      </c>
      <c r="C101" s="40" t="s">
        <v>29</v>
      </c>
      <c r="D101" s="39" t="s">
        <v>102</v>
      </c>
      <c r="E101" s="40" t="s">
        <v>40</v>
      </c>
      <c r="F101" s="41">
        <v>9.0299999999999994</v>
      </c>
      <c r="G101" s="41">
        <v>60.43</v>
      </c>
      <c r="H101" s="41">
        <v>17.57</v>
      </c>
      <c r="I101" s="41">
        <v>71.05</v>
      </c>
      <c r="J101" s="41">
        <v>641.58000000000004</v>
      </c>
    </row>
    <row r="102" spans="1:10" ht="20.100000000000001" customHeight="1">
      <c r="A102" s="37" t="s">
        <v>245</v>
      </c>
      <c r="B102" s="521" t="s">
        <v>120</v>
      </c>
      <c r="C102" s="521"/>
      <c r="D102" s="521"/>
      <c r="E102" s="521"/>
      <c r="F102" s="521"/>
      <c r="G102" s="521"/>
      <c r="H102" s="521"/>
      <c r="I102" s="521"/>
      <c r="J102" s="38">
        <v>28124.68</v>
      </c>
    </row>
    <row r="103" spans="1:10" ht="60">
      <c r="A103" s="39" t="s">
        <v>246</v>
      </c>
      <c r="B103" s="40" t="s">
        <v>122</v>
      </c>
      <c r="C103" s="40" t="s">
        <v>29</v>
      </c>
      <c r="D103" s="39" t="s">
        <v>123</v>
      </c>
      <c r="E103" s="40" t="s">
        <v>60</v>
      </c>
      <c r="F103" s="41">
        <v>13.56</v>
      </c>
      <c r="G103" s="41">
        <v>6.48</v>
      </c>
      <c r="H103" s="41">
        <v>17.57</v>
      </c>
      <c r="I103" s="41">
        <v>7.62</v>
      </c>
      <c r="J103" s="41">
        <v>103.33</v>
      </c>
    </row>
    <row r="104" spans="1:10" ht="60">
      <c r="A104" s="39" t="s">
        <v>247</v>
      </c>
      <c r="B104" s="40" t="s">
        <v>125</v>
      </c>
      <c r="C104" s="40" t="s">
        <v>29</v>
      </c>
      <c r="D104" s="39" t="s">
        <v>126</v>
      </c>
      <c r="E104" s="40" t="s">
        <v>60</v>
      </c>
      <c r="F104" s="41">
        <v>5.08</v>
      </c>
      <c r="G104" s="41">
        <v>23.75</v>
      </c>
      <c r="H104" s="41">
        <v>17.57</v>
      </c>
      <c r="I104" s="41">
        <v>27.92</v>
      </c>
      <c r="J104" s="41">
        <v>141.83000000000001</v>
      </c>
    </row>
    <row r="105" spans="1:10" ht="48">
      <c r="A105" s="39" t="s">
        <v>248</v>
      </c>
      <c r="B105" s="40" t="s">
        <v>49</v>
      </c>
      <c r="C105" s="40" t="s">
        <v>18</v>
      </c>
      <c r="D105" s="39" t="s">
        <v>50</v>
      </c>
      <c r="E105" s="40" t="s">
        <v>44</v>
      </c>
      <c r="F105" s="41">
        <v>10.6</v>
      </c>
      <c r="G105" s="41">
        <v>2.9</v>
      </c>
      <c r="H105" s="41">
        <v>17.57</v>
      </c>
      <c r="I105" s="41">
        <v>3.41</v>
      </c>
      <c r="J105" s="41">
        <v>36.15</v>
      </c>
    </row>
    <row r="106" spans="1:10" ht="36">
      <c r="A106" s="39" t="s">
        <v>249</v>
      </c>
      <c r="B106" s="40" t="s">
        <v>52</v>
      </c>
      <c r="C106" s="40" t="s">
        <v>29</v>
      </c>
      <c r="D106" s="39" t="s">
        <v>53</v>
      </c>
      <c r="E106" s="40" t="s">
        <v>54</v>
      </c>
      <c r="F106" s="41">
        <v>20.14</v>
      </c>
      <c r="G106" s="41">
        <v>2.27</v>
      </c>
      <c r="H106" s="41">
        <v>17.57</v>
      </c>
      <c r="I106" s="41">
        <v>2.67</v>
      </c>
      <c r="J106" s="41">
        <v>53.77</v>
      </c>
    </row>
    <row r="107" spans="1:10" ht="36">
      <c r="A107" s="39" t="s">
        <v>250</v>
      </c>
      <c r="B107" s="40" t="s">
        <v>130</v>
      </c>
      <c r="C107" s="40" t="s">
        <v>29</v>
      </c>
      <c r="D107" s="39" t="s">
        <v>131</v>
      </c>
      <c r="E107" s="40" t="s">
        <v>60</v>
      </c>
      <c r="F107" s="41">
        <v>7.21</v>
      </c>
      <c r="G107" s="41">
        <v>472.74</v>
      </c>
      <c r="H107" s="41">
        <v>17.57</v>
      </c>
      <c r="I107" s="41">
        <v>555.79999999999995</v>
      </c>
      <c r="J107" s="41">
        <v>4007.32</v>
      </c>
    </row>
    <row r="108" spans="1:10" ht="24">
      <c r="A108" s="39" t="s">
        <v>251</v>
      </c>
      <c r="B108" s="40" t="s">
        <v>133</v>
      </c>
      <c r="C108" s="40" t="s">
        <v>29</v>
      </c>
      <c r="D108" s="39" t="s">
        <v>134</v>
      </c>
      <c r="E108" s="40" t="s">
        <v>60</v>
      </c>
      <c r="F108" s="41">
        <v>5.65</v>
      </c>
      <c r="G108" s="41">
        <v>436.13</v>
      </c>
      <c r="H108" s="41">
        <v>17.57</v>
      </c>
      <c r="I108" s="41">
        <v>512.76</v>
      </c>
      <c r="J108" s="41">
        <v>2897.09</v>
      </c>
    </row>
    <row r="109" spans="1:10" ht="36">
      <c r="A109" s="39" t="s">
        <v>252</v>
      </c>
      <c r="B109" s="40" t="s">
        <v>136</v>
      </c>
      <c r="C109" s="40" t="s">
        <v>29</v>
      </c>
      <c r="D109" s="39" t="s">
        <v>137</v>
      </c>
      <c r="E109" s="40" t="s">
        <v>138</v>
      </c>
      <c r="F109" s="41">
        <v>468.47</v>
      </c>
      <c r="G109" s="41">
        <v>15.14</v>
      </c>
      <c r="H109" s="41">
        <v>17.57</v>
      </c>
      <c r="I109" s="41">
        <v>17.8</v>
      </c>
      <c r="J109" s="41">
        <v>8338.77</v>
      </c>
    </row>
    <row r="110" spans="1:10" ht="48">
      <c r="A110" s="39" t="s">
        <v>253</v>
      </c>
      <c r="B110" s="40" t="s">
        <v>140</v>
      </c>
      <c r="C110" s="40" t="s">
        <v>18</v>
      </c>
      <c r="D110" s="39" t="s">
        <v>141</v>
      </c>
      <c r="E110" s="40" t="s">
        <v>20</v>
      </c>
      <c r="F110" s="41">
        <v>33.909999999999997</v>
      </c>
      <c r="G110" s="41">
        <v>1.1000000000000001</v>
      </c>
      <c r="H110" s="41">
        <v>17.57</v>
      </c>
      <c r="I110" s="41">
        <v>1.29</v>
      </c>
      <c r="J110" s="41">
        <v>43.74</v>
      </c>
    </row>
    <row r="111" spans="1:10" ht="36">
      <c r="A111" s="39" t="s">
        <v>254</v>
      </c>
      <c r="B111" s="40" t="s">
        <v>143</v>
      </c>
      <c r="C111" s="40" t="s">
        <v>29</v>
      </c>
      <c r="D111" s="39" t="s">
        <v>144</v>
      </c>
      <c r="E111" s="40" t="s">
        <v>20</v>
      </c>
      <c r="F111" s="41">
        <v>45.21</v>
      </c>
      <c r="G111" s="41">
        <v>105.62</v>
      </c>
      <c r="H111" s="41">
        <v>17.57</v>
      </c>
      <c r="I111" s="41">
        <v>124.18</v>
      </c>
      <c r="J111" s="41">
        <v>5614.18</v>
      </c>
    </row>
    <row r="112" spans="1:10" ht="36">
      <c r="A112" s="39" t="s">
        <v>255</v>
      </c>
      <c r="B112" s="40" t="s">
        <v>146</v>
      </c>
      <c r="C112" s="40" t="s">
        <v>29</v>
      </c>
      <c r="D112" s="39" t="s">
        <v>147</v>
      </c>
      <c r="E112" s="40" t="s">
        <v>20</v>
      </c>
      <c r="F112" s="41">
        <v>45.21</v>
      </c>
      <c r="G112" s="41">
        <v>4.0999999999999996</v>
      </c>
      <c r="H112" s="41">
        <v>17.57</v>
      </c>
      <c r="I112" s="41">
        <v>4.82</v>
      </c>
      <c r="J112" s="41">
        <v>217.91</v>
      </c>
    </row>
    <row r="113" spans="1:10" ht="48">
      <c r="A113" s="39" t="s">
        <v>256</v>
      </c>
      <c r="B113" s="40" t="s">
        <v>149</v>
      </c>
      <c r="C113" s="40" t="s">
        <v>29</v>
      </c>
      <c r="D113" s="39" t="s">
        <v>150</v>
      </c>
      <c r="E113" s="40" t="s">
        <v>20</v>
      </c>
      <c r="F113" s="41">
        <v>45.21</v>
      </c>
      <c r="G113" s="41">
        <v>24.83</v>
      </c>
      <c r="H113" s="41">
        <v>17.57</v>
      </c>
      <c r="I113" s="41">
        <v>29.19</v>
      </c>
      <c r="J113" s="41">
        <v>1319.68</v>
      </c>
    </row>
    <row r="114" spans="1:10" ht="24">
      <c r="A114" s="39" t="s">
        <v>257</v>
      </c>
      <c r="B114" s="40" t="s">
        <v>152</v>
      </c>
      <c r="C114" s="40" t="s">
        <v>29</v>
      </c>
      <c r="D114" s="39" t="s">
        <v>153</v>
      </c>
      <c r="E114" s="40" t="s">
        <v>60</v>
      </c>
      <c r="F114" s="41">
        <v>4.8099999999999996</v>
      </c>
      <c r="G114" s="41">
        <v>469.42</v>
      </c>
      <c r="H114" s="41">
        <v>17.57</v>
      </c>
      <c r="I114" s="41">
        <v>551.9</v>
      </c>
      <c r="J114" s="41">
        <v>2654.64</v>
      </c>
    </row>
    <row r="115" spans="1:10" ht="24">
      <c r="A115" s="39" t="s">
        <v>258</v>
      </c>
      <c r="B115" s="40" t="s">
        <v>155</v>
      </c>
      <c r="C115" s="40" t="s">
        <v>18</v>
      </c>
      <c r="D115" s="39" t="s">
        <v>156</v>
      </c>
      <c r="E115" s="40" t="s">
        <v>60</v>
      </c>
      <c r="F115" s="41">
        <v>17.670000000000002</v>
      </c>
      <c r="G115" s="41">
        <v>129.79</v>
      </c>
      <c r="H115" s="41">
        <v>17.57</v>
      </c>
      <c r="I115" s="41">
        <v>152.59</v>
      </c>
      <c r="J115" s="41">
        <v>2696.27</v>
      </c>
    </row>
    <row r="116" spans="1:10" ht="20.100000000000001" customHeight="1">
      <c r="A116" s="37" t="s">
        <v>259</v>
      </c>
      <c r="B116" s="521" t="s">
        <v>158</v>
      </c>
      <c r="C116" s="521"/>
      <c r="D116" s="521"/>
      <c r="E116" s="521"/>
      <c r="F116" s="521"/>
      <c r="G116" s="521"/>
      <c r="H116" s="521"/>
      <c r="I116" s="521"/>
      <c r="J116" s="38">
        <v>2171.7600000000002</v>
      </c>
    </row>
    <row r="117" spans="1:10">
      <c r="A117" s="39" t="s">
        <v>260</v>
      </c>
      <c r="B117" s="40" t="s">
        <v>160</v>
      </c>
      <c r="C117" s="40" t="s">
        <v>161</v>
      </c>
      <c r="D117" s="39" t="s">
        <v>162</v>
      </c>
      <c r="E117" s="40" t="s">
        <v>163</v>
      </c>
      <c r="F117" s="41">
        <v>0.99</v>
      </c>
      <c r="G117" s="41">
        <v>347.25</v>
      </c>
      <c r="H117" s="41">
        <v>17.57</v>
      </c>
      <c r="I117" s="41">
        <v>408.26</v>
      </c>
      <c r="J117" s="41">
        <v>404.18</v>
      </c>
    </row>
    <row r="118" spans="1:10" ht="24">
      <c r="A118" s="39" t="s">
        <v>261</v>
      </c>
      <c r="B118" s="40" t="s">
        <v>165</v>
      </c>
      <c r="C118" s="40" t="s">
        <v>161</v>
      </c>
      <c r="D118" s="39" t="s">
        <v>166</v>
      </c>
      <c r="E118" s="40" t="s">
        <v>167</v>
      </c>
      <c r="F118" s="41">
        <v>4</v>
      </c>
      <c r="G118" s="41">
        <v>121.48</v>
      </c>
      <c r="H118" s="41">
        <v>17.57</v>
      </c>
      <c r="I118" s="41">
        <v>142.82</v>
      </c>
      <c r="J118" s="41">
        <v>571.28</v>
      </c>
    </row>
    <row r="119" spans="1:10" ht="24">
      <c r="A119" s="39" t="s">
        <v>262</v>
      </c>
      <c r="B119" s="40" t="s">
        <v>169</v>
      </c>
      <c r="C119" s="40" t="s">
        <v>18</v>
      </c>
      <c r="D119" s="39" t="s">
        <v>170</v>
      </c>
      <c r="E119" s="40" t="s">
        <v>171</v>
      </c>
      <c r="F119" s="41">
        <v>2</v>
      </c>
      <c r="G119" s="41">
        <v>156.33000000000001</v>
      </c>
      <c r="H119" s="41">
        <v>17.57</v>
      </c>
      <c r="I119" s="41">
        <v>183.8</v>
      </c>
      <c r="J119" s="41">
        <v>367.6</v>
      </c>
    </row>
    <row r="120" spans="1:10" ht="48">
      <c r="A120" s="39" t="s">
        <v>263</v>
      </c>
      <c r="B120" s="40" t="s">
        <v>173</v>
      </c>
      <c r="C120" s="40" t="s">
        <v>29</v>
      </c>
      <c r="D120" s="39" t="s">
        <v>174</v>
      </c>
      <c r="E120" s="40" t="s">
        <v>40</v>
      </c>
      <c r="F120" s="41">
        <v>128.68</v>
      </c>
      <c r="G120" s="41">
        <v>5.48</v>
      </c>
      <c r="H120" s="41">
        <v>17.57</v>
      </c>
      <c r="I120" s="41">
        <v>6.44</v>
      </c>
      <c r="J120" s="41">
        <v>828.7</v>
      </c>
    </row>
    <row r="121" spans="1:10" ht="20.100000000000001" customHeight="1">
      <c r="A121" s="37" t="s">
        <v>264</v>
      </c>
      <c r="B121" s="521" t="s">
        <v>179</v>
      </c>
      <c r="C121" s="521"/>
      <c r="D121" s="521"/>
      <c r="E121" s="521"/>
      <c r="F121" s="521"/>
      <c r="G121" s="521"/>
      <c r="H121" s="521"/>
      <c r="I121" s="521"/>
      <c r="J121" s="38">
        <v>1088.3399999999999</v>
      </c>
    </row>
    <row r="122" spans="1:10" ht="36">
      <c r="A122" s="39" t="s">
        <v>265</v>
      </c>
      <c r="B122" s="40" t="s">
        <v>181</v>
      </c>
      <c r="C122" s="40" t="s">
        <v>18</v>
      </c>
      <c r="D122" s="39" t="s">
        <v>182</v>
      </c>
      <c r="E122" s="40" t="s">
        <v>183</v>
      </c>
      <c r="F122" s="41">
        <v>8.24</v>
      </c>
      <c r="G122" s="41">
        <v>112.34</v>
      </c>
      <c r="H122" s="41">
        <v>17.57</v>
      </c>
      <c r="I122" s="41">
        <v>132.08000000000001</v>
      </c>
      <c r="J122" s="41">
        <v>1088.3399999999999</v>
      </c>
    </row>
    <row r="123" spans="1:10" ht="20.100000000000001" customHeight="1">
      <c r="A123" s="37" t="s">
        <v>266</v>
      </c>
      <c r="B123" s="521" t="s">
        <v>185</v>
      </c>
      <c r="C123" s="521"/>
      <c r="D123" s="521"/>
      <c r="E123" s="521"/>
      <c r="F123" s="521"/>
      <c r="G123" s="521"/>
      <c r="H123" s="521"/>
      <c r="I123" s="521"/>
      <c r="J123" s="38">
        <v>21370.67</v>
      </c>
    </row>
    <row r="124" spans="1:10" ht="48">
      <c r="A124" s="39" t="s">
        <v>267</v>
      </c>
      <c r="B124" s="40" t="s">
        <v>187</v>
      </c>
      <c r="C124" s="40" t="s">
        <v>29</v>
      </c>
      <c r="D124" s="39" t="s">
        <v>188</v>
      </c>
      <c r="E124" s="40" t="s">
        <v>31</v>
      </c>
      <c r="F124" s="41">
        <v>1</v>
      </c>
      <c r="G124" s="41">
        <v>830</v>
      </c>
      <c r="H124" s="41">
        <v>10.07</v>
      </c>
      <c r="I124" s="41">
        <v>913.58</v>
      </c>
      <c r="J124" s="41">
        <v>913.58</v>
      </c>
    </row>
    <row r="125" spans="1:10" ht="36">
      <c r="A125" s="39" t="s">
        <v>268</v>
      </c>
      <c r="B125" s="40" t="s">
        <v>190</v>
      </c>
      <c r="C125" s="40" t="s">
        <v>29</v>
      </c>
      <c r="D125" s="39" t="s">
        <v>191</v>
      </c>
      <c r="E125" s="40" t="s">
        <v>31</v>
      </c>
      <c r="F125" s="41">
        <v>1</v>
      </c>
      <c r="G125" s="41">
        <v>648.42999999999995</v>
      </c>
      <c r="H125" s="41">
        <v>10.07</v>
      </c>
      <c r="I125" s="41">
        <v>713.73</v>
      </c>
      <c r="J125" s="41">
        <v>713.73</v>
      </c>
    </row>
    <row r="126" spans="1:10" ht="36">
      <c r="A126" s="39" t="s">
        <v>269</v>
      </c>
      <c r="B126" s="40" t="s">
        <v>193</v>
      </c>
      <c r="C126" s="40" t="s">
        <v>29</v>
      </c>
      <c r="D126" s="39" t="s">
        <v>194</v>
      </c>
      <c r="E126" s="40" t="s">
        <v>195</v>
      </c>
      <c r="F126" s="41">
        <v>14.84</v>
      </c>
      <c r="G126" s="41">
        <v>522.5</v>
      </c>
      <c r="H126" s="41">
        <v>10.07</v>
      </c>
      <c r="I126" s="41">
        <v>575.12</v>
      </c>
      <c r="J126" s="41">
        <v>8534.7800000000007</v>
      </c>
    </row>
    <row r="127" spans="1:10" ht="24">
      <c r="A127" s="39" t="s">
        <v>270</v>
      </c>
      <c r="B127" s="40" t="s">
        <v>197</v>
      </c>
      <c r="C127" s="40" t="s">
        <v>18</v>
      </c>
      <c r="D127" s="39" t="s">
        <v>198</v>
      </c>
      <c r="E127" s="40" t="s">
        <v>44</v>
      </c>
      <c r="F127" s="41">
        <v>34.909999999999997</v>
      </c>
      <c r="G127" s="41">
        <v>56.1</v>
      </c>
      <c r="H127" s="41">
        <v>10.07</v>
      </c>
      <c r="I127" s="41">
        <v>61.75</v>
      </c>
      <c r="J127" s="41">
        <v>2155.69</v>
      </c>
    </row>
    <row r="128" spans="1:10" ht="24">
      <c r="A128" s="39" t="s">
        <v>271</v>
      </c>
      <c r="B128" s="40" t="s">
        <v>206</v>
      </c>
      <c r="C128" s="40" t="s">
        <v>18</v>
      </c>
      <c r="D128" s="39" t="s">
        <v>207</v>
      </c>
      <c r="E128" s="40" t="s">
        <v>138</v>
      </c>
      <c r="F128" s="41">
        <v>139.66</v>
      </c>
      <c r="G128" s="41">
        <v>5.32</v>
      </c>
      <c r="H128" s="41">
        <v>10.07</v>
      </c>
      <c r="I128" s="41">
        <v>5.86</v>
      </c>
      <c r="J128" s="41">
        <v>818.41</v>
      </c>
    </row>
    <row r="129" spans="1:10" ht="36">
      <c r="A129" s="39" t="s">
        <v>272</v>
      </c>
      <c r="B129" s="40" t="s">
        <v>209</v>
      </c>
      <c r="C129" s="40" t="s">
        <v>29</v>
      </c>
      <c r="D129" s="39" t="s">
        <v>210</v>
      </c>
      <c r="E129" s="40" t="s">
        <v>60</v>
      </c>
      <c r="F129" s="41">
        <v>9.75</v>
      </c>
      <c r="G129" s="41">
        <v>422.5</v>
      </c>
      <c r="H129" s="41">
        <v>10.07</v>
      </c>
      <c r="I129" s="41">
        <v>465.05</v>
      </c>
      <c r="J129" s="41">
        <v>4534.24</v>
      </c>
    </row>
    <row r="130" spans="1:10" ht="36">
      <c r="A130" s="39" t="s">
        <v>273</v>
      </c>
      <c r="B130" s="40" t="s">
        <v>212</v>
      </c>
      <c r="C130" s="40" t="s">
        <v>29</v>
      </c>
      <c r="D130" s="39" t="s">
        <v>213</v>
      </c>
      <c r="E130" s="40" t="s">
        <v>20</v>
      </c>
      <c r="F130" s="41">
        <v>35.61</v>
      </c>
      <c r="G130" s="41">
        <v>94.4</v>
      </c>
      <c r="H130" s="41">
        <v>10.07</v>
      </c>
      <c r="I130" s="41">
        <v>103.91</v>
      </c>
      <c r="J130" s="41">
        <v>3700.24</v>
      </c>
    </row>
    <row r="131" spans="1:10" ht="20.100000000000001" customHeight="1">
      <c r="A131" s="37" t="s">
        <v>274</v>
      </c>
      <c r="B131" s="521" t="s">
        <v>275</v>
      </c>
      <c r="C131" s="521"/>
      <c r="D131" s="521"/>
      <c r="E131" s="521"/>
      <c r="F131" s="521"/>
      <c r="G131" s="521"/>
      <c r="H131" s="521"/>
      <c r="I131" s="521"/>
      <c r="J131" s="38">
        <v>146237.70000000001</v>
      </c>
    </row>
    <row r="132" spans="1:10" ht="20.100000000000001" customHeight="1">
      <c r="A132" s="37" t="s">
        <v>276</v>
      </c>
      <c r="B132" s="521" t="s">
        <v>15</v>
      </c>
      <c r="C132" s="521"/>
      <c r="D132" s="521"/>
      <c r="E132" s="521"/>
      <c r="F132" s="521"/>
      <c r="G132" s="521"/>
      <c r="H132" s="521"/>
      <c r="I132" s="521"/>
      <c r="J132" s="38">
        <v>6137.07</v>
      </c>
    </row>
    <row r="133" spans="1:10" ht="24">
      <c r="A133" s="39" t="s">
        <v>277</v>
      </c>
      <c r="B133" s="40" t="s">
        <v>17</v>
      </c>
      <c r="C133" s="40" t="s">
        <v>18</v>
      </c>
      <c r="D133" s="39" t="s">
        <v>19</v>
      </c>
      <c r="E133" s="40" t="s">
        <v>20</v>
      </c>
      <c r="F133" s="41">
        <v>8</v>
      </c>
      <c r="G133" s="41">
        <v>564.99</v>
      </c>
      <c r="H133" s="41">
        <v>17.57</v>
      </c>
      <c r="I133" s="41">
        <v>664.26</v>
      </c>
      <c r="J133" s="41">
        <v>5314.08</v>
      </c>
    </row>
    <row r="134" spans="1:10" ht="24">
      <c r="A134" s="39" t="s">
        <v>278</v>
      </c>
      <c r="B134" s="40" t="s">
        <v>22</v>
      </c>
      <c r="C134" s="40" t="s">
        <v>18</v>
      </c>
      <c r="D134" s="39" t="s">
        <v>23</v>
      </c>
      <c r="E134" s="40" t="s">
        <v>24</v>
      </c>
      <c r="F134" s="41">
        <v>1</v>
      </c>
      <c r="G134" s="41">
        <v>700</v>
      </c>
      <c r="H134" s="41">
        <v>17.57</v>
      </c>
      <c r="I134" s="41">
        <v>822.99</v>
      </c>
      <c r="J134" s="41">
        <v>822.99</v>
      </c>
    </row>
    <row r="135" spans="1:10" ht="20.100000000000001" customHeight="1">
      <c r="A135" s="37" t="s">
        <v>279</v>
      </c>
      <c r="B135" s="521" t="s">
        <v>26</v>
      </c>
      <c r="C135" s="521"/>
      <c r="D135" s="521"/>
      <c r="E135" s="521"/>
      <c r="F135" s="521"/>
      <c r="G135" s="521"/>
      <c r="H135" s="521"/>
      <c r="I135" s="521"/>
      <c r="J135" s="38">
        <v>6492.79</v>
      </c>
    </row>
    <row r="136" spans="1:10" ht="24">
      <c r="A136" s="39" t="s">
        <v>280</v>
      </c>
      <c r="B136" s="40" t="s">
        <v>28</v>
      </c>
      <c r="C136" s="40" t="s">
        <v>29</v>
      </c>
      <c r="D136" s="39" t="s">
        <v>30</v>
      </c>
      <c r="E136" s="40" t="s">
        <v>31</v>
      </c>
      <c r="F136" s="41">
        <v>0.13</v>
      </c>
      <c r="G136" s="41">
        <v>16819.14</v>
      </c>
      <c r="H136" s="41">
        <v>17.57</v>
      </c>
      <c r="I136" s="41">
        <v>19774.259999999998</v>
      </c>
      <c r="J136" s="41">
        <v>2570.65</v>
      </c>
    </row>
    <row r="137" spans="1:10" ht="24">
      <c r="A137" s="39" t="s">
        <v>281</v>
      </c>
      <c r="B137" s="40" t="s">
        <v>33</v>
      </c>
      <c r="C137" s="40" t="s">
        <v>29</v>
      </c>
      <c r="D137" s="39" t="s">
        <v>34</v>
      </c>
      <c r="E137" s="40" t="s">
        <v>31</v>
      </c>
      <c r="F137" s="41">
        <v>0.5</v>
      </c>
      <c r="G137" s="41">
        <v>6672</v>
      </c>
      <c r="H137" s="41">
        <v>17.57</v>
      </c>
      <c r="I137" s="41">
        <v>7844.27</v>
      </c>
      <c r="J137" s="41">
        <v>3922.14</v>
      </c>
    </row>
    <row r="138" spans="1:10" ht="20.100000000000001" customHeight="1">
      <c r="A138" s="37" t="s">
        <v>282</v>
      </c>
      <c r="B138" s="521" t="s">
        <v>36</v>
      </c>
      <c r="C138" s="521"/>
      <c r="D138" s="521"/>
      <c r="E138" s="521"/>
      <c r="F138" s="521"/>
      <c r="G138" s="521"/>
      <c r="H138" s="521"/>
      <c r="I138" s="521"/>
      <c r="J138" s="38">
        <v>960.1</v>
      </c>
    </row>
    <row r="139" spans="1:10">
      <c r="A139" s="39" t="s">
        <v>283</v>
      </c>
      <c r="B139" s="40" t="s">
        <v>38</v>
      </c>
      <c r="C139" s="40" t="s">
        <v>29</v>
      </c>
      <c r="D139" s="39" t="s">
        <v>39</v>
      </c>
      <c r="E139" s="40" t="s">
        <v>40</v>
      </c>
      <c r="F139" s="41">
        <v>50.44</v>
      </c>
      <c r="G139" s="41">
        <v>0.49</v>
      </c>
      <c r="H139" s="41">
        <v>17.57</v>
      </c>
      <c r="I139" s="41">
        <v>0.57999999999999996</v>
      </c>
      <c r="J139" s="41">
        <v>29.26</v>
      </c>
    </row>
    <row r="140" spans="1:10" ht="24">
      <c r="A140" s="39" t="s">
        <v>284</v>
      </c>
      <c r="B140" s="40" t="s">
        <v>42</v>
      </c>
      <c r="C140" s="40" t="s">
        <v>18</v>
      </c>
      <c r="D140" s="39" t="s">
        <v>43</v>
      </c>
      <c r="E140" s="40" t="s">
        <v>44</v>
      </c>
      <c r="F140" s="41">
        <v>3.56</v>
      </c>
      <c r="G140" s="41">
        <v>212.24</v>
      </c>
      <c r="H140" s="41">
        <v>17.57</v>
      </c>
      <c r="I140" s="41">
        <v>249.53</v>
      </c>
      <c r="J140" s="41">
        <v>888.33</v>
      </c>
    </row>
    <row r="141" spans="1:10" ht="48">
      <c r="A141" s="39" t="s">
        <v>285</v>
      </c>
      <c r="B141" s="40" t="s">
        <v>49</v>
      </c>
      <c r="C141" s="40" t="s">
        <v>18</v>
      </c>
      <c r="D141" s="39" t="s">
        <v>50</v>
      </c>
      <c r="E141" s="40" t="s">
        <v>44</v>
      </c>
      <c r="F141" s="41">
        <v>4.45</v>
      </c>
      <c r="G141" s="41">
        <v>2.9</v>
      </c>
      <c r="H141" s="41">
        <v>17.57</v>
      </c>
      <c r="I141" s="41">
        <v>3.41</v>
      </c>
      <c r="J141" s="41">
        <v>15.17</v>
      </c>
    </row>
    <row r="142" spans="1:10" ht="36">
      <c r="A142" s="39" t="s">
        <v>286</v>
      </c>
      <c r="B142" s="40" t="s">
        <v>52</v>
      </c>
      <c r="C142" s="40" t="s">
        <v>29</v>
      </c>
      <c r="D142" s="39" t="s">
        <v>53</v>
      </c>
      <c r="E142" s="40" t="s">
        <v>54</v>
      </c>
      <c r="F142" s="41">
        <v>10.24</v>
      </c>
      <c r="G142" s="41">
        <v>2.27</v>
      </c>
      <c r="H142" s="41">
        <v>17.57</v>
      </c>
      <c r="I142" s="41">
        <v>2.67</v>
      </c>
      <c r="J142" s="41">
        <v>27.34</v>
      </c>
    </row>
    <row r="143" spans="1:10" ht="20.100000000000001" customHeight="1">
      <c r="A143" s="37" t="s">
        <v>287</v>
      </c>
      <c r="B143" s="521" t="s">
        <v>56</v>
      </c>
      <c r="C143" s="521"/>
      <c r="D143" s="521"/>
      <c r="E143" s="521"/>
      <c r="F143" s="521"/>
      <c r="G143" s="521"/>
      <c r="H143" s="521"/>
      <c r="I143" s="521"/>
      <c r="J143" s="38">
        <v>3017.29</v>
      </c>
    </row>
    <row r="144" spans="1:10" ht="24">
      <c r="A144" s="39" t="s">
        <v>288</v>
      </c>
      <c r="B144" s="40" t="s">
        <v>58</v>
      </c>
      <c r="C144" s="40" t="s">
        <v>18</v>
      </c>
      <c r="D144" s="39" t="s">
        <v>59</v>
      </c>
      <c r="E144" s="40" t="s">
        <v>60</v>
      </c>
      <c r="F144" s="41">
        <v>201.3</v>
      </c>
      <c r="G144" s="41">
        <v>2.59</v>
      </c>
      <c r="H144" s="41">
        <v>17.57</v>
      </c>
      <c r="I144" s="41">
        <v>3.05</v>
      </c>
      <c r="J144" s="41">
        <v>613.97</v>
      </c>
    </row>
    <row r="145" spans="1:10" ht="48">
      <c r="A145" s="39" t="s">
        <v>289</v>
      </c>
      <c r="B145" s="40" t="s">
        <v>49</v>
      </c>
      <c r="C145" s="40" t="s">
        <v>18</v>
      </c>
      <c r="D145" s="39" t="s">
        <v>50</v>
      </c>
      <c r="E145" s="40" t="s">
        <v>44</v>
      </c>
      <c r="F145" s="41">
        <v>251.63</v>
      </c>
      <c r="G145" s="41">
        <v>2.9</v>
      </c>
      <c r="H145" s="41">
        <v>17.57</v>
      </c>
      <c r="I145" s="41">
        <v>3.41</v>
      </c>
      <c r="J145" s="41">
        <v>858.06</v>
      </c>
    </row>
    <row r="146" spans="1:10" ht="36">
      <c r="A146" s="39" t="s">
        <v>290</v>
      </c>
      <c r="B146" s="40" t="s">
        <v>52</v>
      </c>
      <c r="C146" s="40" t="s">
        <v>29</v>
      </c>
      <c r="D146" s="39" t="s">
        <v>53</v>
      </c>
      <c r="E146" s="40" t="s">
        <v>54</v>
      </c>
      <c r="F146" s="41">
        <v>578.75</v>
      </c>
      <c r="G146" s="41">
        <v>2.27</v>
      </c>
      <c r="H146" s="41">
        <v>17.57</v>
      </c>
      <c r="I146" s="41">
        <v>2.67</v>
      </c>
      <c r="J146" s="41">
        <v>1545.26</v>
      </c>
    </row>
    <row r="147" spans="1:10" ht="20.100000000000001" customHeight="1">
      <c r="A147" s="37" t="s">
        <v>291</v>
      </c>
      <c r="B147" s="521" t="s">
        <v>11</v>
      </c>
      <c r="C147" s="521"/>
      <c r="D147" s="521"/>
      <c r="E147" s="521"/>
      <c r="F147" s="521"/>
      <c r="G147" s="521"/>
      <c r="H147" s="521"/>
      <c r="I147" s="521"/>
      <c r="J147" s="38">
        <v>22021.22</v>
      </c>
    </row>
    <row r="148" spans="1:10" ht="24">
      <c r="A148" s="39" t="s">
        <v>292</v>
      </c>
      <c r="B148" s="40" t="s">
        <v>65</v>
      </c>
      <c r="C148" s="40" t="s">
        <v>29</v>
      </c>
      <c r="D148" s="39" t="s">
        <v>66</v>
      </c>
      <c r="E148" s="40" t="s">
        <v>20</v>
      </c>
      <c r="F148" s="41">
        <v>353.08</v>
      </c>
      <c r="G148" s="41">
        <v>2.79</v>
      </c>
      <c r="H148" s="41">
        <v>17.57</v>
      </c>
      <c r="I148" s="41">
        <v>3.28</v>
      </c>
      <c r="J148" s="41">
        <v>1158.0999999999999</v>
      </c>
    </row>
    <row r="149" spans="1:10" ht="24">
      <c r="A149" s="39" t="s">
        <v>293</v>
      </c>
      <c r="B149" s="40" t="s">
        <v>68</v>
      </c>
      <c r="C149" s="40" t="s">
        <v>18</v>
      </c>
      <c r="D149" s="39" t="s">
        <v>69</v>
      </c>
      <c r="E149" s="40" t="s">
        <v>70</v>
      </c>
      <c r="F149" s="41">
        <v>52.96</v>
      </c>
      <c r="G149" s="41">
        <v>11.4</v>
      </c>
      <c r="H149" s="41">
        <v>17.57</v>
      </c>
      <c r="I149" s="41">
        <v>13.4</v>
      </c>
      <c r="J149" s="41">
        <v>709.66</v>
      </c>
    </row>
    <row r="150" spans="1:10" ht="36">
      <c r="A150" s="39" t="s">
        <v>294</v>
      </c>
      <c r="B150" s="40" t="s">
        <v>72</v>
      </c>
      <c r="C150" s="40" t="s">
        <v>18</v>
      </c>
      <c r="D150" s="39" t="s">
        <v>73</v>
      </c>
      <c r="E150" s="40" t="s">
        <v>60</v>
      </c>
      <c r="F150" s="41">
        <v>60.53</v>
      </c>
      <c r="G150" s="41">
        <v>14.44</v>
      </c>
      <c r="H150" s="41">
        <v>17.57</v>
      </c>
      <c r="I150" s="41">
        <v>16.98</v>
      </c>
      <c r="J150" s="41">
        <v>1027.8</v>
      </c>
    </row>
    <row r="151" spans="1:10" ht="48">
      <c r="A151" s="39" t="s">
        <v>295</v>
      </c>
      <c r="B151" s="40" t="s">
        <v>49</v>
      </c>
      <c r="C151" s="40" t="s">
        <v>18</v>
      </c>
      <c r="D151" s="39" t="s">
        <v>50</v>
      </c>
      <c r="E151" s="40" t="s">
        <v>44</v>
      </c>
      <c r="F151" s="41">
        <v>141.86000000000001</v>
      </c>
      <c r="G151" s="41">
        <v>2.9</v>
      </c>
      <c r="H151" s="41">
        <v>17.57</v>
      </c>
      <c r="I151" s="41">
        <v>3.41</v>
      </c>
      <c r="J151" s="41">
        <v>483.74</v>
      </c>
    </row>
    <row r="152" spans="1:10" ht="24">
      <c r="A152" s="39" t="s">
        <v>296</v>
      </c>
      <c r="B152" s="40" t="s">
        <v>76</v>
      </c>
      <c r="C152" s="40" t="s">
        <v>18</v>
      </c>
      <c r="D152" s="39" t="s">
        <v>77</v>
      </c>
      <c r="E152" s="40" t="s">
        <v>78</v>
      </c>
      <c r="F152" s="41">
        <v>1021.39</v>
      </c>
      <c r="G152" s="41">
        <v>1.37</v>
      </c>
      <c r="H152" s="41">
        <v>17.57</v>
      </c>
      <c r="I152" s="41">
        <v>1.61</v>
      </c>
      <c r="J152" s="41">
        <v>1644.44</v>
      </c>
    </row>
    <row r="153" spans="1:10" ht="24">
      <c r="A153" s="39" t="s">
        <v>297</v>
      </c>
      <c r="B153" s="40" t="s">
        <v>80</v>
      </c>
      <c r="C153" s="40" t="s">
        <v>18</v>
      </c>
      <c r="D153" s="39" t="s">
        <v>81</v>
      </c>
      <c r="E153" s="40" t="s">
        <v>20</v>
      </c>
      <c r="F153" s="41">
        <v>280.07</v>
      </c>
      <c r="G153" s="41">
        <v>1.24</v>
      </c>
      <c r="H153" s="41">
        <v>17.57</v>
      </c>
      <c r="I153" s="41">
        <v>1.46</v>
      </c>
      <c r="J153" s="41">
        <v>408.9</v>
      </c>
    </row>
    <row r="154" spans="1:10" ht="36">
      <c r="A154" s="39" t="s">
        <v>298</v>
      </c>
      <c r="B154" s="40" t="s">
        <v>83</v>
      </c>
      <c r="C154" s="40" t="s">
        <v>18</v>
      </c>
      <c r="D154" s="39" t="s">
        <v>84</v>
      </c>
      <c r="E154" s="40" t="s">
        <v>60</v>
      </c>
      <c r="F154" s="41">
        <v>14</v>
      </c>
      <c r="G154" s="41">
        <v>133.37</v>
      </c>
      <c r="H154" s="41">
        <v>17.57</v>
      </c>
      <c r="I154" s="41">
        <v>156.80000000000001</v>
      </c>
      <c r="J154" s="41">
        <v>2195.1999999999998</v>
      </c>
    </row>
    <row r="155" spans="1:10" ht="36">
      <c r="A155" s="39" t="s">
        <v>299</v>
      </c>
      <c r="B155" s="40" t="s">
        <v>86</v>
      </c>
      <c r="C155" s="40" t="s">
        <v>18</v>
      </c>
      <c r="D155" s="39" t="s">
        <v>87</v>
      </c>
      <c r="E155" s="40" t="s">
        <v>44</v>
      </c>
      <c r="F155" s="41">
        <v>14</v>
      </c>
      <c r="G155" s="41">
        <v>7.86</v>
      </c>
      <c r="H155" s="41">
        <v>17.57</v>
      </c>
      <c r="I155" s="41">
        <v>9.24</v>
      </c>
      <c r="J155" s="41">
        <v>129.36000000000001</v>
      </c>
    </row>
    <row r="156" spans="1:10" ht="24">
      <c r="A156" s="39" t="s">
        <v>300</v>
      </c>
      <c r="B156" s="40" t="s">
        <v>89</v>
      </c>
      <c r="C156" s="40" t="s">
        <v>18</v>
      </c>
      <c r="D156" s="39" t="s">
        <v>90</v>
      </c>
      <c r="E156" s="40" t="s">
        <v>54</v>
      </c>
      <c r="F156" s="41">
        <v>228.2</v>
      </c>
      <c r="G156" s="41">
        <v>1.77</v>
      </c>
      <c r="H156" s="41">
        <v>17.57</v>
      </c>
      <c r="I156" s="41">
        <v>2.08</v>
      </c>
      <c r="J156" s="41">
        <v>474.66</v>
      </c>
    </row>
    <row r="157" spans="1:10" ht="24">
      <c r="A157" s="39" t="s">
        <v>301</v>
      </c>
      <c r="B157" s="40" t="s">
        <v>92</v>
      </c>
      <c r="C157" s="40" t="s">
        <v>18</v>
      </c>
      <c r="D157" s="39" t="s">
        <v>93</v>
      </c>
      <c r="E157" s="40" t="s">
        <v>20</v>
      </c>
      <c r="F157" s="41">
        <v>212.65</v>
      </c>
      <c r="G157" s="41">
        <v>0.65</v>
      </c>
      <c r="H157" s="41">
        <v>17.57</v>
      </c>
      <c r="I157" s="41">
        <v>0.76</v>
      </c>
      <c r="J157" s="41">
        <v>161.61000000000001</v>
      </c>
    </row>
    <row r="158" spans="1:10" ht="48">
      <c r="A158" s="39" t="s">
        <v>302</v>
      </c>
      <c r="B158" s="40" t="s">
        <v>95</v>
      </c>
      <c r="C158" s="40" t="s">
        <v>18</v>
      </c>
      <c r="D158" s="39" t="s">
        <v>96</v>
      </c>
      <c r="E158" s="40" t="s">
        <v>60</v>
      </c>
      <c r="F158" s="41">
        <v>14.38</v>
      </c>
      <c r="G158" s="41">
        <v>112.75</v>
      </c>
      <c r="H158" s="41">
        <v>17.57</v>
      </c>
      <c r="I158" s="41">
        <v>132.56</v>
      </c>
      <c r="J158" s="41">
        <v>1906.21</v>
      </c>
    </row>
    <row r="159" spans="1:10" ht="60">
      <c r="A159" s="39" t="s">
        <v>303</v>
      </c>
      <c r="B159" s="40" t="s">
        <v>98</v>
      </c>
      <c r="C159" s="40" t="s">
        <v>29</v>
      </c>
      <c r="D159" s="39" t="s">
        <v>99</v>
      </c>
      <c r="E159" s="40" t="s">
        <v>40</v>
      </c>
      <c r="F159" s="41">
        <v>99.93</v>
      </c>
      <c r="G159" s="41">
        <v>56.47</v>
      </c>
      <c r="H159" s="41">
        <v>17.57</v>
      </c>
      <c r="I159" s="41">
        <v>66.39</v>
      </c>
      <c r="J159" s="41">
        <v>6634.35</v>
      </c>
    </row>
    <row r="160" spans="1:10" ht="60">
      <c r="A160" s="39" t="s">
        <v>304</v>
      </c>
      <c r="B160" s="40" t="s">
        <v>101</v>
      </c>
      <c r="C160" s="40" t="s">
        <v>29</v>
      </c>
      <c r="D160" s="39" t="s">
        <v>102</v>
      </c>
      <c r="E160" s="40" t="s">
        <v>40</v>
      </c>
      <c r="F160" s="41">
        <v>1.81</v>
      </c>
      <c r="G160" s="41">
        <v>60.43</v>
      </c>
      <c r="H160" s="41">
        <v>17.57</v>
      </c>
      <c r="I160" s="41">
        <v>71.05</v>
      </c>
      <c r="J160" s="41">
        <v>128.6</v>
      </c>
    </row>
    <row r="161" spans="1:10" ht="60">
      <c r="A161" s="39" t="s">
        <v>305</v>
      </c>
      <c r="B161" s="40" t="s">
        <v>104</v>
      </c>
      <c r="C161" s="40" t="s">
        <v>29</v>
      </c>
      <c r="D161" s="39" t="s">
        <v>105</v>
      </c>
      <c r="E161" s="40" t="s">
        <v>40</v>
      </c>
      <c r="F161" s="41">
        <v>2.8</v>
      </c>
      <c r="G161" s="41">
        <v>54.31</v>
      </c>
      <c r="H161" s="41">
        <v>17.57</v>
      </c>
      <c r="I161" s="41">
        <v>63.85</v>
      </c>
      <c r="J161" s="41">
        <v>178.78</v>
      </c>
    </row>
    <row r="162" spans="1:10" ht="24">
      <c r="A162" s="39" t="s">
        <v>306</v>
      </c>
      <c r="B162" s="40" t="s">
        <v>107</v>
      </c>
      <c r="C162" s="40" t="s">
        <v>29</v>
      </c>
      <c r="D162" s="39" t="s">
        <v>108</v>
      </c>
      <c r="E162" s="40" t="s">
        <v>40</v>
      </c>
      <c r="F162" s="41">
        <v>99.93</v>
      </c>
      <c r="G162" s="41">
        <v>39.770000000000003</v>
      </c>
      <c r="H162" s="41">
        <v>17.57</v>
      </c>
      <c r="I162" s="41">
        <v>46.76</v>
      </c>
      <c r="J162" s="41">
        <v>4672.7299999999996</v>
      </c>
    </row>
    <row r="163" spans="1:10" ht="24">
      <c r="A163" s="39" t="s">
        <v>307</v>
      </c>
      <c r="B163" s="40" t="s">
        <v>110</v>
      </c>
      <c r="C163" s="40" t="s">
        <v>29</v>
      </c>
      <c r="D163" s="39" t="s">
        <v>111</v>
      </c>
      <c r="E163" s="40" t="s">
        <v>40</v>
      </c>
      <c r="F163" s="41">
        <v>1.81</v>
      </c>
      <c r="G163" s="41">
        <v>50.32</v>
      </c>
      <c r="H163" s="41">
        <v>17.57</v>
      </c>
      <c r="I163" s="41">
        <v>59.16</v>
      </c>
      <c r="J163" s="41">
        <v>107.08</v>
      </c>
    </row>
    <row r="164" spans="1:10" ht="20.100000000000001" customHeight="1">
      <c r="A164" s="37" t="s">
        <v>308</v>
      </c>
      <c r="B164" s="521" t="s">
        <v>120</v>
      </c>
      <c r="C164" s="521"/>
      <c r="D164" s="521"/>
      <c r="E164" s="521"/>
      <c r="F164" s="521"/>
      <c r="G164" s="521"/>
      <c r="H164" s="521"/>
      <c r="I164" s="521"/>
      <c r="J164" s="38">
        <v>29633.46</v>
      </c>
    </row>
    <row r="165" spans="1:10" ht="60">
      <c r="A165" s="39" t="s">
        <v>309</v>
      </c>
      <c r="B165" s="40" t="s">
        <v>310</v>
      </c>
      <c r="C165" s="40" t="s">
        <v>29</v>
      </c>
      <c r="D165" s="39" t="s">
        <v>311</v>
      </c>
      <c r="E165" s="40" t="s">
        <v>60</v>
      </c>
      <c r="F165" s="41">
        <v>90.75</v>
      </c>
      <c r="G165" s="41">
        <v>8.5399999999999991</v>
      </c>
      <c r="H165" s="41">
        <v>17.57</v>
      </c>
      <c r="I165" s="41">
        <v>10.039999999999999</v>
      </c>
      <c r="J165" s="41">
        <v>911.13</v>
      </c>
    </row>
    <row r="166" spans="1:10" ht="60">
      <c r="A166" s="39" t="s">
        <v>312</v>
      </c>
      <c r="B166" s="40" t="s">
        <v>313</v>
      </c>
      <c r="C166" s="40" t="s">
        <v>29</v>
      </c>
      <c r="D166" s="39" t="s">
        <v>314</v>
      </c>
      <c r="E166" s="40" t="s">
        <v>60</v>
      </c>
      <c r="F166" s="41">
        <v>15.4</v>
      </c>
      <c r="G166" s="41">
        <v>10.039999999999999</v>
      </c>
      <c r="H166" s="41">
        <v>17.57</v>
      </c>
      <c r="I166" s="41">
        <v>11.8</v>
      </c>
      <c r="J166" s="41">
        <v>181.72</v>
      </c>
    </row>
    <row r="167" spans="1:10" ht="60">
      <c r="A167" s="39" t="s">
        <v>315</v>
      </c>
      <c r="B167" s="40" t="s">
        <v>316</v>
      </c>
      <c r="C167" s="40" t="s">
        <v>29</v>
      </c>
      <c r="D167" s="39" t="s">
        <v>317</v>
      </c>
      <c r="E167" s="40" t="s">
        <v>60</v>
      </c>
      <c r="F167" s="41">
        <v>13.07</v>
      </c>
      <c r="G167" s="41">
        <v>29.29</v>
      </c>
      <c r="H167" s="41">
        <v>17.57</v>
      </c>
      <c r="I167" s="41">
        <v>34.44</v>
      </c>
      <c r="J167" s="41">
        <v>450.13</v>
      </c>
    </row>
    <row r="168" spans="1:10" ht="60">
      <c r="A168" s="39" t="s">
        <v>318</v>
      </c>
      <c r="B168" s="40" t="s">
        <v>319</v>
      </c>
      <c r="C168" s="40" t="s">
        <v>29</v>
      </c>
      <c r="D168" s="39" t="s">
        <v>320</v>
      </c>
      <c r="E168" s="40" t="s">
        <v>60</v>
      </c>
      <c r="F168" s="41">
        <v>56.12</v>
      </c>
      <c r="G168" s="41">
        <v>22.62</v>
      </c>
      <c r="H168" s="41">
        <v>17.57</v>
      </c>
      <c r="I168" s="41">
        <v>26.59</v>
      </c>
      <c r="J168" s="41">
        <v>1492.23</v>
      </c>
    </row>
    <row r="169" spans="1:10" ht="48">
      <c r="A169" s="39" t="s">
        <v>321</v>
      </c>
      <c r="B169" s="40" t="s">
        <v>49</v>
      </c>
      <c r="C169" s="40" t="s">
        <v>18</v>
      </c>
      <c r="D169" s="39" t="s">
        <v>50</v>
      </c>
      <c r="E169" s="40" t="s">
        <v>44</v>
      </c>
      <c r="F169" s="41">
        <v>46.2</v>
      </c>
      <c r="G169" s="41">
        <v>2.9</v>
      </c>
      <c r="H169" s="41">
        <v>17.57</v>
      </c>
      <c r="I169" s="41">
        <v>3.41</v>
      </c>
      <c r="J169" s="41">
        <v>157.54</v>
      </c>
    </row>
    <row r="170" spans="1:10" ht="36">
      <c r="A170" s="39" t="s">
        <v>322</v>
      </c>
      <c r="B170" s="40" t="s">
        <v>52</v>
      </c>
      <c r="C170" s="40" t="s">
        <v>29</v>
      </c>
      <c r="D170" s="39" t="s">
        <v>53</v>
      </c>
      <c r="E170" s="40" t="s">
        <v>54</v>
      </c>
      <c r="F170" s="41">
        <v>106.26</v>
      </c>
      <c r="G170" s="41">
        <v>2.27</v>
      </c>
      <c r="H170" s="41">
        <v>17.57</v>
      </c>
      <c r="I170" s="41">
        <v>2.67</v>
      </c>
      <c r="J170" s="41">
        <v>283.70999999999998</v>
      </c>
    </row>
    <row r="171" spans="1:10" ht="24">
      <c r="A171" s="39" t="s">
        <v>323</v>
      </c>
      <c r="B171" s="40" t="s">
        <v>133</v>
      </c>
      <c r="C171" s="40" t="s">
        <v>29</v>
      </c>
      <c r="D171" s="39" t="s">
        <v>134</v>
      </c>
      <c r="E171" s="40" t="s">
        <v>60</v>
      </c>
      <c r="F171" s="41">
        <v>3.51</v>
      </c>
      <c r="G171" s="41">
        <v>436.13</v>
      </c>
      <c r="H171" s="41">
        <v>17.57</v>
      </c>
      <c r="I171" s="41">
        <v>512.76</v>
      </c>
      <c r="J171" s="41">
        <v>1799.79</v>
      </c>
    </row>
    <row r="172" spans="1:10" ht="24">
      <c r="A172" s="39" t="s">
        <v>324</v>
      </c>
      <c r="B172" s="40" t="s">
        <v>325</v>
      </c>
      <c r="C172" s="40" t="s">
        <v>18</v>
      </c>
      <c r="D172" s="39" t="s">
        <v>326</v>
      </c>
      <c r="E172" s="40" t="s">
        <v>171</v>
      </c>
      <c r="F172" s="41">
        <v>6</v>
      </c>
      <c r="G172" s="41">
        <v>1436.65</v>
      </c>
      <c r="H172" s="41">
        <v>17.57</v>
      </c>
      <c r="I172" s="41">
        <v>1689.07</v>
      </c>
      <c r="J172" s="41">
        <v>10134.42</v>
      </c>
    </row>
    <row r="173" spans="1:10" ht="36">
      <c r="A173" s="39" t="s">
        <v>327</v>
      </c>
      <c r="B173" s="40" t="s">
        <v>328</v>
      </c>
      <c r="C173" s="40" t="s">
        <v>29</v>
      </c>
      <c r="D173" s="39" t="s">
        <v>329</v>
      </c>
      <c r="E173" s="40" t="s">
        <v>115</v>
      </c>
      <c r="F173" s="41">
        <v>4</v>
      </c>
      <c r="G173" s="41">
        <v>2575.58</v>
      </c>
      <c r="H173" s="41">
        <v>17.57</v>
      </c>
      <c r="I173" s="41">
        <v>3028.11</v>
      </c>
      <c r="J173" s="41">
        <v>12112.44</v>
      </c>
    </row>
    <row r="174" spans="1:10" ht="36">
      <c r="A174" s="39" t="s">
        <v>330</v>
      </c>
      <c r="B174" s="40" t="s">
        <v>331</v>
      </c>
      <c r="C174" s="40" t="s">
        <v>29</v>
      </c>
      <c r="D174" s="39" t="s">
        <v>332</v>
      </c>
      <c r="E174" s="40" t="s">
        <v>115</v>
      </c>
      <c r="F174" s="41">
        <v>4</v>
      </c>
      <c r="G174" s="41">
        <v>96.01</v>
      </c>
      <c r="H174" s="41">
        <v>17.57</v>
      </c>
      <c r="I174" s="41">
        <v>112.88</v>
      </c>
      <c r="J174" s="41">
        <v>451.52</v>
      </c>
    </row>
    <row r="175" spans="1:10" ht="24">
      <c r="A175" s="39" t="s">
        <v>333</v>
      </c>
      <c r="B175" s="40" t="s">
        <v>155</v>
      </c>
      <c r="C175" s="40" t="s">
        <v>18</v>
      </c>
      <c r="D175" s="39" t="s">
        <v>156</v>
      </c>
      <c r="E175" s="40" t="s">
        <v>60</v>
      </c>
      <c r="F175" s="41">
        <v>3.51</v>
      </c>
      <c r="G175" s="41">
        <v>129.79</v>
      </c>
      <c r="H175" s="41">
        <v>17.57</v>
      </c>
      <c r="I175" s="41">
        <v>152.59</v>
      </c>
      <c r="J175" s="41">
        <v>535.59</v>
      </c>
    </row>
    <row r="176" spans="1:10" ht="36">
      <c r="A176" s="39" t="s">
        <v>334</v>
      </c>
      <c r="B176" s="40" t="s">
        <v>335</v>
      </c>
      <c r="C176" s="40" t="s">
        <v>29</v>
      </c>
      <c r="D176" s="39" t="s">
        <v>336</v>
      </c>
      <c r="E176" s="40" t="s">
        <v>40</v>
      </c>
      <c r="F176" s="41">
        <v>14.67</v>
      </c>
      <c r="G176" s="41">
        <v>3.97</v>
      </c>
      <c r="H176" s="41">
        <v>17.57</v>
      </c>
      <c r="I176" s="41">
        <v>4.67</v>
      </c>
      <c r="J176" s="41">
        <v>68.510000000000005</v>
      </c>
    </row>
    <row r="177" spans="1:10" ht="36">
      <c r="A177" s="39" t="s">
        <v>337</v>
      </c>
      <c r="B177" s="40" t="s">
        <v>338</v>
      </c>
      <c r="C177" s="40" t="s">
        <v>29</v>
      </c>
      <c r="D177" s="39" t="s">
        <v>339</v>
      </c>
      <c r="E177" s="40" t="s">
        <v>40</v>
      </c>
      <c r="F177" s="41">
        <v>48.36</v>
      </c>
      <c r="G177" s="41">
        <v>18.55</v>
      </c>
      <c r="H177" s="41">
        <v>17.57</v>
      </c>
      <c r="I177" s="41">
        <v>21.81</v>
      </c>
      <c r="J177" s="41">
        <v>1054.73</v>
      </c>
    </row>
    <row r="178" spans="1:10" ht="20.100000000000001" customHeight="1">
      <c r="A178" s="37" t="s">
        <v>340</v>
      </c>
      <c r="B178" s="521" t="s">
        <v>158</v>
      </c>
      <c r="C178" s="521"/>
      <c r="D178" s="521"/>
      <c r="E178" s="521"/>
      <c r="F178" s="521"/>
      <c r="G178" s="521"/>
      <c r="H178" s="521"/>
      <c r="I178" s="521"/>
      <c r="J178" s="38">
        <v>3358.29</v>
      </c>
    </row>
    <row r="179" spans="1:10">
      <c r="A179" s="39" t="s">
        <v>341</v>
      </c>
      <c r="B179" s="40" t="s">
        <v>160</v>
      </c>
      <c r="C179" s="40" t="s">
        <v>161</v>
      </c>
      <c r="D179" s="39" t="s">
        <v>162</v>
      </c>
      <c r="E179" s="40" t="s">
        <v>163</v>
      </c>
      <c r="F179" s="41">
        <v>1.29</v>
      </c>
      <c r="G179" s="41">
        <v>347.25</v>
      </c>
      <c r="H179" s="41">
        <v>17.57</v>
      </c>
      <c r="I179" s="41">
        <v>408.26</v>
      </c>
      <c r="J179" s="41">
        <v>526.66</v>
      </c>
    </row>
    <row r="180" spans="1:10" ht="24">
      <c r="A180" s="39" t="s">
        <v>342</v>
      </c>
      <c r="B180" s="40" t="s">
        <v>165</v>
      </c>
      <c r="C180" s="40" t="s">
        <v>161</v>
      </c>
      <c r="D180" s="39" t="s">
        <v>166</v>
      </c>
      <c r="E180" s="40" t="s">
        <v>167</v>
      </c>
      <c r="F180" s="41">
        <v>6</v>
      </c>
      <c r="G180" s="41">
        <v>121.48</v>
      </c>
      <c r="H180" s="41">
        <v>17.57</v>
      </c>
      <c r="I180" s="41">
        <v>142.82</v>
      </c>
      <c r="J180" s="41">
        <v>856.92</v>
      </c>
    </row>
    <row r="181" spans="1:10" ht="24">
      <c r="A181" s="39" t="s">
        <v>343</v>
      </c>
      <c r="B181" s="40" t="s">
        <v>169</v>
      </c>
      <c r="C181" s="40" t="s">
        <v>18</v>
      </c>
      <c r="D181" s="39" t="s">
        <v>170</v>
      </c>
      <c r="E181" s="40" t="s">
        <v>171</v>
      </c>
      <c r="F181" s="41">
        <v>2</v>
      </c>
      <c r="G181" s="41">
        <v>156.33000000000001</v>
      </c>
      <c r="H181" s="41">
        <v>17.57</v>
      </c>
      <c r="I181" s="41">
        <v>183.8</v>
      </c>
      <c r="J181" s="41">
        <v>367.6</v>
      </c>
    </row>
    <row r="182" spans="1:10" ht="48">
      <c r="A182" s="39" t="s">
        <v>344</v>
      </c>
      <c r="B182" s="40" t="s">
        <v>173</v>
      </c>
      <c r="C182" s="40" t="s">
        <v>29</v>
      </c>
      <c r="D182" s="39" t="s">
        <v>174</v>
      </c>
      <c r="E182" s="40" t="s">
        <v>40</v>
      </c>
      <c r="F182" s="41">
        <v>133.16999999999999</v>
      </c>
      <c r="G182" s="41">
        <v>5.48</v>
      </c>
      <c r="H182" s="41">
        <v>17.57</v>
      </c>
      <c r="I182" s="41">
        <v>6.44</v>
      </c>
      <c r="J182" s="41">
        <v>857.61</v>
      </c>
    </row>
    <row r="183" spans="1:10" ht="48">
      <c r="A183" s="39" t="s">
        <v>345</v>
      </c>
      <c r="B183" s="40" t="s">
        <v>176</v>
      </c>
      <c r="C183" s="40" t="s">
        <v>29</v>
      </c>
      <c r="D183" s="39" t="s">
        <v>177</v>
      </c>
      <c r="E183" s="40" t="s">
        <v>20</v>
      </c>
      <c r="F183" s="41">
        <v>26.4</v>
      </c>
      <c r="G183" s="41">
        <v>24.15</v>
      </c>
      <c r="H183" s="41">
        <v>17.57</v>
      </c>
      <c r="I183" s="41">
        <v>28.39</v>
      </c>
      <c r="J183" s="41">
        <v>749.5</v>
      </c>
    </row>
    <row r="184" spans="1:10" ht="20.100000000000001" customHeight="1">
      <c r="A184" s="37" t="s">
        <v>346</v>
      </c>
      <c r="B184" s="521" t="s">
        <v>179</v>
      </c>
      <c r="C184" s="521"/>
      <c r="D184" s="521"/>
      <c r="E184" s="521"/>
      <c r="F184" s="521"/>
      <c r="G184" s="521"/>
      <c r="H184" s="521"/>
      <c r="I184" s="521"/>
      <c r="J184" s="38">
        <v>954.94</v>
      </c>
    </row>
    <row r="185" spans="1:10" ht="36">
      <c r="A185" s="39" t="s">
        <v>347</v>
      </c>
      <c r="B185" s="40" t="s">
        <v>181</v>
      </c>
      <c r="C185" s="40" t="s">
        <v>18</v>
      </c>
      <c r="D185" s="39" t="s">
        <v>182</v>
      </c>
      <c r="E185" s="40" t="s">
        <v>183</v>
      </c>
      <c r="F185" s="41">
        <v>7.23</v>
      </c>
      <c r="G185" s="41">
        <v>112.34</v>
      </c>
      <c r="H185" s="41">
        <v>17.57</v>
      </c>
      <c r="I185" s="41">
        <v>132.08000000000001</v>
      </c>
      <c r="J185" s="41">
        <v>954.94</v>
      </c>
    </row>
    <row r="186" spans="1:10" ht="20.100000000000001" customHeight="1">
      <c r="A186" s="37" t="s">
        <v>348</v>
      </c>
      <c r="B186" s="521" t="s">
        <v>185</v>
      </c>
      <c r="C186" s="521"/>
      <c r="D186" s="521"/>
      <c r="E186" s="521"/>
      <c r="F186" s="521"/>
      <c r="G186" s="521"/>
      <c r="H186" s="521"/>
      <c r="I186" s="521"/>
      <c r="J186" s="38">
        <v>73662.539999999994</v>
      </c>
    </row>
    <row r="187" spans="1:10" ht="48">
      <c r="A187" s="39" t="s">
        <v>349</v>
      </c>
      <c r="B187" s="40" t="s">
        <v>187</v>
      </c>
      <c r="C187" s="40" t="s">
        <v>29</v>
      </c>
      <c r="D187" s="39" t="s">
        <v>188</v>
      </c>
      <c r="E187" s="40" t="s">
        <v>31</v>
      </c>
      <c r="F187" s="41">
        <v>1</v>
      </c>
      <c r="G187" s="41">
        <v>830</v>
      </c>
      <c r="H187" s="41">
        <v>10.07</v>
      </c>
      <c r="I187" s="41">
        <v>913.58</v>
      </c>
      <c r="J187" s="41">
        <v>913.58</v>
      </c>
    </row>
    <row r="188" spans="1:10" ht="36">
      <c r="A188" s="39" t="s">
        <v>350</v>
      </c>
      <c r="B188" s="40" t="s">
        <v>190</v>
      </c>
      <c r="C188" s="40" t="s">
        <v>29</v>
      </c>
      <c r="D188" s="39" t="s">
        <v>191</v>
      </c>
      <c r="E188" s="40" t="s">
        <v>31</v>
      </c>
      <c r="F188" s="41">
        <v>1</v>
      </c>
      <c r="G188" s="41">
        <v>648.42999999999995</v>
      </c>
      <c r="H188" s="41">
        <v>10.07</v>
      </c>
      <c r="I188" s="41">
        <v>713.73</v>
      </c>
      <c r="J188" s="41">
        <v>713.73</v>
      </c>
    </row>
    <row r="189" spans="1:10" ht="36">
      <c r="A189" s="39" t="s">
        <v>351</v>
      </c>
      <c r="B189" s="40" t="s">
        <v>193</v>
      </c>
      <c r="C189" s="40" t="s">
        <v>29</v>
      </c>
      <c r="D189" s="39" t="s">
        <v>194</v>
      </c>
      <c r="E189" s="40" t="s">
        <v>195</v>
      </c>
      <c r="F189" s="41">
        <v>35.770000000000003</v>
      </c>
      <c r="G189" s="41">
        <v>522.5</v>
      </c>
      <c r="H189" s="41">
        <v>10.07</v>
      </c>
      <c r="I189" s="41">
        <v>575.12</v>
      </c>
      <c r="J189" s="41">
        <v>20572.04</v>
      </c>
    </row>
    <row r="190" spans="1:10" ht="24">
      <c r="A190" s="39" t="s">
        <v>352</v>
      </c>
      <c r="B190" s="40" t="s">
        <v>353</v>
      </c>
      <c r="C190" s="40" t="s">
        <v>161</v>
      </c>
      <c r="D190" s="39" t="s">
        <v>354</v>
      </c>
      <c r="E190" s="40" t="s">
        <v>355</v>
      </c>
      <c r="F190" s="41">
        <v>14.67</v>
      </c>
      <c r="G190" s="41">
        <v>227.86</v>
      </c>
      <c r="H190" s="41">
        <v>10.07</v>
      </c>
      <c r="I190" s="41">
        <v>250.81</v>
      </c>
      <c r="J190" s="41">
        <v>3679.38</v>
      </c>
    </row>
    <row r="191" spans="1:10" ht="24">
      <c r="A191" s="39" t="s">
        <v>356</v>
      </c>
      <c r="B191" s="40" t="s">
        <v>357</v>
      </c>
      <c r="C191" s="40" t="s">
        <v>161</v>
      </c>
      <c r="D191" s="39" t="s">
        <v>358</v>
      </c>
      <c r="E191" s="40" t="s">
        <v>355</v>
      </c>
      <c r="F191" s="41">
        <v>48.36</v>
      </c>
      <c r="G191" s="41">
        <v>501.47</v>
      </c>
      <c r="H191" s="41">
        <v>10.07</v>
      </c>
      <c r="I191" s="41">
        <v>551.97</v>
      </c>
      <c r="J191" s="41">
        <v>26693.27</v>
      </c>
    </row>
    <row r="192" spans="1:10" ht="24">
      <c r="A192" s="39" t="s">
        <v>359</v>
      </c>
      <c r="B192" s="40" t="s">
        <v>197</v>
      </c>
      <c r="C192" s="40" t="s">
        <v>18</v>
      </c>
      <c r="D192" s="39" t="s">
        <v>198</v>
      </c>
      <c r="E192" s="40" t="s">
        <v>44</v>
      </c>
      <c r="F192" s="41">
        <v>60.53</v>
      </c>
      <c r="G192" s="41">
        <v>56.1</v>
      </c>
      <c r="H192" s="41">
        <v>10.07</v>
      </c>
      <c r="I192" s="41">
        <v>61.75</v>
      </c>
      <c r="J192" s="41">
        <v>3737.73</v>
      </c>
    </row>
    <row r="193" spans="1:10">
      <c r="A193" s="39" t="s">
        <v>360</v>
      </c>
      <c r="B193" s="40" t="s">
        <v>200</v>
      </c>
      <c r="C193" s="40" t="s">
        <v>161</v>
      </c>
      <c r="D193" s="39" t="s">
        <v>201</v>
      </c>
      <c r="E193" s="40" t="s">
        <v>70</v>
      </c>
      <c r="F193" s="41">
        <v>66.73</v>
      </c>
      <c r="G193" s="41">
        <v>90.74</v>
      </c>
      <c r="H193" s="41">
        <v>10.07</v>
      </c>
      <c r="I193" s="41">
        <v>99.88</v>
      </c>
      <c r="J193" s="41">
        <v>6664.99</v>
      </c>
    </row>
    <row r="194" spans="1:10">
      <c r="A194" s="39" t="s">
        <v>361</v>
      </c>
      <c r="B194" s="40" t="s">
        <v>203</v>
      </c>
      <c r="C194" s="40" t="s">
        <v>161</v>
      </c>
      <c r="D194" s="39" t="s">
        <v>204</v>
      </c>
      <c r="E194" s="40" t="s">
        <v>70</v>
      </c>
      <c r="F194" s="41">
        <v>7.41</v>
      </c>
      <c r="G194" s="41">
        <v>74.53</v>
      </c>
      <c r="H194" s="41">
        <v>10.07</v>
      </c>
      <c r="I194" s="41">
        <v>82.04</v>
      </c>
      <c r="J194" s="41">
        <v>607.91999999999996</v>
      </c>
    </row>
    <row r="195" spans="1:10" ht="24">
      <c r="A195" s="39" t="s">
        <v>362</v>
      </c>
      <c r="B195" s="40" t="s">
        <v>206</v>
      </c>
      <c r="C195" s="40" t="s">
        <v>18</v>
      </c>
      <c r="D195" s="39" t="s">
        <v>207</v>
      </c>
      <c r="E195" s="40" t="s">
        <v>138</v>
      </c>
      <c r="F195" s="41">
        <v>336.08</v>
      </c>
      <c r="G195" s="41">
        <v>5.32</v>
      </c>
      <c r="H195" s="41">
        <v>10.07</v>
      </c>
      <c r="I195" s="41">
        <v>5.86</v>
      </c>
      <c r="J195" s="41">
        <v>1969.43</v>
      </c>
    </row>
    <row r="196" spans="1:10" ht="36">
      <c r="A196" s="39" t="s">
        <v>363</v>
      </c>
      <c r="B196" s="40" t="s">
        <v>209</v>
      </c>
      <c r="C196" s="40" t="s">
        <v>29</v>
      </c>
      <c r="D196" s="39" t="s">
        <v>210</v>
      </c>
      <c r="E196" s="40" t="s">
        <v>60</v>
      </c>
      <c r="F196" s="41">
        <v>17.440000000000001</v>
      </c>
      <c r="G196" s="41">
        <v>422.5</v>
      </c>
      <c r="H196" s="41">
        <v>10.07</v>
      </c>
      <c r="I196" s="41">
        <v>465.05</v>
      </c>
      <c r="J196" s="41">
        <v>8110.47</v>
      </c>
    </row>
    <row r="197" spans="1:10" ht="20.100000000000001" customHeight="1">
      <c r="A197" s="37" t="s">
        <v>364</v>
      </c>
      <c r="B197" s="521" t="s">
        <v>365</v>
      </c>
      <c r="C197" s="521"/>
      <c r="D197" s="521"/>
      <c r="E197" s="521"/>
      <c r="F197" s="521"/>
      <c r="G197" s="521"/>
      <c r="H197" s="521"/>
      <c r="I197" s="521"/>
      <c r="J197" s="38">
        <v>108371.72</v>
      </c>
    </row>
    <row r="198" spans="1:10" ht="20.100000000000001" customHeight="1">
      <c r="A198" s="37" t="s">
        <v>366</v>
      </c>
      <c r="B198" s="521" t="s">
        <v>15</v>
      </c>
      <c r="C198" s="521"/>
      <c r="D198" s="521"/>
      <c r="E198" s="521"/>
      <c r="F198" s="521"/>
      <c r="G198" s="521"/>
      <c r="H198" s="521"/>
      <c r="I198" s="521"/>
      <c r="J198" s="38">
        <v>6137.07</v>
      </c>
    </row>
    <row r="199" spans="1:10" ht="24">
      <c r="A199" s="39" t="s">
        <v>367</v>
      </c>
      <c r="B199" s="40" t="s">
        <v>17</v>
      </c>
      <c r="C199" s="40" t="s">
        <v>18</v>
      </c>
      <c r="D199" s="39" t="s">
        <v>19</v>
      </c>
      <c r="E199" s="40" t="s">
        <v>20</v>
      </c>
      <c r="F199" s="41">
        <v>8</v>
      </c>
      <c r="G199" s="41">
        <v>564.99</v>
      </c>
      <c r="H199" s="41">
        <v>17.57</v>
      </c>
      <c r="I199" s="41">
        <v>664.26</v>
      </c>
      <c r="J199" s="41">
        <v>5314.08</v>
      </c>
    </row>
    <row r="200" spans="1:10" ht="24">
      <c r="A200" s="39" t="s">
        <v>368</v>
      </c>
      <c r="B200" s="40" t="s">
        <v>22</v>
      </c>
      <c r="C200" s="40" t="s">
        <v>18</v>
      </c>
      <c r="D200" s="39" t="s">
        <v>23</v>
      </c>
      <c r="E200" s="40" t="s">
        <v>24</v>
      </c>
      <c r="F200" s="41">
        <v>1</v>
      </c>
      <c r="G200" s="41">
        <v>700</v>
      </c>
      <c r="H200" s="41">
        <v>17.57</v>
      </c>
      <c r="I200" s="41">
        <v>822.99</v>
      </c>
      <c r="J200" s="41">
        <v>822.99</v>
      </c>
    </row>
    <row r="201" spans="1:10" ht="20.100000000000001" customHeight="1">
      <c r="A201" s="37" t="s">
        <v>369</v>
      </c>
      <c r="B201" s="521" t="s">
        <v>26</v>
      </c>
      <c r="C201" s="521"/>
      <c r="D201" s="521"/>
      <c r="E201" s="521"/>
      <c r="F201" s="521"/>
      <c r="G201" s="521"/>
      <c r="H201" s="521"/>
      <c r="I201" s="521"/>
      <c r="J201" s="38">
        <v>4531.72</v>
      </c>
    </row>
    <row r="202" spans="1:10" ht="24">
      <c r="A202" s="39" t="s">
        <v>370</v>
      </c>
      <c r="B202" s="40" t="s">
        <v>28</v>
      </c>
      <c r="C202" s="40" t="s">
        <v>29</v>
      </c>
      <c r="D202" s="39" t="s">
        <v>30</v>
      </c>
      <c r="E202" s="40" t="s">
        <v>31</v>
      </c>
      <c r="F202" s="41">
        <v>0.13</v>
      </c>
      <c r="G202" s="41">
        <v>16819.14</v>
      </c>
      <c r="H202" s="41">
        <v>17.57</v>
      </c>
      <c r="I202" s="41">
        <v>19774.259999999998</v>
      </c>
      <c r="J202" s="41">
        <v>2570.65</v>
      </c>
    </row>
    <row r="203" spans="1:10" ht="24">
      <c r="A203" s="39" t="s">
        <v>371</v>
      </c>
      <c r="B203" s="40" t="s">
        <v>33</v>
      </c>
      <c r="C203" s="40" t="s">
        <v>29</v>
      </c>
      <c r="D203" s="39" t="s">
        <v>34</v>
      </c>
      <c r="E203" s="40" t="s">
        <v>31</v>
      </c>
      <c r="F203" s="41">
        <v>0.25</v>
      </c>
      <c r="G203" s="41">
        <v>6672</v>
      </c>
      <c r="H203" s="41">
        <v>17.57</v>
      </c>
      <c r="I203" s="41">
        <v>7844.27</v>
      </c>
      <c r="J203" s="41">
        <v>1961.07</v>
      </c>
    </row>
    <row r="204" spans="1:10" ht="20.100000000000001" customHeight="1">
      <c r="A204" s="37" t="s">
        <v>372</v>
      </c>
      <c r="B204" s="521" t="s">
        <v>36</v>
      </c>
      <c r="C204" s="521"/>
      <c r="D204" s="521"/>
      <c r="E204" s="521"/>
      <c r="F204" s="521"/>
      <c r="G204" s="521"/>
      <c r="H204" s="521"/>
      <c r="I204" s="521"/>
      <c r="J204" s="38">
        <v>701.87</v>
      </c>
    </row>
    <row r="205" spans="1:10">
      <c r="A205" s="39" t="s">
        <v>373</v>
      </c>
      <c r="B205" s="40" t="s">
        <v>38</v>
      </c>
      <c r="C205" s="40" t="s">
        <v>29</v>
      </c>
      <c r="D205" s="39" t="s">
        <v>39</v>
      </c>
      <c r="E205" s="40" t="s">
        <v>40</v>
      </c>
      <c r="F205" s="41">
        <v>53.88</v>
      </c>
      <c r="G205" s="41">
        <v>0.49</v>
      </c>
      <c r="H205" s="41">
        <v>17.57</v>
      </c>
      <c r="I205" s="41">
        <v>0.57999999999999996</v>
      </c>
      <c r="J205" s="41">
        <v>31.25</v>
      </c>
    </row>
    <row r="206" spans="1:10" ht="24">
      <c r="A206" s="39" t="s">
        <v>374</v>
      </c>
      <c r="B206" s="40" t="s">
        <v>46</v>
      </c>
      <c r="C206" s="40" t="s">
        <v>18</v>
      </c>
      <c r="D206" s="39" t="s">
        <v>47</v>
      </c>
      <c r="E206" s="40" t="s">
        <v>40</v>
      </c>
      <c r="F206" s="41">
        <v>4.66</v>
      </c>
      <c r="G206" s="41">
        <v>11.13</v>
      </c>
      <c r="H206" s="41">
        <v>17.57</v>
      </c>
      <c r="I206" s="41">
        <v>13.09</v>
      </c>
      <c r="J206" s="41">
        <v>61</v>
      </c>
    </row>
    <row r="207" spans="1:10" ht="24">
      <c r="A207" s="39" t="s">
        <v>375</v>
      </c>
      <c r="B207" s="40" t="s">
        <v>42</v>
      </c>
      <c r="C207" s="40" t="s">
        <v>18</v>
      </c>
      <c r="D207" s="39" t="s">
        <v>43</v>
      </c>
      <c r="E207" s="40" t="s">
        <v>44</v>
      </c>
      <c r="F207" s="41">
        <v>2.12</v>
      </c>
      <c r="G207" s="41">
        <v>212.24</v>
      </c>
      <c r="H207" s="41">
        <v>17.57</v>
      </c>
      <c r="I207" s="41">
        <v>249.53</v>
      </c>
      <c r="J207" s="41">
        <v>529</v>
      </c>
    </row>
    <row r="208" spans="1:10" ht="48">
      <c r="A208" s="39" t="s">
        <v>376</v>
      </c>
      <c r="B208" s="40" t="s">
        <v>49</v>
      </c>
      <c r="C208" s="40" t="s">
        <v>18</v>
      </c>
      <c r="D208" s="39" t="s">
        <v>50</v>
      </c>
      <c r="E208" s="40" t="s">
        <v>44</v>
      </c>
      <c r="F208" s="41">
        <v>2.91</v>
      </c>
      <c r="G208" s="41">
        <v>2.9</v>
      </c>
      <c r="H208" s="41">
        <v>17.57</v>
      </c>
      <c r="I208" s="41">
        <v>3.41</v>
      </c>
      <c r="J208" s="41">
        <v>9.92</v>
      </c>
    </row>
    <row r="209" spans="1:10" ht="36">
      <c r="A209" s="39" t="s">
        <v>377</v>
      </c>
      <c r="B209" s="40" t="s">
        <v>52</v>
      </c>
      <c r="C209" s="40" t="s">
        <v>29</v>
      </c>
      <c r="D209" s="39" t="s">
        <v>53</v>
      </c>
      <c r="E209" s="40" t="s">
        <v>54</v>
      </c>
      <c r="F209" s="41">
        <v>26.48</v>
      </c>
      <c r="G209" s="41">
        <v>2.27</v>
      </c>
      <c r="H209" s="41">
        <v>17.57</v>
      </c>
      <c r="I209" s="41">
        <v>2.67</v>
      </c>
      <c r="J209" s="41">
        <v>70.7</v>
      </c>
    </row>
    <row r="210" spans="1:10" ht="20.100000000000001" customHeight="1">
      <c r="A210" s="37" t="s">
        <v>378</v>
      </c>
      <c r="B210" s="521" t="s">
        <v>56</v>
      </c>
      <c r="C210" s="521"/>
      <c r="D210" s="521"/>
      <c r="E210" s="521"/>
      <c r="F210" s="521"/>
      <c r="G210" s="521"/>
      <c r="H210" s="521"/>
      <c r="I210" s="521"/>
      <c r="J210" s="38">
        <v>5165.37</v>
      </c>
    </row>
    <row r="211" spans="1:10" ht="24">
      <c r="A211" s="39" t="s">
        <v>379</v>
      </c>
      <c r="B211" s="40" t="s">
        <v>58</v>
      </c>
      <c r="C211" s="40" t="s">
        <v>18</v>
      </c>
      <c r="D211" s="39" t="s">
        <v>59</v>
      </c>
      <c r="E211" s="40" t="s">
        <v>60</v>
      </c>
      <c r="F211" s="41">
        <v>137.07</v>
      </c>
      <c r="G211" s="41">
        <v>2.59</v>
      </c>
      <c r="H211" s="41">
        <v>17.57</v>
      </c>
      <c r="I211" s="41">
        <v>3.05</v>
      </c>
      <c r="J211" s="41">
        <v>418.06</v>
      </c>
    </row>
    <row r="212" spans="1:10" ht="48">
      <c r="A212" s="39" t="s">
        <v>380</v>
      </c>
      <c r="B212" s="40" t="s">
        <v>49</v>
      </c>
      <c r="C212" s="40" t="s">
        <v>18</v>
      </c>
      <c r="D212" s="39" t="s">
        <v>50</v>
      </c>
      <c r="E212" s="40" t="s">
        <v>44</v>
      </c>
      <c r="F212" s="41">
        <v>171.34</v>
      </c>
      <c r="G212" s="41">
        <v>2.9</v>
      </c>
      <c r="H212" s="41">
        <v>17.57</v>
      </c>
      <c r="I212" s="41">
        <v>3.41</v>
      </c>
      <c r="J212" s="41">
        <v>584.27</v>
      </c>
    </row>
    <row r="213" spans="1:10" ht="36">
      <c r="A213" s="39" t="s">
        <v>381</v>
      </c>
      <c r="B213" s="40" t="s">
        <v>52</v>
      </c>
      <c r="C213" s="40" t="s">
        <v>29</v>
      </c>
      <c r="D213" s="39" t="s">
        <v>53</v>
      </c>
      <c r="E213" s="40" t="s">
        <v>54</v>
      </c>
      <c r="F213" s="41">
        <v>1559.19</v>
      </c>
      <c r="G213" s="41">
        <v>2.27</v>
      </c>
      <c r="H213" s="41">
        <v>17.57</v>
      </c>
      <c r="I213" s="41">
        <v>2.67</v>
      </c>
      <c r="J213" s="41">
        <v>4163.04</v>
      </c>
    </row>
    <row r="214" spans="1:10" ht="20.100000000000001" customHeight="1">
      <c r="A214" s="37" t="s">
        <v>382</v>
      </c>
      <c r="B214" s="521" t="s">
        <v>11</v>
      </c>
      <c r="C214" s="521"/>
      <c r="D214" s="521"/>
      <c r="E214" s="521"/>
      <c r="F214" s="521"/>
      <c r="G214" s="521"/>
      <c r="H214" s="521"/>
      <c r="I214" s="521"/>
      <c r="J214" s="38">
        <v>22458.51</v>
      </c>
    </row>
    <row r="215" spans="1:10" ht="24">
      <c r="A215" s="39" t="s">
        <v>383</v>
      </c>
      <c r="B215" s="40" t="s">
        <v>65</v>
      </c>
      <c r="C215" s="40" t="s">
        <v>29</v>
      </c>
      <c r="D215" s="39" t="s">
        <v>66</v>
      </c>
      <c r="E215" s="40" t="s">
        <v>20</v>
      </c>
      <c r="F215" s="41">
        <v>323.27999999999997</v>
      </c>
      <c r="G215" s="41">
        <v>2.79</v>
      </c>
      <c r="H215" s="41">
        <v>17.57</v>
      </c>
      <c r="I215" s="41">
        <v>3.28</v>
      </c>
      <c r="J215" s="41">
        <v>1060.3599999999999</v>
      </c>
    </row>
    <row r="216" spans="1:10" ht="24">
      <c r="A216" s="39" t="s">
        <v>384</v>
      </c>
      <c r="B216" s="40" t="s">
        <v>385</v>
      </c>
      <c r="C216" s="40" t="s">
        <v>18</v>
      </c>
      <c r="D216" s="39" t="s">
        <v>386</v>
      </c>
      <c r="E216" s="40" t="s">
        <v>44</v>
      </c>
      <c r="F216" s="41">
        <v>40.409999999999997</v>
      </c>
      <c r="G216" s="41">
        <v>104.33</v>
      </c>
      <c r="H216" s="41">
        <v>17.57</v>
      </c>
      <c r="I216" s="41">
        <v>122.66</v>
      </c>
      <c r="J216" s="41">
        <v>4956.6899999999996</v>
      </c>
    </row>
    <row r="217" spans="1:10" ht="24">
      <c r="A217" s="39" t="s">
        <v>387</v>
      </c>
      <c r="B217" s="40" t="s">
        <v>68</v>
      </c>
      <c r="C217" s="40" t="s">
        <v>18</v>
      </c>
      <c r="D217" s="39" t="s">
        <v>69</v>
      </c>
      <c r="E217" s="40" t="s">
        <v>70</v>
      </c>
      <c r="F217" s="41">
        <v>40.409999999999997</v>
      </c>
      <c r="G217" s="41">
        <v>11.4</v>
      </c>
      <c r="H217" s="41">
        <v>17.57</v>
      </c>
      <c r="I217" s="41">
        <v>13.4</v>
      </c>
      <c r="J217" s="41">
        <v>541.49</v>
      </c>
    </row>
    <row r="218" spans="1:10" ht="36">
      <c r="A218" s="39" t="s">
        <v>388</v>
      </c>
      <c r="B218" s="40" t="s">
        <v>72</v>
      </c>
      <c r="C218" s="40" t="s">
        <v>18</v>
      </c>
      <c r="D218" s="39" t="s">
        <v>73</v>
      </c>
      <c r="E218" s="40" t="s">
        <v>60</v>
      </c>
      <c r="F218" s="41">
        <v>43.1</v>
      </c>
      <c r="G218" s="41">
        <v>14.44</v>
      </c>
      <c r="H218" s="41">
        <v>17.57</v>
      </c>
      <c r="I218" s="41">
        <v>16.98</v>
      </c>
      <c r="J218" s="41">
        <v>731.84</v>
      </c>
    </row>
    <row r="219" spans="1:10" ht="48">
      <c r="A219" s="39" t="s">
        <v>389</v>
      </c>
      <c r="B219" s="40" t="s">
        <v>49</v>
      </c>
      <c r="C219" s="40" t="s">
        <v>18</v>
      </c>
      <c r="D219" s="39" t="s">
        <v>50</v>
      </c>
      <c r="E219" s="40" t="s">
        <v>44</v>
      </c>
      <c r="F219" s="41">
        <v>104.39</v>
      </c>
      <c r="G219" s="41">
        <v>2.9</v>
      </c>
      <c r="H219" s="41">
        <v>17.57</v>
      </c>
      <c r="I219" s="41">
        <v>3.41</v>
      </c>
      <c r="J219" s="41">
        <v>355.97</v>
      </c>
    </row>
    <row r="220" spans="1:10" ht="24">
      <c r="A220" s="39" t="s">
        <v>390</v>
      </c>
      <c r="B220" s="40" t="s">
        <v>76</v>
      </c>
      <c r="C220" s="40" t="s">
        <v>18</v>
      </c>
      <c r="D220" s="39" t="s">
        <v>77</v>
      </c>
      <c r="E220" s="40" t="s">
        <v>78</v>
      </c>
      <c r="F220" s="41">
        <v>1503.22</v>
      </c>
      <c r="G220" s="41">
        <v>1.37</v>
      </c>
      <c r="H220" s="41">
        <v>17.57</v>
      </c>
      <c r="I220" s="41">
        <v>1.61</v>
      </c>
      <c r="J220" s="41">
        <v>2420.1799999999998</v>
      </c>
    </row>
    <row r="221" spans="1:10" ht="24">
      <c r="A221" s="39" t="s">
        <v>391</v>
      </c>
      <c r="B221" s="40" t="s">
        <v>80</v>
      </c>
      <c r="C221" s="40" t="s">
        <v>18</v>
      </c>
      <c r="D221" s="39" t="s">
        <v>81</v>
      </c>
      <c r="E221" s="40" t="s">
        <v>20</v>
      </c>
      <c r="F221" s="41">
        <v>184.36</v>
      </c>
      <c r="G221" s="41">
        <v>1.24</v>
      </c>
      <c r="H221" s="41">
        <v>17.57</v>
      </c>
      <c r="I221" s="41">
        <v>1.46</v>
      </c>
      <c r="J221" s="41">
        <v>269.17</v>
      </c>
    </row>
    <row r="222" spans="1:10" ht="36">
      <c r="A222" s="39" t="s">
        <v>392</v>
      </c>
      <c r="B222" s="40" t="s">
        <v>83</v>
      </c>
      <c r="C222" s="40" t="s">
        <v>18</v>
      </c>
      <c r="D222" s="39" t="s">
        <v>84</v>
      </c>
      <c r="E222" s="40" t="s">
        <v>60</v>
      </c>
      <c r="F222" s="41">
        <v>9.2200000000000006</v>
      </c>
      <c r="G222" s="41">
        <v>133.37</v>
      </c>
      <c r="H222" s="41">
        <v>17.57</v>
      </c>
      <c r="I222" s="41">
        <v>156.80000000000001</v>
      </c>
      <c r="J222" s="41">
        <v>1445.7</v>
      </c>
    </row>
    <row r="223" spans="1:10" ht="36">
      <c r="A223" s="39" t="s">
        <v>393</v>
      </c>
      <c r="B223" s="40" t="s">
        <v>86</v>
      </c>
      <c r="C223" s="40" t="s">
        <v>18</v>
      </c>
      <c r="D223" s="39" t="s">
        <v>87</v>
      </c>
      <c r="E223" s="40" t="s">
        <v>44</v>
      </c>
      <c r="F223" s="41">
        <v>9.2200000000000006</v>
      </c>
      <c r="G223" s="41">
        <v>7.86</v>
      </c>
      <c r="H223" s="41">
        <v>17.57</v>
      </c>
      <c r="I223" s="41">
        <v>9.24</v>
      </c>
      <c r="J223" s="41">
        <v>85.19</v>
      </c>
    </row>
    <row r="224" spans="1:10" ht="24">
      <c r="A224" s="39" t="s">
        <v>394</v>
      </c>
      <c r="B224" s="40" t="s">
        <v>89</v>
      </c>
      <c r="C224" s="40" t="s">
        <v>18</v>
      </c>
      <c r="D224" s="39" t="s">
        <v>90</v>
      </c>
      <c r="E224" s="40" t="s">
        <v>54</v>
      </c>
      <c r="F224" s="41">
        <v>203.76</v>
      </c>
      <c r="G224" s="41">
        <v>1.77</v>
      </c>
      <c r="H224" s="41">
        <v>17.57</v>
      </c>
      <c r="I224" s="41">
        <v>2.08</v>
      </c>
      <c r="J224" s="41">
        <v>423.82</v>
      </c>
    </row>
    <row r="225" spans="1:10" ht="24">
      <c r="A225" s="39" t="s">
        <v>395</v>
      </c>
      <c r="B225" s="40" t="s">
        <v>92</v>
      </c>
      <c r="C225" s="40" t="s">
        <v>18</v>
      </c>
      <c r="D225" s="39" t="s">
        <v>93</v>
      </c>
      <c r="E225" s="40" t="s">
        <v>20</v>
      </c>
      <c r="F225" s="41">
        <v>179.25</v>
      </c>
      <c r="G225" s="41">
        <v>0.65</v>
      </c>
      <c r="H225" s="41">
        <v>17.57</v>
      </c>
      <c r="I225" s="41">
        <v>0.76</v>
      </c>
      <c r="J225" s="41">
        <v>136.22999999999999</v>
      </c>
    </row>
    <row r="226" spans="1:10" ht="48">
      <c r="A226" s="39" t="s">
        <v>396</v>
      </c>
      <c r="B226" s="40" t="s">
        <v>95</v>
      </c>
      <c r="C226" s="40" t="s">
        <v>18</v>
      </c>
      <c r="D226" s="39" t="s">
        <v>96</v>
      </c>
      <c r="E226" s="40" t="s">
        <v>60</v>
      </c>
      <c r="F226" s="41">
        <v>11.9</v>
      </c>
      <c r="G226" s="41">
        <v>112.75</v>
      </c>
      <c r="H226" s="41">
        <v>17.57</v>
      </c>
      <c r="I226" s="41">
        <v>132.56</v>
      </c>
      <c r="J226" s="41">
        <v>1577.46</v>
      </c>
    </row>
    <row r="227" spans="1:10" ht="60">
      <c r="A227" s="39" t="s">
        <v>397</v>
      </c>
      <c r="B227" s="40" t="s">
        <v>98</v>
      </c>
      <c r="C227" s="40" t="s">
        <v>29</v>
      </c>
      <c r="D227" s="39" t="s">
        <v>99</v>
      </c>
      <c r="E227" s="40" t="s">
        <v>40</v>
      </c>
      <c r="F227" s="41">
        <v>121.48</v>
      </c>
      <c r="G227" s="41">
        <v>56.47</v>
      </c>
      <c r="H227" s="41">
        <v>17.57</v>
      </c>
      <c r="I227" s="41">
        <v>66.39</v>
      </c>
      <c r="J227" s="41">
        <v>8065.06</v>
      </c>
    </row>
    <row r="228" spans="1:10" ht="60">
      <c r="A228" s="39" t="s">
        <v>398</v>
      </c>
      <c r="B228" s="40" t="s">
        <v>101</v>
      </c>
      <c r="C228" s="40" t="s">
        <v>29</v>
      </c>
      <c r="D228" s="39" t="s">
        <v>102</v>
      </c>
      <c r="E228" s="40" t="s">
        <v>40</v>
      </c>
      <c r="F228" s="41">
        <v>5.48</v>
      </c>
      <c r="G228" s="41">
        <v>60.43</v>
      </c>
      <c r="H228" s="41">
        <v>17.57</v>
      </c>
      <c r="I228" s="41">
        <v>71.05</v>
      </c>
      <c r="J228" s="41">
        <v>389.35</v>
      </c>
    </row>
    <row r="229" spans="1:10" ht="20.100000000000001" customHeight="1">
      <c r="A229" s="37" t="s">
        <v>399</v>
      </c>
      <c r="B229" s="521" t="s">
        <v>120</v>
      </c>
      <c r="C229" s="521"/>
      <c r="D229" s="521"/>
      <c r="E229" s="521"/>
      <c r="F229" s="521"/>
      <c r="G229" s="521"/>
      <c r="H229" s="521"/>
      <c r="I229" s="521"/>
      <c r="J229" s="38">
        <v>30220.080000000002</v>
      </c>
    </row>
    <row r="230" spans="1:10" ht="36">
      <c r="A230" s="39" t="s">
        <v>400</v>
      </c>
      <c r="B230" s="40" t="s">
        <v>130</v>
      </c>
      <c r="C230" s="40" t="s">
        <v>29</v>
      </c>
      <c r="D230" s="39" t="s">
        <v>131</v>
      </c>
      <c r="E230" s="40" t="s">
        <v>60</v>
      </c>
      <c r="F230" s="41">
        <v>6.86</v>
      </c>
      <c r="G230" s="41">
        <v>472.74</v>
      </c>
      <c r="H230" s="41">
        <v>17.57</v>
      </c>
      <c r="I230" s="41">
        <v>555.79999999999995</v>
      </c>
      <c r="J230" s="41">
        <v>3812.79</v>
      </c>
    </row>
    <row r="231" spans="1:10" ht="24">
      <c r="A231" s="39" t="s">
        <v>401</v>
      </c>
      <c r="B231" s="40" t="s">
        <v>133</v>
      </c>
      <c r="C231" s="40" t="s">
        <v>29</v>
      </c>
      <c r="D231" s="39" t="s">
        <v>134</v>
      </c>
      <c r="E231" s="40" t="s">
        <v>60</v>
      </c>
      <c r="F231" s="41">
        <v>5.38</v>
      </c>
      <c r="G231" s="41">
        <v>436.13</v>
      </c>
      <c r="H231" s="41">
        <v>17.57</v>
      </c>
      <c r="I231" s="41">
        <v>512.76</v>
      </c>
      <c r="J231" s="41">
        <v>2758.65</v>
      </c>
    </row>
    <row r="232" spans="1:10" ht="36">
      <c r="A232" s="39" t="s">
        <v>402</v>
      </c>
      <c r="B232" s="40" t="s">
        <v>136</v>
      </c>
      <c r="C232" s="40" t="s">
        <v>29</v>
      </c>
      <c r="D232" s="39" t="s">
        <v>137</v>
      </c>
      <c r="E232" s="40" t="s">
        <v>138</v>
      </c>
      <c r="F232" s="41">
        <v>446.08</v>
      </c>
      <c r="G232" s="41">
        <v>15.14</v>
      </c>
      <c r="H232" s="41">
        <v>17.57</v>
      </c>
      <c r="I232" s="41">
        <v>17.8</v>
      </c>
      <c r="J232" s="41">
        <v>7940.22</v>
      </c>
    </row>
    <row r="233" spans="1:10" ht="24">
      <c r="A233" s="39" t="s">
        <v>403</v>
      </c>
      <c r="B233" s="40" t="s">
        <v>404</v>
      </c>
      <c r="C233" s="40" t="s">
        <v>29</v>
      </c>
      <c r="D233" s="39" t="s">
        <v>405</v>
      </c>
      <c r="E233" s="40" t="s">
        <v>20</v>
      </c>
      <c r="F233" s="41">
        <v>32.29</v>
      </c>
      <c r="G233" s="41">
        <v>100.2</v>
      </c>
      <c r="H233" s="41">
        <v>17.57</v>
      </c>
      <c r="I233" s="41">
        <v>117.81</v>
      </c>
      <c r="J233" s="41">
        <v>3804.08</v>
      </c>
    </row>
    <row r="234" spans="1:10" ht="36">
      <c r="A234" s="39" t="s">
        <v>406</v>
      </c>
      <c r="B234" s="40" t="s">
        <v>143</v>
      </c>
      <c r="C234" s="40" t="s">
        <v>29</v>
      </c>
      <c r="D234" s="39" t="s">
        <v>144</v>
      </c>
      <c r="E234" s="40" t="s">
        <v>20</v>
      </c>
      <c r="F234" s="41">
        <v>43.05</v>
      </c>
      <c r="G234" s="41">
        <v>105.62</v>
      </c>
      <c r="H234" s="41">
        <v>17.57</v>
      </c>
      <c r="I234" s="41">
        <v>124.18</v>
      </c>
      <c r="J234" s="41">
        <v>5345.95</v>
      </c>
    </row>
    <row r="235" spans="1:10" ht="36">
      <c r="A235" s="39" t="s">
        <v>407</v>
      </c>
      <c r="B235" s="40" t="s">
        <v>146</v>
      </c>
      <c r="C235" s="40" t="s">
        <v>29</v>
      </c>
      <c r="D235" s="39" t="s">
        <v>147</v>
      </c>
      <c r="E235" s="40" t="s">
        <v>20</v>
      </c>
      <c r="F235" s="41">
        <v>43.05</v>
      </c>
      <c r="G235" s="41">
        <v>4.0999999999999996</v>
      </c>
      <c r="H235" s="41">
        <v>17.57</v>
      </c>
      <c r="I235" s="41">
        <v>4.82</v>
      </c>
      <c r="J235" s="41">
        <v>207.5</v>
      </c>
    </row>
    <row r="236" spans="1:10" ht="48">
      <c r="A236" s="39" t="s">
        <v>408</v>
      </c>
      <c r="B236" s="40" t="s">
        <v>149</v>
      </c>
      <c r="C236" s="40" t="s">
        <v>29</v>
      </c>
      <c r="D236" s="39" t="s">
        <v>150</v>
      </c>
      <c r="E236" s="40" t="s">
        <v>20</v>
      </c>
      <c r="F236" s="41">
        <v>43.05</v>
      </c>
      <c r="G236" s="41">
        <v>24.83</v>
      </c>
      <c r="H236" s="41">
        <v>17.57</v>
      </c>
      <c r="I236" s="41">
        <v>29.19</v>
      </c>
      <c r="J236" s="41">
        <v>1256.6300000000001</v>
      </c>
    </row>
    <row r="237" spans="1:10" ht="24">
      <c r="A237" s="39" t="s">
        <v>409</v>
      </c>
      <c r="B237" s="40" t="s">
        <v>152</v>
      </c>
      <c r="C237" s="40" t="s">
        <v>29</v>
      </c>
      <c r="D237" s="39" t="s">
        <v>153</v>
      </c>
      <c r="E237" s="40" t="s">
        <v>60</v>
      </c>
      <c r="F237" s="41">
        <v>4.58</v>
      </c>
      <c r="G237" s="41">
        <v>469.42</v>
      </c>
      <c r="H237" s="41">
        <v>17.57</v>
      </c>
      <c r="I237" s="41">
        <v>551.9</v>
      </c>
      <c r="J237" s="41">
        <v>2527.6999999999998</v>
      </c>
    </row>
    <row r="238" spans="1:10" ht="24">
      <c r="A238" s="39" t="s">
        <v>410</v>
      </c>
      <c r="B238" s="40" t="s">
        <v>155</v>
      </c>
      <c r="C238" s="40" t="s">
        <v>18</v>
      </c>
      <c r="D238" s="39" t="s">
        <v>156</v>
      </c>
      <c r="E238" s="40" t="s">
        <v>60</v>
      </c>
      <c r="F238" s="41">
        <v>16.82</v>
      </c>
      <c r="G238" s="41">
        <v>129.79</v>
      </c>
      <c r="H238" s="41">
        <v>17.57</v>
      </c>
      <c r="I238" s="41">
        <v>152.59</v>
      </c>
      <c r="J238" s="41">
        <v>2566.56</v>
      </c>
    </row>
    <row r="239" spans="1:10" ht="20.100000000000001" customHeight="1">
      <c r="A239" s="37" t="s">
        <v>411</v>
      </c>
      <c r="B239" s="521" t="s">
        <v>158</v>
      </c>
      <c r="C239" s="521"/>
      <c r="D239" s="521"/>
      <c r="E239" s="521"/>
      <c r="F239" s="521"/>
      <c r="G239" s="521"/>
      <c r="H239" s="521"/>
      <c r="I239" s="521"/>
      <c r="J239" s="38">
        <v>3016.92</v>
      </c>
    </row>
    <row r="240" spans="1:10">
      <c r="A240" s="39" t="s">
        <v>412</v>
      </c>
      <c r="B240" s="40" t="s">
        <v>160</v>
      </c>
      <c r="C240" s="40" t="s">
        <v>161</v>
      </c>
      <c r="D240" s="39" t="s">
        <v>162</v>
      </c>
      <c r="E240" s="40" t="s">
        <v>163</v>
      </c>
      <c r="F240" s="41">
        <v>1.29</v>
      </c>
      <c r="G240" s="41">
        <v>347.25</v>
      </c>
      <c r="H240" s="41">
        <v>17.57</v>
      </c>
      <c r="I240" s="41">
        <v>408.26</v>
      </c>
      <c r="J240" s="41">
        <v>526.66</v>
      </c>
    </row>
    <row r="241" spans="1:10" ht="24">
      <c r="A241" s="39" t="s">
        <v>413</v>
      </c>
      <c r="B241" s="40" t="s">
        <v>165</v>
      </c>
      <c r="C241" s="40" t="s">
        <v>161</v>
      </c>
      <c r="D241" s="39" t="s">
        <v>166</v>
      </c>
      <c r="E241" s="40" t="s">
        <v>167</v>
      </c>
      <c r="F241" s="41">
        <v>4</v>
      </c>
      <c r="G241" s="41">
        <v>121.48</v>
      </c>
      <c r="H241" s="41">
        <v>17.57</v>
      </c>
      <c r="I241" s="41">
        <v>142.82</v>
      </c>
      <c r="J241" s="41">
        <v>571.28</v>
      </c>
    </row>
    <row r="242" spans="1:10" ht="24">
      <c r="A242" s="39" t="s">
        <v>414</v>
      </c>
      <c r="B242" s="40" t="s">
        <v>169</v>
      </c>
      <c r="C242" s="40" t="s">
        <v>18</v>
      </c>
      <c r="D242" s="39" t="s">
        <v>170</v>
      </c>
      <c r="E242" s="40" t="s">
        <v>171</v>
      </c>
      <c r="F242" s="41">
        <v>2</v>
      </c>
      <c r="G242" s="41">
        <v>156.33000000000001</v>
      </c>
      <c r="H242" s="41">
        <v>17.57</v>
      </c>
      <c r="I242" s="41">
        <v>183.8</v>
      </c>
      <c r="J242" s="41">
        <v>367.6</v>
      </c>
    </row>
    <row r="243" spans="1:10" ht="48">
      <c r="A243" s="39" t="s">
        <v>415</v>
      </c>
      <c r="B243" s="40" t="s">
        <v>173</v>
      </c>
      <c r="C243" s="40" t="s">
        <v>29</v>
      </c>
      <c r="D243" s="39" t="s">
        <v>174</v>
      </c>
      <c r="E243" s="40" t="s">
        <v>40</v>
      </c>
      <c r="F243" s="41">
        <v>147.44</v>
      </c>
      <c r="G243" s="41">
        <v>5.48</v>
      </c>
      <c r="H243" s="41">
        <v>17.57</v>
      </c>
      <c r="I243" s="41">
        <v>6.44</v>
      </c>
      <c r="J243" s="41">
        <v>949.51</v>
      </c>
    </row>
    <row r="244" spans="1:10" ht="48">
      <c r="A244" s="39" t="s">
        <v>416</v>
      </c>
      <c r="B244" s="40" t="s">
        <v>176</v>
      </c>
      <c r="C244" s="40" t="s">
        <v>29</v>
      </c>
      <c r="D244" s="39" t="s">
        <v>177</v>
      </c>
      <c r="E244" s="40" t="s">
        <v>20</v>
      </c>
      <c r="F244" s="41">
        <v>21.2</v>
      </c>
      <c r="G244" s="41">
        <v>24.15</v>
      </c>
      <c r="H244" s="41">
        <v>17.57</v>
      </c>
      <c r="I244" s="41">
        <v>28.39</v>
      </c>
      <c r="J244" s="41">
        <v>601.87</v>
      </c>
    </row>
    <row r="245" spans="1:10" ht="20.100000000000001" customHeight="1">
      <c r="A245" s="37" t="s">
        <v>417</v>
      </c>
      <c r="B245" s="521" t="s">
        <v>179</v>
      </c>
      <c r="C245" s="521"/>
      <c r="D245" s="521"/>
      <c r="E245" s="521"/>
      <c r="F245" s="521"/>
      <c r="G245" s="521"/>
      <c r="H245" s="521"/>
      <c r="I245" s="521"/>
      <c r="J245" s="38">
        <v>1221.74</v>
      </c>
    </row>
    <row r="246" spans="1:10" ht="36">
      <c r="A246" s="39" t="s">
        <v>418</v>
      </c>
      <c r="B246" s="40" t="s">
        <v>181</v>
      </c>
      <c r="C246" s="40" t="s">
        <v>18</v>
      </c>
      <c r="D246" s="39" t="s">
        <v>182</v>
      </c>
      <c r="E246" s="40" t="s">
        <v>183</v>
      </c>
      <c r="F246" s="41">
        <v>9.25</v>
      </c>
      <c r="G246" s="41">
        <v>112.34</v>
      </c>
      <c r="H246" s="41">
        <v>17.57</v>
      </c>
      <c r="I246" s="41">
        <v>132.08000000000001</v>
      </c>
      <c r="J246" s="41">
        <v>1221.74</v>
      </c>
    </row>
    <row r="247" spans="1:10" ht="20.100000000000001" customHeight="1">
      <c r="A247" s="37" t="s">
        <v>419</v>
      </c>
      <c r="B247" s="521" t="s">
        <v>185</v>
      </c>
      <c r="C247" s="521"/>
      <c r="D247" s="521"/>
      <c r="E247" s="521"/>
      <c r="F247" s="521"/>
      <c r="G247" s="521"/>
      <c r="H247" s="521"/>
      <c r="I247" s="521"/>
      <c r="J247" s="38">
        <v>34918.44</v>
      </c>
    </row>
    <row r="248" spans="1:10" ht="48">
      <c r="A248" s="39" t="s">
        <v>420</v>
      </c>
      <c r="B248" s="40" t="s">
        <v>187</v>
      </c>
      <c r="C248" s="40" t="s">
        <v>29</v>
      </c>
      <c r="D248" s="39" t="s">
        <v>188</v>
      </c>
      <c r="E248" s="40" t="s">
        <v>31</v>
      </c>
      <c r="F248" s="41">
        <v>1</v>
      </c>
      <c r="G248" s="41">
        <v>830</v>
      </c>
      <c r="H248" s="41">
        <v>10.07</v>
      </c>
      <c r="I248" s="41">
        <v>913.58</v>
      </c>
      <c r="J248" s="41">
        <v>913.58</v>
      </c>
    </row>
    <row r="249" spans="1:10" ht="36">
      <c r="A249" s="39" t="s">
        <v>421</v>
      </c>
      <c r="B249" s="40" t="s">
        <v>190</v>
      </c>
      <c r="C249" s="40" t="s">
        <v>29</v>
      </c>
      <c r="D249" s="39" t="s">
        <v>191</v>
      </c>
      <c r="E249" s="40" t="s">
        <v>31</v>
      </c>
      <c r="F249" s="41">
        <v>1</v>
      </c>
      <c r="G249" s="41">
        <v>648.42999999999995</v>
      </c>
      <c r="H249" s="41">
        <v>10.07</v>
      </c>
      <c r="I249" s="41">
        <v>713.73</v>
      </c>
      <c r="J249" s="41">
        <v>713.73</v>
      </c>
    </row>
    <row r="250" spans="1:10" ht="36">
      <c r="A250" s="39" t="s">
        <v>422</v>
      </c>
      <c r="B250" s="40" t="s">
        <v>193</v>
      </c>
      <c r="C250" s="40" t="s">
        <v>29</v>
      </c>
      <c r="D250" s="39" t="s">
        <v>194</v>
      </c>
      <c r="E250" s="40" t="s">
        <v>195</v>
      </c>
      <c r="F250" s="41">
        <v>23.56</v>
      </c>
      <c r="G250" s="41">
        <v>522.5</v>
      </c>
      <c r="H250" s="41">
        <v>10.07</v>
      </c>
      <c r="I250" s="41">
        <v>575.12</v>
      </c>
      <c r="J250" s="41">
        <v>13549.83</v>
      </c>
    </row>
    <row r="251" spans="1:10" ht="24">
      <c r="A251" s="39" t="s">
        <v>423</v>
      </c>
      <c r="B251" s="40" t="s">
        <v>197</v>
      </c>
      <c r="C251" s="40" t="s">
        <v>18</v>
      </c>
      <c r="D251" s="39" t="s">
        <v>198</v>
      </c>
      <c r="E251" s="40" t="s">
        <v>44</v>
      </c>
      <c r="F251" s="41">
        <v>43.1</v>
      </c>
      <c r="G251" s="41">
        <v>56.1</v>
      </c>
      <c r="H251" s="41">
        <v>10.07</v>
      </c>
      <c r="I251" s="41">
        <v>61.75</v>
      </c>
      <c r="J251" s="41">
        <v>2661.43</v>
      </c>
    </row>
    <row r="252" spans="1:10">
      <c r="A252" s="39" t="s">
        <v>424</v>
      </c>
      <c r="B252" s="40" t="s">
        <v>200</v>
      </c>
      <c r="C252" s="40" t="s">
        <v>161</v>
      </c>
      <c r="D252" s="39" t="s">
        <v>201</v>
      </c>
      <c r="E252" s="40" t="s">
        <v>70</v>
      </c>
      <c r="F252" s="41">
        <v>50.92</v>
      </c>
      <c r="G252" s="41">
        <v>90.74</v>
      </c>
      <c r="H252" s="41">
        <v>10.07</v>
      </c>
      <c r="I252" s="41">
        <v>99.88</v>
      </c>
      <c r="J252" s="41">
        <v>5085.8900000000003</v>
      </c>
    </row>
    <row r="253" spans="1:10">
      <c r="A253" s="39" t="s">
        <v>425</v>
      </c>
      <c r="B253" s="40" t="s">
        <v>203</v>
      </c>
      <c r="C253" s="40" t="s">
        <v>161</v>
      </c>
      <c r="D253" s="39" t="s">
        <v>204</v>
      </c>
      <c r="E253" s="40" t="s">
        <v>70</v>
      </c>
      <c r="F253" s="41">
        <v>5.66</v>
      </c>
      <c r="G253" s="41">
        <v>74.53</v>
      </c>
      <c r="H253" s="41">
        <v>10.07</v>
      </c>
      <c r="I253" s="41">
        <v>82.04</v>
      </c>
      <c r="J253" s="41">
        <v>464.35</v>
      </c>
    </row>
    <row r="254" spans="1:10" ht="24">
      <c r="A254" s="39" t="s">
        <v>426</v>
      </c>
      <c r="B254" s="40" t="s">
        <v>206</v>
      </c>
      <c r="C254" s="40" t="s">
        <v>18</v>
      </c>
      <c r="D254" s="39" t="s">
        <v>207</v>
      </c>
      <c r="E254" s="40" t="s">
        <v>138</v>
      </c>
      <c r="F254" s="41">
        <v>221.23</v>
      </c>
      <c r="G254" s="41">
        <v>5.32</v>
      </c>
      <c r="H254" s="41">
        <v>10.07</v>
      </c>
      <c r="I254" s="41">
        <v>5.86</v>
      </c>
      <c r="J254" s="41">
        <v>1296.4100000000001</v>
      </c>
    </row>
    <row r="255" spans="1:10" ht="36">
      <c r="A255" s="39" t="s">
        <v>427</v>
      </c>
      <c r="B255" s="40" t="s">
        <v>209</v>
      </c>
      <c r="C255" s="40" t="s">
        <v>29</v>
      </c>
      <c r="D255" s="39" t="s">
        <v>210</v>
      </c>
      <c r="E255" s="40" t="s">
        <v>60</v>
      </c>
      <c r="F255" s="41">
        <v>14.43</v>
      </c>
      <c r="G255" s="41">
        <v>422.5</v>
      </c>
      <c r="H255" s="41">
        <v>10.07</v>
      </c>
      <c r="I255" s="41">
        <v>465.05</v>
      </c>
      <c r="J255" s="41">
        <v>6710.67</v>
      </c>
    </row>
    <row r="256" spans="1:10" ht="36">
      <c r="A256" s="39" t="s">
        <v>428</v>
      </c>
      <c r="B256" s="40" t="s">
        <v>212</v>
      </c>
      <c r="C256" s="40" t="s">
        <v>29</v>
      </c>
      <c r="D256" s="39" t="s">
        <v>213</v>
      </c>
      <c r="E256" s="40" t="s">
        <v>20</v>
      </c>
      <c r="F256" s="41">
        <v>33.9</v>
      </c>
      <c r="G256" s="41">
        <v>94.4</v>
      </c>
      <c r="H256" s="41">
        <v>10.07</v>
      </c>
      <c r="I256" s="41">
        <v>103.91</v>
      </c>
      <c r="J256" s="41">
        <v>3522.55</v>
      </c>
    </row>
    <row r="257" spans="1:10" ht="20.100000000000001" customHeight="1">
      <c r="A257" s="37" t="s">
        <v>429</v>
      </c>
      <c r="B257" s="521" t="s">
        <v>430</v>
      </c>
      <c r="C257" s="521"/>
      <c r="D257" s="521"/>
      <c r="E257" s="521"/>
      <c r="F257" s="521"/>
      <c r="G257" s="521"/>
      <c r="H257" s="521"/>
      <c r="I257" s="521"/>
      <c r="J257" s="38">
        <v>548707.43000000005</v>
      </c>
    </row>
    <row r="258" spans="1:10" ht="20.100000000000001" customHeight="1">
      <c r="A258" s="37" t="s">
        <v>431</v>
      </c>
      <c r="B258" s="521" t="s">
        <v>15</v>
      </c>
      <c r="C258" s="521"/>
      <c r="D258" s="521"/>
      <c r="E258" s="521"/>
      <c r="F258" s="521"/>
      <c r="G258" s="521"/>
      <c r="H258" s="521"/>
      <c r="I258" s="521"/>
      <c r="J258" s="38">
        <v>7783.05</v>
      </c>
    </row>
    <row r="259" spans="1:10" ht="24">
      <c r="A259" s="39" t="s">
        <v>432</v>
      </c>
      <c r="B259" s="40" t="s">
        <v>17</v>
      </c>
      <c r="C259" s="40" t="s">
        <v>18</v>
      </c>
      <c r="D259" s="39" t="s">
        <v>19</v>
      </c>
      <c r="E259" s="40" t="s">
        <v>20</v>
      </c>
      <c r="F259" s="41">
        <v>8</v>
      </c>
      <c r="G259" s="41">
        <v>564.99</v>
      </c>
      <c r="H259" s="41">
        <v>17.57</v>
      </c>
      <c r="I259" s="41">
        <v>664.26</v>
      </c>
      <c r="J259" s="41">
        <v>5314.08</v>
      </c>
    </row>
    <row r="260" spans="1:10" ht="24">
      <c r="A260" s="39" t="s">
        <v>433</v>
      </c>
      <c r="B260" s="40" t="s">
        <v>22</v>
      </c>
      <c r="C260" s="40" t="s">
        <v>18</v>
      </c>
      <c r="D260" s="39" t="s">
        <v>23</v>
      </c>
      <c r="E260" s="40" t="s">
        <v>24</v>
      </c>
      <c r="F260" s="41">
        <v>3</v>
      </c>
      <c r="G260" s="41">
        <v>700</v>
      </c>
      <c r="H260" s="41">
        <v>17.57</v>
      </c>
      <c r="I260" s="41">
        <v>822.99</v>
      </c>
      <c r="J260" s="41">
        <v>2468.9699999999998</v>
      </c>
    </row>
    <row r="261" spans="1:10" ht="20.100000000000001" customHeight="1">
      <c r="A261" s="37" t="s">
        <v>434</v>
      </c>
      <c r="B261" s="521" t="s">
        <v>26</v>
      </c>
      <c r="C261" s="521"/>
      <c r="D261" s="521"/>
      <c r="E261" s="521"/>
      <c r="F261" s="521"/>
      <c r="G261" s="521"/>
      <c r="H261" s="521"/>
      <c r="I261" s="521"/>
      <c r="J261" s="38">
        <v>19280.63</v>
      </c>
    </row>
    <row r="262" spans="1:10" ht="24">
      <c r="A262" s="39" t="s">
        <v>435</v>
      </c>
      <c r="B262" s="40" t="s">
        <v>28</v>
      </c>
      <c r="C262" s="40" t="s">
        <v>29</v>
      </c>
      <c r="D262" s="39" t="s">
        <v>30</v>
      </c>
      <c r="E262" s="40" t="s">
        <v>31</v>
      </c>
      <c r="F262" s="41">
        <v>0.38</v>
      </c>
      <c r="G262" s="41">
        <v>16819.14</v>
      </c>
      <c r="H262" s="41">
        <v>17.57</v>
      </c>
      <c r="I262" s="41">
        <v>19774.259999999998</v>
      </c>
      <c r="J262" s="41">
        <v>7514.22</v>
      </c>
    </row>
    <row r="263" spans="1:10" ht="24">
      <c r="A263" s="39" t="s">
        <v>436</v>
      </c>
      <c r="B263" s="40" t="s">
        <v>33</v>
      </c>
      <c r="C263" s="40" t="s">
        <v>29</v>
      </c>
      <c r="D263" s="39" t="s">
        <v>34</v>
      </c>
      <c r="E263" s="40" t="s">
        <v>31</v>
      </c>
      <c r="F263" s="41">
        <v>1.5</v>
      </c>
      <c r="G263" s="41">
        <v>6672</v>
      </c>
      <c r="H263" s="41">
        <v>17.57</v>
      </c>
      <c r="I263" s="41">
        <v>7844.27</v>
      </c>
      <c r="J263" s="41">
        <v>11766.41</v>
      </c>
    </row>
    <row r="264" spans="1:10" ht="20.100000000000001" customHeight="1">
      <c r="A264" s="37" t="s">
        <v>437</v>
      </c>
      <c r="B264" s="521" t="s">
        <v>36</v>
      </c>
      <c r="C264" s="521"/>
      <c r="D264" s="521"/>
      <c r="E264" s="521"/>
      <c r="F264" s="521"/>
      <c r="G264" s="521"/>
      <c r="H264" s="521"/>
      <c r="I264" s="521"/>
      <c r="J264" s="38">
        <v>14484.16</v>
      </c>
    </row>
    <row r="265" spans="1:10">
      <c r="A265" s="39" t="s">
        <v>438</v>
      </c>
      <c r="B265" s="40" t="s">
        <v>38</v>
      </c>
      <c r="C265" s="40" t="s">
        <v>29</v>
      </c>
      <c r="D265" s="39" t="s">
        <v>39</v>
      </c>
      <c r="E265" s="40" t="s">
        <v>40</v>
      </c>
      <c r="F265" s="41">
        <v>269.74</v>
      </c>
      <c r="G265" s="41">
        <v>0.49</v>
      </c>
      <c r="H265" s="41">
        <v>17.57</v>
      </c>
      <c r="I265" s="41">
        <v>0.57999999999999996</v>
      </c>
      <c r="J265" s="41">
        <v>156.44999999999999</v>
      </c>
    </row>
    <row r="266" spans="1:10" ht="24">
      <c r="A266" s="39" t="s">
        <v>439</v>
      </c>
      <c r="B266" s="40" t="s">
        <v>42</v>
      </c>
      <c r="C266" s="40" t="s">
        <v>18</v>
      </c>
      <c r="D266" s="39" t="s">
        <v>43</v>
      </c>
      <c r="E266" s="40" t="s">
        <v>44</v>
      </c>
      <c r="F266" s="41">
        <v>50.01</v>
      </c>
      <c r="G266" s="41">
        <v>212.24</v>
      </c>
      <c r="H266" s="41">
        <v>17.57</v>
      </c>
      <c r="I266" s="41">
        <v>249.53</v>
      </c>
      <c r="J266" s="41">
        <v>12479</v>
      </c>
    </row>
    <row r="267" spans="1:10" ht="24">
      <c r="A267" s="39" t="s">
        <v>440</v>
      </c>
      <c r="B267" s="40" t="s">
        <v>46</v>
      </c>
      <c r="C267" s="40" t="s">
        <v>18</v>
      </c>
      <c r="D267" s="39" t="s">
        <v>47</v>
      </c>
      <c r="E267" s="40" t="s">
        <v>40</v>
      </c>
      <c r="F267" s="41">
        <v>64.63</v>
      </c>
      <c r="G267" s="41">
        <v>11.13</v>
      </c>
      <c r="H267" s="41">
        <v>17.57</v>
      </c>
      <c r="I267" s="41">
        <v>13.09</v>
      </c>
      <c r="J267" s="41">
        <v>846.01</v>
      </c>
    </row>
    <row r="268" spans="1:10" ht="48">
      <c r="A268" s="39" t="s">
        <v>441</v>
      </c>
      <c r="B268" s="40" t="s">
        <v>49</v>
      </c>
      <c r="C268" s="40" t="s">
        <v>18</v>
      </c>
      <c r="D268" s="39" t="s">
        <v>50</v>
      </c>
      <c r="E268" s="40" t="s">
        <v>44</v>
      </c>
      <c r="F268" s="41">
        <v>66.150000000000006</v>
      </c>
      <c r="G268" s="41">
        <v>2.9</v>
      </c>
      <c r="H268" s="41">
        <v>17.57</v>
      </c>
      <c r="I268" s="41">
        <v>3.41</v>
      </c>
      <c r="J268" s="41">
        <v>225.57</v>
      </c>
    </row>
    <row r="269" spans="1:10" ht="36">
      <c r="A269" s="39" t="s">
        <v>442</v>
      </c>
      <c r="B269" s="40" t="s">
        <v>52</v>
      </c>
      <c r="C269" s="40" t="s">
        <v>29</v>
      </c>
      <c r="D269" s="39" t="s">
        <v>53</v>
      </c>
      <c r="E269" s="40" t="s">
        <v>54</v>
      </c>
      <c r="F269" s="41">
        <v>291.06</v>
      </c>
      <c r="G269" s="41">
        <v>2.27</v>
      </c>
      <c r="H269" s="41">
        <v>17.57</v>
      </c>
      <c r="I269" s="41">
        <v>2.67</v>
      </c>
      <c r="J269" s="41">
        <v>777.13</v>
      </c>
    </row>
    <row r="270" spans="1:10" ht="20.100000000000001" customHeight="1">
      <c r="A270" s="37" t="s">
        <v>443</v>
      </c>
      <c r="B270" s="521" t="s">
        <v>444</v>
      </c>
      <c r="C270" s="521"/>
      <c r="D270" s="521"/>
      <c r="E270" s="521"/>
      <c r="F270" s="521"/>
      <c r="G270" s="521"/>
      <c r="H270" s="521"/>
      <c r="I270" s="521"/>
      <c r="J270" s="38">
        <v>35620.620000000003</v>
      </c>
    </row>
    <row r="271" spans="1:10" ht="24">
      <c r="A271" s="39" t="s">
        <v>445</v>
      </c>
      <c r="B271" s="40" t="s">
        <v>58</v>
      </c>
      <c r="C271" s="40" t="s">
        <v>18</v>
      </c>
      <c r="D271" s="39" t="s">
        <v>59</v>
      </c>
      <c r="E271" s="40" t="s">
        <v>60</v>
      </c>
      <c r="F271" s="41">
        <v>1619.3</v>
      </c>
      <c r="G271" s="41">
        <v>2.59</v>
      </c>
      <c r="H271" s="41">
        <v>17.57</v>
      </c>
      <c r="I271" s="41">
        <v>3.05</v>
      </c>
      <c r="J271" s="41">
        <v>4938.87</v>
      </c>
    </row>
    <row r="272" spans="1:10" ht="48">
      <c r="A272" s="39" t="s">
        <v>446</v>
      </c>
      <c r="B272" s="40" t="s">
        <v>49</v>
      </c>
      <c r="C272" s="40" t="s">
        <v>18</v>
      </c>
      <c r="D272" s="39" t="s">
        <v>50</v>
      </c>
      <c r="E272" s="40" t="s">
        <v>44</v>
      </c>
      <c r="F272" s="41">
        <v>2024.13</v>
      </c>
      <c r="G272" s="41">
        <v>2.9</v>
      </c>
      <c r="H272" s="41">
        <v>17.57</v>
      </c>
      <c r="I272" s="41">
        <v>3.41</v>
      </c>
      <c r="J272" s="41">
        <v>6902.28</v>
      </c>
    </row>
    <row r="273" spans="1:10" ht="36">
      <c r="A273" s="39" t="s">
        <v>447</v>
      </c>
      <c r="B273" s="40" t="s">
        <v>52</v>
      </c>
      <c r="C273" s="40" t="s">
        <v>29</v>
      </c>
      <c r="D273" s="39" t="s">
        <v>53</v>
      </c>
      <c r="E273" s="40" t="s">
        <v>54</v>
      </c>
      <c r="F273" s="41">
        <v>8906.17</v>
      </c>
      <c r="G273" s="41">
        <v>2.27</v>
      </c>
      <c r="H273" s="41">
        <v>17.57</v>
      </c>
      <c r="I273" s="41">
        <v>2.67</v>
      </c>
      <c r="J273" s="41">
        <v>23779.47</v>
      </c>
    </row>
    <row r="274" spans="1:10" ht="20.100000000000001" customHeight="1">
      <c r="A274" s="37" t="s">
        <v>448</v>
      </c>
      <c r="B274" s="521" t="s">
        <v>11</v>
      </c>
      <c r="C274" s="521"/>
      <c r="D274" s="521"/>
      <c r="E274" s="521"/>
      <c r="F274" s="521"/>
      <c r="G274" s="521"/>
      <c r="H274" s="521"/>
      <c r="I274" s="521"/>
      <c r="J274" s="38">
        <v>178342.65</v>
      </c>
    </row>
    <row r="275" spans="1:10" ht="24">
      <c r="A275" s="39" t="s">
        <v>449</v>
      </c>
      <c r="B275" s="40" t="s">
        <v>65</v>
      </c>
      <c r="C275" s="40" t="s">
        <v>29</v>
      </c>
      <c r="D275" s="39" t="s">
        <v>66</v>
      </c>
      <c r="E275" s="40" t="s">
        <v>20</v>
      </c>
      <c r="F275" s="41">
        <v>2157.92</v>
      </c>
      <c r="G275" s="41">
        <v>2.79</v>
      </c>
      <c r="H275" s="41">
        <v>17.57</v>
      </c>
      <c r="I275" s="41">
        <v>3.28</v>
      </c>
      <c r="J275" s="41">
        <v>7077.98</v>
      </c>
    </row>
    <row r="276" spans="1:10" ht="24">
      <c r="A276" s="39" t="s">
        <v>450</v>
      </c>
      <c r="B276" s="40" t="s">
        <v>385</v>
      </c>
      <c r="C276" s="40" t="s">
        <v>18</v>
      </c>
      <c r="D276" s="39" t="s">
        <v>386</v>
      </c>
      <c r="E276" s="40" t="s">
        <v>44</v>
      </c>
      <c r="F276" s="41">
        <v>431.58</v>
      </c>
      <c r="G276" s="41">
        <v>104.33</v>
      </c>
      <c r="H276" s="41">
        <v>17.57</v>
      </c>
      <c r="I276" s="41">
        <v>122.66</v>
      </c>
      <c r="J276" s="41">
        <v>52937.599999999999</v>
      </c>
    </row>
    <row r="277" spans="1:10" ht="24">
      <c r="A277" s="39" t="s">
        <v>451</v>
      </c>
      <c r="B277" s="40" t="s">
        <v>68</v>
      </c>
      <c r="C277" s="40" t="s">
        <v>18</v>
      </c>
      <c r="D277" s="39" t="s">
        <v>69</v>
      </c>
      <c r="E277" s="40" t="s">
        <v>70</v>
      </c>
      <c r="F277" s="41">
        <v>431.58</v>
      </c>
      <c r="G277" s="41">
        <v>11.4</v>
      </c>
      <c r="H277" s="41">
        <v>17.57</v>
      </c>
      <c r="I277" s="41">
        <v>13.4</v>
      </c>
      <c r="J277" s="41">
        <v>5783.17</v>
      </c>
    </row>
    <row r="278" spans="1:10" ht="36">
      <c r="A278" s="39" t="s">
        <v>452</v>
      </c>
      <c r="B278" s="40" t="s">
        <v>72</v>
      </c>
      <c r="C278" s="40" t="s">
        <v>18</v>
      </c>
      <c r="D278" s="39" t="s">
        <v>73</v>
      </c>
      <c r="E278" s="40" t="s">
        <v>60</v>
      </c>
      <c r="F278" s="41">
        <v>404.61</v>
      </c>
      <c r="G278" s="41">
        <v>14.44</v>
      </c>
      <c r="H278" s="41">
        <v>17.57</v>
      </c>
      <c r="I278" s="41">
        <v>16.98</v>
      </c>
      <c r="J278" s="41">
        <v>6870.28</v>
      </c>
    </row>
    <row r="279" spans="1:10" ht="48">
      <c r="A279" s="39" t="s">
        <v>453</v>
      </c>
      <c r="B279" s="40" t="s">
        <v>49</v>
      </c>
      <c r="C279" s="40" t="s">
        <v>18</v>
      </c>
      <c r="D279" s="39" t="s">
        <v>50</v>
      </c>
      <c r="E279" s="40" t="s">
        <v>44</v>
      </c>
      <c r="F279" s="41">
        <v>1045.24</v>
      </c>
      <c r="G279" s="41">
        <v>2.9</v>
      </c>
      <c r="H279" s="41">
        <v>17.57</v>
      </c>
      <c r="I279" s="41">
        <v>3.41</v>
      </c>
      <c r="J279" s="41">
        <v>3564.27</v>
      </c>
    </row>
    <row r="280" spans="1:10" ht="24">
      <c r="A280" s="39" t="s">
        <v>454</v>
      </c>
      <c r="B280" s="40" t="s">
        <v>76</v>
      </c>
      <c r="C280" s="40" t="s">
        <v>18</v>
      </c>
      <c r="D280" s="39" t="s">
        <v>77</v>
      </c>
      <c r="E280" s="40" t="s">
        <v>78</v>
      </c>
      <c r="F280" s="41">
        <v>10452.4</v>
      </c>
      <c r="G280" s="41">
        <v>1.37</v>
      </c>
      <c r="H280" s="41">
        <v>17.57</v>
      </c>
      <c r="I280" s="41">
        <v>1.61</v>
      </c>
      <c r="J280" s="41">
        <v>16828.36</v>
      </c>
    </row>
    <row r="281" spans="1:10" ht="24">
      <c r="A281" s="39" t="s">
        <v>455</v>
      </c>
      <c r="B281" s="40" t="s">
        <v>80</v>
      </c>
      <c r="C281" s="40" t="s">
        <v>18</v>
      </c>
      <c r="D281" s="39" t="s">
        <v>81</v>
      </c>
      <c r="E281" s="40" t="s">
        <v>20</v>
      </c>
      <c r="F281" s="41">
        <v>1726.62</v>
      </c>
      <c r="G281" s="41">
        <v>1.24</v>
      </c>
      <c r="H281" s="41">
        <v>17.57</v>
      </c>
      <c r="I281" s="41">
        <v>1.46</v>
      </c>
      <c r="J281" s="41">
        <v>2520.87</v>
      </c>
    </row>
    <row r="282" spans="1:10" ht="36">
      <c r="A282" s="39" t="s">
        <v>456</v>
      </c>
      <c r="B282" s="40" t="s">
        <v>83</v>
      </c>
      <c r="C282" s="40" t="s">
        <v>18</v>
      </c>
      <c r="D282" s="39" t="s">
        <v>84</v>
      </c>
      <c r="E282" s="40" t="s">
        <v>60</v>
      </c>
      <c r="F282" s="41">
        <v>86.33</v>
      </c>
      <c r="G282" s="41">
        <v>133.37</v>
      </c>
      <c r="H282" s="41">
        <v>17.57</v>
      </c>
      <c r="I282" s="41">
        <v>156.80000000000001</v>
      </c>
      <c r="J282" s="41">
        <v>13536.54</v>
      </c>
    </row>
    <row r="283" spans="1:10" ht="36">
      <c r="A283" s="39" t="s">
        <v>457</v>
      </c>
      <c r="B283" s="40" t="s">
        <v>86</v>
      </c>
      <c r="C283" s="40" t="s">
        <v>18</v>
      </c>
      <c r="D283" s="39" t="s">
        <v>87</v>
      </c>
      <c r="E283" s="40" t="s">
        <v>44</v>
      </c>
      <c r="F283" s="41">
        <v>86.33</v>
      </c>
      <c r="G283" s="41">
        <v>7.86</v>
      </c>
      <c r="H283" s="41">
        <v>17.57</v>
      </c>
      <c r="I283" s="41">
        <v>9.24</v>
      </c>
      <c r="J283" s="41">
        <v>797.69</v>
      </c>
    </row>
    <row r="284" spans="1:10" ht="24">
      <c r="A284" s="39" t="s">
        <v>458</v>
      </c>
      <c r="B284" s="40" t="s">
        <v>89</v>
      </c>
      <c r="C284" s="40" t="s">
        <v>18</v>
      </c>
      <c r="D284" s="39" t="s">
        <v>90</v>
      </c>
      <c r="E284" s="40" t="s">
        <v>54</v>
      </c>
      <c r="F284" s="41">
        <v>1493.51</v>
      </c>
      <c r="G284" s="41">
        <v>1.77</v>
      </c>
      <c r="H284" s="41">
        <v>17.57</v>
      </c>
      <c r="I284" s="41">
        <v>2.08</v>
      </c>
      <c r="J284" s="41">
        <v>3106.5</v>
      </c>
    </row>
    <row r="285" spans="1:10" ht="24">
      <c r="A285" s="39" t="s">
        <v>459</v>
      </c>
      <c r="B285" s="40" t="s">
        <v>92</v>
      </c>
      <c r="C285" s="40" t="s">
        <v>18</v>
      </c>
      <c r="D285" s="39" t="s">
        <v>93</v>
      </c>
      <c r="E285" s="40" t="s">
        <v>20</v>
      </c>
      <c r="F285" s="41">
        <v>1305.7</v>
      </c>
      <c r="G285" s="41">
        <v>0.65</v>
      </c>
      <c r="H285" s="41">
        <v>17.57</v>
      </c>
      <c r="I285" s="41">
        <v>0.76</v>
      </c>
      <c r="J285" s="41">
        <v>992.33</v>
      </c>
    </row>
    <row r="286" spans="1:10" ht="48">
      <c r="A286" s="39" t="s">
        <v>460</v>
      </c>
      <c r="B286" s="40" t="s">
        <v>95</v>
      </c>
      <c r="C286" s="40" t="s">
        <v>18</v>
      </c>
      <c r="D286" s="39" t="s">
        <v>96</v>
      </c>
      <c r="E286" s="40" t="s">
        <v>60</v>
      </c>
      <c r="F286" s="41">
        <v>89.76</v>
      </c>
      <c r="G286" s="41">
        <v>112.75</v>
      </c>
      <c r="H286" s="41">
        <v>17.57</v>
      </c>
      <c r="I286" s="41">
        <v>132.56</v>
      </c>
      <c r="J286" s="41">
        <v>11898.59</v>
      </c>
    </row>
    <row r="287" spans="1:10" ht="60">
      <c r="A287" s="39" t="s">
        <v>461</v>
      </c>
      <c r="B287" s="40" t="s">
        <v>98</v>
      </c>
      <c r="C287" s="40" t="s">
        <v>29</v>
      </c>
      <c r="D287" s="39" t="s">
        <v>99</v>
      </c>
      <c r="E287" s="40" t="s">
        <v>40</v>
      </c>
      <c r="F287" s="41">
        <v>541.19000000000005</v>
      </c>
      <c r="G287" s="41">
        <v>56.47</v>
      </c>
      <c r="H287" s="41">
        <v>17.57</v>
      </c>
      <c r="I287" s="41">
        <v>66.39</v>
      </c>
      <c r="J287" s="41">
        <v>35929.599999999999</v>
      </c>
    </row>
    <row r="288" spans="1:10" ht="60">
      <c r="A288" s="39" t="s">
        <v>462</v>
      </c>
      <c r="B288" s="40" t="s">
        <v>101</v>
      </c>
      <c r="C288" s="40" t="s">
        <v>29</v>
      </c>
      <c r="D288" s="39" t="s">
        <v>102</v>
      </c>
      <c r="E288" s="40" t="s">
        <v>40</v>
      </c>
      <c r="F288" s="41">
        <v>34.54</v>
      </c>
      <c r="G288" s="41">
        <v>60.43</v>
      </c>
      <c r="H288" s="41">
        <v>17.57</v>
      </c>
      <c r="I288" s="41">
        <v>71.05</v>
      </c>
      <c r="J288" s="41">
        <v>2454.0700000000002</v>
      </c>
    </row>
    <row r="289" spans="1:10" ht="60">
      <c r="A289" s="39" t="s">
        <v>463</v>
      </c>
      <c r="B289" s="40" t="s">
        <v>104</v>
      </c>
      <c r="C289" s="40" t="s">
        <v>29</v>
      </c>
      <c r="D289" s="39" t="s">
        <v>105</v>
      </c>
      <c r="E289" s="40" t="s">
        <v>40</v>
      </c>
      <c r="F289" s="41">
        <v>19</v>
      </c>
      <c r="G289" s="41">
        <v>54.31</v>
      </c>
      <c r="H289" s="41">
        <v>17.57</v>
      </c>
      <c r="I289" s="41">
        <v>63.85</v>
      </c>
      <c r="J289" s="41">
        <v>1213.1500000000001</v>
      </c>
    </row>
    <row r="290" spans="1:10" ht="24">
      <c r="A290" s="39" t="s">
        <v>464</v>
      </c>
      <c r="B290" s="40" t="s">
        <v>107</v>
      </c>
      <c r="C290" s="40" t="s">
        <v>29</v>
      </c>
      <c r="D290" s="39" t="s">
        <v>108</v>
      </c>
      <c r="E290" s="40" t="s">
        <v>40</v>
      </c>
      <c r="F290" s="41">
        <v>252.11</v>
      </c>
      <c r="G290" s="41">
        <v>39.770000000000003</v>
      </c>
      <c r="H290" s="41">
        <v>17.57</v>
      </c>
      <c r="I290" s="41">
        <v>46.76</v>
      </c>
      <c r="J290" s="41">
        <v>11788.66</v>
      </c>
    </row>
    <row r="291" spans="1:10" ht="24">
      <c r="A291" s="39" t="s">
        <v>465</v>
      </c>
      <c r="B291" s="40" t="s">
        <v>110</v>
      </c>
      <c r="C291" s="40" t="s">
        <v>29</v>
      </c>
      <c r="D291" s="39" t="s">
        <v>111</v>
      </c>
      <c r="E291" s="40" t="s">
        <v>40</v>
      </c>
      <c r="F291" s="41">
        <v>17.63</v>
      </c>
      <c r="G291" s="41">
        <v>50.32</v>
      </c>
      <c r="H291" s="41">
        <v>17.57</v>
      </c>
      <c r="I291" s="41">
        <v>59.16</v>
      </c>
      <c r="J291" s="41">
        <v>1042.99</v>
      </c>
    </row>
    <row r="292" spans="1:10" ht="20.100000000000001" customHeight="1">
      <c r="A292" s="37" t="s">
        <v>466</v>
      </c>
      <c r="B292" s="521" t="s">
        <v>158</v>
      </c>
      <c r="C292" s="521"/>
      <c r="D292" s="521"/>
      <c r="E292" s="521"/>
      <c r="F292" s="521"/>
      <c r="G292" s="521"/>
      <c r="H292" s="521"/>
      <c r="I292" s="521"/>
      <c r="J292" s="38">
        <v>11345.08</v>
      </c>
    </row>
    <row r="293" spans="1:10">
      <c r="A293" s="39" t="s">
        <v>467</v>
      </c>
      <c r="B293" s="40" t="s">
        <v>160</v>
      </c>
      <c r="C293" s="40" t="s">
        <v>161</v>
      </c>
      <c r="D293" s="39" t="s">
        <v>162</v>
      </c>
      <c r="E293" s="40" t="s">
        <v>163</v>
      </c>
      <c r="F293" s="41">
        <v>3.6</v>
      </c>
      <c r="G293" s="41">
        <v>347.25</v>
      </c>
      <c r="H293" s="41">
        <v>17.57</v>
      </c>
      <c r="I293" s="41">
        <v>408.26</v>
      </c>
      <c r="J293" s="41">
        <v>1469.74</v>
      </c>
    </row>
    <row r="294" spans="1:10" ht="24">
      <c r="A294" s="39" t="s">
        <v>468</v>
      </c>
      <c r="B294" s="40" t="s">
        <v>165</v>
      </c>
      <c r="C294" s="40" t="s">
        <v>161</v>
      </c>
      <c r="D294" s="39" t="s">
        <v>166</v>
      </c>
      <c r="E294" s="40" t="s">
        <v>167</v>
      </c>
      <c r="F294" s="41">
        <v>13</v>
      </c>
      <c r="G294" s="41">
        <v>121.48</v>
      </c>
      <c r="H294" s="41">
        <v>17.57</v>
      </c>
      <c r="I294" s="41">
        <v>142.82</v>
      </c>
      <c r="J294" s="41">
        <v>1856.66</v>
      </c>
    </row>
    <row r="295" spans="1:10" ht="24">
      <c r="A295" s="39" t="s">
        <v>469</v>
      </c>
      <c r="B295" s="40" t="s">
        <v>169</v>
      </c>
      <c r="C295" s="40" t="s">
        <v>18</v>
      </c>
      <c r="D295" s="39" t="s">
        <v>170</v>
      </c>
      <c r="E295" s="40" t="s">
        <v>171</v>
      </c>
      <c r="F295" s="41">
        <v>8</v>
      </c>
      <c r="G295" s="41">
        <v>156.33000000000001</v>
      </c>
      <c r="H295" s="41">
        <v>17.57</v>
      </c>
      <c r="I295" s="41">
        <v>183.8</v>
      </c>
      <c r="J295" s="41">
        <v>1470.4</v>
      </c>
    </row>
    <row r="296" spans="1:10" ht="48">
      <c r="A296" s="39" t="s">
        <v>470</v>
      </c>
      <c r="B296" s="40" t="s">
        <v>173</v>
      </c>
      <c r="C296" s="40" t="s">
        <v>29</v>
      </c>
      <c r="D296" s="39" t="s">
        <v>174</v>
      </c>
      <c r="E296" s="40" t="s">
        <v>40</v>
      </c>
      <c r="F296" s="41">
        <v>707.17</v>
      </c>
      <c r="G296" s="41">
        <v>5.48</v>
      </c>
      <c r="H296" s="41">
        <v>17.57</v>
      </c>
      <c r="I296" s="41">
        <v>6.44</v>
      </c>
      <c r="J296" s="41">
        <v>4554.17</v>
      </c>
    </row>
    <row r="297" spans="1:10" ht="48">
      <c r="A297" s="39" t="s">
        <v>471</v>
      </c>
      <c r="B297" s="40" t="s">
        <v>176</v>
      </c>
      <c r="C297" s="40" t="s">
        <v>29</v>
      </c>
      <c r="D297" s="39" t="s">
        <v>177</v>
      </c>
      <c r="E297" s="40" t="s">
        <v>20</v>
      </c>
      <c r="F297" s="41">
        <v>70.239999999999995</v>
      </c>
      <c r="G297" s="41">
        <v>24.15</v>
      </c>
      <c r="H297" s="41">
        <v>17.57</v>
      </c>
      <c r="I297" s="41">
        <v>28.39</v>
      </c>
      <c r="J297" s="41">
        <v>1994.11</v>
      </c>
    </row>
    <row r="298" spans="1:10" ht="20.100000000000001" customHeight="1">
      <c r="A298" s="37" t="s">
        <v>472</v>
      </c>
      <c r="B298" s="521" t="s">
        <v>179</v>
      </c>
      <c r="C298" s="521"/>
      <c r="D298" s="521"/>
      <c r="E298" s="521"/>
      <c r="F298" s="521"/>
      <c r="G298" s="521"/>
      <c r="H298" s="521"/>
      <c r="I298" s="521"/>
      <c r="J298" s="38">
        <v>3089.35</v>
      </c>
    </row>
    <row r="299" spans="1:10" ht="36">
      <c r="A299" s="39" t="s">
        <v>473</v>
      </c>
      <c r="B299" s="40" t="s">
        <v>181</v>
      </c>
      <c r="C299" s="40" t="s">
        <v>18</v>
      </c>
      <c r="D299" s="39" t="s">
        <v>182</v>
      </c>
      <c r="E299" s="40" t="s">
        <v>183</v>
      </c>
      <c r="F299" s="41">
        <v>23.39</v>
      </c>
      <c r="G299" s="41">
        <v>112.34</v>
      </c>
      <c r="H299" s="41">
        <v>17.57</v>
      </c>
      <c r="I299" s="41">
        <v>132.08000000000001</v>
      </c>
      <c r="J299" s="41">
        <v>3089.35</v>
      </c>
    </row>
    <row r="300" spans="1:10" ht="20.100000000000001" customHeight="1">
      <c r="A300" s="37" t="s">
        <v>474</v>
      </c>
      <c r="B300" s="521" t="s">
        <v>185</v>
      </c>
      <c r="C300" s="521"/>
      <c r="D300" s="521"/>
      <c r="E300" s="521"/>
      <c r="F300" s="521"/>
      <c r="G300" s="521"/>
      <c r="H300" s="521"/>
      <c r="I300" s="521"/>
      <c r="J300" s="38">
        <v>278761.89</v>
      </c>
    </row>
    <row r="301" spans="1:10" ht="48">
      <c r="A301" s="39" t="s">
        <v>475</v>
      </c>
      <c r="B301" s="40" t="s">
        <v>187</v>
      </c>
      <c r="C301" s="40" t="s">
        <v>29</v>
      </c>
      <c r="D301" s="39" t="s">
        <v>188</v>
      </c>
      <c r="E301" s="40" t="s">
        <v>31</v>
      </c>
      <c r="F301" s="41">
        <v>3</v>
      </c>
      <c r="G301" s="41">
        <v>830</v>
      </c>
      <c r="H301" s="41">
        <v>10.07</v>
      </c>
      <c r="I301" s="41">
        <v>913.58</v>
      </c>
      <c r="J301" s="41">
        <v>2740.74</v>
      </c>
    </row>
    <row r="302" spans="1:10" ht="36">
      <c r="A302" s="39" t="s">
        <v>476</v>
      </c>
      <c r="B302" s="40" t="s">
        <v>190</v>
      </c>
      <c r="C302" s="40" t="s">
        <v>29</v>
      </c>
      <c r="D302" s="39" t="s">
        <v>191</v>
      </c>
      <c r="E302" s="40" t="s">
        <v>31</v>
      </c>
      <c r="F302" s="41">
        <v>3</v>
      </c>
      <c r="G302" s="41">
        <v>648.42999999999995</v>
      </c>
      <c r="H302" s="41">
        <v>10.07</v>
      </c>
      <c r="I302" s="41">
        <v>713.73</v>
      </c>
      <c r="J302" s="41">
        <v>2141.19</v>
      </c>
    </row>
    <row r="303" spans="1:10" ht="36">
      <c r="A303" s="39" t="s">
        <v>477</v>
      </c>
      <c r="B303" s="40" t="s">
        <v>193</v>
      </c>
      <c r="C303" s="40" t="s">
        <v>29</v>
      </c>
      <c r="D303" s="39" t="s">
        <v>194</v>
      </c>
      <c r="E303" s="40" t="s">
        <v>195</v>
      </c>
      <c r="F303" s="41">
        <v>220.56</v>
      </c>
      <c r="G303" s="41">
        <v>522.5</v>
      </c>
      <c r="H303" s="41">
        <v>10.07</v>
      </c>
      <c r="I303" s="41">
        <v>575.12</v>
      </c>
      <c r="J303" s="41">
        <v>126848.47</v>
      </c>
    </row>
    <row r="304" spans="1:10" ht="24">
      <c r="A304" s="39" t="s">
        <v>478</v>
      </c>
      <c r="B304" s="40" t="s">
        <v>197</v>
      </c>
      <c r="C304" s="40" t="s">
        <v>18</v>
      </c>
      <c r="D304" s="39" t="s">
        <v>198</v>
      </c>
      <c r="E304" s="40" t="s">
        <v>44</v>
      </c>
      <c r="F304" s="41">
        <v>404.61</v>
      </c>
      <c r="G304" s="41">
        <v>56.1</v>
      </c>
      <c r="H304" s="41">
        <v>10.07</v>
      </c>
      <c r="I304" s="41">
        <v>61.75</v>
      </c>
      <c r="J304" s="41">
        <v>24984.67</v>
      </c>
    </row>
    <row r="305" spans="1:10">
      <c r="A305" s="39" t="s">
        <v>479</v>
      </c>
      <c r="B305" s="40" t="s">
        <v>200</v>
      </c>
      <c r="C305" s="40" t="s">
        <v>161</v>
      </c>
      <c r="D305" s="39" t="s">
        <v>201</v>
      </c>
      <c r="E305" s="40" t="s">
        <v>70</v>
      </c>
      <c r="F305" s="41">
        <v>543.79</v>
      </c>
      <c r="G305" s="41">
        <v>90.74</v>
      </c>
      <c r="H305" s="41">
        <v>10.07</v>
      </c>
      <c r="I305" s="41">
        <v>99.88</v>
      </c>
      <c r="J305" s="41">
        <v>54313.75</v>
      </c>
    </row>
    <row r="306" spans="1:10">
      <c r="A306" s="39" t="s">
        <v>480</v>
      </c>
      <c r="B306" s="40" t="s">
        <v>203</v>
      </c>
      <c r="C306" s="40" t="s">
        <v>161</v>
      </c>
      <c r="D306" s="39" t="s">
        <v>204</v>
      </c>
      <c r="E306" s="40" t="s">
        <v>70</v>
      </c>
      <c r="F306" s="41">
        <v>60.42</v>
      </c>
      <c r="G306" s="41">
        <v>74.53</v>
      </c>
      <c r="H306" s="41">
        <v>10.07</v>
      </c>
      <c r="I306" s="41">
        <v>82.04</v>
      </c>
      <c r="J306" s="41">
        <v>4956.8599999999997</v>
      </c>
    </row>
    <row r="307" spans="1:10" ht="24">
      <c r="A307" s="39" t="s">
        <v>481</v>
      </c>
      <c r="B307" s="40" t="s">
        <v>206</v>
      </c>
      <c r="C307" s="40" t="s">
        <v>18</v>
      </c>
      <c r="D307" s="39" t="s">
        <v>207</v>
      </c>
      <c r="E307" s="40" t="s">
        <v>138</v>
      </c>
      <c r="F307" s="41">
        <v>2071.94</v>
      </c>
      <c r="G307" s="41">
        <v>5.32</v>
      </c>
      <c r="H307" s="41">
        <v>10.07</v>
      </c>
      <c r="I307" s="41">
        <v>5.86</v>
      </c>
      <c r="J307" s="41">
        <v>12141.57</v>
      </c>
    </row>
    <row r="308" spans="1:10" ht="36">
      <c r="A308" s="39" t="s">
        <v>482</v>
      </c>
      <c r="B308" s="40" t="s">
        <v>209</v>
      </c>
      <c r="C308" s="40" t="s">
        <v>29</v>
      </c>
      <c r="D308" s="39" t="s">
        <v>210</v>
      </c>
      <c r="E308" s="40" t="s">
        <v>60</v>
      </c>
      <c r="F308" s="41">
        <v>108.88</v>
      </c>
      <c r="G308" s="41">
        <v>422.5</v>
      </c>
      <c r="H308" s="41">
        <v>10.07</v>
      </c>
      <c r="I308" s="41">
        <v>465.05</v>
      </c>
      <c r="J308" s="41">
        <v>50634.64</v>
      </c>
    </row>
    <row r="309" spans="1:10" ht="20.100000000000001" customHeight="1">
      <c r="A309" s="37" t="s">
        <v>483</v>
      </c>
      <c r="B309" s="521" t="s">
        <v>484</v>
      </c>
      <c r="C309" s="521"/>
      <c r="D309" s="521"/>
      <c r="E309" s="521"/>
      <c r="F309" s="521"/>
      <c r="G309" s="521"/>
      <c r="H309" s="521"/>
      <c r="I309" s="521"/>
      <c r="J309" s="38">
        <v>721603.77</v>
      </c>
    </row>
    <row r="310" spans="1:10" ht="20.100000000000001" customHeight="1">
      <c r="A310" s="37" t="s">
        <v>485</v>
      </c>
      <c r="B310" s="521" t="s">
        <v>15</v>
      </c>
      <c r="C310" s="521"/>
      <c r="D310" s="521"/>
      <c r="E310" s="521"/>
      <c r="F310" s="521"/>
      <c r="G310" s="521"/>
      <c r="H310" s="521"/>
      <c r="I310" s="521"/>
      <c r="J310" s="38">
        <v>10252.02</v>
      </c>
    </row>
    <row r="311" spans="1:10" ht="24">
      <c r="A311" s="39" t="s">
        <v>486</v>
      </c>
      <c r="B311" s="40" t="s">
        <v>17</v>
      </c>
      <c r="C311" s="40" t="s">
        <v>18</v>
      </c>
      <c r="D311" s="39" t="s">
        <v>19</v>
      </c>
      <c r="E311" s="40" t="s">
        <v>20</v>
      </c>
      <c r="F311" s="41">
        <v>8</v>
      </c>
      <c r="G311" s="41">
        <v>564.99</v>
      </c>
      <c r="H311" s="41">
        <v>17.57</v>
      </c>
      <c r="I311" s="41">
        <v>664.26</v>
      </c>
      <c r="J311" s="41">
        <v>5314.08</v>
      </c>
    </row>
    <row r="312" spans="1:10" ht="24">
      <c r="A312" s="39" t="s">
        <v>487</v>
      </c>
      <c r="B312" s="40" t="s">
        <v>22</v>
      </c>
      <c r="C312" s="40" t="s">
        <v>18</v>
      </c>
      <c r="D312" s="39" t="s">
        <v>23</v>
      </c>
      <c r="E312" s="40" t="s">
        <v>24</v>
      </c>
      <c r="F312" s="41">
        <v>6</v>
      </c>
      <c r="G312" s="41">
        <v>700</v>
      </c>
      <c r="H312" s="41">
        <v>17.57</v>
      </c>
      <c r="I312" s="41">
        <v>822.99</v>
      </c>
      <c r="J312" s="41">
        <v>4937.9399999999996</v>
      </c>
    </row>
    <row r="313" spans="1:10" ht="20.100000000000001" customHeight="1">
      <c r="A313" s="37" t="s">
        <v>488</v>
      </c>
      <c r="B313" s="521" t="s">
        <v>26</v>
      </c>
      <c r="C313" s="521"/>
      <c r="D313" s="521"/>
      <c r="E313" s="521"/>
      <c r="F313" s="521"/>
      <c r="G313" s="521"/>
      <c r="H313" s="521"/>
      <c r="I313" s="521"/>
      <c r="J313" s="38">
        <v>32480.31</v>
      </c>
    </row>
    <row r="314" spans="1:10" ht="24">
      <c r="A314" s="39" t="s">
        <v>489</v>
      </c>
      <c r="B314" s="40" t="s">
        <v>28</v>
      </c>
      <c r="C314" s="40" t="s">
        <v>29</v>
      </c>
      <c r="D314" s="39" t="s">
        <v>30</v>
      </c>
      <c r="E314" s="40" t="s">
        <v>31</v>
      </c>
      <c r="F314" s="41">
        <v>0.75</v>
      </c>
      <c r="G314" s="41">
        <v>16819.14</v>
      </c>
      <c r="H314" s="41">
        <v>17.57</v>
      </c>
      <c r="I314" s="41">
        <v>19774.259999999998</v>
      </c>
      <c r="J314" s="41">
        <v>14830.7</v>
      </c>
    </row>
    <row r="315" spans="1:10" ht="24">
      <c r="A315" s="39" t="s">
        <v>490</v>
      </c>
      <c r="B315" s="40" t="s">
        <v>33</v>
      </c>
      <c r="C315" s="40" t="s">
        <v>29</v>
      </c>
      <c r="D315" s="39" t="s">
        <v>34</v>
      </c>
      <c r="E315" s="40" t="s">
        <v>31</v>
      </c>
      <c r="F315" s="41">
        <v>2.25</v>
      </c>
      <c r="G315" s="41">
        <v>6672</v>
      </c>
      <c r="H315" s="41">
        <v>17.57</v>
      </c>
      <c r="I315" s="41">
        <v>7844.27</v>
      </c>
      <c r="J315" s="41">
        <v>17649.61</v>
      </c>
    </row>
    <row r="316" spans="1:10" ht="20.100000000000001" customHeight="1">
      <c r="A316" s="37" t="s">
        <v>491</v>
      </c>
      <c r="B316" s="521" t="s">
        <v>36</v>
      </c>
      <c r="C316" s="521"/>
      <c r="D316" s="521"/>
      <c r="E316" s="521"/>
      <c r="F316" s="521"/>
      <c r="G316" s="521"/>
      <c r="H316" s="521"/>
      <c r="I316" s="521"/>
      <c r="J316" s="38">
        <v>8949.52</v>
      </c>
    </row>
    <row r="317" spans="1:10">
      <c r="A317" s="39" t="s">
        <v>492</v>
      </c>
      <c r="B317" s="40" t="s">
        <v>38</v>
      </c>
      <c r="C317" s="40" t="s">
        <v>29</v>
      </c>
      <c r="D317" s="39" t="s">
        <v>39</v>
      </c>
      <c r="E317" s="40" t="s">
        <v>40</v>
      </c>
      <c r="F317" s="41">
        <v>614.01</v>
      </c>
      <c r="G317" s="41">
        <v>0.49</v>
      </c>
      <c r="H317" s="41">
        <v>17.57</v>
      </c>
      <c r="I317" s="41">
        <v>0.57999999999999996</v>
      </c>
      <c r="J317" s="41">
        <v>356.13</v>
      </c>
    </row>
    <row r="318" spans="1:10" ht="24">
      <c r="A318" s="39" t="s">
        <v>493</v>
      </c>
      <c r="B318" s="40" t="s">
        <v>42</v>
      </c>
      <c r="C318" s="40" t="s">
        <v>18</v>
      </c>
      <c r="D318" s="39" t="s">
        <v>43</v>
      </c>
      <c r="E318" s="40" t="s">
        <v>44</v>
      </c>
      <c r="F318" s="41">
        <v>26.56</v>
      </c>
      <c r="G318" s="41">
        <v>212.24</v>
      </c>
      <c r="H318" s="41">
        <v>17.57</v>
      </c>
      <c r="I318" s="41">
        <v>249.53</v>
      </c>
      <c r="J318" s="41">
        <v>6627.52</v>
      </c>
    </row>
    <row r="319" spans="1:10" ht="48">
      <c r="A319" s="39" t="s">
        <v>494</v>
      </c>
      <c r="B319" s="40" t="s">
        <v>49</v>
      </c>
      <c r="C319" s="40" t="s">
        <v>18</v>
      </c>
      <c r="D319" s="39" t="s">
        <v>50</v>
      </c>
      <c r="E319" s="40" t="s">
        <v>44</v>
      </c>
      <c r="F319" s="41">
        <v>33.200000000000003</v>
      </c>
      <c r="G319" s="41">
        <v>2.9</v>
      </c>
      <c r="H319" s="41">
        <v>17.57</v>
      </c>
      <c r="I319" s="41">
        <v>3.41</v>
      </c>
      <c r="J319" s="41">
        <v>113.21</v>
      </c>
    </row>
    <row r="320" spans="1:10" ht="36">
      <c r="A320" s="39" t="s">
        <v>495</v>
      </c>
      <c r="B320" s="40" t="s">
        <v>52</v>
      </c>
      <c r="C320" s="40" t="s">
        <v>29</v>
      </c>
      <c r="D320" s="39" t="s">
        <v>53</v>
      </c>
      <c r="E320" s="40" t="s">
        <v>54</v>
      </c>
      <c r="F320" s="41">
        <v>693.88</v>
      </c>
      <c r="G320" s="41">
        <v>2.27</v>
      </c>
      <c r="H320" s="41">
        <v>17.57</v>
      </c>
      <c r="I320" s="41">
        <v>2.67</v>
      </c>
      <c r="J320" s="41">
        <v>1852.66</v>
      </c>
    </row>
    <row r="321" spans="1:10" ht="20.100000000000001" customHeight="1">
      <c r="A321" s="37" t="s">
        <v>496</v>
      </c>
      <c r="B321" s="521" t="s">
        <v>444</v>
      </c>
      <c r="C321" s="521"/>
      <c r="D321" s="521"/>
      <c r="E321" s="521"/>
      <c r="F321" s="521"/>
      <c r="G321" s="521"/>
      <c r="H321" s="521"/>
      <c r="I321" s="521"/>
      <c r="J321" s="38">
        <v>76447.929999999993</v>
      </c>
    </row>
    <row r="322" spans="1:10" ht="24">
      <c r="A322" s="39" t="s">
        <v>497</v>
      </c>
      <c r="B322" s="40" t="s">
        <v>58</v>
      </c>
      <c r="C322" s="40" t="s">
        <v>18</v>
      </c>
      <c r="D322" s="39" t="s">
        <v>59</v>
      </c>
      <c r="E322" s="40" t="s">
        <v>60</v>
      </c>
      <c r="F322" s="41">
        <v>995.02</v>
      </c>
      <c r="G322" s="41">
        <v>2.59</v>
      </c>
      <c r="H322" s="41">
        <v>17.57</v>
      </c>
      <c r="I322" s="41">
        <v>3.05</v>
      </c>
      <c r="J322" s="41">
        <v>3034.81</v>
      </c>
    </row>
    <row r="323" spans="1:10" ht="48">
      <c r="A323" s="39" t="s">
        <v>498</v>
      </c>
      <c r="B323" s="40" t="s">
        <v>49</v>
      </c>
      <c r="C323" s="40" t="s">
        <v>18</v>
      </c>
      <c r="D323" s="39" t="s">
        <v>50</v>
      </c>
      <c r="E323" s="40" t="s">
        <v>44</v>
      </c>
      <c r="F323" s="41">
        <v>1238.78</v>
      </c>
      <c r="G323" s="41">
        <v>2.9</v>
      </c>
      <c r="H323" s="41">
        <v>17.57</v>
      </c>
      <c r="I323" s="41">
        <v>3.41</v>
      </c>
      <c r="J323" s="41">
        <v>4224.24</v>
      </c>
    </row>
    <row r="324" spans="1:10" ht="36">
      <c r="A324" s="39" t="s">
        <v>499</v>
      </c>
      <c r="B324" s="40" t="s">
        <v>52</v>
      </c>
      <c r="C324" s="40" t="s">
        <v>29</v>
      </c>
      <c r="D324" s="39" t="s">
        <v>53</v>
      </c>
      <c r="E324" s="40" t="s">
        <v>54</v>
      </c>
      <c r="F324" s="41">
        <v>25890.5</v>
      </c>
      <c r="G324" s="41">
        <v>2.27</v>
      </c>
      <c r="H324" s="41">
        <v>17.57</v>
      </c>
      <c r="I324" s="41">
        <v>2.67</v>
      </c>
      <c r="J324" s="41">
        <v>69127.64</v>
      </c>
    </row>
    <row r="325" spans="1:10" ht="36">
      <c r="A325" s="39" t="s">
        <v>500</v>
      </c>
      <c r="B325" s="40" t="s">
        <v>501</v>
      </c>
      <c r="C325" s="40" t="s">
        <v>29</v>
      </c>
      <c r="D325" s="39" t="s">
        <v>502</v>
      </c>
      <c r="E325" s="40" t="s">
        <v>60</v>
      </c>
      <c r="F325" s="41">
        <v>4</v>
      </c>
      <c r="G325" s="41">
        <v>13.02</v>
      </c>
      <c r="H325" s="41">
        <v>17.57</v>
      </c>
      <c r="I325" s="41">
        <v>15.31</v>
      </c>
      <c r="J325" s="41">
        <v>61.24</v>
      </c>
    </row>
    <row r="326" spans="1:10" ht="20.100000000000001" customHeight="1">
      <c r="A326" s="37" t="s">
        <v>503</v>
      </c>
      <c r="B326" s="521" t="s">
        <v>11</v>
      </c>
      <c r="C326" s="521"/>
      <c r="D326" s="521"/>
      <c r="E326" s="521"/>
      <c r="F326" s="521"/>
      <c r="G326" s="521"/>
      <c r="H326" s="521"/>
      <c r="I326" s="521"/>
      <c r="J326" s="38">
        <v>197326.92</v>
      </c>
    </row>
    <row r="327" spans="1:10" ht="24">
      <c r="A327" s="39" t="s">
        <v>504</v>
      </c>
      <c r="B327" s="40" t="s">
        <v>65</v>
      </c>
      <c r="C327" s="40" t="s">
        <v>29</v>
      </c>
      <c r="D327" s="39" t="s">
        <v>66</v>
      </c>
      <c r="E327" s="40" t="s">
        <v>20</v>
      </c>
      <c r="F327" s="41">
        <v>3261.9</v>
      </c>
      <c r="G327" s="41">
        <v>2.79</v>
      </c>
      <c r="H327" s="41">
        <v>17.57</v>
      </c>
      <c r="I327" s="41">
        <v>3.28</v>
      </c>
      <c r="J327" s="41">
        <v>10699.03</v>
      </c>
    </row>
    <row r="328" spans="1:10" ht="36">
      <c r="A328" s="39" t="s">
        <v>505</v>
      </c>
      <c r="B328" s="40" t="s">
        <v>72</v>
      </c>
      <c r="C328" s="40" t="s">
        <v>18</v>
      </c>
      <c r="D328" s="39" t="s">
        <v>73</v>
      </c>
      <c r="E328" s="40" t="s">
        <v>60</v>
      </c>
      <c r="F328" s="41">
        <v>610.41</v>
      </c>
      <c r="G328" s="41">
        <v>14.44</v>
      </c>
      <c r="H328" s="41">
        <v>17.57</v>
      </c>
      <c r="I328" s="41">
        <v>16.98</v>
      </c>
      <c r="J328" s="41">
        <v>10364.76</v>
      </c>
    </row>
    <row r="329" spans="1:10" ht="48">
      <c r="A329" s="39" t="s">
        <v>506</v>
      </c>
      <c r="B329" s="40" t="s">
        <v>49</v>
      </c>
      <c r="C329" s="40" t="s">
        <v>18</v>
      </c>
      <c r="D329" s="39" t="s">
        <v>50</v>
      </c>
      <c r="E329" s="40" t="s">
        <v>44</v>
      </c>
      <c r="F329" s="41">
        <v>763.01</v>
      </c>
      <c r="G329" s="41">
        <v>2.9</v>
      </c>
      <c r="H329" s="41">
        <v>17.57</v>
      </c>
      <c r="I329" s="41">
        <v>3.41</v>
      </c>
      <c r="J329" s="41">
        <v>2601.86</v>
      </c>
    </row>
    <row r="330" spans="1:10" ht="24">
      <c r="A330" s="39" t="s">
        <v>507</v>
      </c>
      <c r="B330" s="40" t="s">
        <v>76</v>
      </c>
      <c r="C330" s="40" t="s">
        <v>18</v>
      </c>
      <c r="D330" s="39" t="s">
        <v>77</v>
      </c>
      <c r="E330" s="40" t="s">
        <v>78</v>
      </c>
      <c r="F330" s="41">
        <v>10987.34</v>
      </c>
      <c r="G330" s="41">
        <v>1.37</v>
      </c>
      <c r="H330" s="41">
        <v>17.57</v>
      </c>
      <c r="I330" s="41">
        <v>1.61</v>
      </c>
      <c r="J330" s="41">
        <v>17689.62</v>
      </c>
    </row>
    <row r="331" spans="1:10" ht="48">
      <c r="A331" s="39" t="s">
        <v>508</v>
      </c>
      <c r="B331" s="40" t="s">
        <v>509</v>
      </c>
      <c r="C331" s="40" t="s">
        <v>18</v>
      </c>
      <c r="D331" s="39" t="s">
        <v>510</v>
      </c>
      <c r="E331" s="40" t="s">
        <v>20</v>
      </c>
      <c r="F331" s="41">
        <v>3007.59</v>
      </c>
      <c r="G331" s="41">
        <v>20.41</v>
      </c>
      <c r="H331" s="41">
        <v>17.57</v>
      </c>
      <c r="I331" s="41">
        <v>24</v>
      </c>
      <c r="J331" s="41">
        <v>72182.16</v>
      </c>
    </row>
    <row r="332" spans="1:10" ht="60">
      <c r="A332" s="39" t="s">
        <v>511</v>
      </c>
      <c r="B332" s="40" t="s">
        <v>98</v>
      </c>
      <c r="C332" s="40" t="s">
        <v>29</v>
      </c>
      <c r="D332" s="39" t="s">
        <v>99</v>
      </c>
      <c r="E332" s="40" t="s">
        <v>40</v>
      </c>
      <c r="F332" s="41">
        <v>1262.08</v>
      </c>
      <c r="G332" s="41">
        <v>56.47</v>
      </c>
      <c r="H332" s="41">
        <v>17.57</v>
      </c>
      <c r="I332" s="41">
        <v>66.39</v>
      </c>
      <c r="J332" s="41">
        <v>83789.490000000005</v>
      </c>
    </row>
    <row r="333" spans="1:10" ht="20.100000000000001" customHeight="1">
      <c r="A333" s="37" t="s">
        <v>512</v>
      </c>
      <c r="B333" s="521" t="s">
        <v>120</v>
      </c>
      <c r="C333" s="521"/>
      <c r="D333" s="521"/>
      <c r="E333" s="521"/>
      <c r="F333" s="521"/>
      <c r="G333" s="521"/>
      <c r="H333" s="521"/>
      <c r="I333" s="521"/>
      <c r="J333" s="38">
        <v>159009.18</v>
      </c>
    </row>
    <row r="334" spans="1:10" ht="24">
      <c r="A334" s="39" t="s">
        <v>513</v>
      </c>
      <c r="B334" s="40" t="s">
        <v>514</v>
      </c>
      <c r="C334" s="40" t="s">
        <v>29</v>
      </c>
      <c r="D334" s="39" t="s">
        <v>515</v>
      </c>
      <c r="E334" s="40" t="s">
        <v>60</v>
      </c>
      <c r="F334" s="41">
        <v>12.97</v>
      </c>
      <c r="G334" s="41">
        <v>78.319999999999993</v>
      </c>
      <c r="H334" s="41">
        <v>17.57</v>
      </c>
      <c r="I334" s="41">
        <v>92.08</v>
      </c>
      <c r="J334" s="41">
        <v>1194.28</v>
      </c>
    </row>
    <row r="335" spans="1:10" ht="60">
      <c r="A335" s="39" t="s">
        <v>516</v>
      </c>
      <c r="B335" s="40" t="s">
        <v>122</v>
      </c>
      <c r="C335" s="40" t="s">
        <v>29</v>
      </c>
      <c r="D335" s="39" t="s">
        <v>123</v>
      </c>
      <c r="E335" s="40" t="s">
        <v>60</v>
      </c>
      <c r="F335" s="41">
        <v>89.52</v>
      </c>
      <c r="G335" s="41">
        <v>6.48</v>
      </c>
      <c r="H335" s="41">
        <v>17.57</v>
      </c>
      <c r="I335" s="41">
        <v>7.62</v>
      </c>
      <c r="J335" s="41">
        <v>682.14</v>
      </c>
    </row>
    <row r="336" spans="1:10" ht="60">
      <c r="A336" s="39" t="s">
        <v>517</v>
      </c>
      <c r="B336" s="40" t="s">
        <v>125</v>
      </c>
      <c r="C336" s="40" t="s">
        <v>29</v>
      </c>
      <c r="D336" s="39" t="s">
        <v>126</v>
      </c>
      <c r="E336" s="40" t="s">
        <v>60</v>
      </c>
      <c r="F336" s="41">
        <v>33.57</v>
      </c>
      <c r="G336" s="41">
        <v>23.75</v>
      </c>
      <c r="H336" s="41">
        <v>17.57</v>
      </c>
      <c r="I336" s="41">
        <v>27.92</v>
      </c>
      <c r="J336" s="41">
        <v>937.27</v>
      </c>
    </row>
    <row r="337" spans="1:10" ht="48">
      <c r="A337" s="39" t="s">
        <v>518</v>
      </c>
      <c r="B337" s="40" t="s">
        <v>49</v>
      </c>
      <c r="C337" s="40" t="s">
        <v>18</v>
      </c>
      <c r="D337" s="39" t="s">
        <v>50</v>
      </c>
      <c r="E337" s="40" t="s">
        <v>44</v>
      </c>
      <c r="F337" s="41">
        <v>69.94</v>
      </c>
      <c r="G337" s="41">
        <v>2.9</v>
      </c>
      <c r="H337" s="41">
        <v>17.57</v>
      </c>
      <c r="I337" s="41">
        <v>3.41</v>
      </c>
      <c r="J337" s="41">
        <v>238.5</v>
      </c>
    </row>
    <row r="338" spans="1:10" ht="36">
      <c r="A338" s="39" t="s">
        <v>519</v>
      </c>
      <c r="B338" s="40" t="s">
        <v>52</v>
      </c>
      <c r="C338" s="40" t="s">
        <v>29</v>
      </c>
      <c r="D338" s="39" t="s">
        <v>53</v>
      </c>
      <c r="E338" s="40" t="s">
        <v>54</v>
      </c>
      <c r="F338" s="41">
        <v>1461.75</v>
      </c>
      <c r="G338" s="41">
        <v>2.27</v>
      </c>
      <c r="H338" s="41">
        <v>17.57</v>
      </c>
      <c r="I338" s="41">
        <v>2.67</v>
      </c>
      <c r="J338" s="41">
        <v>3902.87</v>
      </c>
    </row>
    <row r="339" spans="1:10" ht="36">
      <c r="A339" s="39" t="s">
        <v>520</v>
      </c>
      <c r="B339" s="40" t="s">
        <v>130</v>
      </c>
      <c r="C339" s="40" t="s">
        <v>29</v>
      </c>
      <c r="D339" s="39" t="s">
        <v>131</v>
      </c>
      <c r="E339" s="40" t="s">
        <v>60</v>
      </c>
      <c r="F339" s="41">
        <v>45.38</v>
      </c>
      <c r="G339" s="41">
        <v>472.74</v>
      </c>
      <c r="H339" s="41">
        <v>17.57</v>
      </c>
      <c r="I339" s="41">
        <v>555.79999999999995</v>
      </c>
      <c r="J339" s="41">
        <v>25222.2</v>
      </c>
    </row>
    <row r="340" spans="1:10" ht="36">
      <c r="A340" s="39" t="s">
        <v>521</v>
      </c>
      <c r="B340" s="40" t="s">
        <v>522</v>
      </c>
      <c r="C340" s="40" t="s">
        <v>18</v>
      </c>
      <c r="D340" s="39" t="s">
        <v>523</v>
      </c>
      <c r="E340" s="40" t="s">
        <v>183</v>
      </c>
      <c r="F340" s="41">
        <v>162.16</v>
      </c>
      <c r="G340" s="41">
        <v>65.25</v>
      </c>
      <c r="H340" s="41">
        <v>17.57</v>
      </c>
      <c r="I340" s="41">
        <v>76.709999999999994</v>
      </c>
      <c r="J340" s="41">
        <v>12439.29</v>
      </c>
    </row>
    <row r="341" spans="1:10" ht="24">
      <c r="A341" s="39" t="s">
        <v>524</v>
      </c>
      <c r="B341" s="40" t="s">
        <v>133</v>
      </c>
      <c r="C341" s="40" t="s">
        <v>29</v>
      </c>
      <c r="D341" s="39" t="s">
        <v>134</v>
      </c>
      <c r="E341" s="40" t="s">
        <v>60</v>
      </c>
      <c r="F341" s="41">
        <v>33.54</v>
      </c>
      <c r="G341" s="41">
        <v>436.13</v>
      </c>
      <c r="H341" s="41">
        <v>17.57</v>
      </c>
      <c r="I341" s="41">
        <v>512.76</v>
      </c>
      <c r="J341" s="41">
        <v>17197.97</v>
      </c>
    </row>
    <row r="342" spans="1:10" ht="36">
      <c r="A342" s="39" t="s">
        <v>525</v>
      </c>
      <c r="B342" s="40" t="s">
        <v>136</v>
      </c>
      <c r="C342" s="40" t="s">
        <v>29</v>
      </c>
      <c r="D342" s="39" t="s">
        <v>137</v>
      </c>
      <c r="E342" s="40" t="s">
        <v>138</v>
      </c>
      <c r="F342" s="41">
        <v>2108.23</v>
      </c>
      <c r="G342" s="41">
        <v>15.14</v>
      </c>
      <c r="H342" s="41">
        <v>17.57</v>
      </c>
      <c r="I342" s="41">
        <v>17.8</v>
      </c>
      <c r="J342" s="41">
        <v>37526.49</v>
      </c>
    </row>
    <row r="343" spans="1:10" ht="48">
      <c r="A343" s="39" t="s">
        <v>526</v>
      </c>
      <c r="B343" s="40" t="s">
        <v>140</v>
      </c>
      <c r="C343" s="40" t="s">
        <v>18</v>
      </c>
      <c r="D343" s="39" t="s">
        <v>141</v>
      </c>
      <c r="E343" s="40" t="s">
        <v>20</v>
      </c>
      <c r="F343" s="41">
        <v>152.59</v>
      </c>
      <c r="G343" s="41">
        <v>1.1000000000000001</v>
      </c>
      <c r="H343" s="41">
        <v>17.57</v>
      </c>
      <c r="I343" s="41">
        <v>1.29</v>
      </c>
      <c r="J343" s="41">
        <v>196.84</v>
      </c>
    </row>
    <row r="344" spans="1:10" ht="36">
      <c r="A344" s="39" t="s">
        <v>527</v>
      </c>
      <c r="B344" s="40" t="s">
        <v>143</v>
      </c>
      <c r="C344" s="40" t="s">
        <v>29</v>
      </c>
      <c r="D344" s="39" t="s">
        <v>144</v>
      </c>
      <c r="E344" s="40" t="s">
        <v>20</v>
      </c>
      <c r="F344" s="41">
        <v>203.45</v>
      </c>
      <c r="G344" s="41">
        <v>105.62</v>
      </c>
      <c r="H344" s="41">
        <v>17.57</v>
      </c>
      <c r="I344" s="41">
        <v>124.18</v>
      </c>
      <c r="J344" s="41">
        <v>25264.42</v>
      </c>
    </row>
    <row r="345" spans="1:10" ht="36">
      <c r="A345" s="39" t="s">
        <v>528</v>
      </c>
      <c r="B345" s="40" t="s">
        <v>146</v>
      </c>
      <c r="C345" s="40" t="s">
        <v>29</v>
      </c>
      <c r="D345" s="39" t="s">
        <v>147</v>
      </c>
      <c r="E345" s="40" t="s">
        <v>20</v>
      </c>
      <c r="F345" s="41">
        <v>203.45</v>
      </c>
      <c r="G345" s="41">
        <v>4.0999999999999996</v>
      </c>
      <c r="H345" s="41">
        <v>17.57</v>
      </c>
      <c r="I345" s="41">
        <v>4.82</v>
      </c>
      <c r="J345" s="41">
        <v>980.63</v>
      </c>
    </row>
    <row r="346" spans="1:10" ht="48">
      <c r="A346" s="39" t="s">
        <v>529</v>
      </c>
      <c r="B346" s="40" t="s">
        <v>149</v>
      </c>
      <c r="C346" s="40" t="s">
        <v>29</v>
      </c>
      <c r="D346" s="39" t="s">
        <v>150</v>
      </c>
      <c r="E346" s="40" t="s">
        <v>20</v>
      </c>
      <c r="F346" s="41">
        <v>203.45</v>
      </c>
      <c r="G346" s="41">
        <v>24.83</v>
      </c>
      <c r="H346" s="41">
        <v>17.57</v>
      </c>
      <c r="I346" s="41">
        <v>29.19</v>
      </c>
      <c r="J346" s="41">
        <v>5938.71</v>
      </c>
    </row>
    <row r="347" spans="1:10" ht="24">
      <c r="A347" s="39" t="s">
        <v>530</v>
      </c>
      <c r="B347" s="40" t="s">
        <v>152</v>
      </c>
      <c r="C347" s="40" t="s">
        <v>29</v>
      </c>
      <c r="D347" s="39" t="s">
        <v>153</v>
      </c>
      <c r="E347" s="40" t="s">
        <v>60</v>
      </c>
      <c r="F347" s="41">
        <v>21.64</v>
      </c>
      <c r="G347" s="41">
        <v>469.42</v>
      </c>
      <c r="H347" s="41">
        <v>17.57</v>
      </c>
      <c r="I347" s="41">
        <v>551.9</v>
      </c>
      <c r="J347" s="41">
        <v>11943.12</v>
      </c>
    </row>
    <row r="348" spans="1:10" ht="24">
      <c r="A348" s="39" t="s">
        <v>531</v>
      </c>
      <c r="B348" s="40" t="s">
        <v>155</v>
      </c>
      <c r="C348" s="40" t="s">
        <v>18</v>
      </c>
      <c r="D348" s="39" t="s">
        <v>156</v>
      </c>
      <c r="E348" s="40" t="s">
        <v>60</v>
      </c>
      <c r="F348" s="41">
        <v>100.56</v>
      </c>
      <c r="G348" s="41">
        <v>129.79</v>
      </c>
      <c r="H348" s="41">
        <v>17.57</v>
      </c>
      <c r="I348" s="41">
        <v>152.59</v>
      </c>
      <c r="J348" s="41">
        <v>15344.45</v>
      </c>
    </row>
    <row r="349" spans="1:10" ht="20.100000000000001" customHeight="1">
      <c r="A349" s="37" t="s">
        <v>532</v>
      </c>
      <c r="B349" s="521" t="s">
        <v>158</v>
      </c>
      <c r="C349" s="521"/>
      <c r="D349" s="521"/>
      <c r="E349" s="521"/>
      <c r="F349" s="521"/>
      <c r="G349" s="521"/>
      <c r="H349" s="521"/>
      <c r="I349" s="521"/>
      <c r="J349" s="38">
        <v>4289.16</v>
      </c>
    </row>
    <row r="350" spans="1:10">
      <c r="A350" s="39" t="s">
        <v>533</v>
      </c>
      <c r="B350" s="40" t="s">
        <v>534</v>
      </c>
      <c r="C350" s="40" t="s">
        <v>161</v>
      </c>
      <c r="D350" s="39" t="s">
        <v>535</v>
      </c>
      <c r="E350" s="40" t="s">
        <v>163</v>
      </c>
      <c r="F350" s="41">
        <v>1.2</v>
      </c>
      <c r="G350" s="41">
        <v>355.35</v>
      </c>
      <c r="H350" s="41">
        <v>17.57</v>
      </c>
      <c r="I350" s="41">
        <v>417.78</v>
      </c>
      <c r="J350" s="41">
        <v>501.34</v>
      </c>
    </row>
    <row r="351" spans="1:10">
      <c r="A351" s="39" t="s">
        <v>536</v>
      </c>
      <c r="B351" s="40" t="s">
        <v>160</v>
      </c>
      <c r="C351" s="40" t="s">
        <v>161</v>
      </c>
      <c r="D351" s="39" t="s">
        <v>162</v>
      </c>
      <c r="E351" s="40" t="s">
        <v>163</v>
      </c>
      <c r="F351" s="41">
        <v>3.6</v>
      </c>
      <c r="G351" s="41">
        <v>347.25</v>
      </c>
      <c r="H351" s="41">
        <v>17.57</v>
      </c>
      <c r="I351" s="41">
        <v>408.26</v>
      </c>
      <c r="J351" s="41">
        <v>1469.74</v>
      </c>
    </row>
    <row r="352" spans="1:10" ht="24">
      <c r="A352" s="39" t="s">
        <v>537</v>
      </c>
      <c r="B352" s="40" t="s">
        <v>165</v>
      </c>
      <c r="C352" s="40" t="s">
        <v>161</v>
      </c>
      <c r="D352" s="39" t="s">
        <v>166</v>
      </c>
      <c r="E352" s="40" t="s">
        <v>167</v>
      </c>
      <c r="F352" s="41">
        <v>10</v>
      </c>
      <c r="G352" s="41">
        <v>121.48</v>
      </c>
      <c r="H352" s="41">
        <v>17.57</v>
      </c>
      <c r="I352" s="41">
        <v>142.82</v>
      </c>
      <c r="J352" s="41">
        <v>1428.2</v>
      </c>
    </row>
    <row r="353" spans="1:10" ht="24">
      <c r="A353" s="39" t="s">
        <v>538</v>
      </c>
      <c r="B353" s="40" t="s">
        <v>169</v>
      </c>
      <c r="C353" s="40" t="s">
        <v>18</v>
      </c>
      <c r="D353" s="39" t="s">
        <v>170</v>
      </c>
      <c r="E353" s="40" t="s">
        <v>171</v>
      </c>
      <c r="F353" s="41">
        <v>4</v>
      </c>
      <c r="G353" s="41">
        <v>156.33000000000001</v>
      </c>
      <c r="H353" s="41">
        <v>17.57</v>
      </c>
      <c r="I353" s="41">
        <v>183.8</v>
      </c>
      <c r="J353" s="41">
        <v>735.2</v>
      </c>
    </row>
    <row r="354" spans="1:10" ht="24">
      <c r="A354" s="39" t="s">
        <v>539</v>
      </c>
      <c r="B354" s="40" t="s">
        <v>540</v>
      </c>
      <c r="C354" s="40" t="s">
        <v>18</v>
      </c>
      <c r="D354" s="39" t="s">
        <v>541</v>
      </c>
      <c r="E354" s="40" t="s">
        <v>20</v>
      </c>
      <c r="F354" s="41">
        <v>6.48</v>
      </c>
      <c r="G354" s="41">
        <v>20.3</v>
      </c>
      <c r="H354" s="41">
        <v>17.57</v>
      </c>
      <c r="I354" s="41">
        <v>23.87</v>
      </c>
      <c r="J354" s="41">
        <v>154.68</v>
      </c>
    </row>
    <row r="355" spans="1:10" ht="20.100000000000001" customHeight="1">
      <c r="A355" s="37" t="s">
        <v>542</v>
      </c>
      <c r="B355" s="521" t="s">
        <v>185</v>
      </c>
      <c r="C355" s="521"/>
      <c r="D355" s="521"/>
      <c r="E355" s="521"/>
      <c r="F355" s="521"/>
      <c r="G355" s="521"/>
      <c r="H355" s="521"/>
      <c r="I355" s="521"/>
      <c r="J355" s="38">
        <v>232848.73</v>
      </c>
    </row>
    <row r="356" spans="1:10" ht="48">
      <c r="A356" s="39" t="s">
        <v>543</v>
      </c>
      <c r="B356" s="40" t="s">
        <v>187</v>
      </c>
      <c r="C356" s="40" t="s">
        <v>29</v>
      </c>
      <c r="D356" s="39" t="s">
        <v>188</v>
      </c>
      <c r="E356" s="40" t="s">
        <v>31</v>
      </c>
      <c r="F356" s="41">
        <v>6</v>
      </c>
      <c r="G356" s="41">
        <v>830</v>
      </c>
      <c r="H356" s="41">
        <v>10.07</v>
      </c>
      <c r="I356" s="41">
        <v>913.58</v>
      </c>
      <c r="J356" s="41">
        <v>5481.48</v>
      </c>
    </row>
    <row r="357" spans="1:10" ht="36">
      <c r="A357" s="39" t="s">
        <v>544</v>
      </c>
      <c r="B357" s="40" t="s">
        <v>190</v>
      </c>
      <c r="C357" s="40" t="s">
        <v>29</v>
      </c>
      <c r="D357" s="39" t="s">
        <v>191</v>
      </c>
      <c r="E357" s="40" t="s">
        <v>31</v>
      </c>
      <c r="F357" s="41">
        <v>6</v>
      </c>
      <c r="G357" s="41">
        <v>648.42999999999995</v>
      </c>
      <c r="H357" s="41">
        <v>10.07</v>
      </c>
      <c r="I357" s="41">
        <v>713.73</v>
      </c>
      <c r="J357" s="41">
        <v>4282.38</v>
      </c>
    </row>
    <row r="358" spans="1:10" ht="48">
      <c r="A358" s="39" t="s">
        <v>545</v>
      </c>
      <c r="B358" s="40" t="s">
        <v>546</v>
      </c>
      <c r="C358" s="40" t="s">
        <v>29</v>
      </c>
      <c r="D358" s="39" t="s">
        <v>547</v>
      </c>
      <c r="E358" s="40" t="s">
        <v>20</v>
      </c>
      <c r="F358" s="41">
        <v>2231.6</v>
      </c>
      <c r="G358" s="41">
        <v>49</v>
      </c>
      <c r="H358" s="41">
        <v>10.07</v>
      </c>
      <c r="I358" s="41">
        <v>53.93</v>
      </c>
      <c r="J358" s="41">
        <v>120350.19</v>
      </c>
    </row>
    <row r="359" spans="1:10" ht="48">
      <c r="A359" s="39" t="s">
        <v>548</v>
      </c>
      <c r="B359" s="40" t="s">
        <v>549</v>
      </c>
      <c r="C359" s="40" t="s">
        <v>29</v>
      </c>
      <c r="D359" s="39" t="s">
        <v>550</v>
      </c>
      <c r="E359" s="40" t="s">
        <v>20</v>
      </c>
      <c r="F359" s="41">
        <v>815.39</v>
      </c>
      <c r="G359" s="41">
        <v>53.92</v>
      </c>
      <c r="H359" s="41">
        <v>10.07</v>
      </c>
      <c r="I359" s="41">
        <v>59.35</v>
      </c>
      <c r="J359" s="41">
        <v>48393.4</v>
      </c>
    </row>
    <row r="360" spans="1:10" ht="24">
      <c r="A360" s="39" t="s">
        <v>551</v>
      </c>
      <c r="B360" s="40" t="s">
        <v>197</v>
      </c>
      <c r="C360" s="40" t="s">
        <v>18</v>
      </c>
      <c r="D360" s="39" t="s">
        <v>198</v>
      </c>
      <c r="E360" s="40" t="s">
        <v>44</v>
      </c>
      <c r="F360" s="41">
        <v>610.41</v>
      </c>
      <c r="G360" s="41">
        <v>56.1</v>
      </c>
      <c r="H360" s="41">
        <v>10.07</v>
      </c>
      <c r="I360" s="41">
        <v>61.75</v>
      </c>
      <c r="J360" s="41">
        <v>37692.82</v>
      </c>
    </row>
    <row r="361" spans="1:10" ht="36">
      <c r="A361" s="39" t="s">
        <v>552</v>
      </c>
      <c r="B361" s="40" t="s">
        <v>212</v>
      </c>
      <c r="C361" s="40" t="s">
        <v>29</v>
      </c>
      <c r="D361" s="39" t="s">
        <v>213</v>
      </c>
      <c r="E361" s="40" t="s">
        <v>20</v>
      </c>
      <c r="F361" s="41">
        <v>160.22</v>
      </c>
      <c r="G361" s="41">
        <v>94.4</v>
      </c>
      <c r="H361" s="41">
        <v>10.07</v>
      </c>
      <c r="I361" s="41">
        <v>103.91</v>
      </c>
      <c r="J361" s="41">
        <v>16648.46</v>
      </c>
    </row>
    <row r="362" spans="1:10" ht="20.100000000000001" customHeight="1">
      <c r="A362" s="37" t="s">
        <v>553</v>
      </c>
      <c r="B362" s="521" t="s">
        <v>554</v>
      </c>
      <c r="C362" s="521"/>
      <c r="D362" s="521"/>
      <c r="E362" s="521"/>
      <c r="F362" s="521"/>
      <c r="G362" s="521"/>
      <c r="H362" s="521"/>
      <c r="I362" s="521"/>
      <c r="J362" s="38">
        <v>339989.1</v>
      </c>
    </row>
    <row r="363" spans="1:10" ht="20.100000000000001" customHeight="1">
      <c r="A363" s="37" t="s">
        <v>555</v>
      </c>
      <c r="B363" s="521" t="s">
        <v>15</v>
      </c>
      <c r="C363" s="521"/>
      <c r="D363" s="521"/>
      <c r="E363" s="521"/>
      <c r="F363" s="521"/>
      <c r="G363" s="521"/>
      <c r="H363" s="521"/>
      <c r="I363" s="521"/>
      <c r="J363" s="38">
        <v>6960.06</v>
      </c>
    </row>
    <row r="364" spans="1:10" ht="24">
      <c r="A364" s="39" t="s">
        <v>556</v>
      </c>
      <c r="B364" s="40" t="s">
        <v>17</v>
      </c>
      <c r="C364" s="40" t="s">
        <v>18</v>
      </c>
      <c r="D364" s="39" t="s">
        <v>19</v>
      </c>
      <c r="E364" s="40" t="s">
        <v>20</v>
      </c>
      <c r="F364" s="41">
        <v>8</v>
      </c>
      <c r="G364" s="41">
        <v>564.99</v>
      </c>
      <c r="H364" s="41">
        <v>17.57</v>
      </c>
      <c r="I364" s="41">
        <v>664.26</v>
      </c>
      <c r="J364" s="41">
        <v>5314.08</v>
      </c>
    </row>
    <row r="365" spans="1:10" ht="24">
      <c r="A365" s="39" t="s">
        <v>557</v>
      </c>
      <c r="B365" s="40" t="s">
        <v>22</v>
      </c>
      <c r="C365" s="40" t="s">
        <v>18</v>
      </c>
      <c r="D365" s="39" t="s">
        <v>23</v>
      </c>
      <c r="E365" s="40" t="s">
        <v>24</v>
      </c>
      <c r="F365" s="41">
        <v>2</v>
      </c>
      <c r="G365" s="41">
        <v>700</v>
      </c>
      <c r="H365" s="41">
        <v>17.57</v>
      </c>
      <c r="I365" s="41">
        <v>822.99</v>
      </c>
      <c r="J365" s="41">
        <v>1645.98</v>
      </c>
    </row>
    <row r="366" spans="1:10" ht="20.100000000000001" customHeight="1">
      <c r="A366" s="37" t="s">
        <v>558</v>
      </c>
      <c r="B366" s="521" t="s">
        <v>26</v>
      </c>
      <c r="C366" s="521"/>
      <c r="D366" s="521"/>
      <c r="E366" s="521"/>
      <c r="F366" s="521"/>
      <c r="G366" s="521"/>
      <c r="H366" s="521"/>
      <c r="I366" s="521"/>
      <c r="J366" s="38">
        <v>12787.84</v>
      </c>
    </row>
    <row r="367" spans="1:10" ht="24">
      <c r="A367" s="39" t="s">
        <v>559</v>
      </c>
      <c r="B367" s="40" t="s">
        <v>28</v>
      </c>
      <c r="C367" s="40" t="s">
        <v>29</v>
      </c>
      <c r="D367" s="39" t="s">
        <v>30</v>
      </c>
      <c r="E367" s="40" t="s">
        <v>31</v>
      </c>
      <c r="F367" s="41">
        <v>0.25</v>
      </c>
      <c r="G367" s="41">
        <v>16819.14</v>
      </c>
      <c r="H367" s="41">
        <v>17.57</v>
      </c>
      <c r="I367" s="41">
        <v>19774.259999999998</v>
      </c>
      <c r="J367" s="41">
        <v>4943.57</v>
      </c>
    </row>
    <row r="368" spans="1:10" ht="24">
      <c r="A368" s="39" t="s">
        <v>560</v>
      </c>
      <c r="B368" s="40" t="s">
        <v>33</v>
      </c>
      <c r="C368" s="40" t="s">
        <v>29</v>
      </c>
      <c r="D368" s="39" t="s">
        <v>34</v>
      </c>
      <c r="E368" s="40" t="s">
        <v>31</v>
      </c>
      <c r="F368" s="41">
        <v>1</v>
      </c>
      <c r="G368" s="41">
        <v>6672</v>
      </c>
      <c r="H368" s="41">
        <v>17.57</v>
      </c>
      <c r="I368" s="41">
        <v>7844.27</v>
      </c>
      <c r="J368" s="41">
        <v>7844.27</v>
      </c>
    </row>
    <row r="369" spans="1:10" ht="20.100000000000001" customHeight="1">
      <c r="A369" s="37" t="s">
        <v>561</v>
      </c>
      <c r="B369" s="521" t="s">
        <v>36</v>
      </c>
      <c r="C369" s="521"/>
      <c r="D369" s="521"/>
      <c r="E369" s="521"/>
      <c r="F369" s="521"/>
      <c r="G369" s="521"/>
      <c r="H369" s="521"/>
      <c r="I369" s="521"/>
      <c r="J369" s="38">
        <v>4462.5600000000004</v>
      </c>
    </row>
    <row r="370" spans="1:10">
      <c r="A370" s="39" t="s">
        <v>562</v>
      </c>
      <c r="B370" s="40" t="s">
        <v>38</v>
      </c>
      <c r="C370" s="40" t="s">
        <v>29</v>
      </c>
      <c r="D370" s="39" t="s">
        <v>39</v>
      </c>
      <c r="E370" s="40" t="s">
        <v>40</v>
      </c>
      <c r="F370" s="41">
        <v>179.37</v>
      </c>
      <c r="G370" s="41">
        <v>0.49</v>
      </c>
      <c r="H370" s="41">
        <v>17.57</v>
      </c>
      <c r="I370" s="41">
        <v>0.57999999999999996</v>
      </c>
      <c r="J370" s="41">
        <v>104.03</v>
      </c>
    </row>
    <row r="371" spans="1:10" ht="24">
      <c r="A371" s="39" t="s">
        <v>563</v>
      </c>
      <c r="B371" s="40" t="s">
        <v>42</v>
      </c>
      <c r="C371" s="40" t="s">
        <v>18</v>
      </c>
      <c r="D371" s="39" t="s">
        <v>43</v>
      </c>
      <c r="E371" s="40" t="s">
        <v>44</v>
      </c>
      <c r="F371" s="41">
        <v>15.02</v>
      </c>
      <c r="G371" s="41">
        <v>212.24</v>
      </c>
      <c r="H371" s="41">
        <v>17.57</v>
      </c>
      <c r="I371" s="41">
        <v>249.53</v>
      </c>
      <c r="J371" s="41">
        <v>3747.94</v>
      </c>
    </row>
    <row r="372" spans="1:10" ht="48">
      <c r="A372" s="39" t="s">
        <v>564</v>
      </c>
      <c r="B372" s="40" t="s">
        <v>49</v>
      </c>
      <c r="C372" s="40" t="s">
        <v>18</v>
      </c>
      <c r="D372" s="39" t="s">
        <v>50</v>
      </c>
      <c r="E372" s="40" t="s">
        <v>44</v>
      </c>
      <c r="F372" s="41">
        <v>18.78</v>
      </c>
      <c r="G372" s="41">
        <v>2.9</v>
      </c>
      <c r="H372" s="41">
        <v>17.57</v>
      </c>
      <c r="I372" s="41">
        <v>3.41</v>
      </c>
      <c r="J372" s="41">
        <v>64.040000000000006</v>
      </c>
    </row>
    <row r="373" spans="1:10" ht="36">
      <c r="A373" s="39" t="s">
        <v>565</v>
      </c>
      <c r="B373" s="40" t="s">
        <v>52</v>
      </c>
      <c r="C373" s="40" t="s">
        <v>29</v>
      </c>
      <c r="D373" s="39" t="s">
        <v>53</v>
      </c>
      <c r="E373" s="40" t="s">
        <v>54</v>
      </c>
      <c r="F373" s="41">
        <v>204.7</v>
      </c>
      <c r="G373" s="41">
        <v>2.27</v>
      </c>
      <c r="H373" s="41">
        <v>17.57</v>
      </c>
      <c r="I373" s="41">
        <v>2.67</v>
      </c>
      <c r="J373" s="41">
        <v>546.54999999999995</v>
      </c>
    </row>
    <row r="374" spans="1:10" ht="20.100000000000001" customHeight="1">
      <c r="A374" s="37" t="s">
        <v>566</v>
      </c>
      <c r="B374" s="521" t="s">
        <v>444</v>
      </c>
      <c r="C374" s="521"/>
      <c r="D374" s="521"/>
      <c r="E374" s="521"/>
      <c r="F374" s="521"/>
      <c r="G374" s="521"/>
      <c r="H374" s="521"/>
      <c r="I374" s="521"/>
      <c r="J374" s="38">
        <v>34942.160000000003</v>
      </c>
    </row>
    <row r="375" spans="1:10" ht="24">
      <c r="A375" s="39" t="s">
        <v>567</v>
      </c>
      <c r="B375" s="40" t="s">
        <v>58</v>
      </c>
      <c r="C375" s="40" t="s">
        <v>18</v>
      </c>
      <c r="D375" s="39" t="s">
        <v>59</v>
      </c>
      <c r="E375" s="40" t="s">
        <v>60</v>
      </c>
      <c r="F375" s="41">
        <v>799.75</v>
      </c>
      <c r="G375" s="41">
        <v>2.59</v>
      </c>
      <c r="H375" s="41">
        <v>17.57</v>
      </c>
      <c r="I375" s="41">
        <v>3.05</v>
      </c>
      <c r="J375" s="41">
        <v>2439.2399999999998</v>
      </c>
    </row>
    <row r="376" spans="1:10" ht="48">
      <c r="A376" s="39" t="s">
        <v>568</v>
      </c>
      <c r="B376" s="40" t="s">
        <v>49</v>
      </c>
      <c r="C376" s="40" t="s">
        <v>18</v>
      </c>
      <c r="D376" s="39" t="s">
        <v>50</v>
      </c>
      <c r="E376" s="40" t="s">
        <v>44</v>
      </c>
      <c r="F376" s="41">
        <v>999.69</v>
      </c>
      <c r="G376" s="41">
        <v>2.9</v>
      </c>
      <c r="H376" s="41">
        <v>17.57</v>
      </c>
      <c r="I376" s="41">
        <v>3.41</v>
      </c>
      <c r="J376" s="41">
        <v>3408.94</v>
      </c>
    </row>
    <row r="377" spans="1:10" ht="36">
      <c r="A377" s="39" t="s">
        <v>569</v>
      </c>
      <c r="B377" s="40" t="s">
        <v>52</v>
      </c>
      <c r="C377" s="40" t="s">
        <v>29</v>
      </c>
      <c r="D377" s="39" t="s">
        <v>53</v>
      </c>
      <c r="E377" s="40" t="s">
        <v>54</v>
      </c>
      <c r="F377" s="41">
        <v>10896.62</v>
      </c>
      <c r="G377" s="41">
        <v>2.27</v>
      </c>
      <c r="H377" s="41">
        <v>17.57</v>
      </c>
      <c r="I377" s="41">
        <v>2.67</v>
      </c>
      <c r="J377" s="41">
        <v>29093.98</v>
      </c>
    </row>
    <row r="378" spans="1:10" ht="20.100000000000001" customHeight="1">
      <c r="A378" s="37" t="s">
        <v>570</v>
      </c>
      <c r="B378" s="521" t="s">
        <v>11</v>
      </c>
      <c r="C378" s="521"/>
      <c r="D378" s="521"/>
      <c r="E378" s="521"/>
      <c r="F378" s="521"/>
      <c r="G378" s="521"/>
      <c r="H378" s="521"/>
      <c r="I378" s="521"/>
      <c r="J378" s="38">
        <v>103277.81</v>
      </c>
    </row>
    <row r="379" spans="1:10" ht="24">
      <c r="A379" s="39" t="s">
        <v>571</v>
      </c>
      <c r="B379" s="40" t="s">
        <v>65</v>
      </c>
      <c r="C379" s="40" t="s">
        <v>29</v>
      </c>
      <c r="D379" s="39" t="s">
        <v>66</v>
      </c>
      <c r="E379" s="40" t="s">
        <v>20</v>
      </c>
      <c r="F379" s="41">
        <v>1255.5899999999999</v>
      </c>
      <c r="G379" s="41">
        <v>2.79</v>
      </c>
      <c r="H379" s="41">
        <v>17.57</v>
      </c>
      <c r="I379" s="41">
        <v>3.28</v>
      </c>
      <c r="J379" s="41">
        <v>4118.34</v>
      </c>
    </row>
    <row r="380" spans="1:10" ht="24">
      <c r="A380" s="39" t="s">
        <v>572</v>
      </c>
      <c r="B380" s="40" t="s">
        <v>385</v>
      </c>
      <c r="C380" s="40" t="s">
        <v>18</v>
      </c>
      <c r="D380" s="39" t="s">
        <v>386</v>
      </c>
      <c r="E380" s="40" t="s">
        <v>44</v>
      </c>
      <c r="F380" s="41">
        <v>188.34</v>
      </c>
      <c r="G380" s="41">
        <v>104.33</v>
      </c>
      <c r="H380" s="41">
        <v>17.57</v>
      </c>
      <c r="I380" s="41">
        <v>122.66</v>
      </c>
      <c r="J380" s="41">
        <v>23101.78</v>
      </c>
    </row>
    <row r="381" spans="1:10" ht="24">
      <c r="A381" s="39" t="s">
        <v>573</v>
      </c>
      <c r="B381" s="40" t="s">
        <v>68</v>
      </c>
      <c r="C381" s="40" t="s">
        <v>18</v>
      </c>
      <c r="D381" s="39" t="s">
        <v>69</v>
      </c>
      <c r="E381" s="40" t="s">
        <v>70</v>
      </c>
      <c r="F381" s="41">
        <v>188.34</v>
      </c>
      <c r="G381" s="41">
        <v>11.4</v>
      </c>
      <c r="H381" s="41">
        <v>17.57</v>
      </c>
      <c r="I381" s="41">
        <v>13.4</v>
      </c>
      <c r="J381" s="41">
        <v>2523.7600000000002</v>
      </c>
    </row>
    <row r="382" spans="1:10" ht="36">
      <c r="A382" s="39" t="s">
        <v>574</v>
      </c>
      <c r="B382" s="40" t="s">
        <v>72</v>
      </c>
      <c r="C382" s="40" t="s">
        <v>18</v>
      </c>
      <c r="D382" s="39" t="s">
        <v>73</v>
      </c>
      <c r="E382" s="40" t="s">
        <v>60</v>
      </c>
      <c r="F382" s="41">
        <v>215.24</v>
      </c>
      <c r="G382" s="41">
        <v>14.44</v>
      </c>
      <c r="H382" s="41">
        <v>17.57</v>
      </c>
      <c r="I382" s="41">
        <v>16.98</v>
      </c>
      <c r="J382" s="41">
        <v>3654.78</v>
      </c>
    </row>
    <row r="383" spans="1:10" ht="48">
      <c r="A383" s="39" t="s">
        <v>575</v>
      </c>
      <c r="B383" s="40" t="s">
        <v>49</v>
      </c>
      <c r="C383" s="40" t="s">
        <v>18</v>
      </c>
      <c r="D383" s="39" t="s">
        <v>50</v>
      </c>
      <c r="E383" s="40" t="s">
        <v>44</v>
      </c>
      <c r="F383" s="41">
        <v>504.48</v>
      </c>
      <c r="G383" s="41">
        <v>2.9</v>
      </c>
      <c r="H383" s="41">
        <v>17.57</v>
      </c>
      <c r="I383" s="41">
        <v>3.41</v>
      </c>
      <c r="J383" s="41">
        <v>1720.28</v>
      </c>
    </row>
    <row r="384" spans="1:10" ht="24">
      <c r="A384" s="39" t="s">
        <v>576</v>
      </c>
      <c r="B384" s="40" t="s">
        <v>76</v>
      </c>
      <c r="C384" s="40" t="s">
        <v>18</v>
      </c>
      <c r="D384" s="39" t="s">
        <v>77</v>
      </c>
      <c r="E384" s="40" t="s">
        <v>78</v>
      </c>
      <c r="F384" s="41">
        <v>7668.1</v>
      </c>
      <c r="G384" s="41">
        <v>1.37</v>
      </c>
      <c r="H384" s="41">
        <v>17.57</v>
      </c>
      <c r="I384" s="41">
        <v>1.61</v>
      </c>
      <c r="J384" s="41">
        <v>12345.64</v>
      </c>
    </row>
    <row r="385" spans="1:10" ht="24">
      <c r="A385" s="39" t="s">
        <v>577</v>
      </c>
      <c r="B385" s="40" t="s">
        <v>80</v>
      </c>
      <c r="C385" s="40" t="s">
        <v>18</v>
      </c>
      <c r="D385" s="39" t="s">
        <v>81</v>
      </c>
      <c r="E385" s="40" t="s">
        <v>20</v>
      </c>
      <c r="F385" s="41">
        <v>1196.9100000000001</v>
      </c>
      <c r="G385" s="41">
        <v>1.24</v>
      </c>
      <c r="H385" s="41">
        <v>17.57</v>
      </c>
      <c r="I385" s="41">
        <v>1.46</v>
      </c>
      <c r="J385" s="41">
        <v>1747.49</v>
      </c>
    </row>
    <row r="386" spans="1:10" ht="36">
      <c r="A386" s="39" t="s">
        <v>578</v>
      </c>
      <c r="B386" s="40" t="s">
        <v>83</v>
      </c>
      <c r="C386" s="40" t="s">
        <v>18</v>
      </c>
      <c r="D386" s="39" t="s">
        <v>84</v>
      </c>
      <c r="E386" s="40" t="s">
        <v>60</v>
      </c>
      <c r="F386" s="41">
        <v>59.85</v>
      </c>
      <c r="G386" s="41">
        <v>133.37</v>
      </c>
      <c r="H386" s="41">
        <v>17.57</v>
      </c>
      <c r="I386" s="41">
        <v>156.80000000000001</v>
      </c>
      <c r="J386" s="41">
        <v>9384.48</v>
      </c>
    </row>
    <row r="387" spans="1:10" ht="36">
      <c r="A387" s="39" t="s">
        <v>579</v>
      </c>
      <c r="B387" s="40" t="s">
        <v>86</v>
      </c>
      <c r="C387" s="40" t="s">
        <v>18</v>
      </c>
      <c r="D387" s="39" t="s">
        <v>87</v>
      </c>
      <c r="E387" s="40" t="s">
        <v>44</v>
      </c>
      <c r="F387" s="41">
        <v>59.85</v>
      </c>
      <c r="G387" s="41">
        <v>7.86</v>
      </c>
      <c r="H387" s="41">
        <v>17.57</v>
      </c>
      <c r="I387" s="41">
        <v>9.24</v>
      </c>
      <c r="J387" s="41">
        <v>553.01</v>
      </c>
    </row>
    <row r="388" spans="1:10" ht="24">
      <c r="A388" s="39" t="s">
        <v>580</v>
      </c>
      <c r="B388" s="40" t="s">
        <v>89</v>
      </c>
      <c r="C388" s="40" t="s">
        <v>18</v>
      </c>
      <c r="D388" s="39" t="s">
        <v>90</v>
      </c>
      <c r="E388" s="40" t="s">
        <v>54</v>
      </c>
      <c r="F388" s="41">
        <v>389.03</v>
      </c>
      <c r="G388" s="41">
        <v>1.77</v>
      </c>
      <c r="H388" s="41">
        <v>17.57</v>
      </c>
      <c r="I388" s="41">
        <v>2.08</v>
      </c>
      <c r="J388" s="41">
        <v>809.18</v>
      </c>
    </row>
    <row r="389" spans="1:10" ht="24">
      <c r="A389" s="39" t="s">
        <v>581</v>
      </c>
      <c r="B389" s="40" t="s">
        <v>92</v>
      </c>
      <c r="C389" s="40" t="s">
        <v>18</v>
      </c>
      <c r="D389" s="39" t="s">
        <v>93</v>
      </c>
      <c r="E389" s="40" t="s">
        <v>20</v>
      </c>
      <c r="F389" s="41">
        <v>727.35</v>
      </c>
      <c r="G389" s="41">
        <v>0.65</v>
      </c>
      <c r="H389" s="41">
        <v>17.57</v>
      </c>
      <c r="I389" s="41">
        <v>0.76</v>
      </c>
      <c r="J389" s="41">
        <v>552.79</v>
      </c>
    </row>
    <row r="390" spans="1:10" ht="48">
      <c r="A390" s="39" t="s">
        <v>582</v>
      </c>
      <c r="B390" s="40" t="s">
        <v>95</v>
      </c>
      <c r="C390" s="40" t="s">
        <v>18</v>
      </c>
      <c r="D390" s="39" t="s">
        <v>96</v>
      </c>
      <c r="E390" s="40" t="s">
        <v>60</v>
      </c>
      <c r="F390" s="41">
        <v>49.14</v>
      </c>
      <c r="G390" s="41">
        <v>112.75</v>
      </c>
      <c r="H390" s="41">
        <v>17.57</v>
      </c>
      <c r="I390" s="41">
        <v>132.56</v>
      </c>
      <c r="J390" s="41">
        <v>6514</v>
      </c>
    </row>
    <row r="391" spans="1:10" ht="60">
      <c r="A391" s="39" t="s">
        <v>583</v>
      </c>
      <c r="B391" s="40" t="s">
        <v>98</v>
      </c>
      <c r="C391" s="40" t="s">
        <v>29</v>
      </c>
      <c r="D391" s="39" t="s">
        <v>99</v>
      </c>
      <c r="E391" s="40" t="s">
        <v>40</v>
      </c>
      <c r="F391" s="41">
        <v>365.51</v>
      </c>
      <c r="G391" s="41">
        <v>56.47</v>
      </c>
      <c r="H391" s="41">
        <v>17.57</v>
      </c>
      <c r="I391" s="41">
        <v>66.39</v>
      </c>
      <c r="J391" s="41">
        <v>24266.21</v>
      </c>
    </row>
    <row r="392" spans="1:10" ht="60">
      <c r="A392" s="39" t="s">
        <v>584</v>
      </c>
      <c r="B392" s="40" t="s">
        <v>101</v>
      </c>
      <c r="C392" s="40" t="s">
        <v>29</v>
      </c>
      <c r="D392" s="39" t="s">
        <v>102</v>
      </c>
      <c r="E392" s="40" t="s">
        <v>40</v>
      </c>
      <c r="F392" s="41">
        <v>47.08</v>
      </c>
      <c r="G392" s="41">
        <v>60.43</v>
      </c>
      <c r="H392" s="41">
        <v>17.57</v>
      </c>
      <c r="I392" s="41">
        <v>71.05</v>
      </c>
      <c r="J392" s="41">
        <v>3345.03</v>
      </c>
    </row>
    <row r="393" spans="1:10" ht="24">
      <c r="A393" s="39" t="s">
        <v>585</v>
      </c>
      <c r="B393" s="40" t="s">
        <v>107</v>
      </c>
      <c r="C393" s="40" t="s">
        <v>29</v>
      </c>
      <c r="D393" s="39" t="s">
        <v>108</v>
      </c>
      <c r="E393" s="40" t="s">
        <v>40</v>
      </c>
      <c r="F393" s="41">
        <v>158.91</v>
      </c>
      <c r="G393" s="41">
        <v>39.770000000000003</v>
      </c>
      <c r="H393" s="41">
        <v>17.57</v>
      </c>
      <c r="I393" s="41">
        <v>46.76</v>
      </c>
      <c r="J393" s="41">
        <v>7430.63</v>
      </c>
    </row>
    <row r="394" spans="1:10" ht="24">
      <c r="A394" s="39" t="s">
        <v>586</v>
      </c>
      <c r="B394" s="40" t="s">
        <v>110</v>
      </c>
      <c r="C394" s="40" t="s">
        <v>29</v>
      </c>
      <c r="D394" s="39" t="s">
        <v>111</v>
      </c>
      <c r="E394" s="40" t="s">
        <v>40</v>
      </c>
      <c r="F394" s="41">
        <v>20.46</v>
      </c>
      <c r="G394" s="41">
        <v>50.32</v>
      </c>
      <c r="H394" s="41">
        <v>17.57</v>
      </c>
      <c r="I394" s="41">
        <v>59.16</v>
      </c>
      <c r="J394" s="41">
        <v>1210.4100000000001</v>
      </c>
    </row>
    <row r="395" spans="1:10" ht="20.100000000000001" customHeight="1">
      <c r="A395" s="37" t="s">
        <v>587</v>
      </c>
      <c r="B395" s="521" t="s">
        <v>158</v>
      </c>
      <c r="C395" s="521"/>
      <c r="D395" s="521"/>
      <c r="E395" s="521"/>
      <c r="F395" s="521"/>
      <c r="G395" s="521"/>
      <c r="H395" s="521"/>
      <c r="I395" s="521"/>
      <c r="J395" s="38">
        <v>7733.95</v>
      </c>
    </row>
    <row r="396" spans="1:10">
      <c r="A396" s="39" t="s">
        <v>588</v>
      </c>
      <c r="B396" s="40" t="s">
        <v>534</v>
      </c>
      <c r="C396" s="40" t="s">
        <v>161</v>
      </c>
      <c r="D396" s="39" t="s">
        <v>535</v>
      </c>
      <c r="E396" s="40" t="s">
        <v>163</v>
      </c>
      <c r="F396" s="41">
        <v>3</v>
      </c>
      <c r="G396" s="41">
        <v>355.35</v>
      </c>
      <c r="H396" s="41">
        <v>17.57</v>
      </c>
      <c r="I396" s="41">
        <v>417.78</v>
      </c>
      <c r="J396" s="41">
        <v>1253.3399999999999</v>
      </c>
    </row>
    <row r="397" spans="1:10">
      <c r="A397" s="39" t="s">
        <v>589</v>
      </c>
      <c r="B397" s="40" t="s">
        <v>160</v>
      </c>
      <c r="C397" s="40" t="s">
        <v>161</v>
      </c>
      <c r="D397" s="39" t="s">
        <v>162</v>
      </c>
      <c r="E397" s="40" t="s">
        <v>163</v>
      </c>
      <c r="F397" s="41">
        <v>1.55</v>
      </c>
      <c r="G397" s="41">
        <v>347.25</v>
      </c>
      <c r="H397" s="41">
        <v>17.57</v>
      </c>
      <c r="I397" s="41">
        <v>408.26</v>
      </c>
      <c r="J397" s="41">
        <v>632.79999999999995</v>
      </c>
    </row>
    <row r="398" spans="1:10" ht="24">
      <c r="A398" s="39" t="s">
        <v>590</v>
      </c>
      <c r="B398" s="40" t="s">
        <v>165</v>
      </c>
      <c r="C398" s="40" t="s">
        <v>161</v>
      </c>
      <c r="D398" s="39" t="s">
        <v>166</v>
      </c>
      <c r="E398" s="40" t="s">
        <v>167</v>
      </c>
      <c r="F398" s="41">
        <v>9</v>
      </c>
      <c r="G398" s="41">
        <v>121.48</v>
      </c>
      <c r="H398" s="41">
        <v>17.57</v>
      </c>
      <c r="I398" s="41">
        <v>142.82</v>
      </c>
      <c r="J398" s="41">
        <v>1285.3800000000001</v>
      </c>
    </row>
    <row r="399" spans="1:10" ht="24">
      <c r="A399" s="39" t="s">
        <v>591</v>
      </c>
      <c r="B399" s="40" t="s">
        <v>169</v>
      </c>
      <c r="C399" s="40" t="s">
        <v>18</v>
      </c>
      <c r="D399" s="39" t="s">
        <v>170</v>
      </c>
      <c r="E399" s="40" t="s">
        <v>171</v>
      </c>
      <c r="F399" s="41">
        <v>2</v>
      </c>
      <c r="G399" s="41">
        <v>156.33000000000001</v>
      </c>
      <c r="H399" s="41">
        <v>17.57</v>
      </c>
      <c r="I399" s="41">
        <v>183.8</v>
      </c>
      <c r="J399" s="41">
        <v>367.6</v>
      </c>
    </row>
    <row r="400" spans="1:10" ht="48">
      <c r="A400" s="39" t="s">
        <v>592</v>
      </c>
      <c r="B400" s="40" t="s">
        <v>173</v>
      </c>
      <c r="C400" s="40" t="s">
        <v>29</v>
      </c>
      <c r="D400" s="39" t="s">
        <v>174</v>
      </c>
      <c r="E400" s="40" t="s">
        <v>40</v>
      </c>
      <c r="F400" s="41">
        <v>477.68</v>
      </c>
      <c r="G400" s="41">
        <v>5.48</v>
      </c>
      <c r="H400" s="41">
        <v>17.57</v>
      </c>
      <c r="I400" s="41">
        <v>6.44</v>
      </c>
      <c r="J400" s="41">
        <v>3076.26</v>
      </c>
    </row>
    <row r="401" spans="1:10" ht="48">
      <c r="A401" s="39" t="s">
        <v>593</v>
      </c>
      <c r="B401" s="40" t="s">
        <v>176</v>
      </c>
      <c r="C401" s="40" t="s">
        <v>29</v>
      </c>
      <c r="D401" s="39" t="s">
        <v>177</v>
      </c>
      <c r="E401" s="40" t="s">
        <v>20</v>
      </c>
      <c r="F401" s="41">
        <v>39.4</v>
      </c>
      <c r="G401" s="41">
        <v>24.15</v>
      </c>
      <c r="H401" s="41">
        <v>17.57</v>
      </c>
      <c r="I401" s="41">
        <v>28.39</v>
      </c>
      <c r="J401" s="41">
        <v>1118.57</v>
      </c>
    </row>
    <row r="402" spans="1:10" ht="20.100000000000001" customHeight="1">
      <c r="A402" s="37" t="s">
        <v>594</v>
      </c>
      <c r="B402" s="521" t="s">
        <v>179</v>
      </c>
      <c r="C402" s="521"/>
      <c r="D402" s="521"/>
      <c r="E402" s="521"/>
      <c r="F402" s="521"/>
      <c r="G402" s="521"/>
      <c r="H402" s="521"/>
      <c r="I402" s="521"/>
      <c r="J402" s="38">
        <v>3338.98</v>
      </c>
    </row>
    <row r="403" spans="1:10" ht="36">
      <c r="A403" s="39" t="s">
        <v>595</v>
      </c>
      <c r="B403" s="40" t="s">
        <v>181</v>
      </c>
      <c r="C403" s="40" t="s">
        <v>18</v>
      </c>
      <c r="D403" s="39" t="s">
        <v>182</v>
      </c>
      <c r="E403" s="40" t="s">
        <v>183</v>
      </c>
      <c r="F403" s="41">
        <v>25.28</v>
      </c>
      <c r="G403" s="41">
        <v>112.34</v>
      </c>
      <c r="H403" s="41">
        <v>17.57</v>
      </c>
      <c r="I403" s="41">
        <v>132.08000000000001</v>
      </c>
      <c r="J403" s="41">
        <v>3338.98</v>
      </c>
    </row>
    <row r="404" spans="1:10" ht="20.100000000000001" customHeight="1">
      <c r="A404" s="37" t="s">
        <v>596</v>
      </c>
      <c r="B404" s="521" t="s">
        <v>185</v>
      </c>
      <c r="C404" s="521"/>
      <c r="D404" s="521"/>
      <c r="E404" s="521"/>
      <c r="F404" s="521"/>
      <c r="G404" s="521"/>
      <c r="H404" s="521"/>
      <c r="I404" s="521"/>
      <c r="J404" s="38">
        <v>166485.74</v>
      </c>
    </row>
    <row r="405" spans="1:10" ht="48">
      <c r="A405" s="39" t="s">
        <v>597</v>
      </c>
      <c r="B405" s="40" t="s">
        <v>187</v>
      </c>
      <c r="C405" s="40" t="s">
        <v>29</v>
      </c>
      <c r="D405" s="39" t="s">
        <v>188</v>
      </c>
      <c r="E405" s="40" t="s">
        <v>31</v>
      </c>
      <c r="F405" s="41">
        <v>2</v>
      </c>
      <c r="G405" s="41">
        <v>830</v>
      </c>
      <c r="H405" s="41">
        <v>10.07</v>
      </c>
      <c r="I405" s="41">
        <v>913.58</v>
      </c>
      <c r="J405" s="41">
        <v>1827.16</v>
      </c>
    </row>
    <row r="406" spans="1:10" ht="36">
      <c r="A406" s="39" t="s">
        <v>598</v>
      </c>
      <c r="B406" s="40" t="s">
        <v>190</v>
      </c>
      <c r="C406" s="40" t="s">
        <v>29</v>
      </c>
      <c r="D406" s="39" t="s">
        <v>191</v>
      </c>
      <c r="E406" s="40" t="s">
        <v>31</v>
      </c>
      <c r="F406" s="41">
        <v>2</v>
      </c>
      <c r="G406" s="41">
        <v>648.42999999999995</v>
      </c>
      <c r="H406" s="41">
        <v>10.07</v>
      </c>
      <c r="I406" s="41">
        <v>713.73</v>
      </c>
      <c r="J406" s="41">
        <v>1427.46</v>
      </c>
    </row>
    <row r="407" spans="1:10" ht="36">
      <c r="A407" s="39" t="s">
        <v>599</v>
      </c>
      <c r="B407" s="40" t="s">
        <v>193</v>
      </c>
      <c r="C407" s="40" t="s">
        <v>29</v>
      </c>
      <c r="D407" s="39" t="s">
        <v>194</v>
      </c>
      <c r="E407" s="40" t="s">
        <v>195</v>
      </c>
      <c r="F407" s="41">
        <v>152.9</v>
      </c>
      <c r="G407" s="41">
        <v>522.5</v>
      </c>
      <c r="H407" s="41">
        <v>10.07</v>
      </c>
      <c r="I407" s="41">
        <v>575.12</v>
      </c>
      <c r="J407" s="41">
        <v>87935.85</v>
      </c>
    </row>
    <row r="408" spans="1:10" ht="24">
      <c r="A408" s="39" t="s">
        <v>600</v>
      </c>
      <c r="B408" s="40" t="s">
        <v>197</v>
      </c>
      <c r="C408" s="40" t="s">
        <v>18</v>
      </c>
      <c r="D408" s="39" t="s">
        <v>198</v>
      </c>
      <c r="E408" s="40" t="s">
        <v>44</v>
      </c>
      <c r="F408" s="41">
        <v>215.24</v>
      </c>
      <c r="G408" s="41">
        <v>56.1</v>
      </c>
      <c r="H408" s="41">
        <v>10.07</v>
      </c>
      <c r="I408" s="41">
        <v>61.75</v>
      </c>
      <c r="J408" s="41">
        <v>13291.07</v>
      </c>
    </row>
    <row r="409" spans="1:10">
      <c r="A409" s="39" t="s">
        <v>601</v>
      </c>
      <c r="B409" s="40" t="s">
        <v>200</v>
      </c>
      <c r="C409" s="40" t="s">
        <v>161</v>
      </c>
      <c r="D409" s="39" t="s">
        <v>201</v>
      </c>
      <c r="E409" s="40" t="s">
        <v>70</v>
      </c>
      <c r="F409" s="41">
        <v>237.31</v>
      </c>
      <c r="G409" s="41">
        <v>90.74</v>
      </c>
      <c r="H409" s="41">
        <v>10.07</v>
      </c>
      <c r="I409" s="41">
        <v>99.88</v>
      </c>
      <c r="J409" s="41">
        <v>23702.52</v>
      </c>
    </row>
    <row r="410" spans="1:10">
      <c r="A410" s="39" t="s">
        <v>602</v>
      </c>
      <c r="B410" s="40" t="s">
        <v>203</v>
      </c>
      <c r="C410" s="40" t="s">
        <v>161</v>
      </c>
      <c r="D410" s="39" t="s">
        <v>204</v>
      </c>
      <c r="E410" s="40" t="s">
        <v>70</v>
      </c>
      <c r="F410" s="41">
        <v>26.37</v>
      </c>
      <c r="G410" s="41">
        <v>74.53</v>
      </c>
      <c r="H410" s="41">
        <v>10.07</v>
      </c>
      <c r="I410" s="41">
        <v>82.04</v>
      </c>
      <c r="J410" s="41">
        <v>2163.39</v>
      </c>
    </row>
    <row r="411" spans="1:10" ht="24">
      <c r="A411" s="39" t="s">
        <v>603</v>
      </c>
      <c r="B411" s="40" t="s">
        <v>206</v>
      </c>
      <c r="C411" s="40" t="s">
        <v>18</v>
      </c>
      <c r="D411" s="39" t="s">
        <v>207</v>
      </c>
      <c r="E411" s="40" t="s">
        <v>138</v>
      </c>
      <c r="F411" s="41">
        <v>1436.29</v>
      </c>
      <c r="G411" s="41">
        <v>5.32</v>
      </c>
      <c r="H411" s="41">
        <v>10.07</v>
      </c>
      <c r="I411" s="41">
        <v>5.86</v>
      </c>
      <c r="J411" s="41">
        <v>8416.66</v>
      </c>
    </row>
    <row r="412" spans="1:10" ht="36">
      <c r="A412" s="39" t="s">
        <v>604</v>
      </c>
      <c r="B412" s="40" t="s">
        <v>209</v>
      </c>
      <c r="C412" s="40" t="s">
        <v>29</v>
      </c>
      <c r="D412" s="39" t="s">
        <v>210</v>
      </c>
      <c r="E412" s="40" t="s">
        <v>60</v>
      </c>
      <c r="F412" s="41">
        <v>59.61</v>
      </c>
      <c r="G412" s="41">
        <v>422.5</v>
      </c>
      <c r="H412" s="41">
        <v>10.07</v>
      </c>
      <c r="I412" s="41">
        <v>465.05</v>
      </c>
      <c r="J412" s="41">
        <v>27721.63</v>
      </c>
    </row>
    <row r="413" spans="1:10" ht="20.100000000000001" customHeight="1">
      <c r="A413" s="37" t="s">
        <v>605</v>
      </c>
      <c r="B413" s="521" t="s">
        <v>606</v>
      </c>
      <c r="C413" s="521"/>
      <c r="D413" s="521"/>
      <c r="E413" s="521"/>
      <c r="F413" s="521"/>
      <c r="G413" s="521"/>
      <c r="H413" s="521"/>
      <c r="I413" s="521"/>
      <c r="J413" s="38">
        <v>236285.57</v>
      </c>
    </row>
    <row r="414" spans="1:10" ht="20.100000000000001" customHeight="1">
      <c r="A414" s="37" t="s">
        <v>607</v>
      </c>
      <c r="B414" s="521" t="s">
        <v>15</v>
      </c>
      <c r="C414" s="521"/>
      <c r="D414" s="521"/>
      <c r="E414" s="521"/>
      <c r="F414" s="521"/>
      <c r="G414" s="521"/>
      <c r="H414" s="521"/>
      <c r="I414" s="521"/>
      <c r="J414" s="38">
        <v>6960.06</v>
      </c>
    </row>
    <row r="415" spans="1:10" ht="24">
      <c r="A415" s="39" t="s">
        <v>608</v>
      </c>
      <c r="B415" s="40" t="s">
        <v>17</v>
      </c>
      <c r="C415" s="40" t="s">
        <v>18</v>
      </c>
      <c r="D415" s="39" t="s">
        <v>19</v>
      </c>
      <c r="E415" s="40" t="s">
        <v>20</v>
      </c>
      <c r="F415" s="41">
        <v>8</v>
      </c>
      <c r="G415" s="41">
        <v>564.99</v>
      </c>
      <c r="H415" s="41">
        <v>17.57</v>
      </c>
      <c r="I415" s="41">
        <v>664.26</v>
      </c>
      <c r="J415" s="41">
        <v>5314.08</v>
      </c>
    </row>
    <row r="416" spans="1:10" ht="24">
      <c r="A416" s="39" t="s">
        <v>609</v>
      </c>
      <c r="B416" s="40" t="s">
        <v>22</v>
      </c>
      <c r="C416" s="40" t="s">
        <v>18</v>
      </c>
      <c r="D416" s="39" t="s">
        <v>23</v>
      </c>
      <c r="E416" s="40" t="s">
        <v>24</v>
      </c>
      <c r="F416" s="41">
        <v>2</v>
      </c>
      <c r="G416" s="41">
        <v>700</v>
      </c>
      <c r="H416" s="41">
        <v>17.57</v>
      </c>
      <c r="I416" s="41">
        <v>822.99</v>
      </c>
      <c r="J416" s="41">
        <v>1645.98</v>
      </c>
    </row>
    <row r="417" spans="1:10" ht="20.100000000000001" customHeight="1">
      <c r="A417" s="37" t="s">
        <v>610</v>
      </c>
      <c r="B417" s="521" t="s">
        <v>26</v>
      </c>
      <c r="C417" s="521"/>
      <c r="D417" s="521"/>
      <c r="E417" s="521"/>
      <c r="F417" s="521"/>
      <c r="G417" s="521"/>
      <c r="H417" s="521"/>
      <c r="I417" s="521"/>
      <c r="J417" s="38">
        <v>10826.77</v>
      </c>
    </row>
    <row r="418" spans="1:10" ht="24">
      <c r="A418" s="39" t="s">
        <v>611</v>
      </c>
      <c r="B418" s="40" t="s">
        <v>28</v>
      </c>
      <c r="C418" s="40" t="s">
        <v>29</v>
      </c>
      <c r="D418" s="39" t="s">
        <v>30</v>
      </c>
      <c r="E418" s="40" t="s">
        <v>31</v>
      </c>
      <c r="F418" s="41">
        <v>0.25</v>
      </c>
      <c r="G418" s="41">
        <v>16819.14</v>
      </c>
      <c r="H418" s="41">
        <v>17.57</v>
      </c>
      <c r="I418" s="41">
        <v>19774.259999999998</v>
      </c>
      <c r="J418" s="41">
        <v>4943.57</v>
      </c>
    </row>
    <row r="419" spans="1:10" ht="24">
      <c r="A419" s="39" t="s">
        <v>612</v>
      </c>
      <c r="B419" s="40" t="s">
        <v>33</v>
      </c>
      <c r="C419" s="40" t="s">
        <v>29</v>
      </c>
      <c r="D419" s="39" t="s">
        <v>34</v>
      </c>
      <c r="E419" s="40" t="s">
        <v>31</v>
      </c>
      <c r="F419" s="41">
        <v>0.75</v>
      </c>
      <c r="G419" s="41">
        <v>6672</v>
      </c>
      <c r="H419" s="41">
        <v>17.57</v>
      </c>
      <c r="I419" s="41">
        <v>7844.27</v>
      </c>
      <c r="J419" s="41">
        <v>5883.2</v>
      </c>
    </row>
    <row r="420" spans="1:10" ht="20.100000000000001" customHeight="1">
      <c r="A420" s="37" t="s">
        <v>613</v>
      </c>
      <c r="B420" s="521" t="s">
        <v>36</v>
      </c>
      <c r="C420" s="521"/>
      <c r="D420" s="521"/>
      <c r="E420" s="521"/>
      <c r="F420" s="521"/>
      <c r="G420" s="521"/>
      <c r="H420" s="521"/>
      <c r="I420" s="521"/>
      <c r="J420" s="38">
        <v>2181.81</v>
      </c>
    </row>
    <row r="421" spans="1:10">
      <c r="A421" s="39" t="s">
        <v>614</v>
      </c>
      <c r="B421" s="40" t="s">
        <v>38</v>
      </c>
      <c r="C421" s="40" t="s">
        <v>29</v>
      </c>
      <c r="D421" s="39" t="s">
        <v>39</v>
      </c>
      <c r="E421" s="40" t="s">
        <v>40</v>
      </c>
      <c r="F421" s="41">
        <v>116.97</v>
      </c>
      <c r="G421" s="41">
        <v>0.49</v>
      </c>
      <c r="H421" s="41">
        <v>17.57</v>
      </c>
      <c r="I421" s="41">
        <v>0.57999999999999996</v>
      </c>
      <c r="J421" s="41">
        <v>67.84</v>
      </c>
    </row>
    <row r="422" spans="1:10" ht="24">
      <c r="A422" s="39" t="s">
        <v>615</v>
      </c>
      <c r="B422" s="40" t="s">
        <v>42</v>
      </c>
      <c r="C422" s="40" t="s">
        <v>18</v>
      </c>
      <c r="D422" s="39" t="s">
        <v>43</v>
      </c>
      <c r="E422" s="40" t="s">
        <v>44</v>
      </c>
      <c r="F422" s="41">
        <v>7.73</v>
      </c>
      <c r="G422" s="41">
        <v>212.24</v>
      </c>
      <c r="H422" s="41">
        <v>17.57</v>
      </c>
      <c r="I422" s="41">
        <v>249.53</v>
      </c>
      <c r="J422" s="41">
        <v>1928.87</v>
      </c>
    </row>
    <row r="423" spans="1:10" ht="48">
      <c r="A423" s="39" t="s">
        <v>616</v>
      </c>
      <c r="B423" s="40" t="s">
        <v>49</v>
      </c>
      <c r="C423" s="40" t="s">
        <v>18</v>
      </c>
      <c r="D423" s="39" t="s">
        <v>50</v>
      </c>
      <c r="E423" s="40" t="s">
        <v>44</v>
      </c>
      <c r="F423" s="41">
        <v>9.66</v>
      </c>
      <c r="G423" s="41">
        <v>2.9</v>
      </c>
      <c r="H423" s="41">
        <v>17.57</v>
      </c>
      <c r="I423" s="41">
        <v>3.41</v>
      </c>
      <c r="J423" s="41">
        <v>32.94</v>
      </c>
    </row>
    <row r="424" spans="1:10" ht="36">
      <c r="A424" s="39" t="s">
        <v>617</v>
      </c>
      <c r="B424" s="40" t="s">
        <v>52</v>
      </c>
      <c r="C424" s="40" t="s">
        <v>29</v>
      </c>
      <c r="D424" s="39" t="s">
        <v>53</v>
      </c>
      <c r="E424" s="40" t="s">
        <v>54</v>
      </c>
      <c r="F424" s="41">
        <v>56.99</v>
      </c>
      <c r="G424" s="41">
        <v>2.27</v>
      </c>
      <c r="H424" s="41">
        <v>17.57</v>
      </c>
      <c r="I424" s="41">
        <v>2.67</v>
      </c>
      <c r="J424" s="41">
        <v>152.16</v>
      </c>
    </row>
    <row r="425" spans="1:10" ht="20.100000000000001" customHeight="1">
      <c r="A425" s="37" t="s">
        <v>618</v>
      </c>
      <c r="B425" s="521" t="s">
        <v>444</v>
      </c>
      <c r="C425" s="521"/>
      <c r="D425" s="521"/>
      <c r="E425" s="521"/>
      <c r="F425" s="521"/>
      <c r="G425" s="521"/>
      <c r="H425" s="521"/>
      <c r="I425" s="521"/>
      <c r="J425" s="38">
        <v>15104.51</v>
      </c>
    </row>
    <row r="426" spans="1:10" ht="24">
      <c r="A426" s="39" t="s">
        <v>619</v>
      </c>
      <c r="B426" s="40" t="s">
        <v>58</v>
      </c>
      <c r="C426" s="40" t="s">
        <v>18</v>
      </c>
      <c r="D426" s="39" t="s">
        <v>59</v>
      </c>
      <c r="E426" s="40" t="s">
        <v>60</v>
      </c>
      <c r="F426" s="41">
        <v>559.36</v>
      </c>
      <c r="G426" s="41">
        <v>2.59</v>
      </c>
      <c r="H426" s="41">
        <v>17.57</v>
      </c>
      <c r="I426" s="41">
        <v>3.05</v>
      </c>
      <c r="J426" s="41">
        <v>1706.05</v>
      </c>
    </row>
    <row r="427" spans="1:10" ht="48">
      <c r="A427" s="39" t="s">
        <v>620</v>
      </c>
      <c r="B427" s="40" t="s">
        <v>49</v>
      </c>
      <c r="C427" s="40" t="s">
        <v>18</v>
      </c>
      <c r="D427" s="39" t="s">
        <v>50</v>
      </c>
      <c r="E427" s="40" t="s">
        <v>44</v>
      </c>
      <c r="F427" s="41">
        <v>699.16</v>
      </c>
      <c r="G427" s="41">
        <v>2.9</v>
      </c>
      <c r="H427" s="41">
        <v>17.57</v>
      </c>
      <c r="I427" s="41">
        <v>3.41</v>
      </c>
      <c r="J427" s="41">
        <v>2384.14</v>
      </c>
    </row>
    <row r="428" spans="1:10" ht="36">
      <c r="A428" s="39" t="s">
        <v>621</v>
      </c>
      <c r="B428" s="40" t="s">
        <v>52</v>
      </c>
      <c r="C428" s="40" t="s">
        <v>29</v>
      </c>
      <c r="D428" s="39" t="s">
        <v>53</v>
      </c>
      <c r="E428" s="40" t="s">
        <v>54</v>
      </c>
      <c r="F428" s="41">
        <v>4125.04</v>
      </c>
      <c r="G428" s="41">
        <v>2.27</v>
      </c>
      <c r="H428" s="41">
        <v>17.57</v>
      </c>
      <c r="I428" s="41">
        <v>2.67</v>
      </c>
      <c r="J428" s="41">
        <v>11013.86</v>
      </c>
    </row>
    <row r="429" spans="1:10" ht="36">
      <c r="A429" s="39" t="s">
        <v>622</v>
      </c>
      <c r="B429" s="40" t="s">
        <v>501</v>
      </c>
      <c r="C429" s="40" t="s">
        <v>29</v>
      </c>
      <c r="D429" s="39" t="s">
        <v>502</v>
      </c>
      <c r="E429" s="40" t="s">
        <v>60</v>
      </c>
      <c r="F429" s="41">
        <v>0.03</v>
      </c>
      <c r="G429" s="41">
        <v>13.02</v>
      </c>
      <c r="H429" s="41">
        <v>17.57</v>
      </c>
      <c r="I429" s="41">
        <v>15.31</v>
      </c>
      <c r="J429" s="41">
        <v>0.46</v>
      </c>
    </row>
    <row r="430" spans="1:10" ht="20.100000000000001" customHeight="1">
      <c r="A430" s="37" t="s">
        <v>623</v>
      </c>
      <c r="B430" s="521" t="s">
        <v>11</v>
      </c>
      <c r="C430" s="521"/>
      <c r="D430" s="521"/>
      <c r="E430" s="521"/>
      <c r="F430" s="521"/>
      <c r="G430" s="521"/>
      <c r="H430" s="521"/>
      <c r="I430" s="521"/>
      <c r="J430" s="38">
        <v>48350.77</v>
      </c>
    </row>
    <row r="431" spans="1:10" ht="24">
      <c r="A431" s="39" t="s">
        <v>624</v>
      </c>
      <c r="B431" s="40" t="s">
        <v>65</v>
      </c>
      <c r="C431" s="40" t="s">
        <v>29</v>
      </c>
      <c r="D431" s="39" t="s">
        <v>66</v>
      </c>
      <c r="E431" s="40" t="s">
        <v>20</v>
      </c>
      <c r="F431" s="41">
        <v>669.58</v>
      </c>
      <c r="G431" s="41">
        <v>2.79</v>
      </c>
      <c r="H431" s="41">
        <v>17.57</v>
      </c>
      <c r="I431" s="41">
        <v>3.28</v>
      </c>
      <c r="J431" s="41">
        <v>2196.2199999999998</v>
      </c>
    </row>
    <row r="432" spans="1:10" ht="24">
      <c r="A432" s="39" t="s">
        <v>625</v>
      </c>
      <c r="B432" s="40" t="s">
        <v>385</v>
      </c>
      <c r="C432" s="40" t="s">
        <v>18</v>
      </c>
      <c r="D432" s="39" t="s">
        <v>386</v>
      </c>
      <c r="E432" s="40" t="s">
        <v>44</v>
      </c>
      <c r="F432" s="41">
        <v>85.89</v>
      </c>
      <c r="G432" s="41">
        <v>104.33</v>
      </c>
      <c r="H432" s="41">
        <v>17.57</v>
      </c>
      <c r="I432" s="41">
        <v>122.66</v>
      </c>
      <c r="J432" s="41">
        <v>10535.27</v>
      </c>
    </row>
    <row r="433" spans="1:10" ht="24">
      <c r="A433" s="39" t="s">
        <v>626</v>
      </c>
      <c r="B433" s="40" t="s">
        <v>68</v>
      </c>
      <c r="C433" s="40" t="s">
        <v>18</v>
      </c>
      <c r="D433" s="39" t="s">
        <v>69</v>
      </c>
      <c r="E433" s="40" t="s">
        <v>70</v>
      </c>
      <c r="F433" s="41">
        <v>85.89</v>
      </c>
      <c r="G433" s="41">
        <v>11.4</v>
      </c>
      <c r="H433" s="41">
        <v>17.57</v>
      </c>
      <c r="I433" s="41">
        <v>13.4</v>
      </c>
      <c r="J433" s="41">
        <v>1150.93</v>
      </c>
    </row>
    <row r="434" spans="1:10" ht="36">
      <c r="A434" s="39" t="s">
        <v>627</v>
      </c>
      <c r="B434" s="40" t="s">
        <v>72</v>
      </c>
      <c r="C434" s="40" t="s">
        <v>18</v>
      </c>
      <c r="D434" s="39" t="s">
        <v>73</v>
      </c>
      <c r="E434" s="40" t="s">
        <v>60</v>
      </c>
      <c r="F434" s="41">
        <v>114.52</v>
      </c>
      <c r="G434" s="41">
        <v>14.44</v>
      </c>
      <c r="H434" s="41">
        <v>17.57</v>
      </c>
      <c r="I434" s="41">
        <v>16.98</v>
      </c>
      <c r="J434" s="41">
        <v>1944.55</v>
      </c>
    </row>
    <row r="435" spans="1:10" ht="48">
      <c r="A435" s="39" t="s">
        <v>628</v>
      </c>
      <c r="B435" s="40" t="s">
        <v>49</v>
      </c>
      <c r="C435" s="40" t="s">
        <v>18</v>
      </c>
      <c r="D435" s="39" t="s">
        <v>50</v>
      </c>
      <c r="E435" s="40" t="s">
        <v>44</v>
      </c>
      <c r="F435" s="41">
        <v>250.51</v>
      </c>
      <c r="G435" s="41">
        <v>2.9</v>
      </c>
      <c r="H435" s="41">
        <v>17.57</v>
      </c>
      <c r="I435" s="41">
        <v>3.41</v>
      </c>
      <c r="J435" s="41">
        <v>854.24</v>
      </c>
    </row>
    <row r="436" spans="1:10" ht="24">
      <c r="A436" s="39" t="s">
        <v>629</v>
      </c>
      <c r="B436" s="40" t="s">
        <v>76</v>
      </c>
      <c r="C436" s="40" t="s">
        <v>18</v>
      </c>
      <c r="D436" s="39" t="s">
        <v>77</v>
      </c>
      <c r="E436" s="40" t="s">
        <v>78</v>
      </c>
      <c r="F436" s="41">
        <v>3807.75</v>
      </c>
      <c r="G436" s="41">
        <v>1.37</v>
      </c>
      <c r="H436" s="41">
        <v>17.57</v>
      </c>
      <c r="I436" s="41">
        <v>1.61</v>
      </c>
      <c r="J436" s="41">
        <v>6130.48</v>
      </c>
    </row>
    <row r="437" spans="1:10" ht="24">
      <c r="A437" s="39" t="s">
        <v>630</v>
      </c>
      <c r="B437" s="40" t="s">
        <v>80</v>
      </c>
      <c r="C437" s="40" t="s">
        <v>18</v>
      </c>
      <c r="D437" s="39" t="s">
        <v>81</v>
      </c>
      <c r="E437" s="40" t="s">
        <v>20</v>
      </c>
      <c r="F437" s="41">
        <v>576.73</v>
      </c>
      <c r="G437" s="41">
        <v>1.24</v>
      </c>
      <c r="H437" s="41">
        <v>17.57</v>
      </c>
      <c r="I437" s="41">
        <v>1.46</v>
      </c>
      <c r="J437" s="41">
        <v>842.03</v>
      </c>
    </row>
    <row r="438" spans="1:10" ht="36">
      <c r="A438" s="39" t="s">
        <v>631</v>
      </c>
      <c r="B438" s="40" t="s">
        <v>83</v>
      </c>
      <c r="C438" s="40" t="s">
        <v>18</v>
      </c>
      <c r="D438" s="39" t="s">
        <v>84</v>
      </c>
      <c r="E438" s="40" t="s">
        <v>60</v>
      </c>
      <c r="F438" s="41">
        <v>28.83</v>
      </c>
      <c r="G438" s="41">
        <v>133.37</v>
      </c>
      <c r="H438" s="41">
        <v>17.57</v>
      </c>
      <c r="I438" s="41">
        <v>156.80000000000001</v>
      </c>
      <c r="J438" s="41">
        <v>4520.54</v>
      </c>
    </row>
    <row r="439" spans="1:10" ht="36">
      <c r="A439" s="39" t="s">
        <v>632</v>
      </c>
      <c r="B439" s="40" t="s">
        <v>86</v>
      </c>
      <c r="C439" s="40" t="s">
        <v>18</v>
      </c>
      <c r="D439" s="39" t="s">
        <v>87</v>
      </c>
      <c r="E439" s="40" t="s">
        <v>44</v>
      </c>
      <c r="F439" s="41">
        <v>28.83</v>
      </c>
      <c r="G439" s="41">
        <v>7.86</v>
      </c>
      <c r="H439" s="41">
        <v>17.57</v>
      </c>
      <c r="I439" s="41">
        <v>9.24</v>
      </c>
      <c r="J439" s="41">
        <v>266.39</v>
      </c>
    </row>
    <row r="440" spans="1:10" ht="24">
      <c r="A440" s="39" t="s">
        <v>633</v>
      </c>
      <c r="B440" s="40" t="s">
        <v>89</v>
      </c>
      <c r="C440" s="40" t="s">
        <v>18</v>
      </c>
      <c r="D440" s="39" t="s">
        <v>90</v>
      </c>
      <c r="E440" s="40" t="s">
        <v>54</v>
      </c>
      <c r="F440" s="41">
        <v>184.51</v>
      </c>
      <c r="G440" s="41">
        <v>1.77</v>
      </c>
      <c r="H440" s="41">
        <v>17.57</v>
      </c>
      <c r="I440" s="41">
        <v>2.08</v>
      </c>
      <c r="J440" s="41">
        <v>383.78</v>
      </c>
    </row>
    <row r="441" spans="1:10" ht="24">
      <c r="A441" s="39" t="s">
        <v>634</v>
      </c>
      <c r="B441" s="40" t="s">
        <v>92</v>
      </c>
      <c r="C441" s="40" t="s">
        <v>18</v>
      </c>
      <c r="D441" s="39" t="s">
        <v>93</v>
      </c>
      <c r="E441" s="40" t="s">
        <v>20</v>
      </c>
      <c r="F441" s="41">
        <v>366.76</v>
      </c>
      <c r="G441" s="41">
        <v>0.65</v>
      </c>
      <c r="H441" s="41">
        <v>17.57</v>
      </c>
      <c r="I441" s="41">
        <v>0.76</v>
      </c>
      <c r="J441" s="41">
        <v>278.74</v>
      </c>
    </row>
    <row r="442" spans="1:10" ht="48">
      <c r="A442" s="39" t="s">
        <v>635</v>
      </c>
      <c r="B442" s="40" t="s">
        <v>95</v>
      </c>
      <c r="C442" s="40" t="s">
        <v>18</v>
      </c>
      <c r="D442" s="39" t="s">
        <v>96</v>
      </c>
      <c r="E442" s="40" t="s">
        <v>60</v>
      </c>
      <c r="F442" s="41">
        <v>25</v>
      </c>
      <c r="G442" s="41">
        <v>112.75</v>
      </c>
      <c r="H442" s="41">
        <v>17.57</v>
      </c>
      <c r="I442" s="41">
        <v>132.56</v>
      </c>
      <c r="J442" s="41">
        <v>3314</v>
      </c>
    </row>
    <row r="443" spans="1:10" ht="60">
      <c r="A443" s="39" t="s">
        <v>636</v>
      </c>
      <c r="B443" s="40" t="s">
        <v>98</v>
      </c>
      <c r="C443" s="40" t="s">
        <v>29</v>
      </c>
      <c r="D443" s="39" t="s">
        <v>99</v>
      </c>
      <c r="E443" s="40" t="s">
        <v>40</v>
      </c>
      <c r="F443" s="41">
        <v>240</v>
      </c>
      <c r="G443" s="41">
        <v>56.47</v>
      </c>
      <c r="H443" s="41">
        <v>17.57</v>
      </c>
      <c r="I443" s="41">
        <v>66.39</v>
      </c>
      <c r="J443" s="41">
        <v>15933.6</v>
      </c>
    </row>
    <row r="444" spans="1:10" ht="20.100000000000001" customHeight="1">
      <c r="A444" s="37" t="s">
        <v>637</v>
      </c>
      <c r="B444" s="521" t="s">
        <v>120</v>
      </c>
      <c r="C444" s="521"/>
      <c r="D444" s="521"/>
      <c r="E444" s="521"/>
      <c r="F444" s="521"/>
      <c r="G444" s="521"/>
      <c r="H444" s="521"/>
      <c r="I444" s="521"/>
      <c r="J444" s="38">
        <v>57677.85</v>
      </c>
    </row>
    <row r="445" spans="1:10" ht="36">
      <c r="A445" s="39" t="s">
        <v>638</v>
      </c>
      <c r="B445" s="40" t="s">
        <v>130</v>
      </c>
      <c r="C445" s="40" t="s">
        <v>29</v>
      </c>
      <c r="D445" s="39" t="s">
        <v>131</v>
      </c>
      <c r="E445" s="40" t="s">
        <v>60</v>
      </c>
      <c r="F445" s="41">
        <v>14.95</v>
      </c>
      <c r="G445" s="41">
        <v>472.74</v>
      </c>
      <c r="H445" s="41">
        <v>17.57</v>
      </c>
      <c r="I445" s="41">
        <v>555.79999999999995</v>
      </c>
      <c r="J445" s="41">
        <v>8309.2099999999991</v>
      </c>
    </row>
    <row r="446" spans="1:10" ht="24">
      <c r="A446" s="39" t="s">
        <v>639</v>
      </c>
      <c r="B446" s="40" t="s">
        <v>133</v>
      </c>
      <c r="C446" s="40" t="s">
        <v>29</v>
      </c>
      <c r="D446" s="39" t="s">
        <v>134</v>
      </c>
      <c r="E446" s="40" t="s">
        <v>60</v>
      </c>
      <c r="F446" s="41">
        <v>11.73</v>
      </c>
      <c r="G446" s="41">
        <v>436.13</v>
      </c>
      <c r="H446" s="41">
        <v>17.57</v>
      </c>
      <c r="I446" s="41">
        <v>512.76</v>
      </c>
      <c r="J446" s="41">
        <v>6014.67</v>
      </c>
    </row>
    <row r="447" spans="1:10" ht="36">
      <c r="A447" s="39" t="s">
        <v>640</v>
      </c>
      <c r="B447" s="40" t="s">
        <v>136</v>
      </c>
      <c r="C447" s="40" t="s">
        <v>29</v>
      </c>
      <c r="D447" s="39" t="s">
        <v>137</v>
      </c>
      <c r="E447" s="40" t="s">
        <v>138</v>
      </c>
      <c r="F447" s="41">
        <v>972.67</v>
      </c>
      <c r="G447" s="41">
        <v>15.14</v>
      </c>
      <c r="H447" s="41">
        <v>17.57</v>
      </c>
      <c r="I447" s="41">
        <v>17.8</v>
      </c>
      <c r="J447" s="41">
        <v>17313.53</v>
      </c>
    </row>
    <row r="448" spans="1:10" ht="48">
      <c r="A448" s="39" t="s">
        <v>641</v>
      </c>
      <c r="B448" s="40" t="s">
        <v>140</v>
      </c>
      <c r="C448" s="40" t="s">
        <v>18</v>
      </c>
      <c r="D448" s="39" t="s">
        <v>141</v>
      </c>
      <c r="E448" s="40" t="s">
        <v>20</v>
      </c>
      <c r="F448" s="41">
        <v>70.400000000000006</v>
      </c>
      <c r="G448" s="41">
        <v>1.1000000000000001</v>
      </c>
      <c r="H448" s="41">
        <v>17.57</v>
      </c>
      <c r="I448" s="41">
        <v>1.29</v>
      </c>
      <c r="J448" s="41">
        <v>90.82</v>
      </c>
    </row>
    <row r="449" spans="1:10" ht="36">
      <c r="A449" s="39" t="s">
        <v>642</v>
      </c>
      <c r="B449" s="40" t="s">
        <v>143</v>
      </c>
      <c r="C449" s="40" t="s">
        <v>29</v>
      </c>
      <c r="D449" s="39" t="s">
        <v>144</v>
      </c>
      <c r="E449" s="40" t="s">
        <v>20</v>
      </c>
      <c r="F449" s="41">
        <v>93.86</v>
      </c>
      <c r="G449" s="41">
        <v>105.62</v>
      </c>
      <c r="H449" s="41">
        <v>17.57</v>
      </c>
      <c r="I449" s="41">
        <v>124.18</v>
      </c>
      <c r="J449" s="41">
        <v>11655.53</v>
      </c>
    </row>
    <row r="450" spans="1:10" ht="36">
      <c r="A450" s="39" t="s">
        <v>643</v>
      </c>
      <c r="B450" s="40" t="s">
        <v>146</v>
      </c>
      <c r="C450" s="40" t="s">
        <v>29</v>
      </c>
      <c r="D450" s="39" t="s">
        <v>147</v>
      </c>
      <c r="E450" s="40" t="s">
        <v>20</v>
      </c>
      <c r="F450" s="41">
        <v>93.86</v>
      </c>
      <c r="G450" s="41">
        <v>4.0999999999999996</v>
      </c>
      <c r="H450" s="41">
        <v>17.57</v>
      </c>
      <c r="I450" s="41">
        <v>4.82</v>
      </c>
      <c r="J450" s="41">
        <v>452.41</v>
      </c>
    </row>
    <row r="451" spans="1:10" ht="48">
      <c r="A451" s="39" t="s">
        <v>644</v>
      </c>
      <c r="B451" s="40" t="s">
        <v>149</v>
      </c>
      <c r="C451" s="40" t="s">
        <v>29</v>
      </c>
      <c r="D451" s="39" t="s">
        <v>150</v>
      </c>
      <c r="E451" s="40" t="s">
        <v>20</v>
      </c>
      <c r="F451" s="41">
        <v>93.86</v>
      </c>
      <c r="G451" s="41">
        <v>24.83</v>
      </c>
      <c r="H451" s="41">
        <v>17.57</v>
      </c>
      <c r="I451" s="41">
        <v>29.19</v>
      </c>
      <c r="J451" s="41">
        <v>2739.77</v>
      </c>
    </row>
    <row r="452" spans="1:10" ht="24">
      <c r="A452" s="39" t="s">
        <v>645</v>
      </c>
      <c r="B452" s="40" t="s">
        <v>152</v>
      </c>
      <c r="C452" s="40" t="s">
        <v>29</v>
      </c>
      <c r="D452" s="39" t="s">
        <v>153</v>
      </c>
      <c r="E452" s="40" t="s">
        <v>60</v>
      </c>
      <c r="F452" s="41">
        <v>9.98</v>
      </c>
      <c r="G452" s="41">
        <v>469.42</v>
      </c>
      <c r="H452" s="41">
        <v>17.57</v>
      </c>
      <c r="I452" s="41">
        <v>551.9</v>
      </c>
      <c r="J452" s="41">
        <v>5507.96</v>
      </c>
    </row>
    <row r="453" spans="1:10" ht="24">
      <c r="A453" s="39" t="s">
        <v>646</v>
      </c>
      <c r="B453" s="40" t="s">
        <v>155</v>
      </c>
      <c r="C453" s="40" t="s">
        <v>18</v>
      </c>
      <c r="D453" s="39" t="s">
        <v>156</v>
      </c>
      <c r="E453" s="40" t="s">
        <v>60</v>
      </c>
      <c r="F453" s="41">
        <v>36.659999999999997</v>
      </c>
      <c r="G453" s="41">
        <v>129.79</v>
      </c>
      <c r="H453" s="41">
        <v>17.57</v>
      </c>
      <c r="I453" s="41">
        <v>152.59</v>
      </c>
      <c r="J453" s="41">
        <v>5593.95</v>
      </c>
    </row>
    <row r="454" spans="1:10" ht="20.100000000000001" customHeight="1">
      <c r="A454" s="37" t="s">
        <v>647</v>
      </c>
      <c r="B454" s="521" t="s">
        <v>158</v>
      </c>
      <c r="C454" s="521"/>
      <c r="D454" s="521"/>
      <c r="E454" s="521"/>
      <c r="F454" s="521"/>
      <c r="G454" s="521"/>
      <c r="H454" s="521"/>
      <c r="I454" s="521"/>
      <c r="J454" s="38">
        <v>3595.29</v>
      </c>
    </row>
    <row r="455" spans="1:10">
      <c r="A455" s="39" t="s">
        <v>648</v>
      </c>
      <c r="B455" s="40" t="s">
        <v>534</v>
      </c>
      <c r="C455" s="40" t="s">
        <v>161</v>
      </c>
      <c r="D455" s="39" t="s">
        <v>535</v>
      </c>
      <c r="E455" s="40" t="s">
        <v>163</v>
      </c>
      <c r="F455" s="41">
        <v>0.6</v>
      </c>
      <c r="G455" s="41">
        <v>355.35</v>
      </c>
      <c r="H455" s="41">
        <v>17.57</v>
      </c>
      <c r="I455" s="41">
        <v>417.78</v>
      </c>
      <c r="J455" s="41">
        <v>250.67</v>
      </c>
    </row>
    <row r="456" spans="1:10">
      <c r="A456" s="39" t="s">
        <v>649</v>
      </c>
      <c r="B456" s="40" t="s">
        <v>160</v>
      </c>
      <c r="C456" s="40" t="s">
        <v>161</v>
      </c>
      <c r="D456" s="39" t="s">
        <v>162</v>
      </c>
      <c r="E456" s="40" t="s">
        <v>163</v>
      </c>
      <c r="F456" s="41">
        <v>0.9</v>
      </c>
      <c r="G456" s="41">
        <v>347.25</v>
      </c>
      <c r="H456" s="41">
        <v>17.57</v>
      </c>
      <c r="I456" s="41">
        <v>408.26</v>
      </c>
      <c r="J456" s="41">
        <v>367.43</v>
      </c>
    </row>
    <row r="457" spans="1:10" ht="24">
      <c r="A457" s="39" t="s">
        <v>650</v>
      </c>
      <c r="B457" s="40" t="s">
        <v>165</v>
      </c>
      <c r="C457" s="40" t="s">
        <v>161</v>
      </c>
      <c r="D457" s="39" t="s">
        <v>166</v>
      </c>
      <c r="E457" s="40" t="s">
        <v>167</v>
      </c>
      <c r="F457" s="41">
        <v>3</v>
      </c>
      <c r="G457" s="41">
        <v>121.48</v>
      </c>
      <c r="H457" s="41">
        <v>17.57</v>
      </c>
      <c r="I457" s="41">
        <v>142.82</v>
      </c>
      <c r="J457" s="41">
        <v>428.46</v>
      </c>
    </row>
    <row r="458" spans="1:10" ht="24">
      <c r="A458" s="39" t="s">
        <v>651</v>
      </c>
      <c r="B458" s="40" t="s">
        <v>169</v>
      </c>
      <c r="C458" s="40" t="s">
        <v>18</v>
      </c>
      <c r="D458" s="39" t="s">
        <v>170</v>
      </c>
      <c r="E458" s="40" t="s">
        <v>171</v>
      </c>
      <c r="F458" s="41">
        <v>2</v>
      </c>
      <c r="G458" s="41">
        <v>156.33000000000001</v>
      </c>
      <c r="H458" s="41">
        <v>17.57</v>
      </c>
      <c r="I458" s="41">
        <v>183.8</v>
      </c>
      <c r="J458" s="41">
        <v>367.6</v>
      </c>
    </row>
    <row r="459" spans="1:10" ht="48">
      <c r="A459" s="39" t="s">
        <v>652</v>
      </c>
      <c r="B459" s="40" t="s">
        <v>173</v>
      </c>
      <c r="C459" s="40" t="s">
        <v>29</v>
      </c>
      <c r="D459" s="39" t="s">
        <v>174</v>
      </c>
      <c r="E459" s="40" t="s">
        <v>40</v>
      </c>
      <c r="F459" s="41">
        <v>284.02</v>
      </c>
      <c r="G459" s="41">
        <v>5.48</v>
      </c>
      <c r="H459" s="41">
        <v>17.57</v>
      </c>
      <c r="I459" s="41">
        <v>6.44</v>
      </c>
      <c r="J459" s="41">
        <v>1829.09</v>
      </c>
    </row>
    <row r="460" spans="1:10" ht="48">
      <c r="A460" s="39" t="s">
        <v>653</v>
      </c>
      <c r="B460" s="40" t="s">
        <v>176</v>
      </c>
      <c r="C460" s="40" t="s">
        <v>29</v>
      </c>
      <c r="D460" s="39" t="s">
        <v>177</v>
      </c>
      <c r="E460" s="40" t="s">
        <v>20</v>
      </c>
      <c r="F460" s="41">
        <v>12.4</v>
      </c>
      <c r="G460" s="41">
        <v>24.15</v>
      </c>
      <c r="H460" s="41">
        <v>17.57</v>
      </c>
      <c r="I460" s="41">
        <v>28.39</v>
      </c>
      <c r="J460" s="41">
        <v>352.04</v>
      </c>
    </row>
    <row r="461" spans="1:10" ht="20.100000000000001" customHeight="1">
      <c r="A461" s="37" t="s">
        <v>654</v>
      </c>
      <c r="B461" s="521" t="s">
        <v>179</v>
      </c>
      <c r="C461" s="521"/>
      <c r="D461" s="521"/>
      <c r="E461" s="521"/>
      <c r="F461" s="521"/>
      <c r="G461" s="521"/>
      <c r="H461" s="521"/>
      <c r="I461" s="521"/>
      <c r="J461" s="38">
        <v>1267.97</v>
      </c>
    </row>
    <row r="462" spans="1:10" ht="36">
      <c r="A462" s="39" t="s">
        <v>655</v>
      </c>
      <c r="B462" s="40" t="s">
        <v>181</v>
      </c>
      <c r="C462" s="40" t="s">
        <v>18</v>
      </c>
      <c r="D462" s="39" t="s">
        <v>182</v>
      </c>
      <c r="E462" s="40" t="s">
        <v>183</v>
      </c>
      <c r="F462" s="41">
        <v>9.6</v>
      </c>
      <c r="G462" s="41">
        <v>112.34</v>
      </c>
      <c r="H462" s="41">
        <v>17.57</v>
      </c>
      <c r="I462" s="41">
        <v>132.08000000000001</v>
      </c>
      <c r="J462" s="41">
        <v>1267.97</v>
      </c>
    </row>
    <row r="463" spans="1:10" ht="20.100000000000001" customHeight="1">
      <c r="A463" s="37" t="s">
        <v>656</v>
      </c>
      <c r="B463" s="521" t="s">
        <v>185</v>
      </c>
      <c r="C463" s="521"/>
      <c r="D463" s="521"/>
      <c r="E463" s="521"/>
      <c r="F463" s="521"/>
      <c r="G463" s="521"/>
      <c r="H463" s="521"/>
      <c r="I463" s="521"/>
      <c r="J463" s="38">
        <v>90320.54</v>
      </c>
    </row>
    <row r="464" spans="1:10" ht="48">
      <c r="A464" s="39" t="s">
        <v>657</v>
      </c>
      <c r="B464" s="40" t="s">
        <v>187</v>
      </c>
      <c r="C464" s="40" t="s">
        <v>29</v>
      </c>
      <c r="D464" s="39" t="s">
        <v>188</v>
      </c>
      <c r="E464" s="40" t="s">
        <v>31</v>
      </c>
      <c r="F464" s="41">
        <v>2</v>
      </c>
      <c r="G464" s="41">
        <v>830</v>
      </c>
      <c r="H464" s="41">
        <v>10.07</v>
      </c>
      <c r="I464" s="41">
        <v>913.58</v>
      </c>
      <c r="J464" s="41">
        <v>1827.16</v>
      </c>
    </row>
    <row r="465" spans="1:10" ht="36">
      <c r="A465" s="39" t="s">
        <v>658</v>
      </c>
      <c r="B465" s="40" t="s">
        <v>190</v>
      </c>
      <c r="C465" s="40" t="s">
        <v>29</v>
      </c>
      <c r="D465" s="39" t="s">
        <v>191</v>
      </c>
      <c r="E465" s="40" t="s">
        <v>31</v>
      </c>
      <c r="F465" s="41">
        <v>2</v>
      </c>
      <c r="G465" s="41">
        <v>648.42999999999995</v>
      </c>
      <c r="H465" s="41">
        <v>10.07</v>
      </c>
      <c r="I465" s="41">
        <v>713.73</v>
      </c>
      <c r="J465" s="41">
        <v>1427.46</v>
      </c>
    </row>
    <row r="466" spans="1:10" ht="36">
      <c r="A466" s="39" t="s">
        <v>659</v>
      </c>
      <c r="B466" s="40" t="s">
        <v>193</v>
      </c>
      <c r="C466" s="40" t="s">
        <v>29</v>
      </c>
      <c r="D466" s="39" t="s">
        <v>194</v>
      </c>
      <c r="E466" s="40" t="s">
        <v>195</v>
      </c>
      <c r="F466" s="41">
        <v>73.650000000000006</v>
      </c>
      <c r="G466" s="41">
        <v>522.5</v>
      </c>
      <c r="H466" s="41">
        <v>10.07</v>
      </c>
      <c r="I466" s="41">
        <v>575.12</v>
      </c>
      <c r="J466" s="41">
        <v>42357.59</v>
      </c>
    </row>
    <row r="467" spans="1:10" ht="24">
      <c r="A467" s="39" t="s">
        <v>660</v>
      </c>
      <c r="B467" s="40" t="s">
        <v>197</v>
      </c>
      <c r="C467" s="40" t="s">
        <v>18</v>
      </c>
      <c r="D467" s="39" t="s">
        <v>198</v>
      </c>
      <c r="E467" s="40" t="s">
        <v>44</v>
      </c>
      <c r="F467" s="41">
        <v>114.52</v>
      </c>
      <c r="G467" s="41">
        <v>56.1</v>
      </c>
      <c r="H467" s="41">
        <v>10.07</v>
      </c>
      <c r="I467" s="41">
        <v>61.75</v>
      </c>
      <c r="J467" s="41">
        <v>7071.61</v>
      </c>
    </row>
    <row r="468" spans="1:10">
      <c r="A468" s="39" t="s">
        <v>661</v>
      </c>
      <c r="B468" s="40" t="s">
        <v>200</v>
      </c>
      <c r="C468" s="40" t="s">
        <v>161</v>
      </c>
      <c r="D468" s="39" t="s">
        <v>201</v>
      </c>
      <c r="E468" s="40" t="s">
        <v>70</v>
      </c>
      <c r="F468" s="41">
        <v>108.22</v>
      </c>
      <c r="G468" s="41">
        <v>90.74</v>
      </c>
      <c r="H468" s="41">
        <v>10.07</v>
      </c>
      <c r="I468" s="41">
        <v>99.88</v>
      </c>
      <c r="J468" s="41">
        <v>10809.01</v>
      </c>
    </row>
    <row r="469" spans="1:10">
      <c r="A469" s="39" t="s">
        <v>662</v>
      </c>
      <c r="B469" s="40" t="s">
        <v>203</v>
      </c>
      <c r="C469" s="40" t="s">
        <v>161</v>
      </c>
      <c r="D469" s="39" t="s">
        <v>204</v>
      </c>
      <c r="E469" s="40" t="s">
        <v>70</v>
      </c>
      <c r="F469" s="41">
        <v>12.02</v>
      </c>
      <c r="G469" s="41">
        <v>74.53</v>
      </c>
      <c r="H469" s="41">
        <v>10.07</v>
      </c>
      <c r="I469" s="41">
        <v>82.04</v>
      </c>
      <c r="J469" s="41">
        <v>986.12</v>
      </c>
    </row>
    <row r="470" spans="1:10" ht="24">
      <c r="A470" s="39" t="s">
        <v>663</v>
      </c>
      <c r="B470" s="40" t="s">
        <v>206</v>
      </c>
      <c r="C470" s="40" t="s">
        <v>18</v>
      </c>
      <c r="D470" s="39" t="s">
        <v>207</v>
      </c>
      <c r="E470" s="40" t="s">
        <v>138</v>
      </c>
      <c r="F470" s="41">
        <v>692.08</v>
      </c>
      <c r="G470" s="41">
        <v>5.32</v>
      </c>
      <c r="H470" s="41">
        <v>10.07</v>
      </c>
      <c r="I470" s="41">
        <v>5.86</v>
      </c>
      <c r="J470" s="41">
        <v>4055.59</v>
      </c>
    </row>
    <row r="471" spans="1:10" ht="36">
      <c r="A471" s="39" t="s">
        <v>664</v>
      </c>
      <c r="B471" s="40" t="s">
        <v>209</v>
      </c>
      <c r="C471" s="40" t="s">
        <v>29</v>
      </c>
      <c r="D471" s="39" t="s">
        <v>210</v>
      </c>
      <c r="E471" s="40" t="s">
        <v>60</v>
      </c>
      <c r="F471" s="41">
        <v>30.33</v>
      </c>
      <c r="G471" s="41">
        <v>422.5</v>
      </c>
      <c r="H471" s="41">
        <v>10.07</v>
      </c>
      <c r="I471" s="41">
        <v>465.05</v>
      </c>
      <c r="J471" s="41">
        <v>14104.97</v>
      </c>
    </row>
    <row r="472" spans="1:10" ht="36">
      <c r="A472" s="39" t="s">
        <v>665</v>
      </c>
      <c r="B472" s="40" t="s">
        <v>212</v>
      </c>
      <c r="C472" s="40" t="s">
        <v>29</v>
      </c>
      <c r="D472" s="39" t="s">
        <v>213</v>
      </c>
      <c r="E472" s="40" t="s">
        <v>20</v>
      </c>
      <c r="F472" s="41">
        <v>73.92</v>
      </c>
      <c r="G472" s="41">
        <v>94.4</v>
      </c>
      <c r="H472" s="41">
        <v>10.07</v>
      </c>
      <c r="I472" s="41">
        <v>103.91</v>
      </c>
      <c r="J472" s="41">
        <v>7681.03</v>
      </c>
    </row>
    <row r="473" spans="1:10" ht="20.100000000000001" customHeight="1">
      <c r="A473" s="37" t="s">
        <v>666</v>
      </c>
      <c r="B473" s="521" t="s">
        <v>667</v>
      </c>
      <c r="C473" s="521"/>
      <c r="D473" s="521"/>
      <c r="E473" s="521"/>
      <c r="F473" s="521"/>
      <c r="G473" s="521"/>
      <c r="H473" s="521"/>
      <c r="I473" s="521"/>
      <c r="J473" s="38">
        <v>320478.02</v>
      </c>
    </row>
    <row r="474" spans="1:10" ht="20.100000000000001" customHeight="1">
      <c r="A474" s="37" t="s">
        <v>668</v>
      </c>
      <c r="B474" s="521" t="s">
        <v>15</v>
      </c>
      <c r="C474" s="521"/>
      <c r="D474" s="521"/>
      <c r="E474" s="521"/>
      <c r="F474" s="521"/>
      <c r="G474" s="521"/>
      <c r="H474" s="521"/>
      <c r="I474" s="521"/>
      <c r="J474" s="38">
        <v>6960.06</v>
      </c>
    </row>
    <row r="475" spans="1:10" ht="24">
      <c r="A475" s="39" t="s">
        <v>669</v>
      </c>
      <c r="B475" s="40" t="s">
        <v>17</v>
      </c>
      <c r="C475" s="40" t="s">
        <v>18</v>
      </c>
      <c r="D475" s="39" t="s">
        <v>19</v>
      </c>
      <c r="E475" s="40" t="s">
        <v>20</v>
      </c>
      <c r="F475" s="41">
        <v>8</v>
      </c>
      <c r="G475" s="41">
        <v>564.99</v>
      </c>
      <c r="H475" s="41">
        <v>17.57</v>
      </c>
      <c r="I475" s="41">
        <v>664.26</v>
      </c>
      <c r="J475" s="41">
        <v>5314.08</v>
      </c>
    </row>
    <row r="476" spans="1:10" ht="24">
      <c r="A476" s="39" t="s">
        <v>670</v>
      </c>
      <c r="B476" s="40" t="s">
        <v>22</v>
      </c>
      <c r="C476" s="40" t="s">
        <v>18</v>
      </c>
      <c r="D476" s="39" t="s">
        <v>23</v>
      </c>
      <c r="E476" s="40" t="s">
        <v>24</v>
      </c>
      <c r="F476" s="41">
        <v>2</v>
      </c>
      <c r="G476" s="41">
        <v>700</v>
      </c>
      <c r="H476" s="41">
        <v>17.57</v>
      </c>
      <c r="I476" s="41">
        <v>822.99</v>
      </c>
      <c r="J476" s="41">
        <v>1645.98</v>
      </c>
    </row>
    <row r="477" spans="1:10" ht="20.100000000000001" customHeight="1">
      <c r="A477" s="37" t="s">
        <v>671</v>
      </c>
      <c r="B477" s="521" t="s">
        <v>26</v>
      </c>
      <c r="C477" s="521"/>
      <c r="D477" s="521"/>
      <c r="E477" s="521"/>
      <c r="F477" s="521"/>
      <c r="G477" s="521"/>
      <c r="H477" s="521"/>
      <c r="I477" s="521"/>
      <c r="J477" s="38">
        <v>12787.84</v>
      </c>
    </row>
    <row r="478" spans="1:10" ht="24">
      <c r="A478" s="39" t="s">
        <v>672</v>
      </c>
      <c r="B478" s="40" t="s">
        <v>28</v>
      </c>
      <c r="C478" s="40" t="s">
        <v>29</v>
      </c>
      <c r="D478" s="39" t="s">
        <v>30</v>
      </c>
      <c r="E478" s="40" t="s">
        <v>31</v>
      </c>
      <c r="F478" s="41">
        <v>0.25</v>
      </c>
      <c r="G478" s="41">
        <v>16819.14</v>
      </c>
      <c r="H478" s="41">
        <v>17.57</v>
      </c>
      <c r="I478" s="41">
        <v>19774.259999999998</v>
      </c>
      <c r="J478" s="41">
        <v>4943.57</v>
      </c>
    </row>
    <row r="479" spans="1:10" ht="24">
      <c r="A479" s="39" t="s">
        <v>673</v>
      </c>
      <c r="B479" s="40" t="s">
        <v>33</v>
      </c>
      <c r="C479" s="40" t="s">
        <v>29</v>
      </c>
      <c r="D479" s="39" t="s">
        <v>34</v>
      </c>
      <c r="E479" s="40" t="s">
        <v>31</v>
      </c>
      <c r="F479" s="41">
        <v>1</v>
      </c>
      <c r="G479" s="41">
        <v>6672</v>
      </c>
      <c r="H479" s="41">
        <v>17.57</v>
      </c>
      <c r="I479" s="41">
        <v>7844.27</v>
      </c>
      <c r="J479" s="41">
        <v>7844.27</v>
      </c>
    </row>
    <row r="480" spans="1:10" ht="20.100000000000001" customHeight="1">
      <c r="A480" s="37" t="s">
        <v>674</v>
      </c>
      <c r="B480" s="521" t="s">
        <v>36</v>
      </c>
      <c r="C480" s="521"/>
      <c r="D480" s="521"/>
      <c r="E480" s="521"/>
      <c r="F480" s="521"/>
      <c r="G480" s="521"/>
      <c r="H480" s="521"/>
      <c r="I480" s="521"/>
      <c r="J480" s="38">
        <v>2782.39</v>
      </c>
    </row>
    <row r="481" spans="1:10">
      <c r="A481" s="39" t="s">
        <v>675</v>
      </c>
      <c r="B481" s="40" t="s">
        <v>38</v>
      </c>
      <c r="C481" s="40" t="s">
        <v>29</v>
      </c>
      <c r="D481" s="39" t="s">
        <v>39</v>
      </c>
      <c r="E481" s="40" t="s">
        <v>40</v>
      </c>
      <c r="F481" s="41">
        <v>118.58</v>
      </c>
      <c r="G481" s="41">
        <v>0.49</v>
      </c>
      <c r="H481" s="41">
        <v>17.57</v>
      </c>
      <c r="I481" s="41">
        <v>0.57999999999999996</v>
      </c>
      <c r="J481" s="41">
        <v>68.78</v>
      </c>
    </row>
    <row r="482" spans="1:10" ht="24">
      <c r="A482" s="39" t="s">
        <v>676</v>
      </c>
      <c r="B482" s="40" t="s">
        <v>42</v>
      </c>
      <c r="C482" s="40" t="s">
        <v>18</v>
      </c>
      <c r="D482" s="39" t="s">
        <v>43</v>
      </c>
      <c r="E482" s="40" t="s">
        <v>44</v>
      </c>
      <c r="F482" s="41">
        <v>8.36</v>
      </c>
      <c r="G482" s="41">
        <v>212.24</v>
      </c>
      <c r="H482" s="41">
        <v>17.57</v>
      </c>
      <c r="I482" s="41">
        <v>249.53</v>
      </c>
      <c r="J482" s="41">
        <v>2086.0700000000002</v>
      </c>
    </row>
    <row r="483" spans="1:10" ht="24">
      <c r="A483" s="39" t="s">
        <v>677</v>
      </c>
      <c r="B483" s="40" t="s">
        <v>46</v>
      </c>
      <c r="C483" s="40" t="s">
        <v>18</v>
      </c>
      <c r="D483" s="39" t="s">
        <v>47</v>
      </c>
      <c r="E483" s="40" t="s">
        <v>40</v>
      </c>
      <c r="F483" s="41">
        <v>19.7</v>
      </c>
      <c r="G483" s="41">
        <v>11.13</v>
      </c>
      <c r="H483" s="41">
        <v>17.57</v>
      </c>
      <c r="I483" s="41">
        <v>13.09</v>
      </c>
      <c r="J483" s="41">
        <v>257.87</v>
      </c>
    </row>
    <row r="484" spans="1:10" ht="48">
      <c r="A484" s="39" t="s">
        <v>678</v>
      </c>
      <c r="B484" s="40" t="s">
        <v>49</v>
      </c>
      <c r="C484" s="40" t="s">
        <v>18</v>
      </c>
      <c r="D484" s="39" t="s">
        <v>50</v>
      </c>
      <c r="E484" s="40" t="s">
        <v>44</v>
      </c>
      <c r="F484" s="41">
        <v>11.56</v>
      </c>
      <c r="G484" s="41">
        <v>2.9</v>
      </c>
      <c r="H484" s="41">
        <v>17.57</v>
      </c>
      <c r="I484" s="41">
        <v>3.41</v>
      </c>
      <c r="J484" s="41">
        <v>39.42</v>
      </c>
    </row>
    <row r="485" spans="1:10" ht="36">
      <c r="A485" s="39" t="s">
        <v>679</v>
      </c>
      <c r="B485" s="40" t="s">
        <v>52</v>
      </c>
      <c r="C485" s="40" t="s">
        <v>29</v>
      </c>
      <c r="D485" s="39" t="s">
        <v>53</v>
      </c>
      <c r="E485" s="40" t="s">
        <v>54</v>
      </c>
      <c r="F485" s="41">
        <v>123.69</v>
      </c>
      <c r="G485" s="41">
        <v>2.27</v>
      </c>
      <c r="H485" s="41">
        <v>17.57</v>
      </c>
      <c r="I485" s="41">
        <v>2.67</v>
      </c>
      <c r="J485" s="41">
        <v>330.25</v>
      </c>
    </row>
    <row r="486" spans="1:10" ht="20.100000000000001" customHeight="1">
      <c r="A486" s="37" t="s">
        <v>680</v>
      </c>
      <c r="B486" s="521" t="s">
        <v>444</v>
      </c>
      <c r="C486" s="521"/>
      <c r="D486" s="521"/>
      <c r="E486" s="521"/>
      <c r="F486" s="521"/>
      <c r="G486" s="521"/>
      <c r="H486" s="521"/>
      <c r="I486" s="521"/>
      <c r="J486" s="38">
        <v>25754.36</v>
      </c>
    </row>
    <row r="487" spans="1:10" ht="24">
      <c r="A487" s="39" t="s">
        <v>681</v>
      </c>
      <c r="B487" s="40" t="s">
        <v>58</v>
      </c>
      <c r="C487" s="40" t="s">
        <v>18</v>
      </c>
      <c r="D487" s="39" t="s">
        <v>59</v>
      </c>
      <c r="E487" s="40" t="s">
        <v>60</v>
      </c>
      <c r="F487" s="41">
        <v>598.61</v>
      </c>
      <c r="G487" s="41">
        <v>2.59</v>
      </c>
      <c r="H487" s="41">
        <v>17.57</v>
      </c>
      <c r="I487" s="41">
        <v>3.05</v>
      </c>
      <c r="J487" s="41">
        <v>1825.76</v>
      </c>
    </row>
    <row r="488" spans="1:10" ht="48">
      <c r="A488" s="39" t="s">
        <v>682</v>
      </c>
      <c r="B488" s="40" t="s">
        <v>49</v>
      </c>
      <c r="C488" s="40" t="s">
        <v>18</v>
      </c>
      <c r="D488" s="39" t="s">
        <v>50</v>
      </c>
      <c r="E488" s="40" t="s">
        <v>44</v>
      </c>
      <c r="F488" s="41">
        <v>748.26</v>
      </c>
      <c r="G488" s="41">
        <v>2.9</v>
      </c>
      <c r="H488" s="41">
        <v>17.57</v>
      </c>
      <c r="I488" s="41">
        <v>3.41</v>
      </c>
      <c r="J488" s="41">
        <v>2551.5700000000002</v>
      </c>
    </row>
    <row r="489" spans="1:10" ht="36">
      <c r="A489" s="39" t="s">
        <v>683</v>
      </c>
      <c r="B489" s="40" t="s">
        <v>52</v>
      </c>
      <c r="C489" s="40" t="s">
        <v>29</v>
      </c>
      <c r="D489" s="39" t="s">
        <v>53</v>
      </c>
      <c r="E489" s="40" t="s">
        <v>54</v>
      </c>
      <c r="F489" s="41">
        <v>8006.38</v>
      </c>
      <c r="G489" s="41">
        <v>2.27</v>
      </c>
      <c r="H489" s="41">
        <v>17.57</v>
      </c>
      <c r="I489" s="41">
        <v>2.67</v>
      </c>
      <c r="J489" s="41">
        <v>21377.03</v>
      </c>
    </row>
    <row r="490" spans="1:10" ht="20.100000000000001" customHeight="1">
      <c r="A490" s="37" t="s">
        <v>684</v>
      </c>
      <c r="B490" s="521" t="s">
        <v>11</v>
      </c>
      <c r="C490" s="521"/>
      <c r="D490" s="521"/>
      <c r="E490" s="521"/>
      <c r="F490" s="521"/>
      <c r="G490" s="521"/>
      <c r="H490" s="521"/>
      <c r="I490" s="521"/>
      <c r="J490" s="38">
        <v>75049.03</v>
      </c>
    </row>
    <row r="491" spans="1:10" ht="24">
      <c r="A491" s="39" t="s">
        <v>685</v>
      </c>
      <c r="B491" s="40" t="s">
        <v>65</v>
      </c>
      <c r="C491" s="40" t="s">
        <v>29</v>
      </c>
      <c r="D491" s="39" t="s">
        <v>66</v>
      </c>
      <c r="E491" s="40" t="s">
        <v>20</v>
      </c>
      <c r="F491" s="41">
        <v>948.64</v>
      </c>
      <c r="G491" s="41">
        <v>2.79</v>
      </c>
      <c r="H491" s="41">
        <v>17.57</v>
      </c>
      <c r="I491" s="41">
        <v>3.28</v>
      </c>
      <c r="J491" s="41">
        <v>3111.54</v>
      </c>
    </row>
    <row r="492" spans="1:10" ht="24">
      <c r="A492" s="39" t="s">
        <v>686</v>
      </c>
      <c r="B492" s="40" t="s">
        <v>385</v>
      </c>
      <c r="C492" s="40" t="s">
        <v>18</v>
      </c>
      <c r="D492" s="39" t="s">
        <v>386</v>
      </c>
      <c r="E492" s="40" t="s">
        <v>44</v>
      </c>
      <c r="F492" s="41">
        <v>124.51</v>
      </c>
      <c r="G492" s="41">
        <v>104.33</v>
      </c>
      <c r="H492" s="41">
        <v>17.57</v>
      </c>
      <c r="I492" s="41">
        <v>122.66</v>
      </c>
      <c r="J492" s="41">
        <v>15272.4</v>
      </c>
    </row>
    <row r="493" spans="1:10" ht="24">
      <c r="A493" s="39" t="s">
        <v>687</v>
      </c>
      <c r="B493" s="40" t="s">
        <v>68</v>
      </c>
      <c r="C493" s="40" t="s">
        <v>18</v>
      </c>
      <c r="D493" s="39" t="s">
        <v>69</v>
      </c>
      <c r="E493" s="40" t="s">
        <v>70</v>
      </c>
      <c r="F493" s="41">
        <v>124.51</v>
      </c>
      <c r="G493" s="41">
        <v>11.4</v>
      </c>
      <c r="H493" s="41">
        <v>17.57</v>
      </c>
      <c r="I493" s="41">
        <v>13.4</v>
      </c>
      <c r="J493" s="41">
        <v>1668.43</v>
      </c>
    </row>
    <row r="494" spans="1:10" ht="36">
      <c r="A494" s="39" t="s">
        <v>688</v>
      </c>
      <c r="B494" s="40" t="s">
        <v>72</v>
      </c>
      <c r="C494" s="40" t="s">
        <v>18</v>
      </c>
      <c r="D494" s="39" t="s">
        <v>73</v>
      </c>
      <c r="E494" s="40" t="s">
        <v>60</v>
      </c>
      <c r="F494" s="41">
        <v>142.30000000000001</v>
      </c>
      <c r="G494" s="41">
        <v>14.44</v>
      </c>
      <c r="H494" s="41">
        <v>17.57</v>
      </c>
      <c r="I494" s="41">
        <v>16.98</v>
      </c>
      <c r="J494" s="41">
        <v>2416.25</v>
      </c>
    </row>
    <row r="495" spans="1:10" ht="48">
      <c r="A495" s="39" t="s">
        <v>689</v>
      </c>
      <c r="B495" s="40" t="s">
        <v>49</v>
      </c>
      <c r="C495" s="40" t="s">
        <v>18</v>
      </c>
      <c r="D495" s="39" t="s">
        <v>50</v>
      </c>
      <c r="E495" s="40" t="s">
        <v>44</v>
      </c>
      <c r="F495" s="41">
        <v>333.51</v>
      </c>
      <c r="G495" s="41">
        <v>2.9</v>
      </c>
      <c r="H495" s="41">
        <v>17.57</v>
      </c>
      <c r="I495" s="41">
        <v>3.41</v>
      </c>
      <c r="J495" s="41">
        <v>1137.27</v>
      </c>
    </row>
    <row r="496" spans="1:10" ht="24">
      <c r="A496" s="39" t="s">
        <v>690</v>
      </c>
      <c r="B496" s="40" t="s">
        <v>76</v>
      </c>
      <c r="C496" s="40" t="s">
        <v>18</v>
      </c>
      <c r="D496" s="39" t="s">
        <v>77</v>
      </c>
      <c r="E496" s="40" t="s">
        <v>78</v>
      </c>
      <c r="F496" s="41">
        <v>4235.58</v>
      </c>
      <c r="G496" s="41">
        <v>1.37</v>
      </c>
      <c r="H496" s="41">
        <v>17.57</v>
      </c>
      <c r="I496" s="41">
        <v>1.61</v>
      </c>
      <c r="J496" s="41">
        <v>6819.28</v>
      </c>
    </row>
    <row r="497" spans="1:10" ht="24">
      <c r="A497" s="39" t="s">
        <v>691</v>
      </c>
      <c r="B497" s="40" t="s">
        <v>80</v>
      </c>
      <c r="C497" s="40" t="s">
        <v>18</v>
      </c>
      <c r="D497" s="39" t="s">
        <v>81</v>
      </c>
      <c r="E497" s="40" t="s">
        <v>20</v>
      </c>
      <c r="F497" s="41">
        <v>668.67</v>
      </c>
      <c r="G497" s="41">
        <v>1.24</v>
      </c>
      <c r="H497" s="41">
        <v>17.57</v>
      </c>
      <c r="I497" s="41">
        <v>1.46</v>
      </c>
      <c r="J497" s="41">
        <v>976.26</v>
      </c>
    </row>
    <row r="498" spans="1:10" ht="36">
      <c r="A498" s="39" t="s">
        <v>692</v>
      </c>
      <c r="B498" s="40" t="s">
        <v>83</v>
      </c>
      <c r="C498" s="40" t="s">
        <v>18</v>
      </c>
      <c r="D498" s="39" t="s">
        <v>84</v>
      </c>
      <c r="E498" s="40" t="s">
        <v>60</v>
      </c>
      <c r="F498" s="41">
        <v>33.44</v>
      </c>
      <c r="G498" s="41">
        <v>133.37</v>
      </c>
      <c r="H498" s="41">
        <v>17.57</v>
      </c>
      <c r="I498" s="41">
        <v>156.80000000000001</v>
      </c>
      <c r="J498" s="41">
        <v>5243.39</v>
      </c>
    </row>
    <row r="499" spans="1:10" ht="36">
      <c r="A499" s="39" t="s">
        <v>693</v>
      </c>
      <c r="B499" s="40" t="s">
        <v>86</v>
      </c>
      <c r="C499" s="40" t="s">
        <v>18</v>
      </c>
      <c r="D499" s="39" t="s">
        <v>87</v>
      </c>
      <c r="E499" s="40" t="s">
        <v>44</v>
      </c>
      <c r="F499" s="41">
        <v>33.44</v>
      </c>
      <c r="G499" s="41">
        <v>7.86</v>
      </c>
      <c r="H499" s="41">
        <v>17.57</v>
      </c>
      <c r="I499" s="41">
        <v>9.24</v>
      </c>
      <c r="J499" s="41">
        <v>308.99</v>
      </c>
    </row>
    <row r="500" spans="1:10" ht="24">
      <c r="A500" s="39" t="s">
        <v>694</v>
      </c>
      <c r="B500" s="40" t="s">
        <v>89</v>
      </c>
      <c r="C500" s="40" t="s">
        <v>18</v>
      </c>
      <c r="D500" s="39" t="s">
        <v>90</v>
      </c>
      <c r="E500" s="40" t="s">
        <v>54</v>
      </c>
      <c r="F500" s="41">
        <v>759.09</v>
      </c>
      <c r="G500" s="41">
        <v>1.77</v>
      </c>
      <c r="H500" s="41">
        <v>17.57</v>
      </c>
      <c r="I500" s="41">
        <v>2.08</v>
      </c>
      <c r="J500" s="41">
        <v>1578.91</v>
      </c>
    </row>
    <row r="501" spans="1:10" ht="24">
      <c r="A501" s="39" t="s">
        <v>695</v>
      </c>
      <c r="B501" s="40" t="s">
        <v>92</v>
      </c>
      <c r="C501" s="40" t="s">
        <v>18</v>
      </c>
      <c r="D501" s="39" t="s">
        <v>93</v>
      </c>
      <c r="E501" s="40" t="s">
        <v>20</v>
      </c>
      <c r="F501" s="41">
        <v>564.66999999999996</v>
      </c>
      <c r="G501" s="41">
        <v>0.65</v>
      </c>
      <c r="H501" s="41">
        <v>17.57</v>
      </c>
      <c r="I501" s="41">
        <v>0.76</v>
      </c>
      <c r="J501" s="41">
        <v>429.15</v>
      </c>
    </row>
    <row r="502" spans="1:10" ht="48">
      <c r="A502" s="39" t="s">
        <v>696</v>
      </c>
      <c r="B502" s="40" t="s">
        <v>95</v>
      </c>
      <c r="C502" s="40" t="s">
        <v>18</v>
      </c>
      <c r="D502" s="39" t="s">
        <v>96</v>
      </c>
      <c r="E502" s="40" t="s">
        <v>60</v>
      </c>
      <c r="F502" s="41">
        <v>36.14</v>
      </c>
      <c r="G502" s="41">
        <v>112.75</v>
      </c>
      <c r="H502" s="41">
        <v>17.57</v>
      </c>
      <c r="I502" s="41">
        <v>132.56</v>
      </c>
      <c r="J502" s="41">
        <v>4790.72</v>
      </c>
    </row>
    <row r="503" spans="1:10" ht="60">
      <c r="A503" s="39" t="s">
        <v>697</v>
      </c>
      <c r="B503" s="40" t="s">
        <v>98</v>
      </c>
      <c r="C503" s="40" t="s">
        <v>29</v>
      </c>
      <c r="D503" s="39" t="s">
        <v>99</v>
      </c>
      <c r="E503" s="40" t="s">
        <v>40</v>
      </c>
      <c r="F503" s="41">
        <v>270.06</v>
      </c>
      <c r="G503" s="41">
        <v>56.47</v>
      </c>
      <c r="H503" s="41">
        <v>17.57</v>
      </c>
      <c r="I503" s="41">
        <v>66.39</v>
      </c>
      <c r="J503" s="41">
        <v>17929.28</v>
      </c>
    </row>
    <row r="504" spans="1:10" ht="60">
      <c r="A504" s="39" t="s">
        <v>698</v>
      </c>
      <c r="B504" s="40" t="s">
        <v>101</v>
      </c>
      <c r="C504" s="40" t="s">
        <v>29</v>
      </c>
      <c r="D504" s="39" t="s">
        <v>102</v>
      </c>
      <c r="E504" s="40" t="s">
        <v>40</v>
      </c>
      <c r="F504" s="41">
        <v>18.07</v>
      </c>
      <c r="G504" s="41">
        <v>60.43</v>
      </c>
      <c r="H504" s="41">
        <v>17.57</v>
      </c>
      <c r="I504" s="41">
        <v>71.05</v>
      </c>
      <c r="J504" s="41">
        <v>1283.8699999999999</v>
      </c>
    </row>
    <row r="505" spans="1:10" ht="60">
      <c r="A505" s="39" t="s">
        <v>699</v>
      </c>
      <c r="B505" s="40" t="s">
        <v>104</v>
      </c>
      <c r="C505" s="40" t="s">
        <v>29</v>
      </c>
      <c r="D505" s="39" t="s">
        <v>105</v>
      </c>
      <c r="E505" s="40" t="s">
        <v>40</v>
      </c>
      <c r="F505" s="41">
        <v>98</v>
      </c>
      <c r="G505" s="41">
        <v>54.31</v>
      </c>
      <c r="H505" s="41">
        <v>17.57</v>
      </c>
      <c r="I505" s="41">
        <v>63.85</v>
      </c>
      <c r="J505" s="41">
        <v>6257.3</v>
      </c>
    </row>
    <row r="506" spans="1:10" ht="24">
      <c r="A506" s="39" t="s">
        <v>700</v>
      </c>
      <c r="B506" s="40" t="s">
        <v>107</v>
      </c>
      <c r="C506" s="40" t="s">
        <v>29</v>
      </c>
      <c r="D506" s="39" t="s">
        <v>108</v>
      </c>
      <c r="E506" s="40" t="s">
        <v>40</v>
      </c>
      <c r="F506" s="41">
        <v>1.1499999999999999</v>
      </c>
      <c r="G506" s="41">
        <v>39.770000000000003</v>
      </c>
      <c r="H506" s="41">
        <v>17.57</v>
      </c>
      <c r="I506" s="41">
        <v>46.76</v>
      </c>
      <c r="J506" s="41">
        <v>53.77</v>
      </c>
    </row>
    <row r="507" spans="1:10" ht="24">
      <c r="A507" s="39" t="s">
        <v>701</v>
      </c>
      <c r="B507" s="40" t="s">
        <v>110</v>
      </c>
      <c r="C507" s="40" t="s">
        <v>29</v>
      </c>
      <c r="D507" s="39" t="s">
        <v>111</v>
      </c>
      <c r="E507" s="40" t="s">
        <v>40</v>
      </c>
      <c r="F507" s="41">
        <v>11.75</v>
      </c>
      <c r="G507" s="41">
        <v>50.32</v>
      </c>
      <c r="H507" s="41">
        <v>17.57</v>
      </c>
      <c r="I507" s="41">
        <v>59.16</v>
      </c>
      <c r="J507" s="41">
        <v>695.13</v>
      </c>
    </row>
    <row r="508" spans="1:10" ht="24">
      <c r="A508" s="39" t="s">
        <v>702</v>
      </c>
      <c r="B508" s="40" t="s">
        <v>113</v>
      </c>
      <c r="C508" s="40" t="s">
        <v>29</v>
      </c>
      <c r="D508" s="39" t="s">
        <v>114</v>
      </c>
      <c r="E508" s="40" t="s">
        <v>115</v>
      </c>
      <c r="F508" s="41">
        <v>16</v>
      </c>
      <c r="G508" s="41">
        <v>201.05</v>
      </c>
      <c r="H508" s="41">
        <v>17.57</v>
      </c>
      <c r="I508" s="41">
        <v>236.37</v>
      </c>
      <c r="J508" s="41">
        <v>3781.92</v>
      </c>
    </row>
    <row r="509" spans="1:10">
      <c r="A509" s="39" t="s">
        <v>703</v>
      </c>
      <c r="B509" s="40" t="s">
        <v>117</v>
      </c>
      <c r="C509" s="40" t="s">
        <v>29</v>
      </c>
      <c r="D509" s="39" t="s">
        <v>118</v>
      </c>
      <c r="E509" s="40" t="s">
        <v>20</v>
      </c>
      <c r="F509" s="41">
        <v>79.849999999999994</v>
      </c>
      <c r="G509" s="41">
        <v>13.8</v>
      </c>
      <c r="H509" s="41">
        <v>17.57</v>
      </c>
      <c r="I509" s="41">
        <v>16.22</v>
      </c>
      <c r="J509" s="41">
        <v>1295.17</v>
      </c>
    </row>
    <row r="510" spans="1:10" ht="20.100000000000001" customHeight="1">
      <c r="A510" s="37" t="s">
        <v>704</v>
      </c>
      <c r="B510" s="521" t="s">
        <v>120</v>
      </c>
      <c r="C510" s="521"/>
      <c r="D510" s="521"/>
      <c r="E510" s="521"/>
      <c r="F510" s="521"/>
      <c r="G510" s="521"/>
      <c r="H510" s="521"/>
      <c r="I510" s="521"/>
      <c r="J510" s="38">
        <v>73052.97</v>
      </c>
    </row>
    <row r="511" spans="1:10" ht="60">
      <c r="A511" s="39" t="s">
        <v>705</v>
      </c>
      <c r="B511" s="40" t="s">
        <v>122</v>
      </c>
      <c r="C511" s="40" t="s">
        <v>29</v>
      </c>
      <c r="D511" s="39" t="s">
        <v>123</v>
      </c>
      <c r="E511" s="40" t="s">
        <v>60</v>
      </c>
      <c r="F511" s="41">
        <v>21.32</v>
      </c>
      <c r="G511" s="41">
        <v>6.48</v>
      </c>
      <c r="H511" s="41">
        <v>17.57</v>
      </c>
      <c r="I511" s="41">
        <v>7.62</v>
      </c>
      <c r="J511" s="41">
        <v>162.46</v>
      </c>
    </row>
    <row r="512" spans="1:10" ht="60">
      <c r="A512" s="39" t="s">
        <v>706</v>
      </c>
      <c r="B512" s="40" t="s">
        <v>125</v>
      </c>
      <c r="C512" s="40" t="s">
        <v>29</v>
      </c>
      <c r="D512" s="39" t="s">
        <v>126</v>
      </c>
      <c r="E512" s="40" t="s">
        <v>60</v>
      </c>
      <c r="F512" s="41">
        <v>7.99</v>
      </c>
      <c r="G512" s="41">
        <v>23.75</v>
      </c>
      <c r="H512" s="41">
        <v>17.57</v>
      </c>
      <c r="I512" s="41">
        <v>27.92</v>
      </c>
      <c r="J512" s="41">
        <v>223.08</v>
      </c>
    </row>
    <row r="513" spans="1:10" ht="48">
      <c r="A513" s="39" t="s">
        <v>707</v>
      </c>
      <c r="B513" s="40" t="s">
        <v>49</v>
      </c>
      <c r="C513" s="40" t="s">
        <v>18</v>
      </c>
      <c r="D513" s="39" t="s">
        <v>50</v>
      </c>
      <c r="E513" s="40" t="s">
        <v>44</v>
      </c>
      <c r="F513" s="41">
        <v>16.66</v>
      </c>
      <c r="G513" s="41">
        <v>2.9</v>
      </c>
      <c r="H513" s="41">
        <v>17.57</v>
      </c>
      <c r="I513" s="41">
        <v>3.41</v>
      </c>
      <c r="J513" s="41">
        <v>56.81</v>
      </c>
    </row>
    <row r="514" spans="1:10" ht="36">
      <c r="A514" s="39" t="s">
        <v>708</v>
      </c>
      <c r="B514" s="40" t="s">
        <v>52</v>
      </c>
      <c r="C514" s="40" t="s">
        <v>29</v>
      </c>
      <c r="D514" s="39" t="s">
        <v>53</v>
      </c>
      <c r="E514" s="40" t="s">
        <v>54</v>
      </c>
      <c r="F514" s="41">
        <v>178.26</v>
      </c>
      <c r="G514" s="41">
        <v>2.27</v>
      </c>
      <c r="H514" s="41">
        <v>17.57</v>
      </c>
      <c r="I514" s="41">
        <v>2.67</v>
      </c>
      <c r="J514" s="41">
        <v>475.95</v>
      </c>
    </row>
    <row r="515" spans="1:10" ht="36">
      <c r="A515" s="39" t="s">
        <v>709</v>
      </c>
      <c r="B515" s="40" t="s">
        <v>130</v>
      </c>
      <c r="C515" s="40" t="s">
        <v>29</v>
      </c>
      <c r="D515" s="39" t="s">
        <v>131</v>
      </c>
      <c r="E515" s="40" t="s">
        <v>60</v>
      </c>
      <c r="F515" s="41">
        <v>16.98</v>
      </c>
      <c r="G515" s="41">
        <v>472.74</v>
      </c>
      <c r="H515" s="41">
        <v>17.57</v>
      </c>
      <c r="I515" s="41">
        <v>555.79999999999995</v>
      </c>
      <c r="J515" s="41">
        <v>9437.48</v>
      </c>
    </row>
    <row r="516" spans="1:10" ht="24">
      <c r="A516" s="39" t="s">
        <v>710</v>
      </c>
      <c r="B516" s="40" t="s">
        <v>133</v>
      </c>
      <c r="C516" s="40" t="s">
        <v>29</v>
      </c>
      <c r="D516" s="39" t="s">
        <v>134</v>
      </c>
      <c r="E516" s="40" t="s">
        <v>60</v>
      </c>
      <c r="F516" s="41">
        <v>13.33</v>
      </c>
      <c r="G516" s="41">
        <v>436.13</v>
      </c>
      <c r="H516" s="41">
        <v>17.57</v>
      </c>
      <c r="I516" s="41">
        <v>512.76</v>
      </c>
      <c r="J516" s="41">
        <v>6835.09</v>
      </c>
    </row>
    <row r="517" spans="1:10" ht="36">
      <c r="A517" s="39" t="s">
        <v>711</v>
      </c>
      <c r="B517" s="40" t="s">
        <v>136</v>
      </c>
      <c r="C517" s="40" t="s">
        <v>29</v>
      </c>
      <c r="D517" s="39" t="s">
        <v>137</v>
      </c>
      <c r="E517" s="40" t="s">
        <v>138</v>
      </c>
      <c r="F517" s="41">
        <v>1104.6400000000001</v>
      </c>
      <c r="G517" s="41">
        <v>15.14</v>
      </c>
      <c r="H517" s="41">
        <v>17.57</v>
      </c>
      <c r="I517" s="41">
        <v>17.8</v>
      </c>
      <c r="J517" s="41">
        <v>19662.59</v>
      </c>
    </row>
    <row r="518" spans="1:10" ht="48">
      <c r="A518" s="39" t="s">
        <v>712</v>
      </c>
      <c r="B518" s="40" t="s">
        <v>140</v>
      </c>
      <c r="C518" s="40" t="s">
        <v>18</v>
      </c>
      <c r="D518" s="39" t="s">
        <v>141</v>
      </c>
      <c r="E518" s="40" t="s">
        <v>20</v>
      </c>
      <c r="F518" s="41">
        <v>79.95</v>
      </c>
      <c r="G518" s="41">
        <v>1.1000000000000001</v>
      </c>
      <c r="H518" s="41">
        <v>17.57</v>
      </c>
      <c r="I518" s="41">
        <v>1.29</v>
      </c>
      <c r="J518" s="41">
        <v>103.14</v>
      </c>
    </row>
    <row r="519" spans="1:10" ht="36">
      <c r="A519" s="39" t="s">
        <v>713</v>
      </c>
      <c r="B519" s="40" t="s">
        <v>143</v>
      </c>
      <c r="C519" s="40" t="s">
        <v>29</v>
      </c>
      <c r="D519" s="39" t="s">
        <v>144</v>
      </c>
      <c r="E519" s="40" t="s">
        <v>20</v>
      </c>
      <c r="F519" s="41">
        <v>133.25</v>
      </c>
      <c r="G519" s="41">
        <v>105.62</v>
      </c>
      <c r="H519" s="41">
        <v>17.57</v>
      </c>
      <c r="I519" s="41">
        <v>124.18</v>
      </c>
      <c r="J519" s="41">
        <v>16546.990000000002</v>
      </c>
    </row>
    <row r="520" spans="1:10" ht="36">
      <c r="A520" s="39" t="s">
        <v>714</v>
      </c>
      <c r="B520" s="40" t="s">
        <v>146</v>
      </c>
      <c r="C520" s="40" t="s">
        <v>29</v>
      </c>
      <c r="D520" s="39" t="s">
        <v>147</v>
      </c>
      <c r="E520" s="40" t="s">
        <v>20</v>
      </c>
      <c r="F520" s="41">
        <v>133.25</v>
      </c>
      <c r="G520" s="41">
        <v>4.0999999999999996</v>
      </c>
      <c r="H520" s="41">
        <v>17.57</v>
      </c>
      <c r="I520" s="41">
        <v>4.82</v>
      </c>
      <c r="J520" s="41">
        <v>642.27</v>
      </c>
    </row>
    <row r="521" spans="1:10" ht="48">
      <c r="A521" s="39" t="s">
        <v>715</v>
      </c>
      <c r="B521" s="40" t="s">
        <v>149</v>
      </c>
      <c r="C521" s="40" t="s">
        <v>29</v>
      </c>
      <c r="D521" s="39" t="s">
        <v>150</v>
      </c>
      <c r="E521" s="40" t="s">
        <v>20</v>
      </c>
      <c r="F521" s="41">
        <v>133.25</v>
      </c>
      <c r="G521" s="41">
        <v>24.83</v>
      </c>
      <c r="H521" s="41">
        <v>17.57</v>
      </c>
      <c r="I521" s="41">
        <v>29.19</v>
      </c>
      <c r="J521" s="41">
        <v>3889.57</v>
      </c>
    </row>
    <row r="522" spans="1:10" ht="24">
      <c r="A522" s="39" t="s">
        <v>716</v>
      </c>
      <c r="B522" s="40" t="s">
        <v>152</v>
      </c>
      <c r="C522" s="40" t="s">
        <v>29</v>
      </c>
      <c r="D522" s="39" t="s">
        <v>153</v>
      </c>
      <c r="E522" s="40" t="s">
        <v>60</v>
      </c>
      <c r="F522" s="41">
        <v>14.17</v>
      </c>
      <c r="G522" s="41">
        <v>469.42</v>
      </c>
      <c r="H522" s="41">
        <v>17.57</v>
      </c>
      <c r="I522" s="41">
        <v>551.9</v>
      </c>
      <c r="J522" s="41">
        <v>7820.42</v>
      </c>
    </row>
    <row r="523" spans="1:10" ht="24">
      <c r="A523" s="39" t="s">
        <v>717</v>
      </c>
      <c r="B523" s="40" t="s">
        <v>155</v>
      </c>
      <c r="C523" s="40" t="s">
        <v>18</v>
      </c>
      <c r="D523" s="39" t="s">
        <v>156</v>
      </c>
      <c r="E523" s="40" t="s">
        <v>60</v>
      </c>
      <c r="F523" s="41">
        <v>44.48</v>
      </c>
      <c r="G523" s="41">
        <v>129.79</v>
      </c>
      <c r="H523" s="41">
        <v>17.57</v>
      </c>
      <c r="I523" s="41">
        <v>152.59</v>
      </c>
      <c r="J523" s="41">
        <v>6787.2</v>
      </c>
    </row>
    <row r="524" spans="1:10" ht="24">
      <c r="A524" s="39" t="s">
        <v>718</v>
      </c>
      <c r="B524" s="40" t="s">
        <v>719</v>
      </c>
      <c r="C524" s="40" t="s">
        <v>161</v>
      </c>
      <c r="D524" s="39" t="s">
        <v>720</v>
      </c>
      <c r="E524" s="40" t="s">
        <v>167</v>
      </c>
      <c r="F524" s="41">
        <v>1</v>
      </c>
      <c r="G524" s="41">
        <v>348.66</v>
      </c>
      <c r="H524" s="41">
        <v>17.57</v>
      </c>
      <c r="I524" s="41">
        <v>409.92</v>
      </c>
      <c r="J524" s="41">
        <v>409.92</v>
      </c>
    </row>
    <row r="525" spans="1:10" ht="20.100000000000001" customHeight="1">
      <c r="A525" s="37" t="s">
        <v>721</v>
      </c>
      <c r="B525" s="521" t="s">
        <v>158</v>
      </c>
      <c r="C525" s="521"/>
      <c r="D525" s="521"/>
      <c r="E525" s="521"/>
      <c r="F525" s="521"/>
      <c r="G525" s="521"/>
      <c r="H525" s="521"/>
      <c r="I525" s="521"/>
      <c r="J525" s="38">
        <v>5617.61</v>
      </c>
    </row>
    <row r="526" spans="1:10">
      <c r="A526" s="39" t="s">
        <v>722</v>
      </c>
      <c r="B526" s="40" t="s">
        <v>160</v>
      </c>
      <c r="C526" s="40" t="s">
        <v>161</v>
      </c>
      <c r="D526" s="39" t="s">
        <v>162</v>
      </c>
      <c r="E526" s="40" t="s">
        <v>163</v>
      </c>
      <c r="F526" s="41">
        <v>2.58</v>
      </c>
      <c r="G526" s="41">
        <v>347.25</v>
      </c>
      <c r="H526" s="41">
        <v>17.57</v>
      </c>
      <c r="I526" s="41">
        <v>408.26</v>
      </c>
      <c r="J526" s="41">
        <v>1053.31</v>
      </c>
    </row>
    <row r="527" spans="1:10" ht="24">
      <c r="A527" s="39" t="s">
        <v>723</v>
      </c>
      <c r="B527" s="40" t="s">
        <v>165</v>
      </c>
      <c r="C527" s="40" t="s">
        <v>161</v>
      </c>
      <c r="D527" s="39" t="s">
        <v>166</v>
      </c>
      <c r="E527" s="40" t="s">
        <v>167</v>
      </c>
      <c r="F527" s="41">
        <v>9</v>
      </c>
      <c r="G527" s="41">
        <v>121.48</v>
      </c>
      <c r="H527" s="41">
        <v>17.57</v>
      </c>
      <c r="I527" s="41">
        <v>142.82</v>
      </c>
      <c r="J527" s="41">
        <v>1285.3800000000001</v>
      </c>
    </row>
    <row r="528" spans="1:10" ht="24">
      <c r="A528" s="39" t="s">
        <v>724</v>
      </c>
      <c r="B528" s="40" t="s">
        <v>169</v>
      </c>
      <c r="C528" s="40" t="s">
        <v>18</v>
      </c>
      <c r="D528" s="39" t="s">
        <v>170</v>
      </c>
      <c r="E528" s="40" t="s">
        <v>171</v>
      </c>
      <c r="F528" s="41">
        <v>2</v>
      </c>
      <c r="G528" s="41">
        <v>156.33000000000001</v>
      </c>
      <c r="H528" s="41">
        <v>17.57</v>
      </c>
      <c r="I528" s="41">
        <v>183.8</v>
      </c>
      <c r="J528" s="41">
        <v>367.6</v>
      </c>
    </row>
    <row r="529" spans="1:10" ht="48">
      <c r="A529" s="39" t="s">
        <v>725</v>
      </c>
      <c r="B529" s="40" t="s">
        <v>173</v>
      </c>
      <c r="C529" s="40" t="s">
        <v>29</v>
      </c>
      <c r="D529" s="39" t="s">
        <v>174</v>
      </c>
      <c r="E529" s="40" t="s">
        <v>40</v>
      </c>
      <c r="F529" s="41">
        <v>300.42</v>
      </c>
      <c r="G529" s="41">
        <v>5.48</v>
      </c>
      <c r="H529" s="41">
        <v>17.57</v>
      </c>
      <c r="I529" s="41">
        <v>6.44</v>
      </c>
      <c r="J529" s="41">
        <v>1934.7</v>
      </c>
    </row>
    <row r="530" spans="1:10" ht="48">
      <c r="A530" s="39" t="s">
        <v>726</v>
      </c>
      <c r="B530" s="40" t="s">
        <v>176</v>
      </c>
      <c r="C530" s="40" t="s">
        <v>29</v>
      </c>
      <c r="D530" s="39" t="s">
        <v>177</v>
      </c>
      <c r="E530" s="40" t="s">
        <v>20</v>
      </c>
      <c r="F530" s="41">
        <v>34.4</v>
      </c>
      <c r="G530" s="41">
        <v>24.15</v>
      </c>
      <c r="H530" s="41">
        <v>17.57</v>
      </c>
      <c r="I530" s="41">
        <v>28.39</v>
      </c>
      <c r="J530" s="41">
        <v>976.62</v>
      </c>
    </row>
    <row r="531" spans="1:10" ht="20.100000000000001" customHeight="1">
      <c r="A531" s="37" t="s">
        <v>727</v>
      </c>
      <c r="B531" s="521" t="s">
        <v>179</v>
      </c>
      <c r="C531" s="521"/>
      <c r="D531" s="521"/>
      <c r="E531" s="521"/>
      <c r="F531" s="521"/>
      <c r="G531" s="521"/>
      <c r="H531" s="521"/>
      <c r="I531" s="521"/>
      <c r="J531" s="38">
        <v>6387.39</v>
      </c>
    </row>
    <row r="532" spans="1:10" ht="36">
      <c r="A532" s="39" t="s">
        <v>728</v>
      </c>
      <c r="B532" s="40" t="s">
        <v>181</v>
      </c>
      <c r="C532" s="40" t="s">
        <v>18</v>
      </c>
      <c r="D532" s="39" t="s">
        <v>182</v>
      </c>
      <c r="E532" s="40" t="s">
        <v>183</v>
      </c>
      <c r="F532" s="41">
        <v>48.36</v>
      </c>
      <c r="G532" s="41">
        <v>112.34</v>
      </c>
      <c r="H532" s="41">
        <v>17.57</v>
      </c>
      <c r="I532" s="41">
        <v>132.08000000000001</v>
      </c>
      <c r="J532" s="41">
        <v>6387.39</v>
      </c>
    </row>
    <row r="533" spans="1:10" ht="20.100000000000001" customHeight="1">
      <c r="A533" s="37" t="s">
        <v>729</v>
      </c>
      <c r="B533" s="521" t="s">
        <v>185</v>
      </c>
      <c r="C533" s="521"/>
      <c r="D533" s="521"/>
      <c r="E533" s="521"/>
      <c r="F533" s="521"/>
      <c r="G533" s="521"/>
      <c r="H533" s="521"/>
      <c r="I533" s="521"/>
      <c r="J533" s="38">
        <v>112086.37</v>
      </c>
    </row>
    <row r="534" spans="1:10" ht="48">
      <c r="A534" s="39" t="s">
        <v>730</v>
      </c>
      <c r="B534" s="40" t="s">
        <v>187</v>
      </c>
      <c r="C534" s="40" t="s">
        <v>29</v>
      </c>
      <c r="D534" s="39" t="s">
        <v>188</v>
      </c>
      <c r="E534" s="40" t="s">
        <v>31</v>
      </c>
      <c r="F534" s="41">
        <v>2</v>
      </c>
      <c r="G534" s="41">
        <v>830</v>
      </c>
      <c r="H534" s="41">
        <v>10.07</v>
      </c>
      <c r="I534" s="41">
        <v>913.58</v>
      </c>
      <c r="J534" s="41">
        <v>1827.16</v>
      </c>
    </row>
    <row r="535" spans="1:10" ht="36">
      <c r="A535" s="39" t="s">
        <v>731</v>
      </c>
      <c r="B535" s="40" t="s">
        <v>190</v>
      </c>
      <c r="C535" s="40" t="s">
        <v>29</v>
      </c>
      <c r="D535" s="39" t="s">
        <v>191</v>
      </c>
      <c r="E535" s="40" t="s">
        <v>31</v>
      </c>
      <c r="F535" s="41">
        <v>2</v>
      </c>
      <c r="G535" s="41">
        <v>648.42999999999995</v>
      </c>
      <c r="H535" s="41">
        <v>10.07</v>
      </c>
      <c r="I535" s="41">
        <v>713.73</v>
      </c>
      <c r="J535" s="41">
        <v>1427.46</v>
      </c>
    </row>
    <row r="536" spans="1:10" ht="36">
      <c r="A536" s="39" t="s">
        <v>732</v>
      </c>
      <c r="B536" s="40" t="s">
        <v>193</v>
      </c>
      <c r="C536" s="40" t="s">
        <v>29</v>
      </c>
      <c r="D536" s="39" t="s">
        <v>194</v>
      </c>
      <c r="E536" s="40" t="s">
        <v>195</v>
      </c>
      <c r="F536" s="41">
        <v>85.43</v>
      </c>
      <c r="G536" s="41">
        <v>522.5</v>
      </c>
      <c r="H536" s="41">
        <v>10.07</v>
      </c>
      <c r="I536" s="41">
        <v>575.12</v>
      </c>
      <c r="J536" s="41">
        <v>49132.5</v>
      </c>
    </row>
    <row r="537" spans="1:10" ht="24">
      <c r="A537" s="39" t="s">
        <v>733</v>
      </c>
      <c r="B537" s="40" t="s">
        <v>197</v>
      </c>
      <c r="C537" s="40" t="s">
        <v>18</v>
      </c>
      <c r="D537" s="39" t="s">
        <v>198</v>
      </c>
      <c r="E537" s="40" t="s">
        <v>44</v>
      </c>
      <c r="F537" s="41">
        <v>142.30000000000001</v>
      </c>
      <c r="G537" s="41">
        <v>56.1</v>
      </c>
      <c r="H537" s="41">
        <v>10.07</v>
      </c>
      <c r="I537" s="41">
        <v>61.75</v>
      </c>
      <c r="J537" s="41">
        <v>8787.0300000000007</v>
      </c>
    </row>
    <row r="538" spans="1:10">
      <c r="A538" s="39" t="s">
        <v>734</v>
      </c>
      <c r="B538" s="40" t="s">
        <v>200</v>
      </c>
      <c r="C538" s="40" t="s">
        <v>161</v>
      </c>
      <c r="D538" s="39" t="s">
        <v>201</v>
      </c>
      <c r="E538" s="40" t="s">
        <v>70</v>
      </c>
      <c r="F538" s="41">
        <v>156.88</v>
      </c>
      <c r="G538" s="41">
        <v>90.74</v>
      </c>
      <c r="H538" s="41">
        <v>10.07</v>
      </c>
      <c r="I538" s="41">
        <v>99.88</v>
      </c>
      <c r="J538" s="41">
        <v>15669.17</v>
      </c>
    </row>
    <row r="539" spans="1:10">
      <c r="A539" s="39" t="s">
        <v>735</v>
      </c>
      <c r="B539" s="40" t="s">
        <v>203</v>
      </c>
      <c r="C539" s="40" t="s">
        <v>161</v>
      </c>
      <c r="D539" s="39" t="s">
        <v>204</v>
      </c>
      <c r="E539" s="40" t="s">
        <v>70</v>
      </c>
      <c r="F539" s="41">
        <v>17.43</v>
      </c>
      <c r="G539" s="41">
        <v>74.53</v>
      </c>
      <c r="H539" s="41">
        <v>10.07</v>
      </c>
      <c r="I539" s="41">
        <v>82.04</v>
      </c>
      <c r="J539" s="41">
        <v>1429.96</v>
      </c>
    </row>
    <row r="540" spans="1:10" ht="24">
      <c r="A540" s="39" t="s">
        <v>736</v>
      </c>
      <c r="B540" s="40" t="s">
        <v>206</v>
      </c>
      <c r="C540" s="40" t="s">
        <v>18</v>
      </c>
      <c r="D540" s="39" t="s">
        <v>207</v>
      </c>
      <c r="E540" s="40" t="s">
        <v>138</v>
      </c>
      <c r="F540" s="41">
        <v>802.4</v>
      </c>
      <c r="G540" s="41">
        <v>5.32</v>
      </c>
      <c r="H540" s="41">
        <v>10.07</v>
      </c>
      <c r="I540" s="41">
        <v>5.86</v>
      </c>
      <c r="J540" s="41">
        <v>4702.0600000000004</v>
      </c>
    </row>
    <row r="541" spans="1:10" ht="36">
      <c r="A541" s="39" t="s">
        <v>737</v>
      </c>
      <c r="B541" s="40" t="s">
        <v>209</v>
      </c>
      <c r="C541" s="40" t="s">
        <v>29</v>
      </c>
      <c r="D541" s="39" t="s">
        <v>210</v>
      </c>
      <c r="E541" s="40" t="s">
        <v>60</v>
      </c>
      <c r="F541" s="41">
        <v>43.84</v>
      </c>
      <c r="G541" s="41">
        <v>422.5</v>
      </c>
      <c r="H541" s="41">
        <v>10.07</v>
      </c>
      <c r="I541" s="41">
        <v>465.05</v>
      </c>
      <c r="J541" s="41">
        <v>20387.79</v>
      </c>
    </row>
    <row r="542" spans="1:10" ht="36">
      <c r="A542" s="39" t="s">
        <v>738</v>
      </c>
      <c r="B542" s="40" t="s">
        <v>212</v>
      </c>
      <c r="C542" s="40" t="s">
        <v>29</v>
      </c>
      <c r="D542" s="39" t="s">
        <v>213</v>
      </c>
      <c r="E542" s="40" t="s">
        <v>20</v>
      </c>
      <c r="F542" s="41">
        <v>83.95</v>
      </c>
      <c r="G542" s="41">
        <v>94.4</v>
      </c>
      <c r="H542" s="41">
        <v>10.07</v>
      </c>
      <c r="I542" s="41">
        <v>103.91</v>
      </c>
      <c r="J542" s="41">
        <v>8723.24</v>
      </c>
    </row>
    <row r="543" spans="1:10" ht="20.100000000000001" customHeight="1">
      <c r="A543" s="37" t="s">
        <v>739</v>
      </c>
      <c r="B543" s="521" t="s">
        <v>740</v>
      </c>
      <c r="C543" s="521"/>
      <c r="D543" s="521"/>
      <c r="E543" s="521"/>
      <c r="F543" s="521"/>
      <c r="G543" s="521"/>
      <c r="H543" s="521"/>
      <c r="I543" s="521"/>
      <c r="J543" s="38">
        <v>557762.54</v>
      </c>
    </row>
    <row r="544" spans="1:10" ht="20.100000000000001" customHeight="1">
      <c r="A544" s="37" t="s">
        <v>741</v>
      </c>
      <c r="B544" s="521" t="s">
        <v>15</v>
      </c>
      <c r="C544" s="521"/>
      <c r="D544" s="521"/>
      <c r="E544" s="521"/>
      <c r="F544" s="521"/>
      <c r="G544" s="521"/>
      <c r="H544" s="521"/>
      <c r="I544" s="521"/>
      <c r="J544" s="38">
        <v>7783.05</v>
      </c>
    </row>
    <row r="545" spans="1:10" ht="24">
      <c r="A545" s="39" t="s">
        <v>742</v>
      </c>
      <c r="B545" s="40" t="s">
        <v>17</v>
      </c>
      <c r="C545" s="40" t="s">
        <v>18</v>
      </c>
      <c r="D545" s="39" t="s">
        <v>19</v>
      </c>
      <c r="E545" s="40" t="s">
        <v>20</v>
      </c>
      <c r="F545" s="41">
        <v>8</v>
      </c>
      <c r="G545" s="41">
        <v>564.99</v>
      </c>
      <c r="H545" s="41">
        <v>17.57</v>
      </c>
      <c r="I545" s="41">
        <v>664.26</v>
      </c>
      <c r="J545" s="41">
        <v>5314.08</v>
      </c>
    </row>
    <row r="546" spans="1:10" ht="24">
      <c r="A546" s="39" t="s">
        <v>743</v>
      </c>
      <c r="B546" s="40" t="s">
        <v>22</v>
      </c>
      <c r="C546" s="40" t="s">
        <v>18</v>
      </c>
      <c r="D546" s="39" t="s">
        <v>23</v>
      </c>
      <c r="E546" s="40" t="s">
        <v>24</v>
      </c>
      <c r="F546" s="41">
        <v>3</v>
      </c>
      <c r="G546" s="41">
        <v>700</v>
      </c>
      <c r="H546" s="41">
        <v>17.57</v>
      </c>
      <c r="I546" s="41">
        <v>822.99</v>
      </c>
      <c r="J546" s="41">
        <v>2468.9699999999998</v>
      </c>
    </row>
    <row r="547" spans="1:10" ht="20.100000000000001" customHeight="1">
      <c r="A547" s="37" t="s">
        <v>744</v>
      </c>
      <c r="B547" s="521" t="s">
        <v>26</v>
      </c>
      <c r="C547" s="521"/>
      <c r="D547" s="521"/>
      <c r="E547" s="521"/>
      <c r="F547" s="521"/>
      <c r="G547" s="521"/>
      <c r="H547" s="521"/>
      <c r="I547" s="521"/>
      <c r="J547" s="38">
        <v>19280.63</v>
      </c>
    </row>
    <row r="548" spans="1:10" ht="24">
      <c r="A548" s="39" t="s">
        <v>745</v>
      </c>
      <c r="B548" s="40" t="s">
        <v>28</v>
      </c>
      <c r="C548" s="40" t="s">
        <v>29</v>
      </c>
      <c r="D548" s="39" t="s">
        <v>30</v>
      </c>
      <c r="E548" s="40" t="s">
        <v>31</v>
      </c>
      <c r="F548" s="41">
        <v>0.38</v>
      </c>
      <c r="G548" s="41">
        <v>16819.14</v>
      </c>
      <c r="H548" s="41">
        <v>17.57</v>
      </c>
      <c r="I548" s="41">
        <v>19774.259999999998</v>
      </c>
      <c r="J548" s="41">
        <v>7514.22</v>
      </c>
    </row>
    <row r="549" spans="1:10" ht="24">
      <c r="A549" s="39" t="s">
        <v>746</v>
      </c>
      <c r="B549" s="40" t="s">
        <v>33</v>
      </c>
      <c r="C549" s="40" t="s">
        <v>29</v>
      </c>
      <c r="D549" s="39" t="s">
        <v>34</v>
      </c>
      <c r="E549" s="40" t="s">
        <v>31</v>
      </c>
      <c r="F549" s="41">
        <v>1.5</v>
      </c>
      <c r="G549" s="41">
        <v>6672</v>
      </c>
      <c r="H549" s="41">
        <v>17.57</v>
      </c>
      <c r="I549" s="41">
        <v>7844.27</v>
      </c>
      <c r="J549" s="41">
        <v>11766.41</v>
      </c>
    </row>
    <row r="550" spans="1:10" ht="20.100000000000001" customHeight="1">
      <c r="A550" s="37" t="s">
        <v>747</v>
      </c>
      <c r="B550" s="521" t="s">
        <v>36</v>
      </c>
      <c r="C550" s="521"/>
      <c r="D550" s="521"/>
      <c r="E550" s="521"/>
      <c r="F550" s="521"/>
      <c r="G550" s="521"/>
      <c r="H550" s="521"/>
      <c r="I550" s="521"/>
      <c r="J550" s="38">
        <v>181.46</v>
      </c>
    </row>
    <row r="551" spans="1:10">
      <c r="A551" s="39" t="s">
        <v>748</v>
      </c>
      <c r="B551" s="40" t="s">
        <v>38</v>
      </c>
      <c r="C551" s="40" t="s">
        <v>29</v>
      </c>
      <c r="D551" s="39" t="s">
        <v>39</v>
      </c>
      <c r="E551" s="40" t="s">
        <v>40</v>
      </c>
      <c r="F551" s="41">
        <v>312.86</v>
      </c>
      <c r="G551" s="41">
        <v>0.49</v>
      </c>
      <c r="H551" s="41">
        <v>17.57</v>
      </c>
      <c r="I551" s="41">
        <v>0.57999999999999996</v>
      </c>
      <c r="J551" s="41">
        <v>181.46</v>
      </c>
    </row>
    <row r="552" spans="1:10" ht="20.100000000000001" customHeight="1">
      <c r="A552" s="37" t="s">
        <v>749</v>
      </c>
      <c r="B552" s="521" t="s">
        <v>444</v>
      </c>
      <c r="C552" s="521"/>
      <c r="D552" s="521"/>
      <c r="E552" s="521"/>
      <c r="F552" s="521"/>
      <c r="G552" s="521"/>
      <c r="H552" s="521"/>
      <c r="I552" s="521"/>
      <c r="J552" s="38">
        <v>32194.54</v>
      </c>
    </row>
    <row r="553" spans="1:10" ht="24">
      <c r="A553" s="39" t="s">
        <v>750</v>
      </c>
      <c r="B553" s="40" t="s">
        <v>58</v>
      </c>
      <c r="C553" s="40" t="s">
        <v>18</v>
      </c>
      <c r="D553" s="39" t="s">
        <v>59</v>
      </c>
      <c r="E553" s="40" t="s">
        <v>60</v>
      </c>
      <c r="F553" s="41">
        <v>797.81</v>
      </c>
      <c r="G553" s="41">
        <v>2.59</v>
      </c>
      <c r="H553" s="41">
        <v>17.57</v>
      </c>
      <c r="I553" s="41">
        <v>3.05</v>
      </c>
      <c r="J553" s="41">
        <v>2433.3200000000002</v>
      </c>
    </row>
    <row r="554" spans="1:10" ht="48">
      <c r="A554" s="39" t="s">
        <v>751</v>
      </c>
      <c r="B554" s="40" t="s">
        <v>49</v>
      </c>
      <c r="C554" s="40" t="s">
        <v>18</v>
      </c>
      <c r="D554" s="39" t="s">
        <v>50</v>
      </c>
      <c r="E554" s="40" t="s">
        <v>44</v>
      </c>
      <c r="F554" s="41">
        <v>997.26</v>
      </c>
      <c r="G554" s="41">
        <v>2.9</v>
      </c>
      <c r="H554" s="41">
        <v>17.57</v>
      </c>
      <c r="I554" s="41">
        <v>3.41</v>
      </c>
      <c r="J554" s="41">
        <v>3400.66</v>
      </c>
    </row>
    <row r="555" spans="1:10" ht="36">
      <c r="A555" s="39" t="s">
        <v>752</v>
      </c>
      <c r="B555" s="40" t="s">
        <v>52</v>
      </c>
      <c r="C555" s="40" t="s">
        <v>29</v>
      </c>
      <c r="D555" s="39" t="s">
        <v>53</v>
      </c>
      <c r="E555" s="40" t="s">
        <v>54</v>
      </c>
      <c r="F555" s="41">
        <v>9872.8700000000008</v>
      </c>
      <c r="G555" s="41">
        <v>2.27</v>
      </c>
      <c r="H555" s="41">
        <v>17.57</v>
      </c>
      <c r="I555" s="41">
        <v>2.67</v>
      </c>
      <c r="J555" s="41">
        <v>26360.560000000001</v>
      </c>
    </row>
    <row r="556" spans="1:10" ht="20.100000000000001" customHeight="1">
      <c r="A556" s="37" t="s">
        <v>753</v>
      </c>
      <c r="B556" s="521" t="s">
        <v>11</v>
      </c>
      <c r="C556" s="521"/>
      <c r="D556" s="521"/>
      <c r="E556" s="521"/>
      <c r="F556" s="521"/>
      <c r="G556" s="521"/>
      <c r="H556" s="521"/>
      <c r="I556" s="521"/>
      <c r="J556" s="38">
        <v>97974.52</v>
      </c>
    </row>
    <row r="557" spans="1:10" ht="24">
      <c r="A557" s="39" t="s">
        <v>754</v>
      </c>
      <c r="B557" s="40" t="s">
        <v>65</v>
      </c>
      <c r="C557" s="40" t="s">
        <v>29</v>
      </c>
      <c r="D557" s="39" t="s">
        <v>66</v>
      </c>
      <c r="E557" s="40" t="s">
        <v>20</v>
      </c>
      <c r="F557" s="41">
        <v>1570.56</v>
      </c>
      <c r="G557" s="41">
        <v>2.79</v>
      </c>
      <c r="H557" s="41">
        <v>17.57</v>
      </c>
      <c r="I557" s="41">
        <v>3.28</v>
      </c>
      <c r="J557" s="41">
        <v>5151.4399999999996</v>
      </c>
    </row>
    <row r="558" spans="1:10" ht="24">
      <c r="A558" s="39" t="s">
        <v>755</v>
      </c>
      <c r="B558" s="40" t="s">
        <v>68</v>
      </c>
      <c r="C558" s="40" t="s">
        <v>18</v>
      </c>
      <c r="D558" s="39" t="s">
        <v>69</v>
      </c>
      <c r="E558" s="40" t="s">
        <v>70</v>
      </c>
      <c r="F558" s="41">
        <v>235.58</v>
      </c>
      <c r="G558" s="41">
        <v>11.4</v>
      </c>
      <c r="H558" s="41">
        <v>17.57</v>
      </c>
      <c r="I558" s="41">
        <v>13.4</v>
      </c>
      <c r="J558" s="41">
        <v>3156.77</v>
      </c>
    </row>
    <row r="559" spans="1:10" ht="36">
      <c r="A559" s="39" t="s">
        <v>756</v>
      </c>
      <c r="B559" s="40" t="s">
        <v>72</v>
      </c>
      <c r="C559" s="40" t="s">
        <v>18</v>
      </c>
      <c r="D559" s="39" t="s">
        <v>73</v>
      </c>
      <c r="E559" s="40" t="s">
        <v>60</v>
      </c>
      <c r="F559" s="41">
        <v>251.54</v>
      </c>
      <c r="G559" s="41">
        <v>14.44</v>
      </c>
      <c r="H559" s="41">
        <v>17.57</v>
      </c>
      <c r="I559" s="41">
        <v>16.98</v>
      </c>
      <c r="J559" s="41">
        <v>4271.1499999999996</v>
      </c>
    </row>
    <row r="560" spans="1:10" ht="48">
      <c r="A560" s="39" t="s">
        <v>757</v>
      </c>
      <c r="B560" s="40" t="s">
        <v>49</v>
      </c>
      <c r="C560" s="40" t="s">
        <v>18</v>
      </c>
      <c r="D560" s="39" t="s">
        <v>50</v>
      </c>
      <c r="E560" s="40" t="s">
        <v>44</v>
      </c>
      <c r="F560" s="41">
        <v>608.9</v>
      </c>
      <c r="G560" s="41">
        <v>2.9</v>
      </c>
      <c r="H560" s="41">
        <v>17.57</v>
      </c>
      <c r="I560" s="41">
        <v>3.41</v>
      </c>
      <c r="J560" s="41">
        <v>2076.35</v>
      </c>
    </row>
    <row r="561" spans="1:10" ht="24">
      <c r="A561" s="39" t="s">
        <v>758</v>
      </c>
      <c r="B561" s="40" t="s">
        <v>76</v>
      </c>
      <c r="C561" s="40" t="s">
        <v>18</v>
      </c>
      <c r="D561" s="39" t="s">
        <v>77</v>
      </c>
      <c r="E561" s="40" t="s">
        <v>78</v>
      </c>
      <c r="F561" s="41">
        <v>7489.47</v>
      </c>
      <c r="G561" s="41">
        <v>1.37</v>
      </c>
      <c r="H561" s="41">
        <v>17.57</v>
      </c>
      <c r="I561" s="41">
        <v>1.61</v>
      </c>
      <c r="J561" s="41">
        <v>12058.05</v>
      </c>
    </row>
    <row r="562" spans="1:10" ht="24">
      <c r="A562" s="39" t="s">
        <v>759</v>
      </c>
      <c r="B562" s="40" t="s">
        <v>80</v>
      </c>
      <c r="C562" s="40" t="s">
        <v>18</v>
      </c>
      <c r="D562" s="39" t="s">
        <v>81</v>
      </c>
      <c r="E562" s="40" t="s">
        <v>20</v>
      </c>
      <c r="F562" s="41">
        <v>1071.1400000000001</v>
      </c>
      <c r="G562" s="41">
        <v>1.24</v>
      </c>
      <c r="H562" s="41">
        <v>17.57</v>
      </c>
      <c r="I562" s="41">
        <v>1.46</v>
      </c>
      <c r="J562" s="41">
        <v>1563.86</v>
      </c>
    </row>
    <row r="563" spans="1:10" ht="36">
      <c r="A563" s="39" t="s">
        <v>760</v>
      </c>
      <c r="B563" s="40" t="s">
        <v>83</v>
      </c>
      <c r="C563" s="40" t="s">
        <v>18</v>
      </c>
      <c r="D563" s="39" t="s">
        <v>84</v>
      </c>
      <c r="E563" s="40" t="s">
        <v>60</v>
      </c>
      <c r="F563" s="41">
        <v>53.56</v>
      </c>
      <c r="G563" s="41">
        <v>133.37</v>
      </c>
      <c r="H563" s="41">
        <v>17.57</v>
      </c>
      <c r="I563" s="41">
        <v>156.80000000000001</v>
      </c>
      <c r="J563" s="41">
        <v>8398.2099999999991</v>
      </c>
    </row>
    <row r="564" spans="1:10" ht="36">
      <c r="A564" s="39" t="s">
        <v>761</v>
      </c>
      <c r="B564" s="40" t="s">
        <v>86</v>
      </c>
      <c r="C564" s="40" t="s">
        <v>18</v>
      </c>
      <c r="D564" s="39" t="s">
        <v>87</v>
      </c>
      <c r="E564" s="40" t="s">
        <v>44</v>
      </c>
      <c r="F564" s="41">
        <v>53.56</v>
      </c>
      <c r="G564" s="41">
        <v>7.86</v>
      </c>
      <c r="H564" s="41">
        <v>17.57</v>
      </c>
      <c r="I564" s="41">
        <v>9.24</v>
      </c>
      <c r="J564" s="41">
        <v>494.89</v>
      </c>
    </row>
    <row r="565" spans="1:10" ht="24">
      <c r="A565" s="39" t="s">
        <v>762</v>
      </c>
      <c r="B565" s="40" t="s">
        <v>89</v>
      </c>
      <c r="C565" s="40" t="s">
        <v>18</v>
      </c>
      <c r="D565" s="39" t="s">
        <v>90</v>
      </c>
      <c r="E565" s="40" t="s">
        <v>54</v>
      </c>
      <c r="F565" s="41">
        <v>1215.81</v>
      </c>
      <c r="G565" s="41">
        <v>1.77</v>
      </c>
      <c r="H565" s="41">
        <v>17.57</v>
      </c>
      <c r="I565" s="41">
        <v>2.08</v>
      </c>
      <c r="J565" s="41">
        <v>2528.88</v>
      </c>
    </row>
    <row r="566" spans="1:10" ht="24">
      <c r="A566" s="39" t="s">
        <v>763</v>
      </c>
      <c r="B566" s="40" t="s">
        <v>92</v>
      </c>
      <c r="C566" s="40" t="s">
        <v>18</v>
      </c>
      <c r="D566" s="39" t="s">
        <v>93</v>
      </c>
      <c r="E566" s="40" t="s">
        <v>20</v>
      </c>
      <c r="F566" s="41">
        <v>1440.41</v>
      </c>
      <c r="G566" s="41">
        <v>0.65</v>
      </c>
      <c r="H566" s="41">
        <v>17.57</v>
      </c>
      <c r="I566" s="41">
        <v>0.76</v>
      </c>
      <c r="J566" s="41">
        <v>1094.71</v>
      </c>
    </row>
    <row r="567" spans="1:10" ht="48">
      <c r="A567" s="39" t="s">
        <v>764</v>
      </c>
      <c r="B567" s="40" t="s">
        <v>95</v>
      </c>
      <c r="C567" s="40" t="s">
        <v>18</v>
      </c>
      <c r="D567" s="39" t="s">
        <v>96</v>
      </c>
      <c r="E567" s="40" t="s">
        <v>60</v>
      </c>
      <c r="F567" s="41">
        <v>99.81</v>
      </c>
      <c r="G567" s="41">
        <v>112.75</v>
      </c>
      <c r="H567" s="41">
        <v>17.57</v>
      </c>
      <c r="I567" s="41">
        <v>132.56</v>
      </c>
      <c r="J567" s="41">
        <v>13230.81</v>
      </c>
    </row>
    <row r="568" spans="1:10" ht="60">
      <c r="A568" s="39" t="s">
        <v>765</v>
      </c>
      <c r="B568" s="40" t="s">
        <v>98</v>
      </c>
      <c r="C568" s="40" t="s">
        <v>29</v>
      </c>
      <c r="D568" s="39" t="s">
        <v>99</v>
      </c>
      <c r="E568" s="40" t="s">
        <v>40</v>
      </c>
      <c r="F568" s="41">
        <v>632.92999999999995</v>
      </c>
      <c r="G568" s="41">
        <v>56.47</v>
      </c>
      <c r="H568" s="41">
        <v>17.57</v>
      </c>
      <c r="I568" s="41">
        <v>66.39</v>
      </c>
      <c r="J568" s="41">
        <v>42020.22</v>
      </c>
    </row>
    <row r="569" spans="1:10" ht="60">
      <c r="A569" s="39" t="s">
        <v>766</v>
      </c>
      <c r="B569" s="40" t="s">
        <v>101</v>
      </c>
      <c r="C569" s="40" t="s">
        <v>29</v>
      </c>
      <c r="D569" s="39" t="s">
        <v>102</v>
      </c>
      <c r="E569" s="40" t="s">
        <v>40</v>
      </c>
      <c r="F569" s="41">
        <v>18.510000000000002</v>
      </c>
      <c r="G569" s="41">
        <v>60.43</v>
      </c>
      <c r="H569" s="41">
        <v>17.57</v>
      </c>
      <c r="I569" s="41">
        <v>71.05</v>
      </c>
      <c r="J569" s="41">
        <v>1315.14</v>
      </c>
    </row>
    <row r="570" spans="1:10" ht="24">
      <c r="A570" s="39" t="s">
        <v>767</v>
      </c>
      <c r="B570" s="40" t="s">
        <v>107</v>
      </c>
      <c r="C570" s="40" t="s">
        <v>29</v>
      </c>
      <c r="D570" s="39" t="s">
        <v>108</v>
      </c>
      <c r="E570" s="40" t="s">
        <v>40</v>
      </c>
      <c r="F570" s="41">
        <v>5.49</v>
      </c>
      <c r="G570" s="41">
        <v>39.770000000000003</v>
      </c>
      <c r="H570" s="41">
        <v>17.57</v>
      </c>
      <c r="I570" s="41">
        <v>46.76</v>
      </c>
      <c r="J570" s="41">
        <v>256.70999999999998</v>
      </c>
    </row>
    <row r="571" spans="1:10" ht="24">
      <c r="A571" s="39" t="s">
        <v>768</v>
      </c>
      <c r="B571" s="40" t="s">
        <v>110</v>
      </c>
      <c r="C571" s="40" t="s">
        <v>29</v>
      </c>
      <c r="D571" s="39" t="s">
        <v>111</v>
      </c>
      <c r="E571" s="40" t="s">
        <v>40</v>
      </c>
      <c r="F571" s="41">
        <v>6.04</v>
      </c>
      <c r="G571" s="41">
        <v>50.32</v>
      </c>
      <c r="H571" s="41">
        <v>17.57</v>
      </c>
      <c r="I571" s="41">
        <v>59.16</v>
      </c>
      <c r="J571" s="41">
        <v>357.33</v>
      </c>
    </row>
    <row r="572" spans="1:10" ht="20.100000000000001" customHeight="1">
      <c r="A572" s="37" t="s">
        <v>769</v>
      </c>
      <c r="B572" s="521" t="s">
        <v>120</v>
      </c>
      <c r="C572" s="521"/>
      <c r="D572" s="521"/>
      <c r="E572" s="521"/>
      <c r="F572" s="521"/>
      <c r="G572" s="521"/>
      <c r="H572" s="521"/>
      <c r="I572" s="521"/>
      <c r="J572" s="38">
        <v>173153.12</v>
      </c>
    </row>
    <row r="573" spans="1:10" ht="60">
      <c r="A573" s="39" t="s">
        <v>770</v>
      </c>
      <c r="B573" s="40" t="s">
        <v>122</v>
      </c>
      <c r="C573" s="40" t="s">
        <v>29</v>
      </c>
      <c r="D573" s="39" t="s">
        <v>123</v>
      </c>
      <c r="E573" s="40" t="s">
        <v>60</v>
      </c>
      <c r="F573" s="41">
        <v>124.84</v>
      </c>
      <c r="G573" s="41">
        <v>6.48</v>
      </c>
      <c r="H573" s="41">
        <v>17.57</v>
      </c>
      <c r="I573" s="41">
        <v>7.62</v>
      </c>
      <c r="J573" s="41">
        <v>951.28</v>
      </c>
    </row>
    <row r="574" spans="1:10" ht="60">
      <c r="A574" s="39" t="s">
        <v>771</v>
      </c>
      <c r="B574" s="40" t="s">
        <v>125</v>
      </c>
      <c r="C574" s="40" t="s">
        <v>29</v>
      </c>
      <c r="D574" s="39" t="s">
        <v>126</v>
      </c>
      <c r="E574" s="40" t="s">
        <v>60</v>
      </c>
      <c r="F574" s="41">
        <v>46.82</v>
      </c>
      <c r="G574" s="41">
        <v>23.75</v>
      </c>
      <c r="H574" s="41">
        <v>17.57</v>
      </c>
      <c r="I574" s="41">
        <v>27.92</v>
      </c>
      <c r="J574" s="41">
        <v>1307.21</v>
      </c>
    </row>
    <row r="575" spans="1:10" ht="48">
      <c r="A575" s="39" t="s">
        <v>772</v>
      </c>
      <c r="B575" s="40" t="s">
        <v>49</v>
      </c>
      <c r="C575" s="40" t="s">
        <v>18</v>
      </c>
      <c r="D575" s="39" t="s">
        <v>50</v>
      </c>
      <c r="E575" s="40" t="s">
        <v>44</v>
      </c>
      <c r="F575" s="41">
        <v>97.53</v>
      </c>
      <c r="G575" s="41">
        <v>2.9</v>
      </c>
      <c r="H575" s="41">
        <v>17.57</v>
      </c>
      <c r="I575" s="41">
        <v>3.41</v>
      </c>
      <c r="J575" s="41">
        <v>332.58</v>
      </c>
    </row>
    <row r="576" spans="1:10" ht="36">
      <c r="A576" s="39" t="s">
        <v>773</v>
      </c>
      <c r="B576" s="40" t="s">
        <v>52</v>
      </c>
      <c r="C576" s="40" t="s">
        <v>29</v>
      </c>
      <c r="D576" s="39" t="s">
        <v>53</v>
      </c>
      <c r="E576" s="40" t="s">
        <v>54</v>
      </c>
      <c r="F576" s="41">
        <v>965.55</v>
      </c>
      <c r="G576" s="41">
        <v>2.27</v>
      </c>
      <c r="H576" s="41">
        <v>17.57</v>
      </c>
      <c r="I576" s="41">
        <v>2.67</v>
      </c>
      <c r="J576" s="41">
        <v>2578.02</v>
      </c>
    </row>
    <row r="577" spans="1:10" ht="36">
      <c r="A577" s="39" t="s">
        <v>774</v>
      </c>
      <c r="B577" s="40" t="s">
        <v>130</v>
      </c>
      <c r="C577" s="40" t="s">
        <v>29</v>
      </c>
      <c r="D577" s="39" t="s">
        <v>131</v>
      </c>
      <c r="E577" s="40" t="s">
        <v>60</v>
      </c>
      <c r="F577" s="41">
        <v>39.770000000000003</v>
      </c>
      <c r="G577" s="41">
        <v>472.74</v>
      </c>
      <c r="H577" s="41">
        <v>17.57</v>
      </c>
      <c r="I577" s="41">
        <v>555.79999999999995</v>
      </c>
      <c r="J577" s="41">
        <v>22104.17</v>
      </c>
    </row>
    <row r="578" spans="1:10" ht="24">
      <c r="A578" s="39" t="s">
        <v>775</v>
      </c>
      <c r="B578" s="40" t="s">
        <v>133</v>
      </c>
      <c r="C578" s="40" t="s">
        <v>29</v>
      </c>
      <c r="D578" s="39" t="s">
        <v>134</v>
      </c>
      <c r="E578" s="40" t="s">
        <v>60</v>
      </c>
      <c r="F578" s="41">
        <v>31.21</v>
      </c>
      <c r="G578" s="41">
        <v>436.13</v>
      </c>
      <c r="H578" s="41">
        <v>17.57</v>
      </c>
      <c r="I578" s="41">
        <v>512.76</v>
      </c>
      <c r="J578" s="41">
        <v>16003.24</v>
      </c>
    </row>
    <row r="579" spans="1:10" ht="36">
      <c r="A579" s="39" t="s">
        <v>776</v>
      </c>
      <c r="B579" s="40" t="s">
        <v>136</v>
      </c>
      <c r="C579" s="40" t="s">
        <v>29</v>
      </c>
      <c r="D579" s="39" t="s">
        <v>137</v>
      </c>
      <c r="E579" s="40" t="s">
        <v>138</v>
      </c>
      <c r="F579" s="41">
        <v>2587.23</v>
      </c>
      <c r="G579" s="41">
        <v>15.14</v>
      </c>
      <c r="H579" s="41">
        <v>17.57</v>
      </c>
      <c r="I579" s="41">
        <v>17.8</v>
      </c>
      <c r="J579" s="41">
        <v>46052.69</v>
      </c>
    </row>
    <row r="580" spans="1:10" ht="48">
      <c r="A580" s="39" t="s">
        <v>777</v>
      </c>
      <c r="B580" s="40" t="s">
        <v>140</v>
      </c>
      <c r="C580" s="40" t="s">
        <v>18</v>
      </c>
      <c r="D580" s="39" t="s">
        <v>141</v>
      </c>
      <c r="E580" s="40" t="s">
        <v>20</v>
      </c>
      <c r="F580" s="41">
        <v>187.25</v>
      </c>
      <c r="G580" s="41">
        <v>1.1000000000000001</v>
      </c>
      <c r="H580" s="41">
        <v>17.57</v>
      </c>
      <c r="I580" s="41">
        <v>1.29</v>
      </c>
      <c r="J580" s="41">
        <v>241.55</v>
      </c>
    </row>
    <row r="581" spans="1:10" ht="36">
      <c r="A581" s="39" t="s">
        <v>778</v>
      </c>
      <c r="B581" s="40" t="s">
        <v>143</v>
      </c>
      <c r="C581" s="40" t="s">
        <v>29</v>
      </c>
      <c r="D581" s="39" t="s">
        <v>144</v>
      </c>
      <c r="E581" s="40" t="s">
        <v>20</v>
      </c>
      <c r="F581" s="41">
        <v>312.08999999999997</v>
      </c>
      <c r="G581" s="41">
        <v>105.62</v>
      </c>
      <c r="H581" s="41">
        <v>17.57</v>
      </c>
      <c r="I581" s="41">
        <v>124.18</v>
      </c>
      <c r="J581" s="41">
        <v>38755.339999999997</v>
      </c>
    </row>
    <row r="582" spans="1:10" ht="36">
      <c r="A582" s="39" t="s">
        <v>779</v>
      </c>
      <c r="B582" s="40" t="s">
        <v>146</v>
      </c>
      <c r="C582" s="40" t="s">
        <v>29</v>
      </c>
      <c r="D582" s="39" t="s">
        <v>147</v>
      </c>
      <c r="E582" s="40" t="s">
        <v>20</v>
      </c>
      <c r="F582" s="41">
        <v>312.08999999999997</v>
      </c>
      <c r="G582" s="41">
        <v>4.0999999999999996</v>
      </c>
      <c r="H582" s="41">
        <v>17.57</v>
      </c>
      <c r="I582" s="41">
        <v>4.82</v>
      </c>
      <c r="J582" s="41">
        <v>1504.27</v>
      </c>
    </row>
    <row r="583" spans="1:10" ht="48">
      <c r="A583" s="39" t="s">
        <v>780</v>
      </c>
      <c r="B583" s="40" t="s">
        <v>149</v>
      </c>
      <c r="C583" s="40" t="s">
        <v>29</v>
      </c>
      <c r="D583" s="39" t="s">
        <v>150</v>
      </c>
      <c r="E583" s="40" t="s">
        <v>20</v>
      </c>
      <c r="F583" s="41">
        <v>312.08999999999997</v>
      </c>
      <c r="G583" s="41">
        <v>24.83</v>
      </c>
      <c r="H583" s="41">
        <v>17.57</v>
      </c>
      <c r="I583" s="41">
        <v>29.19</v>
      </c>
      <c r="J583" s="41">
        <v>9109.91</v>
      </c>
    </row>
    <row r="584" spans="1:10" ht="24">
      <c r="A584" s="39" t="s">
        <v>781</v>
      </c>
      <c r="B584" s="40" t="s">
        <v>152</v>
      </c>
      <c r="C584" s="40" t="s">
        <v>29</v>
      </c>
      <c r="D584" s="39" t="s">
        <v>153</v>
      </c>
      <c r="E584" s="40" t="s">
        <v>60</v>
      </c>
      <c r="F584" s="41">
        <v>33.19</v>
      </c>
      <c r="G584" s="41">
        <v>469.42</v>
      </c>
      <c r="H584" s="41">
        <v>17.57</v>
      </c>
      <c r="I584" s="41">
        <v>551.9</v>
      </c>
      <c r="J584" s="41">
        <v>18317.560000000001</v>
      </c>
    </row>
    <row r="585" spans="1:10" ht="24">
      <c r="A585" s="39" t="s">
        <v>782</v>
      </c>
      <c r="B585" s="40" t="s">
        <v>155</v>
      </c>
      <c r="C585" s="40" t="s">
        <v>18</v>
      </c>
      <c r="D585" s="39" t="s">
        <v>156</v>
      </c>
      <c r="E585" s="40" t="s">
        <v>60</v>
      </c>
      <c r="F585" s="41">
        <v>104.17</v>
      </c>
      <c r="G585" s="41">
        <v>129.79</v>
      </c>
      <c r="H585" s="41">
        <v>17.57</v>
      </c>
      <c r="I585" s="41">
        <v>152.59</v>
      </c>
      <c r="J585" s="41">
        <v>15895.3</v>
      </c>
    </row>
    <row r="586" spans="1:10" ht="20.100000000000001" customHeight="1">
      <c r="A586" s="37" t="s">
        <v>783</v>
      </c>
      <c r="B586" s="521" t="s">
        <v>158</v>
      </c>
      <c r="C586" s="521"/>
      <c r="D586" s="521"/>
      <c r="E586" s="521"/>
      <c r="F586" s="521"/>
      <c r="G586" s="521"/>
      <c r="H586" s="521"/>
      <c r="I586" s="521"/>
      <c r="J586" s="38">
        <v>9539.51</v>
      </c>
    </row>
    <row r="587" spans="1:10">
      <c r="A587" s="39" t="s">
        <v>784</v>
      </c>
      <c r="B587" s="40" t="s">
        <v>160</v>
      </c>
      <c r="C587" s="40" t="s">
        <v>161</v>
      </c>
      <c r="D587" s="39" t="s">
        <v>162</v>
      </c>
      <c r="E587" s="40" t="s">
        <v>163</v>
      </c>
      <c r="F587" s="41">
        <v>2.87</v>
      </c>
      <c r="G587" s="41">
        <v>347.25</v>
      </c>
      <c r="H587" s="41">
        <v>17.57</v>
      </c>
      <c r="I587" s="41">
        <v>408.26</v>
      </c>
      <c r="J587" s="41">
        <v>1171.71</v>
      </c>
    </row>
    <row r="588" spans="1:10" ht="24">
      <c r="A588" s="39" t="s">
        <v>785</v>
      </c>
      <c r="B588" s="40" t="s">
        <v>165</v>
      </c>
      <c r="C588" s="40" t="s">
        <v>161</v>
      </c>
      <c r="D588" s="39" t="s">
        <v>166</v>
      </c>
      <c r="E588" s="40" t="s">
        <v>167</v>
      </c>
      <c r="F588" s="41">
        <v>13</v>
      </c>
      <c r="G588" s="41">
        <v>121.48</v>
      </c>
      <c r="H588" s="41">
        <v>17.57</v>
      </c>
      <c r="I588" s="41">
        <v>142.82</v>
      </c>
      <c r="J588" s="41">
        <v>1856.66</v>
      </c>
    </row>
    <row r="589" spans="1:10" ht="24">
      <c r="A589" s="39" t="s">
        <v>786</v>
      </c>
      <c r="B589" s="40" t="s">
        <v>169</v>
      </c>
      <c r="C589" s="40" t="s">
        <v>18</v>
      </c>
      <c r="D589" s="39" t="s">
        <v>170</v>
      </c>
      <c r="E589" s="40" t="s">
        <v>171</v>
      </c>
      <c r="F589" s="41">
        <v>3</v>
      </c>
      <c r="G589" s="41">
        <v>156.33000000000001</v>
      </c>
      <c r="H589" s="41">
        <v>17.57</v>
      </c>
      <c r="I589" s="41">
        <v>183.8</v>
      </c>
      <c r="J589" s="41">
        <v>551.4</v>
      </c>
    </row>
    <row r="590" spans="1:10" ht="48">
      <c r="A590" s="39" t="s">
        <v>787</v>
      </c>
      <c r="B590" s="40" t="s">
        <v>173</v>
      </c>
      <c r="C590" s="40" t="s">
        <v>29</v>
      </c>
      <c r="D590" s="39" t="s">
        <v>174</v>
      </c>
      <c r="E590" s="40" t="s">
        <v>40</v>
      </c>
      <c r="F590" s="41">
        <v>839.55</v>
      </c>
      <c r="G590" s="41">
        <v>5.48</v>
      </c>
      <c r="H590" s="41">
        <v>17.57</v>
      </c>
      <c r="I590" s="41">
        <v>6.44</v>
      </c>
      <c r="J590" s="41">
        <v>5406.7</v>
      </c>
    </row>
    <row r="591" spans="1:10" ht="48">
      <c r="A591" s="39" t="s">
        <v>788</v>
      </c>
      <c r="B591" s="40" t="s">
        <v>176</v>
      </c>
      <c r="C591" s="40" t="s">
        <v>29</v>
      </c>
      <c r="D591" s="39" t="s">
        <v>177</v>
      </c>
      <c r="E591" s="40" t="s">
        <v>20</v>
      </c>
      <c r="F591" s="41">
        <v>19.48</v>
      </c>
      <c r="G591" s="41">
        <v>24.15</v>
      </c>
      <c r="H591" s="41">
        <v>17.57</v>
      </c>
      <c r="I591" s="41">
        <v>28.39</v>
      </c>
      <c r="J591" s="41">
        <v>553.04</v>
      </c>
    </row>
    <row r="592" spans="1:10" ht="20.100000000000001" customHeight="1">
      <c r="A592" s="37" t="s">
        <v>789</v>
      </c>
      <c r="B592" s="521" t="s">
        <v>179</v>
      </c>
      <c r="C592" s="521"/>
      <c r="D592" s="521"/>
      <c r="E592" s="521"/>
      <c r="F592" s="521"/>
      <c r="G592" s="521"/>
      <c r="H592" s="521"/>
      <c r="I592" s="521"/>
      <c r="J592" s="38">
        <v>1923.08</v>
      </c>
    </row>
    <row r="593" spans="1:10" ht="36">
      <c r="A593" s="39" t="s">
        <v>790</v>
      </c>
      <c r="B593" s="40" t="s">
        <v>181</v>
      </c>
      <c r="C593" s="40" t="s">
        <v>18</v>
      </c>
      <c r="D593" s="39" t="s">
        <v>182</v>
      </c>
      <c r="E593" s="40" t="s">
        <v>183</v>
      </c>
      <c r="F593" s="41">
        <v>14.56</v>
      </c>
      <c r="G593" s="41">
        <v>112.34</v>
      </c>
      <c r="H593" s="41">
        <v>17.57</v>
      </c>
      <c r="I593" s="41">
        <v>132.08000000000001</v>
      </c>
      <c r="J593" s="41">
        <v>1923.08</v>
      </c>
    </row>
    <row r="594" spans="1:10" ht="20.100000000000001" customHeight="1">
      <c r="A594" s="37" t="s">
        <v>791</v>
      </c>
      <c r="B594" s="521" t="s">
        <v>185</v>
      </c>
      <c r="C594" s="521"/>
      <c r="D594" s="521"/>
      <c r="E594" s="521"/>
      <c r="F594" s="521"/>
      <c r="G594" s="521"/>
      <c r="H594" s="521"/>
      <c r="I594" s="521"/>
      <c r="J594" s="38">
        <v>215732.63</v>
      </c>
    </row>
    <row r="595" spans="1:10" ht="48">
      <c r="A595" s="39" t="s">
        <v>792</v>
      </c>
      <c r="B595" s="40" t="s">
        <v>187</v>
      </c>
      <c r="C595" s="40" t="s">
        <v>29</v>
      </c>
      <c r="D595" s="39" t="s">
        <v>188</v>
      </c>
      <c r="E595" s="40" t="s">
        <v>31</v>
      </c>
      <c r="F595" s="41">
        <v>3</v>
      </c>
      <c r="G595" s="41">
        <v>830</v>
      </c>
      <c r="H595" s="41">
        <v>10.07</v>
      </c>
      <c r="I595" s="41">
        <v>913.58</v>
      </c>
      <c r="J595" s="41">
        <v>2740.74</v>
      </c>
    </row>
    <row r="596" spans="1:10" ht="36">
      <c r="A596" s="39" t="s">
        <v>793</v>
      </c>
      <c r="B596" s="40" t="s">
        <v>190</v>
      </c>
      <c r="C596" s="40" t="s">
        <v>29</v>
      </c>
      <c r="D596" s="39" t="s">
        <v>191</v>
      </c>
      <c r="E596" s="40" t="s">
        <v>31</v>
      </c>
      <c r="F596" s="41">
        <v>3</v>
      </c>
      <c r="G596" s="41">
        <v>648.42999999999995</v>
      </c>
      <c r="H596" s="41">
        <v>10.07</v>
      </c>
      <c r="I596" s="41">
        <v>713.73</v>
      </c>
      <c r="J596" s="41">
        <v>2141.19</v>
      </c>
    </row>
    <row r="597" spans="1:10" ht="36">
      <c r="A597" s="39" t="s">
        <v>794</v>
      </c>
      <c r="B597" s="40" t="s">
        <v>193</v>
      </c>
      <c r="C597" s="40" t="s">
        <v>29</v>
      </c>
      <c r="D597" s="39" t="s">
        <v>194</v>
      </c>
      <c r="E597" s="40" t="s">
        <v>195</v>
      </c>
      <c r="F597" s="41">
        <v>136.84</v>
      </c>
      <c r="G597" s="41">
        <v>522.5</v>
      </c>
      <c r="H597" s="41">
        <v>10.07</v>
      </c>
      <c r="I597" s="41">
        <v>575.12</v>
      </c>
      <c r="J597" s="41">
        <v>78699.42</v>
      </c>
    </row>
    <row r="598" spans="1:10" ht="24">
      <c r="A598" s="39" t="s">
        <v>795</v>
      </c>
      <c r="B598" s="40" t="s">
        <v>197</v>
      </c>
      <c r="C598" s="40" t="s">
        <v>18</v>
      </c>
      <c r="D598" s="39" t="s">
        <v>198</v>
      </c>
      <c r="E598" s="40" t="s">
        <v>44</v>
      </c>
      <c r="F598" s="41">
        <v>251.54</v>
      </c>
      <c r="G598" s="41">
        <v>56.1</v>
      </c>
      <c r="H598" s="41">
        <v>10.07</v>
      </c>
      <c r="I598" s="41">
        <v>61.75</v>
      </c>
      <c r="J598" s="41">
        <v>15532.6</v>
      </c>
    </row>
    <row r="599" spans="1:10">
      <c r="A599" s="39" t="s">
        <v>796</v>
      </c>
      <c r="B599" s="40" t="s">
        <v>200</v>
      </c>
      <c r="C599" s="40" t="s">
        <v>161</v>
      </c>
      <c r="D599" s="39" t="s">
        <v>201</v>
      </c>
      <c r="E599" s="40" t="s">
        <v>70</v>
      </c>
      <c r="F599" s="41">
        <v>296.83</v>
      </c>
      <c r="G599" s="41">
        <v>90.74</v>
      </c>
      <c r="H599" s="41">
        <v>10.07</v>
      </c>
      <c r="I599" s="41">
        <v>99.88</v>
      </c>
      <c r="J599" s="41">
        <v>29647.38</v>
      </c>
    </row>
    <row r="600" spans="1:10">
      <c r="A600" s="39" t="s">
        <v>797</v>
      </c>
      <c r="B600" s="40" t="s">
        <v>203</v>
      </c>
      <c r="C600" s="40" t="s">
        <v>161</v>
      </c>
      <c r="D600" s="39" t="s">
        <v>204</v>
      </c>
      <c r="E600" s="40" t="s">
        <v>70</v>
      </c>
      <c r="F600" s="41">
        <v>32.979999999999997</v>
      </c>
      <c r="G600" s="41">
        <v>74.53</v>
      </c>
      <c r="H600" s="41">
        <v>10.07</v>
      </c>
      <c r="I600" s="41">
        <v>82.04</v>
      </c>
      <c r="J600" s="41">
        <v>2705.68</v>
      </c>
    </row>
    <row r="601" spans="1:10" ht="24">
      <c r="A601" s="39" t="s">
        <v>798</v>
      </c>
      <c r="B601" s="40" t="s">
        <v>206</v>
      </c>
      <c r="C601" s="40" t="s">
        <v>18</v>
      </c>
      <c r="D601" s="39" t="s">
        <v>207</v>
      </c>
      <c r="E601" s="40" t="s">
        <v>138</v>
      </c>
      <c r="F601" s="41">
        <v>1285.3699999999999</v>
      </c>
      <c r="G601" s="41">
        <v>5.32</v>
      </c>
      <c r="H601" s="41">
        <v>10.07</v>
      </c>
      <c r="I601" s="41">
        <v>5.86</v>
      </c>
      <c r="J601" s="41">
        <v>7532.27</v>
      </c>
    </row>
    <row r="602" spans="1:10" ht="36">
      <c r="A602" s="39" t="s">
        <v>799</v>
      </c>
      <c r="B602" s="40" t="s">
        <v>209</v>
      </c>
      <c r="C602" s="40" t="s">
        <v>29</v>
      </c>
      <c r="D602" s="39" t="s">
        <v>210</v>
      </c>
      <c r="E602" s="40" t="s">
        <v>60</v>
      </c>
      <c r="F602" s="41">
        <v>121.07</v>
      </c>
      <c r="G602" s="41">
        <v>422.5</v>
      </c>
      <c r="H602" s="41">
        <v>10.07</v>
      </c>
      <c r="I602" s="41">
        <v>465.05</v>
      </c>
      <c r="J602" s="41">
        <v>56303.6</v>
      </c>
    </row>
    <row r="603" spans="1:10" ht="36">
      <c r="A603" s="39" t="s">
        <v>800</v>
      </c>
      <c r="B603" s="40" t="s">
        <v>212</v>
      </c>
      <c r="C603" s="40" t="s">
        <v>29</v>
      </c>
      <c r="D603" s="39" t="s">
        <v>213</v>
      </c>
      <c r="E603" s="40" t="s">
        <v>20</v>
      </c>
      <c r="F603" s="41">
        <v>196.61</v>
      </c>
      <c r="G603" s="41">
        <v>94.4</v>
      </c>
      <c r="H603" s="41">
        <v>10.07</v>
      </c>
      <c r="I603" s="41">
        <v>103.91</v>
      </c>
      <c r="J603" s="41">
        <v>20429.75</v>
      </c>
    </row>
    <row r="604" spans="1:10" ht="20.100000000000001" customHeight="1">
      <c r="A604" s="37" t="s">
        <v>801</v>
      </c>
      <c r="B604" s="521" t="s">
        <v>802</v>
      </c>
      <c r="C604" s="521"/>
      <c r="D604" s="521"/>
      <c r="E604" s="521"/>
      <c r="F604" s="521"/>
      <c r="G604" s="521"/>
      <c r="H604" s="521"/>
      <c r="I604" s="521"/>
      <c r="J604" s="38">
        <v>338289.11</v>
      </c>
    </row>
    <row r="605" spans="1:10" ht="20.100000000000001" customHeight="1">
      <c r="A605" s="37" t="s">
        <v>803</v>
      </c>
      <c r="B605" s="521" t="s">
        <v>15</v>
      </c>
      <c r="C605" s="521"/>
      <c r="D605" s="521"/>
      <c r="E605" s="521"/>
      <c r="F605" s="521"/>
      <c r="G605" s="521"/>
      <c r="H605" s="521"/>
      <c r="I605" s="521"/>
      <c r="J605" s="38">
        <v>6960.06</v>
      </c>
    </row>
    <row r="606" spans="1:10" ht="24">
      <c r="A606" s="39" t="s">
        <v>804</v>
      </c>
      <c r="B606" s="40" t="s">
        <v>17</v>
      </c>
      <c r="C606" s="40" t="s">
        <v>18</v>
      </c>
      <c r="D606" s="39" t="s">
        <v>19</v>
      </c>
      <c r="E606" s="40" t="s">
        <v>20</v>
      </c>
      <c r="F606" s="41">
        <v>8</v>
      </c>
      <c r="G606" s="41">
        <v>564.99</v>
      </c>
      <c r="H606" s="41">
        <v>17.57</v>
      </c>
      <c r="I606" s="41">
        <v>664.26</v>
      </c>
      <c r="J606" s="41">
        <v>5314.08</v>
      </c>
    </row>
    <row r="607" spans="1:10" ht="24">
      <c r="A607" s="39" t="s">
        <v>805</v>
      </c>
      <c r="B607" s="40" t="s">
        <v>22</v>
      </c>
      <c r="C607" s="40" t="s">
        <v>18</v>
      </c>
      <c r="D607" s="39" t="s">
        <v>23</v>
      </c>
      <c r="E607" s="40" t="s">
        <v>24</v>
      </c>
      <c r="F607" s="41">
        <v>2</v>
      </c>
      <c r="G607" s="41">
        <v>700</v>
      </c>
      <c r="H607" s="41">
        <v>17.57</v>
      </c>
      <c r="I607" s="41">
        <v>822.99</v>
      </c>
      <c r="J607" s="41">
        <v>1645.98</v>
      </c>
    </row>
    <row r="608" spans="1:10" ht="20.100000000000001" customHeight="1">
      <c r="A608" s="37" t="s">
        <v>806</v>
      </c>
      <c r="B608" s="521" t="s">
        <v>26</v>
      </c>
      <c r="C608" s="521"/>
      <c r="D608" s="521"/>
      <c r="E608" s="521"/>
      <c r="F608" s="521"/>
      <c r="G608" s="521"/>
      <c r="H608" s="521"/>
      <c r="I608" s="521"/>
      <c r="J608" s="38">
        <v>12787.84</v>
      </c>
    </row>
    <row r="609" spans="1:10" ht="24">
      <c r="A609" s="39" t="s">
        <v>807</v>
      </c>
      <c r="B609" s="40" t="s">
        <v>28</v>
      </c>
      <c r="C609" s="40" t="s">
        <v>29</v>
      </c>
      <c r="D609" s="39" t="s">
        <v>30</v>
      </c>
      <c r="E609" s="40" t="s">
        <v>31</v>
      </c>
      <c r="F609" s="41">
        <v>0.25</v>
      </c>
      <c r="G609" s="41">
        <v>16819.14</v>
      </c>
      <c r="H609" s="41">
        <v>17.57</v>
      </c>
      <c r="I609" s="41">
        <v>19774.259999999998</v>
      </c>
      <c r="J609" s="41">
        <v>4943.57</v>
      </c>
    </row>
    <row r="610" spans="1:10" ht="24">
      <c r="A610" s="39" t="s">
        <v>808</v>
      </c>
      <c r="B610" s="40" t="s">
        <v>33</v>
      </c>
      <c r="C610" s="40" t="s">
        <v>29</v>
      </c>
      <c r="D610" s="39" t="s">
        <v>34</v>
      </c>
      <c r="E610" s="40" t="s">
        <v>31</v>
      </c>
      <c r="F610" s="41">
        <v>1</v>
      </c>
      <c r="G610" s="41">
        <v>6672</v>
      </c>
      <c r="H610" s="41">
        <v>17.57</v>
      </c>
      <c r="I610" s="41">
        <v>7844.27</v>
      </c>
      <c r="J610" s="41">
        <v>7844.27</v>
      </c>
    </row>
    <row r="611" spans="1:10" ht="20.100000000000001" customHeight="1">
      <c r="A611" s="37" t="s">
        <v>809</v>
      </c>
      <c r="B611" s="521" t="s">
        <v>36</v>
      </c>
      <c r="C611" s="521"/>
      <c r="D611" s="521"/>
      <c r="E611" s="521"/>
      <c r="F611" s="521"/>
      <c r="G611" s="521"/>
      <c r="H611" s="521"/>
      <c r="I611" s="521"/>
      <c r="J611" s="38">
        <v>9674.26</v>
      </c>
    </row>
    <row r="612" spans="1:10">
      <c r="A612" s="39" t="s">
        <v>810</v>
      </c>
      <c r="B612" s="40" t="s">
        <v>38</v>
      </c>
      <c r="C612" s="40" t="s">
        <v>29</v>
      </c>
      <c r="D612" s="39" t="s">
        <v>39</v>
      </c>
      <c r="E612" s="40" t="s">
        <v>40</v>
      </c>
      <c r="F612" s="41">
        <v>212.48</v>
      </c>
      <c r="G612" s="41">
        <v>0.49</v>
      </c>
      <c r="H612" s="41">
        <v>17.57</v>
      </c>
      <c r="I612" s="41">
        <v>0.57999999999999996</v>
      </c>
      <c r="J612" s="41">
        <v>123.24</v>
      </c>
    </row>
    <row r="613" spans="1:10" ht="24">
      <c r="A613" s="39" t="s">
        <v>811</v>
      </c>
      <c r="B613" s="40" t="s">
        <v>42</v>
      </c>
      <c r="C613" s="40" t="s">
        <v>18</v>
      </c>
      <c r="D613" s="39" t="s">
        <v>43</v>
      </c>
      <c r="E613" s="40" t="s">
        <v>44</v>
      </c>
      <c r="F613" s="41">
        <v>24.92</v>
      </c>
      <c r="G613" s="41">
        <v>212.24</v>
      </c>
      <c r="H613" s="41">
        <v>17.57</v>
      </c>
      <c r="I613" s="41">
        <v>249.53</v>
      </c>
      <c r="J613" s="41">
        <v>6218.29</v>
      </c>
    </row>
    <row r="614" spans="1:10" ht="24">
      <c r="A614" s="39" t="s">
        <v>812</v>
      </c>
      <c r="B614" s="40" t="s">
        <v>46</v>
      </c>
      <c r="C614" s="40" t="s">
        <v>18</v>
      </c>
      <c r="D614" s="39" t="s">
        <v>47</v>
      </c>
      <c r="E614" s="40" t="s">
        <v>40</v>
      </c>
      <c r="F614" s="41">
        <v>179.69</v>
      </c>
      <c r="G614" s="41">
        <v>11.13</v>
      </c>
      <c r="H614" s="41">
        <v>17.57</v>
      </c>
      <c r="I614" s="41">
        <v>13.09</v>
      </c>
      <c r="J614" s="41">
        <v>2352.14</v>
      </c>
    </row>
    <row r="615" spans="1:10" ht="24">
      <c r="A615" s="39" t="s">
        <v>813</v>
      </c>
      <c r="B615" s="40" t="s">
        <v>814</v>
      </c>
      <c r="C615" s="40" t="s">
        <v>29</v>
      </c>
      <c r="D615" s="39" t="s">
        <v>815</v>
      </c>
      <c r="E615" s="40" t="s">
        <v>115</v>
      </c>
      <c r="F615" s="41">
        <v>5</v>
      </c>
      <c r="G615" s="41">
        <v>64.73</v>
      </c>
      <c r="H615" s="41">
        <v>17.57</v>
      </c>
      <c r="I615" s="41">
        <v>76.099999999999994</v>
      </c>
      <c r="J615" s="41">
        <v>380.5</v>
      </c>
    </row>
    <row r="616" spans="1:10" ht="48">
      <c r="A616" s="39" t="s">
        <v>816</v>
      </c>
      <c r="B616" s="40" t="s">
        <v>49</v>
      </c>
      <c r="C616" s="40" t="s">
        <v>18</v>
      </c>
      <c r="D616" s="39" t="s">
        <v>50</v>
      </c>
      <c r="E616" s="40" t="s">
        <v>44</v>
      </c>
      <c r="F616" s="41">
        <v>42.59</v>
      </c>
      <c r="G616" s="41">
        <v>2.9</v>
      </c>
      <c r="H616" s="41">
        <v>17.57</v>
      </c>
      <c r="I616" s="41">
        <v>3.41</v>
      </c>
      <c r="J616" s="41">
        <v>145.22999999999999</v>
      </c>
    </row>
    <row r="617" spans="1:10" ht="36">
      <c r="A617" s="39" t="s">
        <v>817</v>
      </c>
      <c r="B617" s="40" t="s">
        <v>52</v>
      </c>
      <c r="C617" s="40" t="s">
        <v>29</v>
      </c>
      <c r="D617" s="39" t="s">
        <v>53</v>
      </c>
      <c r="E617" s="40" t="s">
        <v>54</v>
      </c>
      <c r="F617" s="41">
        <v>170.36</v>
      </c>
      <c r="G617" s="41">
        <v>2.27</v>
      </c>
      <c r="H617" s="41">
        <v>17.57</v>
      </c>
      <c r="I617" s="41">
        <v>2.67</v>
      </c>
      <c r="J617" s="41">
        <v>454.86</v>
      </c>
    </row>
    <row r="618" spans="1:10" ht="20.100000000000001" customHeight="1">
      <c r="A618" s="37" t="s">
        <v>818</v>
      </c>
      <c r="B618" s="521" t="s">
        <v>444</v>
      </c>
      <c r="C618" s="521"/>
      <c r="D618" s="521"/>
      <c r="E618" s="521"/>
      <c r="F618" s="521"/>
      <c r="G618" s="521"/>
      <c r="H618" s="521"/>
      <c r="I618" s="521"/>
      <c r="J618" s="38">
        <v>13667.19</v>
      </c>
    </row>
    <row r="619" spans="1:10" ht="24">
      <c r="A619" s="39" t="s">
        <v>819</v>
      </c>
      <c r="B619" s="40" t="s">
        <v>58</v>
      </c>
      <c r="C619" s="40" t="s">
        <v>18</v>
      </c>
      <c r="D619" s="39" t="s">
        <v>59</v>
      </c>
      <c r="E619" s="40" t="s">
        <v>60</v>
      </c>
      <c r="F619" s="41">
        <v>661.47</v>
      </c>
      <c r="G619" s="41">
        <v>2.59</v>
      </c>
      <c r="H619" s="41">
        <v>17.57</v>
      </c>
      <c r="I619" s="41">
        <v>3.05</v>
      </c>
      <c r="J619" s="41">
        <v>2017.48</v>
      </c>
    </row>
    <row r="620" spans="1:10" ht="48">
      <c r="A620" s="39" t="s">
        <v>820</v>
      </c>
      <c r="B620" s="40" t="s">
        <v>49</v>
      </c>
      <c r="C620" s="40" t="s">
        <v>18</v>
      </c>
      <c r="D620" s="39" t="s">
        <v>50</v>
      </c>
      <c r="E620" s="40" t="s">
        <v>44</v>
      </c>
      <c r="F620" s="41">
        <v>826.59</v>
      </c>
      <c r="G620" s="41">
        <v>2.9</v>
      </c>
      <c r="H620" s="41">
        <v>17.57</v>
      </c>
      <c r="I620" s="41">
        <v>3.41</v>
      </c>
      <c r="J620" s="41">
        <v>2818.67</v>
      </c>
    </row>
    <row r="621" spans="1:10" ht="36">
      <c r="A621" s="39" t="s">
        <v>821</v>
      </c>
      <c r="B621" s="40" t="s">
        <v>52</v>
      </c>
      <c r="C621" s="40" t="s">
        <v>29</v>
      </c>
      <c r="D621" s="39" t="s">
        <v>53</v>
      </c>
      <c r="E621" s="40" t="s">
        <v>54</v>
      </c>
      <c r="F621" s="41">
        <v>3306.36</v>
      </c>
      <c r="G621" s="41">
        <v>2.27</v>
      </c>
      <c r="H621" s="41">
        <v>17.57</v>
      </c>
      <c r="I621" s="41">
        <v>2.67</v>
      </c>
      <c r="J621" s="41">
        <v>8827.98</v>
      </c>
    </row>
    <row r="622" spans="1:10" ht="36">
      <c r="A622" s="39" t="s">
        <v>822</v>
      </c>
      <c r="B622" s="40" t="s">
        <v>501</v>
      </c>
      <c r="C622" s="40" t="s">
        <v>29</v>
      </c>
      <c r="D622" s="39" t="s">
        <v>502</v>
      </c>
      <c r="E622" s="40" t="s">
        <v>60</v>
      </c>
      <c r="F622" s="41">
        <v>0.2</v>
      </c>
      <c r="G622" s="41">
        <v>13.02</v>
      </c>
      <c r="H622" s="41">
        <v>17.57</v>
      </c>
      <c r="I622" s="41">
        <v>15.31</v>
      </c>
      <c r="J622" s="41">
        <v>3.06</v>
      </c>
    </row>
    <row r="623" spans="1:10" ht="20.100000000000001" customHeight="1">
      <c r="A623" s="37" t="s">
        <v>823</v>
      </c>
      <c r="B623" s="521" t="s">
        <v>11</v>
      </c>
      <c r="C623" s="521"/>
      <c r="D623" s="521"/>
      <c r="E623" s="521"/>
      <c r="F623" s="521"/>
      <c r="G623" s="521"/>
      <c r="H623" s="521"/>
      <c r="I623" s="521"/>
      <c r="J623" s="38">
        <v>72934.17</v>
      </c>
    </row>
    <row r="624" spans="1:10" ht="24">
      <c r="A624" s="39" t="s">
        <v>824</v>
      </c>
      <c r="B624" s="40" t="s">
        <v>65</v>
      </c>
      <c r="C624" s="40" t="s">
        <v>29</v>
      </c>
      <c r="D624" s="39" t="s">
        <v>66</v>
      </c>
      <c r="E624" s="40" t="s">
        <v>20</v>
      </c>
      <c r="F624" s="41">
        <v>1274.8800000000001</v>
      </c>
      <c r="G624" s="41">
        <v>2.79</v>
      </c>
      <c r="H624" s="41">
        <v>17.57</v>
      </c>
      <c r="I624" s="41">
        <v>3.28</v>
      </c>
      <c r="J624" s="41">
        <v>4181.6099999999997</v>
      </c>
    </row>
    <row r="625" spans="1:10" ht="24">
      <c r="A625" s="39" t="s">
        <v>825</v>
      </c>
      <c r="B625" s="40" t="s">
        <v>68</v>
      </c>
      <c r="C625" s="40" t="s">
        <v>18</v>
      </c>
      <c r="D625" s="39" t="s">
        <v>69</v>
      </c>
      <c r="E625" s="40" t="s">
        <v>70</v>
      </c>
      <c r="F625" s="41">
        <v>159.36000000000001</v>
      </c>
      <c r="G625" s="41">
        <v>11.4</v>
      </c>
      <c r="H625" s="41">
        <v>17.57</v>
      </c>
      <c r="I625" s="41">
        <v>13.4</v>
      </c>
      <c r="J625" s="41">
        <v>2135.42</v>
      </c>
    </row>
    <row r="626" spans="1:10" ht="36">
      <c r="A626" s="39" t="s">
        <v>826</v>
      </c>
      <c r="B626" s="40" t="s">
        <v>72</v>
      </c>
      <c r="C626" s="40" t="s">
        <v>18</v>
      </c>
      <c r="D626" s="39" t="s">
        <v>73</v>
      </c>
      <c r="E626" s="40" t="s">
        <v>60</v>
      </c>
      <c r="F626" s="41">
        <v>169.98</v>
      </c>
      <c r="G626" s="41">
        <v>14.44</v>
      </c>
      <c r="H626" s="41">
        <v>17.57</v>
      </c>
      <c r="I626" s="41">
        <v>16.98</v>
      </c>
      <c r="J626" s="41">
        <v>2886.26</v>
      </c>
    </row>
    <row r="627" spans="1:10" ht="48">
      <c r="A627" s="39" t="s">
        <v>827</v>
      </c>
      <c r="B627" s="40" t="s">
        <v>49</v>
      </c>
      <c r="C627" s="40" t="s">
        <v>18</v>
      </c>
      <c r="D627" s="39" t="s">
        <v>50</v>
      </c>
      <c r="E627" s="40" t="s">
        <v>44</v>
      </c>
      <c r="F627" s="41">
        <v>411.68</v>
      </c>
      <c r="G627" s="41">
        <v>2.9</v>
      </c>
      <c r="H627" s="41">
        <v>17.57</v>
      </c>
      <c r="I627" s="41">
        <v>3.41</v>
      </c>
      <c r="J627" s="41">
        <v>1403.83</v>
      </c>
    </row>
    <row r="628" spans="1:10" ht="24">
      <c r="A628" s="39" t="s">
        <v>828</v>
      </c>
      <c r="B628" s="40" t="s">
        <v>76</v>
      </c>
      <c r="C628" s="40" t="s">
        <v>18</v>
      </c>
      <c r="D628" s="39" t="s">
        <v>77</v>
      </c>
      <c r="E628" s="40" t="s">
        <v>78</v>
      </c>
      <c r="F628" s="41">
        <v>4404.9799999999996</v>
      </c>
      <c r="G628" s="41">
        <v>1.37</v>
      </c>
      <c r="H628" s="41">
        <v>17.57</v>
      </c>
      <c r="I628" s="41">
        <v>1.61</v>
      </c>
      <c r="J628" s="41">
        <v>7092.02</v>
      </c>
    </row>
    <row r="629" spans="1:10" ht="24">
      <c r="A629" s="39" t="s">
        <v>829</v>
      </c>
      <c r="B629" s="40" t="s">
        <v>80</v>
      </c>
      <c r="C629" s="40" t="s">
        <v>18</v>
      </c>
      <c r="D629" s="39" t="s">
        <v>81</v>
      </c>
      <c r="E629" s="40" t="s">
        <v>20</v>
      </c>
      <c r="F629" s="41">
        <v>883.16</v>
      </c>
      <c r="G629" s="41">
        <v>1.24</v>
      </c>
      <c r="H629" s="41">
        <v>17.57</v>
      </c>
      <c r="I629" s="41">
        <v>1.46</v>
      </c>
      <c r="J629" s="41">
        <v>1289.4100000000001</v>
      </c>
    </row>
    <row r="630" spans="1:10" ht="36">
      <c r="A630" s="39" t="s">
        <v>830</v>
      </c>
      <c r="B630" s="40" t="s">
        <v>83</v>
      </c>
      <c r="C630" s="40" t="s">
        <v>18</v>
      </c>
      <c r="D630" s="39" t="s">
        <v>84</v>
      </c>
      <c r="E630" s="40" t="s">
        <v>60</v>
      </c>
      <c r="F630" s="41">
        <v>44.16</v>
      </c>
      <c r="G630" s="41">
        <v>133.37</v>
      </c>
      <c r="H630" s="41">
        <v>17.57</v>
      </c>
      <c r="I630" s="41">
        <v>156.80000000000001</v>
      </c>
      <c r="J630" s="41">
        <v>6924.29</v>
      </c>
    </row>
    <row r="631" spans="1:10" ht="36">
      <c r="A631" s="39" t="s">
        <v>831</v>
      </c>
      <c r="B631" s="40" t="s">
        <v>86</v>
      </c>
      <c r="C631" s="40" t="s">
        <v>18</v>
      </c>
      <c r="D631" s="39" t="s">
        <v>87</v>
      </c>
      <c r="E631" s="40" t="s">
        <v>44</v>
      </c>
      <c r="F631" s="41">
        <v>44.16</v>
      </c>
      <c r="G631" s="41">
        <v>7.86</v>
      </c>
      <c r="H631" s="41">
        <v>17.57</v>
      </c>
      <c r="I631" s="41">
        <v>9.24</v>
      </c>
      <c r="J631" s="41">
        <v>408.04</v>
      </c>
    </row>
    <row r="632" spans="1:10" ht="24">
      <c r="A632" s="39" t="s">
        <v>832</v>
      </c>
      <c r="B632" s="40" t="s">
        <v>89</v>
      </c>
      <c r="C632" s="40" t="s">
        <v>18</v>
      </c>
      <c r="D632" s="39" t="s">
        <v>90</v>
      </c>
      <c r="E632" s="40" t="s">
        <v>54</v>
      </c>
      <c r="F632" s="41">
        <v>755.14</v>
      </c>
      <c r="G632" s="41">
        <v>1.77</v>
      </c>
      <c r="H632" s="41">
        <v>17.57</v>
      </c>
      <c r="I632" s="41">
        <v>2.08</v>
      </c>
      <c r="J632" s="41">
        <v>1570.69</v>
      </c>
    </row>
    <row r="633" spans="1:10" ht="24">
      <c r="A633" s="39" t="s">
        <v>833</v>
      </c>
      <c r="B633" s="40" t="s">
        <v>92</v>
      </c>
      <c r="C633" s="40" t="s">
        <v>18</v>
      </c>
      <c r="D633" s="39" t="s">
        <v>93</v>
      </c>
      <c r="E633" s="40" t="s">
        <v>20</v>
      </c>
      <c r="F633" s="41">
        <v>808.97</v>
      </c>
      <c r="G633" s="41">
        <v>0.65</v>
      </c>
      <c r="H633" s="41">
        <v>17.57</v>
      </c>
      <c r="I633" s="41">
        <v>0.76</v>
      </c>
      <c r="J633" s="41">
        <v>614.82000000000005</v>
      </c>
    </row>
    <row r="634" spans="1:10" ht="48">
      <c r="A634" s="39" t="s">
        <v>834</v>
      </c>
      <c r="B634" s="40" t="s">
        <v>95</v>
      </c>
      <c r="C634" s="40" t="s">
        <v>18</v>
      </c>
      <c r="D634" s="39" t="s">
        <v>96</v>
      </c>
      <c r="E634" s="40" t="s">
        <v>60</v>
      </c>
      <c r="F634" s="41">
        <v>55.82</v>
      </c>
      <c r="G634" s="41">
        <v>112.75</v>
      </c>
      <c r="H634" s="41">
        <v>17.57</v>
      </c>
      <c r="I634" s="41">
        <v>132.56</v>
      </c>
      <c r="J634" s="41">
        <v>7399.5</v>
      </c>
    </row>
    <row r="635" spans="1:10" ht="60">
      <c r="A635" s="39" t="s">
        <v>835</v>
      </c>
      <c r="B635" s="40" t="s">
        <v>98</v>
      </c>
      <c r="C635" s="40" t="s">
        <v>29</v>
      </c>
      <c r="D635" s="39" t="s">
        <v>99</v>
      </c>
      <c r="E635" s="40" t="s">
        <v>40</v>
      </c>
      <c r="F635" s="41">
        <v>409.7</v>
      </c>
      <c r="G635" s="41">
        <v>56.47</v>
      </c>
      <c r="H635" s="41">
        <v>17.57</v>
      </c>
      <c r="I635" s="41">
        <v>66.39</v>
      </c>
      <c r="J635" s="41">
        <v>27199.98</v>
      </c>
    </row>
    <row r="636" spans="1:10" ht="60">
      <c r="A636" s="39" t="s">
        <v>836</v>
      </c>
      <c r="B636" s="40" t="s">
        <v>101</v>
      </c>
      <c r="C636" s="40" t="s">
        <v>29</v>
      </c>
      <c r="D636" s="39" t="s">
        <v>102</v>
      </c>
      <c r="E636" s="40" t="s">
        <v>40</v>
      </c>
      <c r="F636" s="41">
        <v>53.07</v>
      </c>
      <c r="G636" s="41">
        <v>60.43</v>
      </c>
      <c r="H636" s="41">
        <v>17.57</v>
      </c>
      <c r="I636" s="41">
        <v>71.05</v>
      </c>
      <c r="J636" s="41">
        <v>3770.62</v>
      </c>
    </row>
    <row r="637" spans="1:10" ht="60">
      <c r="A637" s="39" t="s">
        <v>837</v>
      </c>
      <c r="B637" s="40" t="s">
        <v>104</v>
      </c>
      <c r="C637" s="40" t="s">
        <v>29</v>
      </c>
      <c r="D637" s="39" t="s">
        <v>105</v>
      </c>
      <c r="E637" s="40" t="s">
        <v>40</v>
      </c>
      <c r="F637" s="41">
        <v>16</v>
      </c>
      <c r="G637" s="41">
        <v>54.31</v>
      </c>
      <c r="H637" s="41">
        <v>17.57</v>
      </c>
      <c r="I637" s="41">
        <v>63.85</v>
      </c>
      <c r="J637" s="41">
        <v>1021.6</v>
      </c>
    </row>
    <row r="638" spans="1:10" ht="24">
      <c r="A638" s="39" t="s">
        <v>838</v>
      </c>
      <c r="B638" s="40" t="s">
        <v>107</v>
      </c>
      <c r="C638" s="40" t="s">
        <v>29</v>
      </c>
      <c r="D638" s="39" t="s">
        <v>108</v>
      </c>
      <c r="E638" s="40" t="s">
        <v>40</v>
      </c>
      <c r="F638" s="41">
        <v>72.11</v>
      </c>
      <c r="G638" s="41">
        <v>39.770000000000003</v>
      </c>
      <c r="H638" s="41">
        <v>17.57</v>
      </c>
      <c r="I638" s="41">
        <v>46.76</v>
      </c>
      <c r="J638" s="41">
        <v>3371.86</v>
      </c>
    </row>
    <row r="639" spans="1:10" ht="24">
      <c r="A639" s="39" t="s">
        <v>839</v>
      </c>
      <c r="B639" s="40" t="s">
        <v>110</v>
      </c>
      <c r="C639" s="40" t="s">
        <v>29</v>
      </c>
      <c r="D639" s="39" t="s">
        <v>111</v>
      </c>
      <c r="E639" s="40" t="s">
        <v>40</v>
      </c>
      <c r="F639" s="41">
        <v>26.76</v>
      </c>
      <c r="G639" s="41">
        <v>50.32</v>
      </c>
      <c r="H639" s="41">
        <v>17.57</v>
      </c>
      <c r="I639" s="41">
        <v>59.16</v>
      </c>
      <c r="J639" s="41">
        <v>1583.12</v>
      </c>
    </row>
    <row r="640" spans="1:10">
      <c r="A640" s="39" t="s">
        <v>840</v>
      </c>
      <c r="B640" s="40" t="s">
        <v>117</v>
      </c>
      <c r="C640" s="40" t="s">
        <v>29</v>
      </c>
      <c r="D640" s="39" t="s">
        <v>118</v>
      </c>
      <c r="E640" s="40" t="s">
        <v>20</v>
      </c>
      <c r="F640" s="41">
        <v>5</v>
      </c>
      <c r="G640" s="41">
        <v>13.8</v>
      </c>
      <c r="H640" s="41">
        <v>17.57</v>
      </c>
      <c r="I640" s="41">
        <v>16.22</v>
      </c>
      <c r="J640" s="41">
        <v>81.099999999999994</v>
      </c>
    </row>
    <row r="641" spans="1:10" ht="20.100000000000001" customHeight="1">
      <c r="A641" s="37" t="s">
        <v>841</v>
      </c>
      <c r="B641" s="521" t="s">
        <v>120</v>
      </c>
      <c r="C641" s="521"/>
      <c r="D641" s="521"/>
      <c r="E641" s="521"/>
      <c r="F641" s="521"/>
      <c r="G641" s="521"/>
      <c r="H641" s="521"/>
      <c r="I641" s="521"/>
      <c r="J641" s="38">
        <v>65847.570000000007</v>
      </c>
    </row>
    <row r="642" spans="1:10" ht="36">
      <c r="A642" s="39" t="s">
        <v>842</v>
      </c>
      <c r="B642" s="40" t="s">
        <v>130</v>
      </c>
      <c r="C642" s="40" t="s">
        <v>29</v>
      </c>
      <c r="D642" s="39" t="s">
        <v>131</v>
      </c>
      <c r="E642" s="40" t="s">
        <v>60</v>
      </c>
      <c r="F642" s="41">
        <v>17.07</v>
      </c>
      <c r="G642" s="41">
        <v>472.74</v>
      </c>
      <c r="H642" s="41">
        <v>17.57</v>
      </c>
      <c r="I642" s="41">
        <v>555.79999999999995</v>
      </c>
      <c r="J642" s="41">
        <v>9487.51</v>
      </c>
    </row>
    <row r="643" spans="1:10" ht="24">
      <c r="A643" s="39" t="s">
        <v>843</v>
      </c>
      <c r="B643" s="40" t="s">
        <v>133</v>
      </c>
      <c r="C643" s="40" t="s">
        <v>29</v>
      </c>
      <c r="D643" s="39" t="s">
        <v>134</v>
      </c>
      <c r="E643" s="40" t="s">
        <v>60</v>
      </c>
      <c r="F643" s="41">
        <v>13.39</v>
      </c>
      <c r="G643" s="41">
        <v>436.13</v>
      </c>
      <c r="H643" s="41">
        <v>17.57</v>
      </c>
      <c r="I643" s="41">
        <v>512.76</v>
      </c>
      <c r="J643" s="41">
        <v>6865.86</v>
      </c>
    </row>
    <row r="644" spans="1:10" ht="36">
      <c r="A644" s="39" t="s">
        <v>844</v>
      </c>
      <c r="B644" s="40" t="s">
        <v>136</v>
      </c>
      <c r="C644" s="40" t="s">
        <v>29</v>
      </c>
      <c r="D644" s="39" t="s">
        <v>137</v>
      </c>
      <c r="E644" s="40" t="s">
        <v>138</v>
      </c>
      <c r="F644" s="41">
        <v>1110.28</v>
      </c>
      <c r="G644" s="41">
        <v>15.14</v>
      </c>
      <c r="H644" s="41">
        <v>17.57</v>
      </c>
      <c r="I644" s="41">
        <v>17.8</v>
      </c>
      <c r="J644" s="41">
        <v>19762.98</v>
      </c>
    </row>
    <row r="645" spans="1:10" ht="48">
      <c r="A645" s="39" t="s">
        <v>845</v>
      </c>
      <c r="B645" s="40" t="s">
        <v>140</v>
      </c>
      <c r="C645" s="40" t="s">
        <v>18</v>
      </c>
      <c r="D645" s="39" t="s">
        <v>141</v>
      </c>
      <c r="E645" s="40" t="s">
        <v>20</v>
      </c>
      <c r="F645" s="41">
        <v>80.36</v>
      </c>
      <c r="G645" s="41">
        <v>1.1000000000000001</v>
      </c>
      <c r="H645" s="41">
        <v>17.57</v>
      </c>
      <c r="I645" s="41">
        <v>1.29</v>
      </c>
      <c r="J645" s="41">
        <v>103.66</v>
      </c>
    </row>
    <row r="646" spans="1:10" ht="36">
      <c r="A646" s="39" t="s">
        <v>846</v>
      </c>
      <c r="B646" s="40" t="s">
        <v>143</v>
      </c>
      <c r="C646" s="40" t="s">
        <v>29</v>
      </c>
      <c r="D646" s="39" t="s">
        <v>144</v>
      </c>
      <c r="E646" s="40" t="s">
        <v>20</v>
      </c>
      <c r="F646" s="41">
        <v>107.14</v>
      </c>
      <c r="G646" s="41">
        <v>105.62</v>
      </c>
      <c r="H646" s="41">
        <v>17.57</v>
      </c>
      <c r="I646" s="41">
        <v>124.18</v>
      </c>
      <c r="J646" s="41">
        <v>13304.65</v>
      </c>
    </row>
    <row r="647" spans="1:10" ht="36">
      <c r="A647" s="39" t="s">
        <v>847</v>
      </c>
      <c r="B647" s="40" t="s">
        <v>146</v>
      </c>
      <c r="C647" s="40" t="s">
        <v>29</v>
      </c>
      <c r="D647" s="39" t="s">
        <v>147</v>
      </c>
      <c r="E647" s="40" t="s">
        <v>20</v>
      </c>
      <c r="F647" s="41">
        <v>107.14</v>
      </c>
      <c r="G647" s="41">
        <v>4.0999999999999996</v>
      </c>
      <c r="H647" s="41">
        <v>17.57</v>
      </c>
      <c r="I647" s="41">
        <v>4.82</v>
      </c>
      <c r="J647" s="41">
        <v>516.41</v>
      </c>
    </row>
    <row r="648" spans="1:10" ht="48">
      <c r="A648" s="39" t="s">
        <v>848</v>
      </c>
      <c r="B648" s="40" t="s">
        <v>149</v>
      </c>
      <c r="C648" s="40" t="s">
        <v>29</v>
      </c>
      <c r="D648" s="39" t="s">
        <v>150</v>
      </c>
      <c r="E648" s="40" t="s">
        <v>20</v>
      </c>
      <c r="F648" s="41">
        <v>107.14</v>
      </c>
      <c r="G648" s="41">
        <v>24.83</v>
      </c>
      <c r="H648" s="41">
        <v>17.57</v>
      </c>
      <c r="I648" s="41">
        <v>29.19</v>
      </c>
      <c r="J648" s="41">
        <v>3127.42</v>
      </c>
    </row>
    <row r="649" spans="1:10" ht="24">
      <c r="A649" s="39" t="s">
        <v>849</v>
      </c>
      <c r="B649" s="40" t="s">
        <v>152</v>
      </c>
      <c r="C649" s="40" t="s">
        <v>29</v>
      </c>
      <c r="D649" s="39" t="s">
        <v>153</v>
      </c>
      <c r="E649" s="40" t="s">
        <v>60</v>
      </c>
      <c r="F649" s="41">
        <v>11.4</v>
      </c>
      <c r="G649" s="41">
        <v>469.42</v>
      </c>
      <c r="H649" s="41">
        <v>17.57</v>
      </c>
      <c r="I649" s="41">
        <v>551.9</v>
      </c>
      <c r="J649" s="41">
        <v>6291.66</v>
      </c>
    </row>
    <row r="650" spans="1:10" ht="24">
      <c r="A650" s="39" t="s">
        <v>850</v>
      </c>
      <c r="B650" s="40" t="s">
        <v>155</v>
      </c>
      <c r="C650" s="40" t="s">
        <v>18</v>
      </c>
      <c r="D650" s="39" t="s">
        <v>156</v>
      </c>
      <c r="E650" s="40" t="s">
        <v>60</v>
      </c>
      <c r="F650" s="41">
        <v>41.86</v>
      </c>
      <c r="G650" s="41">
        <v>129.79</v>
      </c>
      <c r="H650" s="41">
        <v>17.57</v>
      </c>
      <c r="I650" s="41">
        <v>152.59</v>
      </c>
      <c r="J650" s="41">
        <v>6387.42</v>
      </c>
    </row>
    <row r="651" spans="1:10" ht="20.100000000000001" customHeight="1">
      <c r="A651" s="37" t="s">
        <v>851</v>
      </c>
      <c r="B651" s="521" t="s">
        <v>158</v>
      </c>
      <c r="C651" s="521"/>
      <c r="D651" s="521"/>
      <c r="E651" s="521"/>
      <c r="F651" s="521"/>
      <c r="G651" s="521"/>
      <c r="H651" s="521"/>
      <c r="I651" s="521"/>
      <c r="J651" s="38">
        <v>7900.54</v>
      </c>
    </row>
    <row r="652" spans="1:10">
      <c r="A652" s="39" t="s">
        <v>852</v>
      </c>
      <c r="B652" s="40" t="s">
        <v>160</v>
      </c>
      <c r="C652" s="40" t="s">
        <v>161</v>
      </c>
      <c r="D652" s="39" t="s">
        <v>162</v>
      </c>
      <c r="E652" s="40" t="s">
        <v>163</v>
      </c>
      <c r="F652" s="41">
        <v>2.98</v>
      </c>
      <c r="G652" s="41">
        <v>347.25</v>
      </c>
      <c r="H652" s="41">
        <v>17.57</v>
      </c>
      <c r="I652" s="41">
        <v>408.26</v>
      </c>
      <c r="J652" s="41">
        <v>1216.6099999999999</v>
      </c>
    </row>
    <row r="653" spans="1:10" ht="24">
      <c r="A653" s="39" t="s">
        <v>853</v>
      </c>
      <c r="B653" s="40" t="s">
        <v>165</v>
      </c>
      <c r="C653" s="40" t="s">
        <v>161</v>
      </c>
      <c r="D653" s="39" t="s">
        <v>166</v>
      </c>
      <c r="E653" s="40" t="s">
        <v>167</v>
      </c>
      <c r="F653" s="41">
        <v>7</v>
      </c>
      <c r="G653" s="41">
        <v>121.48</v>
      </c>
      <c r="H653" s="41">
        <v>17.57</v>
      </c>
      <c r="I653" s="41">
        <v>142.82</v>
      </c>
      <c r="J653" s="41">
        <v>999.74</v>
      </c>
    </row>
    <row r="654" spans="1:10" ht="24">
      <c r="A654" s="39" t="s">
        <v>854</v>
      </c>
      <c r="B654" s="40" t="s">
        <v>169</v>
      </c>
      <c r="C654" s="40" t="s">
        <v>18</v>
      </c>
      <c r="D654" s="39" t="s">
        <v>170</v>
      </c>
      <c r="E654" s="40" t="s">
        <v>171</v>
      </c>
      <c r="F654" s="41">
        <v>6</v>
      </c>
      <c r="G654" s="41">
        <v>156.33000000000001</v>
      </c>
      <c r="H654" s="41">
        <v>17.57</v>
      </c>
      <c r="I654" s="41">
        <v>183.8</v>
      </c>
      <c r="J654" s="41">
        <v>1102.8</v>
      </c>
    </row>
    <row r="655" spans="1:10" ht="48">
      <c r="A655" s="39" t="s">
        <v>855</v>
      </c>
      <c r="B655" s="40" t="s">
        <v>173</v>
      </c>
      <c r="C655" s="40" t="s">
        <v>29</v>
      </c>
      <c r="D655" s="39" t="s">
        <v>174</v>
      </c>
      <c r="E655" s="40" t="s">
        <v>40</v>
      </c>
      <c r="F655" s="41">
        <v>570.15</v>
      </c>
      <c r="G655" s="41">
        <v>5.48</v>
      </c>
      <c r="H655" s="41">
        <v>17.57</v>
      </c>
      <c r="I655" s="41">
        <v>6.44</v>
      </c>
      <c r="J655" s="41">
        <v>3671.77</v>
      </c>
    </row>
    <row r="656" spans="1:10" ht="48">
      <c r="A656" s="39" t="s">
        <v>856</v>
      </c>
      <c r="B656" s="40" t="s">
        <v>176</v>
      </c>
      <c r="C656" s="40" t="s">
        <v>29</v>
      </c>
      <c r="D656" s="39" t="s">
        <v>177</v>
      </c>
      <c r="E656" s="40" t="s">
        <v>20</v>
      </c>
      <c r="F656" s="41">
        <v>32.04</v>
      </c>
      <c r="G656" s="41">
        <v>24.15</v>
      </c>
      <c r="H656" s="41">
        <v>17.57</v>
      </c>
      <c r="I656" s="41">
        <v>28.39</v>
      </c>
      <c r="J656" s="41">
        <v>909.62</v>
      </c>
    </row>
    <row r="657" spans="1:10" ht="20.100000000000001" customHeight="1">
      <c r="A657" s="37" t="s">
        <v>857</v>
      </c>
      <c r="B657" s="521" t="s">
        <v>179</v>
      </c>
      <c r="C657" s="521"/>
      <c r="D657" s="521"/>
      <c r="E657" s="521"/>
      <c r="F657" s="521"/>
      <c r="G657" s="521"/>
      <c r="H657" s="521"/>
      <c r="I657" s="521"/>
      <c r="J657" s="38">
        <v>1529.49</v>
      </c>
    </row>
    <row r="658" spans="1:10" ht="36">
      <c r="A658" s="39" t="s">
        <v>858</v>
      </c>
      <c r="B658" s="40" t="s">
        <v>181</v>
      </c>
      <c r="C658" s="40" t="s">
        <v>18</v>
      </c>
      <c r="D658" s="39" t="s">
        <v>182</v>
      </c>
      <c r="E658" s="40" t="s">
        <v>183</v>
      </c>
      <c r="F658" s="41">
        <v>11.58</v>
      </c>
      <c r="G658" s="41">
        <v>112.34</v>
      </c>
      <c r="H658" s="41">
        <v>17.57</v>
      </c>
      <c r="I658" s="41">
        <v>132.08000000000001</v>
      </c>
      <c r="J658" s="41">
        <v>1529.49</v>
      </c>
    </row>
    <row r="659" spans="1:10" ht="20.100000000000001" customHeight="1">
      <c r="A659" s="37" t="s">
        <v>859</v>
      </c>
      <c r="B659" s="521" t="s">
        <v>185</v>
      </c>
      <c r="C659" s="521"/>
      <c r="D659" s="521"/>
      <c r="E659" s="521"/>
      <c r="F659" s="521"/>
      <c r="G659" s="521"/>
      <c r="H659" s="521"/>
      <c r="I659" s="521"/>
      <c r="J659" s="38">
        <v>146987.99</v>
      </c>
    </row>
    <row r="660" spans="1:10" ht="48">
      <c r="A660" s="39" t="s">
        <v>860</v>
      </c>
      <c r="B660" s="40" t="s">
        <v>187</v>
      </c>
      <c r="C660" s="40" t="s">
        <v>29</v>
      </c>
      <c r="D660" s="39" t="s">
        <v>188</v>
      </c>
      <c r="E660" s="40" t="s">
        <v>31</v>
      </c>
      <c r="F660" s="41">
        <v>2</v>
      </c>
      <c r="G660" s="41">
        <v>830</v>
      </c>
      <c r="H660" s="41">
        <v>10.07</v>
      </c>
      <c r="I660" s="41">
        <v>913.58</v>
      </c>
      <c r="J660" s="41">
        <v>1827.16</v>
      </c>
    </row>
    <row r="661" spans="1:10" ht="36">
      <c r="A661" s="39" t="s">
        <v>861</v>
      </c>
      <c r="B661" s="40" t="s">
        <v>190</v>
      </c>
      <c r="C661" s="40" t="s">
        <v>29</v>
      </c>
      <c r="D661" s="39" t="s">
        <v>191</v>
      </c>
      <c r="E661" s="40" t="s">
        <v>31</v>
      </c>
      <c r="F661" s="41">
        <v>2</v>
      </c>
      <c r="G661" s="41">
        <v>648.42999999999995</v>
      </c>
      <c r="H661" s="41">
        <v>10.07</v>
      </c>
      <c r="I661" s="41">
        <v>713.73</v>
      </c>
      <c r="J661" s="41">
        <v>1427.46</v>
      </c>
    </row>
    <row r="662" spans="1:10" ht="36">
      <c r="A662" s="39" t="s">
        <v>862</v>
      </c>
      <c r="B662" s="40" t="s">
        <v>193</v>
      </c>
      <c r="C662" s="40" t="s">
        <v>29</v>
      </c>
      <c r="D662" s="39" t="s">
        <v>194</v>
      </c>
      <c r="E662" s="40" t="s">
        <v>195</v>
      </c>
      <c r="F662" s="41">
        <v>112.82</v>
      </c>
      <c r="G662" s="41">
        <v>522.5</v>
      </c>
      <c r="H662" s="41">
        <v>10.07</v>
      </c>
      <c r="I662" s="41">
        <v>575.12</v>
      </c>
      <c r="J662" s="41">
        <v>64885.04</v>
      </c>
    </row>
    <row r="663" spans="1:10" ht="24">
      <c r="A663" s="39" t="s">
        <v>863</v>
      </c>
      <c r="B663" s="40" t="s">
        <v>197</v>
      </c>
      <c r="C663" s="40" t="s">
        <v>18</v>
      </c>
      <c r="D663" s="39" t="s">
        <v>198</v>
      </c>
      <c r="E663" s="40" t="s">
        <v>44</v>
      </c>
      <c r="F663" s="41">
        <v>169.98</v>
      </c>
      <c r="G663" s="41">
        <v>56.1</v>
      </c>
      <c r="H663" s="41">
        <v>10.07</v>
      </c>
      <c r="I663" s="41">
        <v>61.75</v>
      </c>
      <c r="J663" s="41">
        <v>10496.27</v>
      </c>
    </row>
    <row r="664" spans="1:10">
      <c r="A664" s="39" t="s">
        <v>864</v>
      </c>
      <c r="B664" s="40" t="s">
        <v>200</v>
      </c>
      <c r="C664" s="40" t="s">
        <v>161</v>
      </c>
      <c r="D664" s="39" t="s">
        <v>201</v>
      </c>
      <c r="E664" s="40" t="s">
        <v>70</v>
      </c>
      <c r="F664" s="41">
        <v>200.79</v>
      </c>
      <c r="G664" s="41">
        <v>90.74</v>
      </c>
      <c r="H664" s="41">
        <v>10.07</v>
      </c>
      <c r="I664" s="41">
        <v>99.88</v>
      </c>
      <c r="J664" s="41">
        <v>20054.91</v>
      </c>
    </row>
    <row r="665" spans="1:10">
      <c r="A665" s="39" t="s">
        <v>865</v>
      </c>
      <c r="B665" s="40" t="s">
        <v>203</v>
      </c>
      <c r="C665" s="40" t="s">
        <v>161</v>
      </c>
      <c r="D665" s="39" t="s">
        <v>204</v>
      </c>
      <c r="E665" s="40" t="s">
        <v>70</v>
      </c>
      <c r="F665" s="41">
        <v>22.31</v>
      </c>
      <c r="G665" s="41">
        <v>74.53</v>
      </c>
      <c r="H665" s="41">
        <v>10.07</v>
      </c>
      <c r="I665" s="41">
        <v>82.04</v>
      </c>
      <c r="J665" s="41">
        <v>1830.31</v>
      </c>
    </row>
    <row r="666" spans="1:10" ht="24">
      <c r="A666" s="39" t="s">
        <v>866</v>
      </c>
      <c r="B666" s="40" t="s">
        <v>206</v>
      </c>
      <c r="C666" s="40" t="s">
        <v>18</v>
      </c>
      <c r="D666" s="39" t="s">
        <v>207</v>
      </c>
      <c r="E666" s="40" t="s">
        <v>138</v>
      </c>
      <c r="F666" s="41">
        <v>1059.79</v>
      </c>
      <c r="G666" s="41">
        <v>5.32</v>
      </c>
      <c r="H666" s="41">
        <v>10.07</v>
      </c>
      <c r="I666" s="41">
        <v>5.86</v>
      </c>
      <c r="J666" s="41">
        <v>6210.37</v>
      </c>
    </row>
    <row r="667" spans="1:10" ht="36">
      <c r="A667" s="39" t="s">
        <v>867</v>
      </c>
      <c r="B667" s="40" t="s">
        <v>209</v>
      </c>
      <c r="C667" s="40" t="s">
        <v>29</v>
      </c>
      <c r="D667" s="39" t="s">
        <v>210</v>
      </c>
      <c r="E667" s="40" t="s">
        <v>60</v>
      </c>
      <c r="F667" s="41">
        <v>67.709999999999994</v>
      </c>
      <c r="G667" s="41">
        <v>422.5</v>
      </c>
      <c r="H667" s="41">
        <v>10.07</v>
      </c>
      <c r="I667" s="41">
        <v>465.05</v>
      </c>
      <c r="J667" s="41">
        <v>31488.54</v>
      </c>
    </row>
    <row r="668" spans="1:10" ht="36">
      <c r="A668" s="39" t="s">
        <v>868</v>
      </c>
      <c r="B668" s="40" t="s">
        <v>212</v>
      </c>
      <c r="C668" s="40" t="s">
        <v>29</v>
      </c>
      <c r="D668" s="39" t="s">
        <v>213</v>
      </c>
      <c r="E668" s="40" t="s">
        <v>20</v>
      </c>
      <c r="F668" s="41">
        <v>84.38</v>
      </c>
      <c r="G668" s="41">
        <v>94.4</v>
      </c>
      <c r="H668" s="41">
        <v>10.07</v>
      </c>
      <c r="I668" s="41">
        <v>103.91</v>
      </c>
      <c r="J668" s="41">
        <v>8767.93</v>
      </c>
    </row>
    <row r="669" spans="1:10" ht="20.100000000000001" customHeight="1">
      <c r="A669" s="37" t="s">
        <v>869</v>
      </c>
      <c r="B669" s="521" t="s">
        <v>870</v>
      </c>
      <c r="C669" s="521"/>
      <c r="D669" s="521"/>
      <c r="E669" s="521"/>
      <c r="F669" s="521"/>
      <c r="G669" s="521"/>
      <c r="H669" s="521"/>
      <c r="I669" s="521"/>
      <c r="J669" s="38">
        <v>3101802.75</v>
      </c>
    </row>
    <row r="670" spans="1:10" ht="20.100000000000001" customHeight="1">
      <c r="A670" s="37" t="s">
        <v>871</v>
      </c>
      <c r="B670" s="521" t="s">
        <v>15</v>
      </c>
      <c r="C670" s="521"/>
      <c r="D670" s="521"/>
      <c r="E670" s="521"/>
      <c r="F670" s="521"/>
      <c r="G670" s="521"/>
      <c r="H670" s="521"/>
      <c r="I670" s="521"/>
      <c r="J670" s="38">
        <v>15189.96</v>
      </c>
    </row>
    <row r="671" spans="1:10" ht="24">
      <c r="A671" s="39" t="s">
        <v>872</v>
      </c>
      <c r="B671" s="40" t="s">
        <v>17</v>
      </c>
      <c r="C671" s="40" t="s">
        <v>18</v>
      </c>
      <c r="D671" s="39" t="s">
        <v>19</v>
      </c>
      <c r="E671" s="40" t="s">
        <v>20</v>
      </c>
      <c r="F671" s="41">
        <v>8</v>
      </c>
      <c r="G671" s="41">
        <v>564.99</v>
      </c>
      <c r="H671" s="41">
        <v>17.57</v>
      </c>
      <c r="I671" s="41">
        <v>664.26</v>
      </c>
      <c r="J671" s="41">
        <v>5314.08</v>
      </c>
    </row>
    <row r="672" spans="1:10" ht="24">
      <c r="A672" s="39" t="s">
        <v>873</v>
      </c>
      <c r="B672" s="40" t="s">
        <v>22</v>
      </c>
      <c r="C672" s="40" t="s">
        <v>18</v>
      </c>
      <c r="D672" s="39" t="s">
        <v>23</v>
      </c>
      <c r="E672" s="40" t="s">
        <v>24</v>
      </c>
      <c r="F672" s="41">
        <v>12</v>
      </c>
      <c r="G672" s="41">
        <v>700</v>
      </c>
      <c r="H672" s="41">
        <v>17.57</v>
      </c>
      <c r="I672" s="41">
        <v>822.99</v>
      </c>
      <c r="J672" s="41">
        <v>9875.8799999999992</v>
      </c>
    </row>
    <row r="673" spans="1:10" ht="20.100000000000001" customHeight="1">
      <c r="A673" s="37" t="s">
        <v>874</v>
      </c>
      <c r="B673" s="521" t="s">
        <v>26</v>
      </c>
      <c r="C673" s="521"/>
      <c r="D673" s="521"/>
      <c r="E673" s="521"/>
      <c r="F673" s="521"/>
      <c r="G673" s="521"/>
      <c r="H673" s="521"/>
      <c r="I673" s="521"/>
      <c r="J673" s="38">
        <v>106388.4</v>
      </c>
    </row>
    <row r="674" spans="1:10" ht="24">
      <c r="A674" s="39" t="s">
        <v>875</v>
      </c>
      <c r="B674" s="40" t="s">
        <v>28</v>
      </c>
      <c r="C674" s="40" t="s">
        <v>29</v>
      </c>
      <c r="D674" s="39" t="s">
        <v>30</v>
      </c>
      <c r="E674" s="40" t="s">
        <v>31</v>
      </c>
      <c r="F674" s="41">
        <v>3</v>
      </c>
      <c r="G674" s="41">
        <v>16819.14</v>
      </c>
      <c r="H674" s="41">
        <v>17.57</v>
      </c>
      <c r="I674" s="41">
        <v>19774.259999999998</v>
      </c>
      <c r="J674" s="41">
        <v>59322.78</v>
      </c>
    </row>
    <row r="675" spans="1:10" ht="24">
      <c r="A675" s="39" t="s">
        <v>876</v>
      </c>
      <c r="B675" s="40" t="s">
        <v>33</v>
      </c>
      <c r="C675" s="40" t="s">
        <v>29</v>
      </c>
      <c r="D675" s="39" t="s">
        <v>34</v>
      </c>
      <c r="E675" s="40" t="s">
        <v>31</v>
      </c>
      <c r="F675" s="41">
        <v>6</v>
      </c>
      <c r="G675" s="41">
        <v>6672</v>
      </c>
      <c r="H675" s="41">
        <v>17.57</v>
      </c>
      <c r="I675" s="41">
        <v>7844.27</v>
      </c>
      <c r="J675" s="41">
        <v>47065.62</v>
      </c>
    </row>
    <row r="676" spans="1:10" ht="20.100000000000001" customHeight="1">
      <c r="A676" s="37" t="s">
        <v>877</v>
      </c>
      <c r="B676" s="521" t="s">
        <v>36</v>
      </c>
      <c r="C676" s="521"/>
      <c r="D676" s="521"/>
      <c r="E676" s="521"/>
      <c r="F676" s="521"/>
      <c r="G676" s="521"/>
      <c r="H676" s="521"/>
      <c r="I676" s="521"/>
      <c r="J676" s="38">
        <v>5638.68</v>
      </c>
    </row>
    <row r="677" spans="1:10">
      <c r="A677" s="39" t="s">
        <v>878</v>
      </c>
      <c r="B677" s="40" t="s">
        <v>38</v>
      </c>
      <c r="C677" s="40" t="s">
        <v>29</v>
      </c>
      <c r="D677" s="39" t="s">
        <v>39</v>
      </c>
      <c r="E677" s="40" t="s">
        <v>40</v>
      </c>
      <c r="F677" s="41">
        <v>1204.78</v>
      </c>
      <c r="G677" s="41">
        <v>0.49</v>
      </c>
      <c r="H677" s="41">
        <v>17.57</v>
      </c>
      <c r="I677" s="41">
        <v>0.57999999999999996</v>
      </c>
      <c r="J677" s="41">
        <v>698.77</v>
      </c>
    </row>
    <row r="678" spans="1:10" ht="24">
      <c r="A678" s="39" t="s">
        <v>879</v>
      </c>
      <c r="B678" s="40" t="s">
        <v>42</v>
      </c>
      <c r="C678" s="40" t="s">
        <v>18</v>
      </c>
      <c r="D678" s="39" t="s">
        <v>43</v>
      </c>
      <c r="E678" s="40" t="s">
        <v>44</v>
      </c>
      <c r="F678" s="41">
        <v>16.850000000000001</v>
      </c>
      <c r="G678" s="41">
        <v>212.24</v>
      </c>
      <c r="H678" s="41">
        <v>17.57</v>
      </c>
      <c r="I678" s="41">
        <v>249.53</v>
      </c>
      <c r="J678" s="41">
        <v>4204.58</v>
      </c>
    </row>
    <row r="679" spans="1:10" ht="48">
      <c r="A679" s="39" t="s">
        <v>880</v>
      </c>
      <c r="B679" s="40" t="s">
        <v>49</v>
      </c>
      <c r="C679" s="40" t="s">
        <v>18</v>
      </c>
      <c r="D679" s="39" t="s">
        <v>50</v>
      </c>
      <c r="E679" s="40" t="s">
        <v>44</v>
      </c>
      <c r="F679" s="41">
        <v>21.06</v>
      </c>
      <c r="G679" s="41">
        <v>2.9</v>
      </c>
      <c r="H679" s="41">
        <v>17.57</v>
      </c>
      <c r="I679" s="41">
        <v>3.41</v>
      </c>
      <c r="J679" s="41">
        <v>71.81</v>
      </c>
    </row>
    <row r="680" spans="1:10" ht="36">
      <c r="A680" s="39" t="s">
        <v>881</v>
      </c>
      <c r="B680" s="40" t="s">
        <v>52</v>
      </c>
      <c r="C680" s="40" t="s">
        <v>29</v>
      </c>
      <c r="D680" s="39" t="s">
        <v>53</v>
      </c>
      <c r="E680" s="40" t="s">
        <v>54</v>
      </c>
      <c r="F680" s="41">
        <v>248.51</v>
      </c>
      <c r="G680" s="41">
        <v>2.27</v>
      </c>
      <c r="H680" s="41">
        <v>17.57</v>
      </c>
      <c r="I680" s="41">
        <v>2.67</v>
      </c>
      <c r="J680" s="41">
        <v>663.52</v>
      </c>
    </row>
    <row r="681" spans="1:10" ht="20.100000000000001" customHeight="1">
      <c r="A681" s="37" t="s">
        <v>882</v>
      </c>
      <c r="B681" s="521" t="s">
        <v>444</v>
      </c>
      <c r="C681" s="521"/>
      <c r="D681" s="521"/>
      <c r="E681" s="521"/>
      <c r="F681" s="521"/>
      <c r="G681" s="521"/>
      <c r="H681" s="521"/>
      <c r="I681" s="521"/>
      <c r="J681" s="38">
        <v>260731.12</v>
      </c>
    </row>
    <row r="682" spans="1:10" ht="24">
      <c r="A682" s="39" t="s">
        <v>883</v>
      </c>
      <c r="B682" s="40" t="s">
        <v>58</v>
      </c>
      <c r="C682" s="40" t="s">
        <v>18</v>
      </c>
      <c r="D682" s="39" t="s">
        <v>59</v>
      </c>
      <c r="E682" s="40" t="s">
        <v>60</v>
      </c>
      <c r="F682" s="41">
        <v>5588.24</v>
      </c>
      <c r="G682" s="41">
        <v>2.59</v>
      </c>
      <c r="H682" s="41">
        <v>17.57</v>
      </c>
      <c r="I682" s="41">
        <v>3.05</v>
      </c>
      <c r="J682" s="41">
        <v>17044.13</v>
      </c>
    </row>
    <row r="683" spans="1:10" ht="48">
      <c r="A683" s="39" t="s">
        <v>884</v>
      </c>
      <c r="B683" s="40" t="s">
        <v>49</v>
      </c>
      <c r="C683" s="40" t="s">
        <v>18</v>
      </c>
      <c r="D683" s="39" t="s">
        <v>50</v>
      </c>
      <c r="E683" s="40" t="s">
        <v>44</v>
      </c>
      <c r="F683" s="41">
        <v>6975.96</v>
      </c>
      <c r="G683" s="41">
        <v>2.9</v>
      </c>
      <c r="H683" s="41">
        <v>17.57</v>
      </c>
      <c r="I683" s="41">
        <v>3.41</v>
      </c>
      <c r="J683" s="41">
        <v>23788.02</v>
      </c>
    </row>
    <row r="684" spans="1:10" ht="36">
      <c r="A684" s="39" t="s">
        <v>885</v>
      </c>
      <c r="B684" s="40" t="s">
        <v>52</v>
      </c>
      <c r="C684" s="40" t="s">
        <v>29</v>
      </c>
      <c r="D684" s="39" t="s">
        <v>53</v>
      </c>
      <c r="E684" s="40" t="s">
        <v>54</v>
      </c>
      <c r="F684" s="41">
        <v>82316.33</v>
      </c>
      <c r="G684" s="41">
        <v>2.27</v>
      </c>
      <c r="H684" s="41">
        <v>17.57</v>
      </c>
      <c r="I684" s="41">
        <v>2.67</v>
      </c>
      <c r="J684" s="41">
        <v>219784.6</v>
      </c>
    </row>
    <row r="685" spans="1:10" ht="36">
      <c r="A685" s="39" t="s">
        <v>886</v>
      </c>
      <c r="B685" s="40" t="s">
        <v>501</v>
      </c>
      <c r="C685" s="40" t="s">
        <v>29</v>
      </c>
      <c r="D685" s="39" t="s">
        <v>502</v>
      </c>
      <c r="E685" s="40" t="s">
        <v>60</v>
      </c>
      <c r="F685" s="41">
        <v>7.47</v>
      </c>
      <c r="G685" s="41">
        <v>13.02</v>
      </c>
      <c r="H685" s="41">
        <v>17.57</v>
      </c>
      <c r="I685" s="41">
        <v>15.31</v>
      </c>
      <c r="J685" s="41">
        <v>114.37</v>
      </c>
    </row>
    <row r="686" spans="1:10" ht="20.100000000000001" customHeight="1">
      <c r="A686" s="37" t="s">
        <v>887</v>
      </c>
      <c r="B686" s="521" t="s">
        <v>11</v>
      </c>
      <c r="C686" s="521"/>
      <c r="D686" s="521"/>
      <c r="E686" s="521"/>
      <c r="F686" s="521"/>
      <c r="G686" s="521"/>
      <c r="H686" s="521"/>
      <c r="I686" s="521"/>
      <c r="J686" s="38">
        <v>843446.56</v>
      </c>
    </row>
    <row r="687" spans="1:10" ht="24">
      <c r="A687" s="39" t="s">
        <v>888</v>
      </c>
      <c r="B687" s="40" t="s">
        <v>65</v>
      </c>
      <c r="C687" s="40" t="s">
        <v>29</v>
      </c>
      <c r="D687" s="39" t="s">
        <v>66</v>
      </c>
      <c r="E687" s="40" t="s">
        <v>20</v>
      </c>
      <c r="F687" s="41">
        <v>8433.4599999999991</v>
      </c>
      <c r="G687" s="41">
        <v>2.79</v>
      </c>
      <c r="H687" s="41">
        <v>17.57</v>
      </c>
      <c r="I687" s="41">
        <v>3.28</v>
      </c>
      <c r="J687" s="41">
        <v>27661.75</v>
      </c>
    </row>
    <row r="688" spans="1:10" ht="24">
      <c r="A688" s="39" t="s">
        <v>889</v>
      </c>
      <c r="B688" s="40" t="s">
        <v>385</v>
      </c>
      <c r="C688" s="40" t="s">
        <v>18</v>
      </c>
      <c r="D688" s="39" t="s">
        <v>386</v>
      </c>
      <c r="E688" s="40" t="s">
        <v>44</v>
      </c>
      <c r="F688" s="41">
        <v>3493.86</v>
      </c>
      <c r="G688" s="41">
        <v>104.33</v>
      </c>
      <c r="H688" s="41">
        <v>17.57</v>
      </c>
      <c r="I688" s="41">
        <v>122.66</v>
      </c>
      <c r="J688" s="41">
        <v>428556.87</v>
      </c>
    </row>
    <row r="689" spans="1:10" ht="24">
      <c r="A689" s="39" t="s">
        <v>890</v>
      </c>
      <c r="B689" s="40" t="s">
        <v>68</v>
      </c>
      <c r="C689" s="40" t="s">
        <v>18</v>
      </c>
      <c r="D689" s="39" t="s">
        <v>69</v>
      </c>
      <c r="E689" s="40" t="s">
        <v>70</v>
      </c>
      <c r="F689" s="41">
        <v>1048.1600000000001</v>
      </c>
      <c r="G689" s="41">
        <v>11.4</v>
      </c>
      <c r="H689" s="41">
        <v>17.57</v>
      </c>
      <c r="I689" s="41">
        <v>13.4</v>
      </c>
      <c r="J689" s="41">
        <v>14045.34</v>
      </c>
    </row>
    <row r="690" spans="1:10" ht="36">
      <c r="A690" s="39" t="s">
        <v>891</v>
      </c>
      <c r="B690" s="40" t="s">
        <v>72</v>
      </c>
      <c r="C690" s="40" t="s">
        <v>18</v>
      </c>
      <c r="D690" s="39" t="s">
        <v>73</v>
      </c>
      <c r="E690" s="40" t="s">
        <v>60</v>
      </c>
      <c r="F690" s="41">
        <v>1156.5899999999999</v>
      </c>
      <c r="G690" s="41">
        <v>14.44</v>
      </c>
      <c r="H690" s="41">
        <v>17.57</v>
      </c>
      <c r="I690" s="41">
        <v>16.98</v>
      </c>
      <c r="J690" s="41">
        <v>19638.900000000001</v>
      </c>
    </row>
    <row r="691" spans="1:10" ht="48">
      <c r="A691" s="39" t="s">
        <v>892</v>
      </c>
      <c r="B691" s="40" t="s">
        <v>49</v>
      </c>
      <c r="C691" s="40" t="s">
        <v>18</v>
      </c>
      <c r="D691" s="39" t="s">
        <v>50</v>
      </c>
      <c r="E691" s="40" t="s">
        <v>44</v>
      </c>
      <c r="F691" s="41">
        <v>2755.94</v>
      </c>
      <c r="G691" s="41">
        <v>2.9</v>
      </c>
      <c r="H691" s="41">
        <v>17.57</v>
      </c>
      <c r="I691" s="41">
        <v>3.41</v>
      </c>
      <c r="J691" s="41">
        <v>9397.76</v>
      </c>
    </row>
    <row r="692" spans="1:10" ht="24">
      <c r="A692" s="39" t="s">
        <v>893</v>
      </c>
      <c r="B692" s="40" t="s">
        <v>76</v>
      </c>
      <c r="C692" s="40" t="s">
        <v>18</v>
      </c>
      <c r="D692" s="39" t="s">
        <v>77</v>
      </c>
      <c r="E692" s="40" t="s">
        <v>78</v>
      </c>
      <c r="F692" s="41">
        <v>33071.279999999999</v>
      </c>
      <c r="G692" s="41">
        <v>1.37</v>
      </c>
      <c r="H692" s="41">
        <v>17.57</v>
      </c>
      <c r="I692" s="41">
        <v>1.61</v>
      </c>
      <c r="J692" s="41">
        <v>53244.76</v>
      </c>
    </row>
    <row r="693" spans="1:10" ht="24">
      <c r="A693" s="39" t="s">
        <v>894</v>
      </c>
      <c r="B693" s="40" t="s">
        <v>80</v>
      </c>
      <c r="C693" s="40" t="s">
        <v>18</v>
      </c>
      <c r="D693" s="39" t="s">
        <v>81</v>
      </c>
      <c r="E693" s="40" t="s">
        <v>20</v>
      </c>
      <c r="F693" s="41">
        <v>6098.05</v>
      </c>
      <c r="G693" s="41">
        <v>1.24</v>
      </c>
      <c r="H693" s="41">
        <v>17.57</v>
      </c>
      <c r="I693" s="41">
        <v>1.46</v>
      </c>
      <c r="J693" s="41">
        <v>8903.15</v>
      </c>
    </row>
    <row r="694" spans="1:10" ht="36">
      <c r="A694" s="39" t="s">
        <v>895</v>
      </c>
      <c r="B694" s="40" t="s">
        <v>83</v>
      </c>
      <c r="C694" s="40" t="s">
        <v>18</v>
      </c>
      <c r="D694" s="39" t="s">
        <v>84</v>
      </c>
      <c r="E694" s="40" t="s">
        <v>60</v>
      </c>
      <c r="F694" s="41">
        <v>304.91000000000003</v>
      </c>
      <c r="G694" s="41">
        <v>133.37</v>
      </c>
      <c r="H694" s="41">
        <v>17.57</v>
      </c>
      <c r="I694" s="41">
        <v>156.80000000000001</v>
      </c>
      <c r="J694" s="41">
        <v>47809.89</v>
      </c>
    </row>
    <row r="695" spans="1:10" ht="36">
      <c r="A695" s="39" t="s">
        <v>896</v>
      </c>
      <c r="B695" s="40" t="s">
        <v>86</v>
      </c>
      <c r="C695" s="40" t="s">
        <v>18</v>
      </c>
      <c r="D695" s="39" t="s">
        <v>87</v>
      </c>
      <c r="E695" s="40" t="s">
        <v>44</v>
      </c>
      <c r="F695" s="41">
        <v>304.91000000000003</v>
      </c>
      <c r="G695" s="41">
        <v>7.86</v>
      </c>
      <c r="H695" s="41">
        <v>17.57</v>
      </c>
      <c r="I695" s="41">
        <v>9.24</v>
      </c>
      <c r="J695" s="41">
        <v>2817.37</v>
      </c>
    </row>
    <row r="696" spans="1:10" ht="24">
      <c r="A696" s="39" t="s">
        <v>897</v>
      </c>
      <c r="B696" s="40" t="s">
        <v>89</v>
      </c>
      <c r="C696" s="40" t="s">
        <v>18</v>
      </c>
      <c r="D696" s="39" t="s">
        <v>90</v>
      </c>
      <c r="E696" s="40" t="s">
        <v>54</v>
      </c>
      <c r="F696" s="41">
        <v>6860.48</v>
      </c>
      <c r="G696" s="41">
        <v>1.77</v>
      </c>
      <c r="H696" s="41">
        <v>17.57</v>
      </c>
      <c r="I696" s="41">
        <v>2.08</v>
      </c>
      <c r="J696" s="41">
        <v>14269.8</v>
      </c>
    </row>
    <row r="697" spans="1:10" ht="24">
      <c r="A697" s="39" t="s">
        <v>898</v>
      </c>
      <c r="B697" s="40" t="s">
        <v>92</v>
      </c>
      <c r="C697" s="40" t="s">
        <v>18</v>
      </c>
      <c r="D697" s="39" t="s">
        <v>93</v>
      </c>
      <c r="E697" s="40" t="s">
        <v>20</v>
      </c>
      <c r="F697" s="41">
        <v>3850.61</v>
      </c>
      <c r="G697" s="41">
        <v>0.65</v>
      </c>
      <c r="H697" s="41">
        <v>17.57</v>
      </c>
      <c r="I697" s="41">
        <v>0.76</v>
      </c>
      <c r="J697" s="41">
        <v>2926.46</v>
      </c>
    </row>
    <row r="698" spans="1:10" ht="48">
      <c r="A698" s="39" t="s">
        <v>899</v>
      </c>
      <c r="B698" s="40" t="s">
        <v>95</v>
      </c>
      <c r="C698" s="40" t="s">
        <v>18</v>
      </c>
      <c r="D698" s="39" t="s">
        <v>96</v>
      </c>
      <c r="E698" s="40" t="s">
        <v>60</v>
      </c>
      <c r="F698" s="41">
        <v>268.2</v>
      </c>
      <c r="G698" s="41">
        <v>112.75</v>
      </c>
      <c r="H698" s="41">
        <v>17.57</v>
      </c>
      <c r="I698" s="41">
        <v>132.56</v>
      </c>
      <c r="J698" s="41">
        <v>35552.589999999997</v>
      </c>
    </row>
    <row r="699" spans="1:10" ht="60">
      <c r="A699" s="39" t="s">
        <v>900</v>
      </c>
      <c r="B699" s="40" t="s">
        <v>98</v>
      </c>
      <c r="C699" s="40" t="s">
        <v>29</v>
      </c>
      <c r="D699" s="39" t="s">
        <v>99</v>
      </c>
      <c r="E699" s="40" t="s">
        <v>40</v>
      </c>
      <c r="F699" s="41">
        <v>2433.85</v>
      </c>
      <c r="G699" s="41">
        <v>56.47</v>
      </c>
      <c r="H699" s="41">
        <v>17.57</v>
      </c>
      <c r="I699" s="41">
        <v>66.39</v>
      </c>
      <c r="J699" s="41">
        <v>161583.29999999999</v>
      </c>
    </row>
    <row r="700" spans="1:10" ht="60">
      <c r="A700" s="39" t="s">
        <v>901</v>
      </c>
      <c r="B700" s="40" t="s">
        <v>101</v>
      </c>
      <c r="C700" s="40" t="s">
        <v>29</v>
      </c>
      <c r="D700" s="39" t="s">
        <v>102</v>
      </c>
      <c r="E700" s="40" t="s">
        <v>40</v>
      </c>
      <c r="F700" s="41">
        <v>58.8</v>
      </c>
      <c r="G700" s="41">
        <v>60.43</v>
      </c>
      <c r="H700" s="41">
        <v>17.57</v>
      </c>
      <c r="I700" s="41">
        <v>71.05</v>
      </c>
      <c r="J700" s="41">
        <v>4177.74</v>
      </c>
    </row>
    <row r="701" spans="1:10" ht="24">
      <c r="A701" s="39" t="s">
        <v>902</v>
      </c>
      <c r="B701" s="40" t="s">
        <v>107</v>
      </c>
      <c r="C701" s="40" t="s">
        <v>29</v>
      </c>
      <c r="D701" s="39" t="s">
        <v>108</v>
      </c>
      <c r="E701" s="40" t="s">
        <v>40</v>
      </c>
      <c r="F701" s="41">
        <v>227.95</v>
      </c>
      <c r="G701" s="41">
        <v>39.770000000000003</v>
      </c>
      <c r="H701" s="41">
        <v>17.57</v>
      </c>
      <c r="I701" s="41">
        <v>46.76</v>
      </c>
      <c r="J701" s="41">
        <v>10658.94</v>
      </c>
    </row>
    <row r="702" spans="1:10" ht="24">
      <c r="A702" s="39" t="s">
        <v>903</v>
      </c>
      <c r="B702" s="40" t="s">
        <v>110</v>
      </c>
      <c r="C702" s="40" t="s">
        <v>29</v>
      </c>
      <c r="D702" s="39" t="s">
        <v>111</v>
      </c>
      <c r="E702" s="40" t="s">
        <v>40</v>
      </c>
      <c r="F702" s="41">
        <v>37.22</v>
      </c>
      <c r="G702" s="41">
        <v>50.32</v>
      </c>
      <c r="H702" s="41">
        <v>17.57</v>
      </c>
      <c r="I702" s="41">
        <v>59.16</v>
      </c>
      <c r="J702" s="41">
        <v>2201.94</v>
      </c>
    </row>
    <row r="703" spans="1:10" ht="20.100000000000001" customHeight="1">
      <c r="A703" s="37" t="s">
        <v>904</v>
      </c>
      <c r="B703" s="521" t="s">
        <v>120</v>
      </c>
      <c r="C703" s="521"/>
      <c r="D703" s="521"/>
      <c r="E703" s="521"/>
      <c r="F703" s="521"/>
      <c r="G703" s="521"/>
      <c r="H703" s="521"/>
      <c r="I703" s="521"/>
      <c r="J703" s="38">
        <v>882140.4</v>
      </c>
    </row>
    <row r="704" spans="1:10" ht="60">
      <c r="A704" s="39" t="s">
        <v>905</v>
      </c>
      <c r="B704" s="40" t="s">
        <v>122</v>
      </c>
      <c r="C704" s="40" t="s">
        <v>29</v>
      </c>
      <c r="D704" s="39" t="s">
        <v>123</v>
      </c>
      <c r="E704" s="40" t="s">
        <v>60</v>
      </c>
      <c r="F704" s="41">
        <v>482.35</v>
      </c>
      <c r="G704" s="41">
        <v>6.48</v>
      </c>
      <c r="H704" s="41">
        <v>17.57</v>
      </c>
      <c r="I704" s="41">
        <v>7.62</v>
      </c>
      <c r="J704" s="41">
        <v>3675.51</v>
      </c>
    </row>
    <row r="705" spans="1:10" ht="60">
      <c r="A705" s="39" t="s">
        <v>906</v>
      </c>
      <c r="B705" s="40" t="s">
        <v>125</v>
      </c>
      <c r="C705" s="40" t="s">
        <v>29</v>
      </c>
      <c r="D705" s="39" t="s">
        <v>126</v>
      </c>
      <c r="E705" s="40" t="s">
        <v>60</v>
      </c>
      <c r="F705" s="41">
        <v>214.38</v>
      </c>
      <c r="G705" s="41">
        <v>23.75</v>
      </c>
      <c r="H705" s="41">
        <v>17.57</v>
      </c>
      <c r="I705" s="41">
        <v>27.92</v>
      </c>
      <c r="J705" s="41">
        <v>5985.49</v>
      </c>
    </row>
    <row r="706" spans="1:10" ht="48">
      <c r="A706" s="39" t="s">
        <v>907</v>
      </c>
      <c r="B706" s="40" t="s">
        <v>49</v>
      </c>
      <c r="C706" s="40" t="s">
        <v>18</v>
      </c>
      <c r="D706" s="39" t="s">
        <v>50</v>
      </c>
      <c r="E706" s="40" t="s">
        <v>44</v>
      </c>
      <c r="F706" s="41">
        <v>334.96</v>
      </c>
      <c r="G706" s="41">
        <v>2.9</v>
      </c>
      <c r="H706" s="41">
        <v>17.57</v>
      </c>
      <c r="I706" s="41">
        <v>3.41</v>
      </c>
      <c r="J706" s="41">
        <v>1142.21</v>
      </c>
    </row>
    <row r="707" spans="1:10" ht="36">
      <c r="A707" s="39" t="s">
        <v>908</v>
      </c>
      <c r="B707" s="40" t="s">
        <v>52</v>
      </c>
      <c r="C707" s="40" t="s">
        <v>29</v>
      </c>
      <c r="D707" s="39" t="s">
        <v>53</v>
      </c>
      <c r="E707" s="40" t="s">
        <v>54</v>
      </c>
      <c r="F707" s="41">
        <v>3952.53</v>
      </c>
      <c r="G707" s="41">
        <v>2.27</v>
      </c>
      <c r="H707" s="41">
        <v>17.57</v>
      </c>
      <c r="I707" s="41">
        <v>2.67</v>
      </c>
      <c r="J707" s="41">
        <v>10553.26</v>
      </c>
    </row>
    <row r="708" spans="1:10" ht="36">
      <c r="A708" s="39" t="s">
        <v>909</v>
      </c>
      <c r="B708" s="40" t="s">
        <v>130</v>
      </c>
      <c r="C708" s="40" t="s">
        <v>29</v>
      </c>
      <c r="D708" s="39" t="s">
        <v>131</v>
      </c>
      <c r="E708" s="40" t="s">
        <v>60</v>
      </c>
      <c r="F708" s="41">
        <v>150.68</v>
      </c>
      <c r="G708" s="41">
        <v>472.74</v>
      </c>
      <c r="H708" s="41">
        <v>17.57</v>
      </c>
      <c r="I708" s="41">
        <v>555.79999999999995</v>
      </c>
      <c r="J708" s="41">
        <v>83747.94</v>
      </c>
    </row>
    <row r="709" spans="1:10" ht="24">
      <c r="A709" s="39" t="s">
        <v>910</v>
      </c>
      <c r="B709" s="40" t="s">
        <v>133</v>
      </c>
      <c r="C709" s="40" t="s">
        <v>29</v>
      </c>
      <c r="D709" s="39" t="s">
        <v>134</v>
      </c>
      <c r="E709" s="40" t="s">
        <v>60</v>
      </c>
      <c r="F709" s="41">
        <v>114.85</v>
      </c>
      <c r="G709" s="41">
        <v>436.13</v>
      </c>
      <c r="H709" s="41">
        <v>17.57</v>
      </c>
      <c r="I709" s="41">
        <v>512.76</v>
      </c>
      <c r="J709" s="41">
        <v>58890.49</v>
      </c>
    </row>
    <row r="710" spans="1:10" ht="36">
      <c r="A710" s="39" t="s">
        <v>911</v>
      </c>
      <c r="B710" s="40" t="s">
        <v>136</v>
      </c>
      <c r="C710" s="40" t="s">
        <v>29</v>
      </c>
      <c r="D710" s="39" t="s">
        <v>137</v>
      </c>
      <c r="E710" s="40" t="s">
        <v>138</v>
      </c>
      <c r="F710" s="41">
        <v>9608.7800000000007</v>
      </c>
      <c r="G710" s="41">
        <v>15.14</v>
      </c>
      <c r="H710" s="41">
        <v>17.57</v>
      </c>
      <c r="I710" s="41">
        <v>17.8</v>
      </c>
      <c r="J710" s="41">
        <v>171036.28</v>
      </c>
    </row>
    <row r="711" spans="1:10" ht="48">
      <c r="A711" s="39" t="s">
        <v>912</v>
      </c>
      <c r="B711" s="40" t="s">
        <v>140</v>
      </c>
      <c r="C711" s="40" t="s">
        <v>18</v>
      </c>
      <c r="D711" s="39" t="s">
        <v>141</v>
      </c>
      <c r="E711" s="40" t="s">
        <v>20</v>
      </c>
      <c r="F711" s="41">
        <v>689.08</v>
      </c>
      <c r="G711" s="41">
        <v>1.1000000000000001</v>
      </c>
      <c r="H711" s="41">
        <v>17.57</v>
      </c>
      <c r="I711" s="41">
        <v>1.29</v>
      </c>
      <c r="J711" s="41">
        <v>888.91</v>
      </c>
    </row>
    <row r="712" spans="1:10" ht="36">
      <c r="A712" s="39" t="s">
        <v>913</v>
      </c>
      <c r="B712" s="40" t="s">
        <v>143</v>
      </c>
      <c r="C712" s="40" t="s">
        <v>29</v>
      </c>
      <c r="D712" s="39" t="s">
        <v>144</v>
      </c>
      <c r="E712" s="40" t="s">
        <v>20</v>
      </c>
      <c r="F712" s="41">
        <v>2169.31</v>
      </c>
      <c r="G712" s="41">
        <v>105.62</v>
      </c>
      <c r="H712" s="41">
        <v>17.57</v>
      </c>
      <c r="I712" s="41">
        <v>124.18</v>
      </c>
      <c r="J712" s="41">
        <v>269384.92</v>
      </c>
    </row>
    <row r="713" spans="1:10" ht="36">
      <c r="A713" s="39" t="s">
        <v>914</v>
      </c>
      <c r="B713" s="40" t="s">
        <v>146</v>
      </c>
      <c r="C713" s="40" t="s">
        <v>29</v>
      </c>
      <c r="D713" s="39" t="s">
        <v>147</v>
      </c>
      <c r="E713" s="40" t="s">
        <v>20</v>
      </c>
      <c r="F713" s="41">
        <v>2169.31</v>
      </c>
      <c r="G713" s="41">
        <v>4.0999999999999996</v>
      </c>
      <c r="H713" s="41">
        <v>17.57</v>
      </c>
      <c r="I713" s="41">
        <v>4.82</v>
      </c>
      <c r="J713" s="41">
        <v>10456.07</v>
      </c>
    </row>
    <row r="714" spans="1:10" ht="48">
      <c r="A714" s="39" t="s">
        <v>915</v>
      </c>
      <c r="B714" s="40" t="s">
        <v>149</v>
      </c>
      <c r="C714" s="40" t="s">
        <v>29</v>
      </c>
      <c r="D714" s="39" t="s">
        <v>150</v>
      </c>
      <c r="E714" s="40" t="s">
        <v>20</v>
      </c>
      <c r="F714" s="41">
        <v>2169.31</v>
      </c>
      <c r="G714" s="41">
        <v>24.83</v>
      </c>
      <c r="H714" s="41">
        <v>17.57</v>
      </c>
      <c r="I714" s="41">
        <v>29.19</v>
      </c>
      <c r="J714" s="41">
        <v>63322.16</v>
      </c>
    </row>
    <row r="715" spans="1:10" ht="24">
      <c r="A715" s="39" t="s">
        <v>916</v>
      </c>
      <c r="B715" s="40" t="s">
        <v>152</v>
      </c>
      <c r="C715" s="40" t="s">
        <v>29</v>
      </c>
      <c r="D715" s="39" t="s">
        <v>153</v>
      </c>
      <c r="E715" s="40" t="s">
        <v>60</v>
      </c>
      <c r="F715" s="41">
        <v>230.72</v>
      </c>
      <c r="G715" s="41">
        <v>469.42</v>
      </c>
      <c r="H715" s="41">
        <v>17.57</v>
      </c>
      <c r="I715" s="41">
        <v>551.9</v>
      </c>
      <c r="J715" s="41">
        <v>127334.37</v>
      </c>
    </row>
    <row r="716" spans="1:10" ht="24">
      <c r="A716" s="39" t="s">
        <v>917</v>
      </c>
      <c r="B716" s="40" t="s">
        <v>155</v>
      </c>
      <c r="C716" s="40" t="s">
        <v>18</v>
      </c>
      <c r="D716" s="39" t="s">
        <v>156</v>
      </c>
      <c r="E716" s="40" t="s">
        <v>60</v>
      </c>
      <c r="F716" s="41">
        <v>496.25</v>
      </c>
      <c r="G716" s="41">
        <v>129.79</v>
      </c>
      <c r="H716" s="41">
        <v>17.57</v>
      </c>
      <c r="I716" s="41">
        <v>152.59</v>
      </c>
      <c r="J716" s="41">
        <v>75722.789999999994</v>
      </c>
    </row>
    <row r="717" spans="1:10" ht="20.100000000000001" customHeight="1">
      <c r="A717" s="37" t="s">
        <v>918</v>
      </c>
      <c r="B717" s="521" t="s">
        <v>158</v>
      </c>
      <c r="C717" s="521"/>
      <c r="D717" s="521"/>
      <c r="E717" s="521"/>
      <c r="F717" s="521"/>
      <c r="G717" s="521"/>
      <c r="H717" s="521"/>
      <c r="I717" s="521"/>
      <c r="J717" s="38">
        <v>33471.279999999999</v>
      </c>
    </row>
    <row r="718" spans="1:10">
      <c r="A718" s="39" t="s">
        <v>919</v>
      </c>
      <c r="B718" s="40" t="s">
        <v>160</v>
      </c>
      <c r="C718" s="40" t="s">
        <v>161</v>
      </c>
      <c r="D718" s="39" t="s">
        <v>162</v>
      </c>
      <c r="E718" s="40" t="s">
        <v>163</v>
      </c>
      <c r="F718" s="41">
        <v>7.93</v>
      </c>
      <c r="G718" s="41">
        <v>347.25</v>
      </c>
      <c r="H718" s="41">
        <v>17.57</v>
      </c>
      <c r="I718" s="41">
        <v>408.26</v>
      </c>
      <c r="J718" s="41">
        <v>3237.5</v>
      </c>
    </row>
    <row r="719" spans="1:10" ht="24">
      <c r="A719" s="39" t="s">
        <v>920</v>
      </c>
      <c r="B719" s="40" t="s">
        <v>165</v>
      </c>
      <c r="C719" s="40" t="s">
        <v>161</v>
      </c>
      <c r="D719" s="39" t="s">
        <v>166</v>
      </c>
      <c r="E719" s="40" t="s">
        <v>167</v>
      </c>
      <c r="F719" s="41">
        <v>30</v>
      </c>
      <c r="G719" s="41">
        <v>121.48</v>
      </c>
      <c r="H719" s="41">
        <v>17.57</v>
      </c>
      <c r="I719" s="41">
        <v>142.82</v>
      </c>
      <c r="J719" s="41">
        <v>4284.6000000000004</v>
      </c>
    </row>
    <row r="720" spans="1:10" ht="24">
      <c r="A720" s="39" t="s">
        <v>921</v>
      </c>
      <c r="B720" s="40" t="s">
        <v>169</v>
      </c>
      <c r="C720" s="40" t="s">
        <v>18</v>
      </c>
      <c r="D720" s="39" t="s">
        <v>170</v>
      </c>
      <c r="E720" s="40" t="s">
        <v>171</v>
      </c>
      <c r="F720" s="41">
        <v>10</v>
      </c>
      <c r="G720" s="41">
        <v>156.33000000000001</v>
      </c>
      <c r="H720" s="41">
        <v>17.57</v>
      </c>
      <c r="I720" s="41">
        <v>183.8</v>
      </c>
      <c r="J720" s="41">
        <v>1838</v>
      </c>
    </row>
    <row r="721" spans="1:10" ht="48">
      <c r="A721" s="39" t="s">
        <v>922</v>
      </c>
      <c r="B721" s="40" t="s">
        <v>176</v>
      </c>
      <c r="C721" s="40" t="s">
        <v>29</v>
      </c>
      <c r="D721" s="39" t="s">
        <v>177</v>
      </c>
      <c r="E721" s="40" t="s">
        <v>20</v>
      </c>
      <c r="F721" s="41">
        <v>54.17</v>
      </c>
      <c r="G721" s="41">
        <v>24.15</v>
      </c>
      <c r="H721" s="41">
        <v>17.57</v>
      </c>
      <c r="I721" s="41">
        <v>28.39</v>
      </c>
      <c r="J721" s="41">
        <v>1537.89</v>
      </c>
    </row>
    <row r="722" spans="1:10" ht="48">
      <c r="A722" s="39" t="s">
        <v>923</v>
      </c>
      <c r="B722" s="40" t="s">
        <v>173</v>
      </c>
      <c r="C722" s="40" t="s">
        <v>29</v>
      </c>
      <c r="D722" s="39" t="s">
        <v>174</v>
      </c>
      <c r="E722" s="40" t="s">
        <v>40</v>
      </c>
      <c r="F722" s="41">
        <v>3505.17</v>
      </c>
      <c r="G722" s="41">
        <v>5.48</v>
      </c>
      <c r="H722" s="41">
        <v>17.57</v>
      </c>
      <c r="I722" s="41">
        <v>6.44</v>
      </c>
      <c r="J722" s="41">
        <v>22573.29</v>
      </c>
    </row>
    <row r="723" spans="1:10" ht="20.100000000000001" customHeight="1">
      <c r="A723" s="37" t="s">
        <v>924</v>
      </c>
      <c r="B723" s="521" t="s">
        <v>179</v>
      </c>
      <c r="C723" s="521"/>
      <c r="D723" s="521"/>
      <c r="E723" s="521"/>
      <c r="F723" s="521"/>
      <c r="G723" s="521"/>
      <c r="H723" s="521"/>
      <c r="I723" s="521"/>
      <c r="J723" s="38">
        <v>2535.94</v>
      </c>
    </row>
    <row r="724" spans="1:10" ht="36">
      <c r="A724" s="39" t="s">
        <v>925</v>
      </c>
      <c r="B724" s="40" t="s">
        <v>181</v>
      </c>
      <c r="C724" s="40" t="s">
        <v>18</v>
      </c>
      <c r="D724" s="39" t="s">
        <v>182</v>
      </c>
      <c r="E724" s="40" t="s">
        <v>183</v>
      </c>
      <c r="F724" s="41">
        <v>19.2</v>
      </c>
      <c r="G724" s="41">
        <v>112.34</v>
      </c>
      <c r="H724" s="41">
        <v>17.57</v>
      </c>
      <c r="I724" s="41">
        <v>132.08000000000001</v>
      </c>
      <c r="J724" s="41">
        <v>2535.94</v>
      </c>
    </row>
    <row r="725" spans="1:10" ht="20.100000000000001" customHeight="1">
      <c r="A725" s="37" t="s">
        <v>926</v>
      </c>
      <c r="B725" s="521" t="s">
        <v>185</v>
      </c>
      <c r="C725" s="521"/>
      <c r="D725" s="521"/>
      <c r="E725" s="521"/>
      <c r="F725" s="521"/>
      <c r="G725" s="521"/>
      <c r="H725" s="521"/>
      <c r="I725" s="521"/>
      <c r="J725" s="38">
        <v>952260.41</v>
      </c>
    </row>
    <row r="726" spans="1:10" ht="48">
      <c r="A726" s="39" t="s">
        <v>927</v>
      </c>
      <c r="B726" s="40" t="s">
        <v>187</v>
      </c>
      <c r="C726" s="40" t="s">
        <v>29</v>
      </c>
      <c r="D726" s="39" t="s">
        <v>188</v>
      </c>
      <c r="E726" s="40" t="s">
        <v>31</v>
      </c>
      <c r="F726" s="41">
        <v>12</v>
      </c>
      <c r="G726" s="41">
        <v>830</v>
      </c>
      <c r="H726" s="41">
        <v>10.07</v>
      </c>
      <c r="I726" s="41">
        <v>913.58</v>
      </c>
      <c r="J726" s="41">
        <v>10962.96</v>
      </c>
    </row>
    <row r="727" spans="1:10" ht="36">
      <c r="A727" s="39" t="s">
        <v>928</v>
      </c>
      <c r="B727" s="40" t="s">
        <v>190</v>
      </c>
      <c r="C727" s="40" t="s">
        <v>29</v>
      </c>
      <c r="D727" s="39" t="s">
        <v>191</v>
      </c>
      <c r="E727" s="40" t="s">
        <v>31</v>
      </c>
      <c r="F727" s="41">
        <v>12</v>
      </c>
      <c r="G727" s="41">
        <v>648.42999999999995</v>
      </c>
      <c r="H727" s="41">
        <v>10.07</v>
      </c>
      <c r="I727" s="41">
        <v>713.73</v>
      </c>
      <c r="J727" s="41">
        <v>8564.76</v>
      </c>
    </row>
    <row r="728" spans="1:10" ht="36">
      <c r="A728" s="39" t="s">
        <v>929</v>
      </c>
      <c r="B728" s="40" t="s">
        <v>193</v>
      </c>
      <c r="C728" s="40" t="s">
        <v>29</v>
      </c>
      <c r="D728" s="39" t="s">
        <v>194</v>
      </c>
      <c r="E728" s="40" t="s">
        <v>195</v>
      </c>
      <c r="F728" s="41">
        <v>778.98</v>
      </c>
      <c r="G728" s="41">
        <v>522.5</v>
      </c>
      <c r="H728" s="41">
        <v>10.07</v>
      </c>
      <c r="I728" s="41">
        <v>575.12</v>
      </c>
      <c r="J728" s="41">
        <v>448006.98</v>
      </c>
    </row>
    <row r="729" spans="1:10" ht="24">
      <c r="A729" s="39" t="s">
        <v>930</v>
      </c>
      <c r="B729" s="40" t="s">
        <v>197</v>
      </c>
      <c r="C729" s="40" t="s">
        <v>18</v>
      </c>
      <c r="D729" s="39" t="s">
        <v>198</v>
      </c>
      <c r="E729" s="40" t="s">
        <v>44</v>
      </c>
      <c r="F729" s="41">
        <v>1156.5899999999999</v>
      </c>
      <c r="G729" s="41">
        <v>56.1</v>
      </c>
      <c r="H729" s="41">
        <v>10.07</v>
      </c>
      <c r="I729" s="41">
        <v>61.75</v>
      </c>
      <c r="J729" s="41">
        <v>71419.429999999993</v>
      </c>
    </row>
    <row r="730" spans="1:10">
      <c r="A730" s="39" t="s">
        <v>931</v>
      </c>
      <c r="B730" s="40" t="s">
        <v>200</v>
      </c>
      <c r="C730" s="40" t="s">
        <v>161</v>
      </c>
      <c r="D730" s="39" t="s">
        <v>201</v>
      </c>
      <c r="E730" s="40" t="s">
        <v>70</v>
      </c>
      <c r="F730" s="41">
        <v>1320.68</v>
      </c>
      <c r="G730" s="41">
        <v>90.74</v>
      </c>
      <c r="H730" s="41">
        <v>10.07</v>
      </c>
      <c r="I730" s="41">
        <v>99.88</v>
      </c>
      <c r="J730" s="41">
        <v>131909.51999999999</v>
      </c>
    </row>
    <row r="731" spans="1:10">
      <c r="A731" s="39" t="s">
        <v>932</v>
      </c>
      <c r="B731" s="40" t="s">
        <v>203</v>
      </c>
      <c r="C731" s="40" t="s">
        <v>161</v>
      </c>
      <c r="D731" s="39" t="s">
        <v>204</v>
      </c>
      <c r="E731" s="40" t="s">
        <v>70</v>
      </c>
      <c r="F731" s="41">
        <v>146.74</v>
      </c>
      <c r="G731" s="41">
        <v>74.53</v>
      </c>
      <c r="H731" s="41">
        <v>10.07</v>
      </c>
      <c r="I731" s="41">
        <v>82.04</v>
      </c>
      <c r="J731" s="41">
        <v>12038.55</v>
      </c>
    </row>
    <row r="732" spans="1:10" ht="24">
      <c r="A732" s="39" t="s">
        <v>933</v>
      </c>
      <c r="B732" s="40" t="s">
        <v>206</v>
      </c>
      <c r="C732" s="40" t="s">
        <v>18</v>
      </c>
      <c r="D732" s="39" t="s">
        <v>207</v>
      </c>
      <c r="E732" s="40" t="s">
        <v>138</v>
      </c>
      <c r="F732" s="41">
        <v>7317.66</v>
      </c>
      <c r="G732" s="41">
        <v>5.32</v>
      </c>
      <c r="H732" s="41">
        <v>10.07</v>
      </c>
      <c r="I732" s="41">
        <v>5.86</v>
      </c>
      <c r="J732" s="41">
        <v>42881.49</v>
      </c>
    </row>
    <row r="733" spans="1:10" ht="36">
      <c r="A733" s="39" t="s">
        <v>934</v>
      </c>
      <c r="B733" s="40" t="s">
        <v>209</v>
      </c>
      <c r="C733" s="40" t="s">
        <v>29</v>
      </c>
      <c r="D733" s="39" t="s">
        <v>210</v>
      </c>
      <c r="E733" s="40" t="s">
        <v>60</v>
      </c>
      <c r="F733" s="41">
        <v>325.33</v>
      </c>
      <c r="G733" s="41">
        <v>422.5</v>
      </c>
      <c r="H733" s="41">
        <v>10.07</v>
      </c>
      <c r="I733" s="41">
        <v>465.05</v>
      </c>
      <c r="J733" s="41">
        <v>151294.72</v>
      </c>
    </row>
    <row r="734" spans="1:10" ht="36">
      <c r="A734" s="39" t="s">
        <v>935</v>
      </c>
      <c r="B734" s="40" t="s">
        <v>212</v>
      </c>
      <c r="C734" s="40" t="s">
        <v>29</v>
      </c>
      <c r="D734" s="39" t="s">
        <v>213</v>
      </c>
      <c r="E734" s="40" t="s">
        <v>20</v>
      </c>
      <c r="F734" s="41">
        <v>723.53</v>
      </c>
      <c r="G734" s="41">
        <v>94.4</v>
      </c>
      <c r="H734" s="41">
        <v>10.07</v>
      </c>
      <c r="I734" s="41">
        <v>103.91</v>
      </c>
      <c r="J734" s="41">
        <v>75182</v>
      </c>
    </row>
    <row r="735" spans="1:10" ht="20.100000000000001" customHeight="1">
      <c r="A735" s="37" t="s">
        <v>936</v>
      </c>
      <c r="B735" s="521" t="s">
        <v>937</v>
      </c>
      <c r="C735" s="521"/>
      <c r="D735" s="521"/>
      <c r="E735" s="521"/>
      <c r="F735" s="521"/>
      <c r="G735" s="521"/>
      <c r="H735" s="521"/>
      <c r="I735" s="521"/>
      <c r="J735" s="38">
        <v>3190412.9</v>
      </c>
    </row>
    <row r="736" spans="1:10" ht="20.100000000000001" customHeight="1">
      <c r="A736" s="37" t="s">
        <v>938</v>
      </c>
      <c r="B736" s="521" t="s">
        <v>15</v>
      </c>
      <c r="C736" s="521"/>
      <c r="D736" s="521"/>
      <c r="E736" s="521"/>
      <c r="F736" s="521"/>
      <c r="G736" s="521"/>
      <c r="H736" s="521"/>
      <c r="I736" s="521"/>
      <c r="J736" s="38">
        <v>15189.96</v>
      </c>
    </row>
    <row r="737" spans="1:10" ht="24">
      <c r="A737" s="39" t="s">
        <v>939</v>
      </c>
      <c r="B737" s="40" t="s">
        <v>17</v>
      </c>
      <c r="C737" s="40" t="s">
        <v>18</v>
      </c>
      <c r="D737" s="39" t="s">
        <v>19</v>
      </c>
      <c r="E737" s="40" t="s">
        <v>20</v>
      </c>
      <c r="F737" s="41">
        <v>8</v>
      </c>
      <c r="G737" s="41">
        <v>564.99</v>
      </c>
      <c r="H737" s="41">
        <v>17.57</v>
      </c>
      <c r="I737" s="41">
        <v>664.26</v>
      </c>
      <c r="J737" s="41">
        <v>5314.08</v>
      </c>
    </row>
    <row r="738" spans="1:10" ht="24">
      <c r="A738" s="39" t="s">
        <v>940</v>
      </c>
      <c r="B738" s="40" t="s">
        <v>22</v>
      </c>
      <c r="C738" s="40" t="s">
        <v>18</v>
      </c>
      <c r="D738" s="39" t="s">
        <v>23</v>
      </c>
      <c r="E738" s="40" t="s">
        <v>24</v>
      </c>
      <c r="F738" s="41">
        <v>12</v>
      </c>
      <c r="G738" s="41">
        <v>700</v>
      </c>
      <c r="H738" s="41">
        <v>17.57</v>
      </c>
      <c r="I738" s="41">
        <v>822.99</v>
      </c>
      <c r="J738" s="41">
        <v>9875.8799999999992</v>
      </c>
    </row>
    <row r="739" spans="1:10" ht="20.100000000000001" customHeight="1">
      <c r="A739" s="37" t="s">
        <v>941</v>
      </c>
      <c r="B739" s="521" t="s">
        <v>26</v>
      </c>
      <c r="C739" s="521"/>
      <c r="D739" s="521"/>
      <c r="E739" s="521"/>
      <c r="F739" s="521"/>
      <c r="G739" s="521"/>
      <c r="H739" s="521"/>
      <c r="I739" s="521"/>
      <c r="J739" s="38">
        <v>106388.4</v>
      </c>
    </row>
    <row r="740" spans="1:10" ht="24">
      <c r="A740" s="39" t="s">
        <v>942</v>
      </c>
      <c r="B740" s="40" t="s">
        <v>28</v>
      </c>
      <c r="C740" s="40" t="s">
        <v>29</v>
      </c>
      <c r="D740" s="39" t="s">
        <v>30</v>
      </c>
      <c r="E740" s="40" t="s">
        <v>31</v>
      </c>
      <c r="F740" s="41">
        <v>3</v>
      </c>
      <c r="G740" s="41">
        <v>16819.14</v>
      </c>
      <c r="H740" s="41">
        <v>17.57</v>
      </c>
      <c r="I740" s="41">
        <v>19774.259999999998</v>
      </c>
      <c r="J740" s="41">
        <v>59322.78</v>
      </c>
    </row>
    <row r="741" spans="1:10" ht="24">
      <c r="A741" s="39" t="s">
        <v>943</v>
      </c>
      <c r="B741" s="40" t="s">
        <v>33</v>
      </c>
      <c r="C741" s="40" t="s">
        <v>29</v>
      </c>
      <c r="D741" s="39" t="s">
        <v>34</v>
      </c>
      <c r="E741" s="40" t="s">
        <v>31</v>
      </c>
      <c r="F741" s="41">
        <v>6</v>
      </c>
      <c r="G741" s="41">
        <v>6672</v>
      </c>
      <c r="H741" s="41">
        <v>17.57</v>
      </c>
      <c r="I741" s="41">
        <v>7844.27</v>
      </c>
      <c r="J741" s="41">
        <v>47065.62</v>
      </c>
    </row>
    <row r="742" spans="1:10" ht="20.100000000000001" customHeight="1">
      <c r="A742" s="37" t="s">
        <v>944</v>
      </c>
      <c r="B742" s="521" t="s">
        <v>36</v>
      </c>
      <c r="C742" s="521"/>
      <c r="D742" s="521"/>
      <c r="E742" s="521"/>
      <c r="F742" s="521"/>
      <c r="G742" s="521"/>
      <c r="H742" s="521"/>
      <c r="I742" s="521"/>
      <c r="J742" s="38">
        <v>21547.15</v>
      </c>
    </row>
    <row r="743" spans="1:10">
      <c r="A743" s="39" t="s">
        <v>945</v>
      </c>
      <c r="B743" s="40" t="s">
        <v>38</v>
      </c>
      <c r="C743" s="40" t="s">
        <v>29</v>
      </c>
      <c r="D743" s="39" t="s">
        <v>39</v>
      </c>
      <c r="E743" s="40" t="s">
        <v>40</v>
      </c>
      <c r="F743" s="41">
        <v>1664.61</v>
      </c>
      <c r="G743" s="41">
        <v>0.49</v>
      </c>
      <c r="H743" s="41">
        <v>17.57</v>
      </c>
      <c r="I743" s="41">
        <v>0.57999999999999996</v>
      </c>
      <c r="J743" s="41">
        <v>965.47</v>
      </c>
    </row>
    <row r="744" spans="1:10" ht="24">
      <c r="A744" s="39" t="s">
        <v>946</v>
      </c>
      <c r="B744" s="40" t="s">
        <v>42</v>
      </c>
      <c r="C744" s="40" t="s">
        <v>18</v>
      </c>
      <c r="D744" s="39" t="s">
        <v>43</v>
      </c>
      <c r="E744" s="40" t="s">
        <v>44</v>
      </c>
      <c r="F744" s="41">
        <v>74.53</v>
      </c>
      <c r="G744" s="41">
        <v>212.24</v>
      </c>
      <c r="H744" s="41">
        <v>17.57</v>
      </c>
      <c r="I744" s="41">
        <v>249.53</v>
      </c>
      <c r="J744" s="41">
        <v>18597.47</v>
      </c>
    </row>
    <row r="745" spans="1:10" ht="48">
      <c r="A745" s="39" t="s">
        <v>947</v>
      </c>
      <c r="B745" s="40" t="s">
        <v>49</v>
      </c>
      <c r="C745" s="40" t="s">
        <v>18</v>
      </c>
      <c r="D745" s="39" t="s">
        <v>50</v>
      </c>
      <c r="E745" s="40" t="s">
        <v>44</v>
      </c>
      <c r="F745" s="41">
        <v>93.16</v>
      </c>
      <c r="G745" s="41">
        <v>2.9</v>
      </c>
      <c r="H745" s="41">
        <v>17.57</v>
      </c>
      <c r="I745" s="41">
        <v>3.41</v>
      </c>
      <c r="J745" s="41">
        <v>317.68</v>
      </c>
    </row>
    <row r="746" spans="1:10" ht="36">
      <c r="A746" s="39" t="s">
        <v>948</v>
      </c>
      <c r="B746" s="40" t="s">
        <v>52</v>
      </c>
      <c r="C746" s="40" t="s">
        <v>29</v>
      </c>
      <c r="D746" s="39" t="s">
        <v>53</v>
      </c>
      <c r="E746" s="40" t="s">
        <v>54</v>
      </c>
      <c r="F746" s="41">
        <v>624.16999999999996</v>
      </c>
      <c r="G746" s="41">
        <v>2.27</v>
      </c>
      <c r="H746" s="41">
        <v>17.57</v>
      </c>
      <c r="I746" s="41">
        <v>2.67</v>
      </c>
      <c r="J746" s="41">
        <v>1666.53</v>
      </c>
    </row>
    <row r="747" spans="1:10" ht="20.100000000000001" customHeight="1">
      <c r="A747" s="37" t="s">
        <v>949</v>
      </c>
      <c r="B747" s="521" t="s">
        <v>444</v>
      </c>
      <c r="C747" s="521"/>
      <c r="D747" s="521"/>
      <c r="E747" s="521"/>
      <c r="F747" s="521"/>
      <c r="G747" s="521"/>
      <c r="H747" s="521"/>
      <c r="I747" s="521"/>
      <c r="J747" s="38">
        <v>211053.07</v>
      </c>
    </row>
    <row r="748" spans="1:10" ht="24">
      <c r="A748" s="39" t="s">
        <v>950</v>
      </c>
      <c r="B748" s="40" t="s">
        <v>58</v>
      </c>
      <c r="C748" s="40" t="s">
        <v>18</v>
      </c>
      <c r="D748" s="39" t="s">
        <v>59</v>
      </c>
      <c r="E748" s="40" t="s">
        <v>60</v>
      </c>
      <c r="F748" s="41">
        <v>7113.27</v>
      </c>
      <c r="G748" s="41">
        <v>2.59</v>
      </c>
      <c r="H748" s="41">
        <v>17.57</v>
      </c>
      <c r="I748" s="41">
        <v>3.05</v>
      </c>
      <c r="J748" s="41">
        <v>21695.47</v>
      </c>
    </row>
    <row r="749" spans="1:10" ht="48">
      <c r="A749" s="39" t="s">
        <v>951</v>
      </c>
      <c r="B749" s="40" t="s">
        <v>49</v>
      </c>
      <c r="C749" s="40" t="s">
        <v>18</v>
      </c>
      <c r="D749" s="39" t="s">
        <v>50</v>
      </c>
      <c r="E749" s="40" t="s">
        <v>44</v>
      </c>
      <c r="F749" s="41">
        <v>8888.9</v>
      </c>
      <c r="G749" s="41">
        <v>2.9</v>
      </c>
      <c r="H749" s="41">
        <v>17.57</v>
      </c>
      <c r="I749" s="41">
        <v>3.41</v>
      </c>
      <c r="J749" s="41">
        <v>30311.15</v>
      </c>
    </row>
    <row r="750" spans="1:10" ht="36">
      <c r="A750" s="39" t="s">
        <v>952</v>
      </c>
      <c r="B750" s="40" t="s">
        <v>52</v>
      </c>
      <c r="C750" s="40" t="s">
        <v>29</v>
      </c>
      <c r="D750" s="39" t="s">
        <v>53</v>
      </c>
      <c r="E750" s="40" t="s">
        <v>54</v>
      </c>
      <c r="F750" s="41">
        <v>59555.63</v>
      </c>
      <c r="G750" s="41">
        <v>2.27</v>
      </c>
      <c r="H750" s="41">
        <v>17.57</v>
      </c>
      <c r="I750" s="41">
        <v>2.67</v>
      </c>
      <c r="J750" s="41">
        <v>159013.53</v>
      </c>
    </row>
    <row r="751" spans="1:10" ht="36">
      <c r="A751" s="39" t="s">
        <v>953</v>
      </c>
      <c r="B751" s="40" t="s">
        <v>501</v>
      </c>
      <c r="C751" s="40" t="s">
        <v>29</v>
      </c>
      <c r="D751" s="39" t="s">
        <v>502</v>
      </c>
      <c r="E751" s="40" t="s">
        <v>60</v>
      </c>
      <c r="F751" s="41">
        <v>2.15</v>
      </c>
      <c r="G751" s="41">
        <v>13.02</v>
      </c>
      <c r="H751" s="41">
        <v>17.57</v>
      </c>
      <c r="I751" s="41">
        <v>15.31</v>
      </c>
      <c r="J751" s="41">
        <v>32.92</v>
      </c>
    </row>
    <row r="752" spans="1:10" ht="20.100000000000001" customHeight="1">
      <c r="A752" s="37" t="s">
        <v>954</v>
      </c>
      <c r="B752" s="521" t="s">
        <v>11</v>
      </c>
      <c r="C752" s="521"/>
      <c r="D752" s="521"/>
      <c r="E752" s="521"/>
      <c r="F752" s="521"/>
      <c r="G752" s="521"/>
      <c r="H752" s="521"/>
      <c r="I752" s="521"/>
      <c r="J752" s="38">
        <v>682070.64</v>
      </c>
    </row>
    <row r="753" spans="1:10" ht="24">
      <c r="A753" s="39" t="s">
        <v>955</v>
      </c>
      <c r="B753" s="40" t="s">
        <v>956</v>
      </c>
      <c r="C753" s="40" t="s">
        <v>29</v>
      </c>
      <c r="D753" s="39" t="s">
        <v>957</v>
      </c>
      <c r="E753" s="40" t="s">
        <v>20</v>
      </c>
      <c r="F753" s="41">
        <v>243.32</v>
      </c>
      <c r="G753" s="41">
        <v>8.2899999999999991</v>
      </c>
      <c r="H753" s="41">
        <v>17.57</v>
      </c>
      <c r="I753" s="41">
        <v>9.75</v>
      </c>
      <c r="J753" s="41">
        <v>2372.37</v>
      </c>
    </row>
    <row r="754" spans="1:10" ht="48">
      <c r="A754" s="39" t="s">
        <v>958</v>
      </c>
      <c r="B754" s="40" t="s">
        <v>959</v>
      </c>
      <c r="C754" s="40" t="s">
        <v>29</v>
      </c>
      <c r="D754" s="39" t="s">
        <v>960</v>
      </c>
      <c r="E754" s="40" t="s">
        <v>60</v>
      </c>
      <c r="F754" s="41">
        <v>12.17</v>
      </c>
      <c r="G754" s="41">
        <v>9.49</v>
      </c>
      <c r="H754" s="41">
        <v>17.57</v>
      </c>
      <c r="I754" s="41">
        <v>11.16</v>
      </c>
      <c r="J754" s="41">
        <v>135.82</v>
      </c>
    </row>
    <row r="755" spans="1:10" ht="36">
      <c r="A755" s="39" t="s">
        <v>961</v>
      </c>
      <c r="B755" s="40" t="s">
        <v>52</v>
      </c>
      <c r="C755" s="40" t="s">
        <v>29</v>
      </c>
      <c r="D755" s="39" t="s">
        <v>53</v>
      </c>
      <c r="E755" s="40" t="s">
        <v>54</v>
      </c>
      <c r="F755" s="41">
        <v>81.540000000000006</v>
      </c>
      <c r="G755" s="41">
        <v>2.27</v>
      </c>
      <c r="H755" s="41">
        <v>17.57</v>
      </c>
      <c r="I755" s="41">
        <v>2.67</v>
      </c>
      <c r="J755" s="41">
        <v>217.71</v>
      </c>
    </row>
    <row r="756" spans="1:10" ht="24">
      <c r="A756" s="39" t="s">
        <v>962</v>
      </c>
      <c r="B756" s="40" t="s">
        <v>963</v>
      </c>
      <c r="C756" s="40" t="s">
        <v>29</v>
      </c>
      <c r="D756" s="39" t="s">
        <v>964</v>
      </c>
      <c r="E756" s="40" t="s">
        <v>20</v>
      </c>
      <c r="F756" s="41">
        <v>2936.84</v>
      </c>
      <c r="G756" s="41">
        <v>2.93</v>
      </c>
      <c r="H756" s="41">
        <v>17.57</v>
      </c>
      <c r="I756" s="41">
        <v>3.44</v>
      </c>
      <c r="J756" s="41">
        <v>10102.73</v>
      </c>
    </row>
    <row r="757" spans="1:10" ht="24">
      <c r="A757" s="39" t="s">
        <v>965</v>
      </c>
      <c r="B757" s="40" t="s">
        <v>80</v>
      </c>
      <c r="C757" s="40" t="s">
        <v>18</v>
      </c>
      <c r="D757" s="39" t="s">
        <v>81</v>
      </c>
      <c r="E757" s="40" t="s">
        <v>20</v>
      </c>
      <c r="F757" s="41">
        <v>8527.9599999999991</v>
      </c>
      <c r="G757" s="41">
        <v>1.24</v>
      </c>
      <c r="H757" s="41">
        <v>17.57</v>
      </c>
      <c r="I757" s="41">
        <v>1.46</v>
      </c>
      <c r="J757" s="41">
        <v>12450.82</v>
      </c>
    </row>
    <row r="758" spans="1:10" ht="36">
      <c r="A758" s="39" t="s">
        <v>966</v>
      </c>
      <c r="B758" s="40" t="s">
        <v>83</v>
      </c>
      <c r="C758" s="40" t="s">
        <v>18</v>
      </c>
      <c r="D758" s="39" t="s">
        <v>84</v>
      </c>
      <c r="E758" s="40" t="s">
        <v>60</v>
      </c>
      <c r="F758" s="41">
        <v>573.25</v>
      </c>
      <c r="G758" s="41">
        <v>133.37</v>
      </c>
      <c r="H758" s="41">
        <v>17.57</v>
      </c>
      <c r="I758" s="41">
        <v>156.80000000000001</v>
      </c>
      <c r="J758" s="41">
        <v>89885.6</v>
      </c>
    </row>
    <row r="759" spans="1:10" ht="36">
      <c r="A759" s="39" t="s">
        <v>967</v>
      </c>
      <c r="B759" s="40" t="s">
        <v>86</v>
      </c>
      <c r="C759" s="40" t="s">
        <v>18</v>
      </c>
      <c r="D759" s="39" t="s">
        <v>87</v>
      </c>
      <c r="E759" s="40" t="s">
        <v>44</v>
      </c>
      <c r="F759" s="41">
        <v>573.25</v>
      </c>
      <c r="G759" s="41">
        <v>7.86</v>
      </c>
      <c r="H759" s="41">
        <v>17.57</v>
      </c>
      <c r="I759" s="41">
        <v>9.24</v>
      </c>
      <c r="J759" s="41">
        <v>5296.83</v>
      </c>
    </row>
    <row r="760" spans="1:10" ht="24">
      <c r="A760" s="39" t="s">
        <v>968</v>
      </c>
      <c r="B760" s="40" t="s">
        <v>89</v>
      </c>
      <c r="C760" s="40" t="s">
        <v>18</v>
      </c>
      <c r="D760" s="39" t="s">
        <v>90</v>
      </c>
      <c r="E760" s="40" t="s">
        <v>54</v>
      </c>
      <c r="F760" s="41">
        <v>11235.7</v>
      </c>
      <c r="G760" s="41">
        <v>1.77</v>
      </c>
      <c r="H760" s="41">
        <v>17.57</v>
      </c>
      <c r="I760" s="41">
        <v>2.08</v>
      </c>
      <c r="J760" s="41">
        <v>23370.26</v>
      </c>
    </row>
    <row r="761" spans="1:10" ht="24">
      <c r="A761" s="39" t="s">
        <v>969</v>
      </c>
      <c r="B761" s="40" t="s">
        <v>65</v>
      </c>
      <c r="C761" s="40" t="s">
        <v>29</v>
      </c>
      <c r="D761" s="39" t="s">
        <v>66</v>
      </c>
      <c r="E761" s="40" t="s">
        <v>20</v>
      </c>
      <c r="F761" s="41">
        <v>13316.88</v>
      </c>
      <c r="G761" s="41">
        <v>2.79</v>
      </c>
      <c r="H761" s="41">
        <v>17.57</v>
      </c>
      <c r="I761" s="41">
        <v>3.28</v>
      </c>
      <c r="J761" s="41">
        <v>43679.37</v>
      </c>
    </row>
    <row r="762" spans="1:10" ht="24">
      <c r="A762" s="39" t="s">
        <v>970</v>
      </c>
      <c r="B762" s="40" t="s">
        <v>68</v>
      </c>
      <c r="C762" s="40" t="s">
        <v>18</v>
      </c>
      <c r="D762" s="39" t="s">
        <v>69</v>
      </c>
      <c r="E762" s="40" t="s">
        <v>70</v>
      </c>
      <c r="F762" s="41">
        <v>2197.29</v>
      </c>
      <c r="G762" s="41">
        <v>11.4</v>
      </c>
      <c r="H762" s="41">
        <v>17.57</v>
      </c>
      <c r="I762" s="41">
        <v>13.4</v>
      </c>
      <c r="J762" s="41">
        <v>29443.69</v>
      </c>
    </row>
    <row r="763" spans="1:10" ht="36">
      <c r="A763" s="39" t="s">
        <v>971</v>
      </c>
      <c r="B763" s="40" t="s">
        <v>72</v>
      </c>
      <c r="C763" s="40" t="s">
        <v>18</v>
      </c>
      <c r="D763" s="39" t="s">
        <v>73</v>
      </c>
      <c r="E763" s="40" t="s">
        <v>60</v>
      </c>
      <c r="F763" s="41">
        <v>1864.36</v>
      </c>
      <c r="G763" s="41">
        <v>14.44</v>
      </c>
      <c r="H763" s="41">
        <v>17.57</v>
      </c>
      <c r="I763" s="41">
        <v>16.98</v>
      </c>
      <c r="J763" s="41">
        <v>31656.83</v>
      </c>
    </row>
    <row r="764" spans="1:10" ht="48">
      <c r="A764" s="39" t="s">
        <v>972</v>
      </c>
      <c r="B764" s="40" t="s">
        <v>49</v>
      </c>
      <c r="C764" s="40" t="s">
        <v>18</v>
      </c>
      <c r="D764" s="39" t="s">
        <v>50</v>
      </c>
      <c r="E764" s="40" t="s">
        <v>44</v>
      </c>
      <c r="F764" s="41">
        <v>5077.0600000000004</v>
      </c>
      <c r="G764" s="41">
        <v>2.9</v>
      </c>
      <c r="H764" s="41">
        <v>17.57</v>
      </c>
      <c r="I764" s="41">
        <v>3.41</v>
      </c>
      <c r="J764" s="41">
        <v>17312.77</v>
      </c>
    </row>
    <row r="765" spans="1:10" ht="24">
      <c r="A765" s="39" t="s">
        <v>973</v>
      </c>
      <c r="B765" s="40" t="s">
        <v>76</v>
      </c>
      <c r="C765" s="40" t="s">
        <v>18</v>
      </c>
      <c r="D765" s="39" t="s">
        <v>77</v>
      </c>
      <c r="E765" s="40" t="s">
        <v>78</v>
      </c>
      <c r="F765" s="41">
        <v>67524.899999999994</v>
      </c>
      <c r="G765" s="41">
        <v>1.37</v>
      </c>
      <c r="H765" s="41">
        <v>17.57</v>
      </c>
      <c r="I765" s="41">
        <v>1.61</v>
      </c>
      <c r="J765" s="41">
        <v>108715.09</v>
      </c>
    </row>
    <row r="766" spans="1:10" ht="24">
      <c r="A766" s="39" t="s">
        <v>974</v>
      </c>
      <c r="B766" s="40" t="s">
        <v>92</v>
      </c>
      <c r="C766" s="40" t="s">
        <v>18</v>
      </c>
      <c r="D766" s="39" t="s">
        <v>93</v>
      </c>
      <c r="E766" s="40" t="s">
        <v>20</v>
      </c>
      <c r="F766" s="41">
        <v>4909.8</v>
      </c>
      <c r="G766" s="41">
        <v>0.65</v>
      </c>
      <c r="H766" s="41">
        <v>17.57</v>
      </c>
      <c r="I766" s="41">
        <v>0.76</v>
      </c>
      <c r="J766" s="41">
        <v>3731.45</v>
      </c>
    </row>
    <row r="767" spans="1:10" ht="48">
      <c r="A767" s="39" t="s">
        <v>975</v>
      </c>
      <c r="B767" s="40" t="s">
        <v>95</v>
      </c>
      <c r="C767" s="40" t="s">
        <v>18</v>
      </c>
      <c r="D767" s="39" t="s">
        <v>96</v>
      </c>
      <c r="E767" s="40" t="s">
        <v>60</v>
      </c>
      <c r="F767" s="41">
        <v>316.58999999999997</v>
      </c>
      <c r="G767" s="41">
        <v>112.75</v>
      </c>
      <c r="H767" s="41">
        <v>17.57</v>
      </c>
      <c r="I767" s="41">
        <v>132.56</v>
      </c>
      <c r="J767" s="41">
        <v>41967.17</v>
      </c>
    </row>
    <row r="768" spans="1:10" ht="60">
      <c r="A768" s="39" t="s">
        <v>976</v>
      </c>
      <c r="B768" s="40" t="s">
        <v>98</v>
      </c>
      <c r="C768" s="40" t="s">
        <v>29</v>
      </c>
      <c r="D768" s="39" t="s">
        <v>99</v>
      </c>
      <c r="E768" s="40" t="s">
        <v>40</v>
      </c>
      <c r="F768" s="41">
        <v>2326.77</v>
      </c>
      <c r="G768" s="41">
        <v>56.47</v>
      </c>
      <c r="H768" s="41">
        <v>17.57</v>
      </c>
      <c r="I768" s="41">
        <v>66.39</v>
      </c>
      <c r="J768" s="41">
        <v>154474.26</v>
      </c>
    </row>
    <row r="769" spans="1:10" ht="60">
      <c r="A769" s="39" t="s">
        <v>977</v>
      </c>
      <c r="B769" s="40" t="s">
        <v>101</v>
      </c>
      <c r="C769" s="40" t="s">
        <v>29</v>
      </c>
      <c r="D769" s="39" t="s">
        <v>102</v>
      </c>
      <c r="E769" s="40" t="s">
        <v>40</v>
      </c>
      <c r="F769" s="41">
        <v>173.4</v>
      </c>
      <c r="G769" s="41">
        <v>60.43</v>
      </c>
      <c r="H769" s="41">
        <v>17.57</v>
      </c>
      <c r="I769" s="41">
        <v>71.05</v>
      </c>
      <c r="J769" s="41">
        <v>12320.07</v>
      </c>
    </row>
    <row r="770" spans="1:10" ht="24">
      <c r="A770" s="39" t="s">
        <v>978</v>
      </c>
      <c r="B770" s="40" t="s">
        <v>107</v>
      </c>
      <c r="C770" s="40" t="s">
        <v>29</v>
      </c>
      <c r="D770" s="39" t="s">
        <v>108</v>
      </c>
      <c r="E770" s="40" t="s">
        <v>40</v>
      </c>
      <c r="F770" s="41">
        <v>1799.45</v>
      </c>
      <c r="G770" s="41">
        <v>39.770000000000003</v>
      </c>
      <c r="H770" s="41">
        <v>17.57</v>
      </c>
      <c r="I770" s="41">
        <v>46.76</v>
      </c>
      <c r="J770" s="41">
        <v>84142.28</v>
      </c>
    </row>
    <row r="771" spans="1:10" ht="24">
      <c r="A771" s="39" t="s">
        <v>979</v>
      </c>
      <c r="B771" s="40" t="s">
        <v>110</v>
      </c>
      <c r="C771" s="40" t="s">
        <v>29</v>
      </c>
      <c r="D771" s="39" t="s">
        <v>111</v>
      </c>
      <c r="E771" s="40" t="s">
        <v>40</v>
      </c>
      <c r="F771" s="41">
        <v>182.48</v>
      </c>
      <c r="G771" s="41">
        <v>50.32</v>
      </c>
      <c r="H771" s="41">
        <v>17.57</v>
      </c>
      <c r="I771" s="41">
        <v>59.16</v>
      </c>
      <c r="J771" s="41">
        <v>10795.52</v>
      </c>
    </row>
    <row r="772" spans="1:10" ht="20.100000000000001" customHeight="1">
      <c r="A772" s="37" t="s">
        <v>980</v>
      </c>
      <c r="B772" s="521" t="s">
        <v>120</v>
      </c>
      <c r="C772" s="521"/>
      <c r="D772" s="521"/>
      <c r="E772" s="521"/>
      <c r="F772" s="521"/>
      <c r="G772" s="521"/>
      <c r="H772" s="521"/>
      <c r="I772" s="521"/>
      <c r="J772" s="38">
        <v>480921.29</v>
      </c>
    </row>
    <row r="773" spans="1:10" ht="60">
      <c r="A773" s="39" t="s">
        <v>981</v>
      </c>
      <c r="B773" s="40" t="s">
        <v>310</v>
      </c>
      <c r="C773" s="40" t="s">
        <v>29</v>
      </c>
      <c r="D773" s="39" t="s">
        <v>311</v>
      </c>
      <c r="E773" s="40" t="s">
        <v>60</v>
      </c>
      <c r="F773" s="41">
        <v>251.19</v>
      </c>
      <c r="G773" s="41">
        <v>8.5399999999999991</v>
      </c>
      <c r="H773" s="41">
        <v>17.57</v>
      </c>
      <c r="I773" s="41">
        <v>10.039999999999999</v>
      </c>
      <c r="J773" s="41">
        <v>2521.9499999999998</v>
      </c>
    </row>
    <row r="774" spans="1:10" ht="60">
      <c r="A774" s="39" t="s">
        <v>982</v>
      </c>
      <c r="B774" s="40" t="s">
        <v>122</v>
      </c>
      <c r="C774" s="40" t="s">
        <v>29</v>
      </c>
      <c r="D774" s="39" t="s">
        <v>123</v>
      </c>
      <c r="E774" s="40" t="s">
        <v>60</v>
      </c>
      <c r="F774" s="41">
        <v>509.67</v>
      </c>
      <c r="G774" s="41">
        <v>6.48</v>
      </c>
      <c r="H774" s="41">
        <v>17.57</v>
      </c>
      <c r="I774" s="41">
        <v>7.62</v>
      </c>
      <c r="J774" s="41">
        <v>3883.69</v>
      </c>
    </row>
    <row r="775" spans="1:10" ht="60">
      <c r="A775" s="39" t="s">
        <v>983</v>
      </c>
      <c r="B775" s="40" t="s">
        <v>313</v>
      </c>
      <c r="C775" s="40" t="s">
        <v>29</v>
      </c>
      <c r="D775" s="39" t="s">
        <v>314</v>
      </c>
      <c r="E775" s="40" t="s">
        <v>60</v>
      </c>
      <c r="F775" s="41">
        <v>51.02</v>
      </c>
      <c r="G775" s="41">
        <v>10.039999999999999</v>
      </c>
      <c r="H775" s="41">
        <v>17.57</v>
      </c>
      <c r="I775" s="41">
        <v>11.8</v>
      </c>
      <c r="J775" s="41">
        <v>602.04</v>
      </c>
    </row>
    <row r="776" spans="1:10" ht="60">
      <c r="A776" s="39" t="s">
        <v>984</v>
      </c>
      <c r="B776" s="40" t="s">
        <v>316</v>
      </c>
      <c r="C776" s="40" t="s">
        <v>29</v>
      </c>
      <c r="D776" s="39" t="s">
        <v>317</v>
      </c>
      <c r="E776" s="40" t="s">
        <v>60</v>
      </c>
      <c r="F776" s="41">
        <v>31.35</v>
      </c>
      <c r="G776" s="41">
        <v>29.29</v>
      </c>
      <c r="H776" s="41">
        <v>17.57</v>
      </c>
      <c r="I776" s="41">
        <v>34.44</v>
      </c>
      <c r="J776" s="41">
        <v>1079.69</v>
      </c>
    </row>
    <row r="777" spans="1:10" ht="60">
      <c r="A777" s="39" t="s">
        <v>985</v>
      </c>
      <c r="B777" s="40" t="s">
        <v>319</v>
      </c>
      <c r="C777" s="40" t="s">
        <v>29</v>
      </c>
      <c r="D777" s="39" t="s">
        <v>320</v>
      </c>
      <c r="E777" s="40" t="s">
        <v>60</v>
      </c>
      <c r="F777" s="41">
        <v>116.34</v>
      </c>
      <c r="G777" s="41">
        <v>22.62</v>
      </c>
      <c r="H777" s="41">
        <v>17.57</v>
      </c>
      <c r="I777" s="41">
        <v>26.59</v>
      </c>
      <c r="J777" s="41">
        <v>3093.48</v>
      </c>
    </row>
    <row r="778" spans="1:10" ht="60">
      <c r="A778" s="39" t="s">
        <v>986</v>
      </c>
      <c r="B778" s="40" t="s">
        <v>125</v>
      </c>
      <c r="C778" s="40" t="s">
        <v>29</v>
      </c>
      <c r="D778" s="39" t="s">
        <v>126</v>
      </c>
      <c r="E778" s="40" t="s">
        <v>60</v>
      </c>
      <c r="F778" s="41">
        <v>152.9</v>
      </c>
      <c r="G778" s="41">
        <v>23.75</v>
      </c>
      <c r="H778" s="41">
        <v>17.57</v>
      </c>
      <c r="I778" s="41">
        <v>27.92</v>
      </c>
      <c r="J778" s="41">
        <v>4268.97</v>
      </c>
    </row>
    <row r="779" spans="1:10" ht="48">
      <c r="A779" s="39" t="s">
        <v>987</v>
      </c>
      <c r="B779" s="40" t="s">
        <v>49</v>
      </c>
      <c r="C779" s="40" t="s">
        <v>18</v>
      </c>
      <c r="D779" s="39" t="s">
        <v>50</v>
      </c>
      <c r="E779" s="40" t="s">
        <v>44</v>
      </c>
      <c r="F779" s="41">
        <v>639.11</v>
      </c>
      <c r="G779" s="41">
        <v>2.9</v>
      </c>
      <c r="H779" s="41">
        <v>17.57</v>
      </c>
      <c r="I779" s="41">
        <v>3.41</v>
      </c>
      <c r="J779" s="41">
        <v>2179.37</v>
      </c>
    </row>
    <row r="780" spans="1:10" ht="36">
      <c r="A780" s="39" t="s">
        <v>988</v>
      </c>
      <c r="B780" s="40" t="s">
        <v>52</v>
      </c>
      <c r="C780" s="40" t="s">
        <v>29</v>
      </c>
      <c r="D780" s="39" t="s">
        <v>53</v>
      </c>
      <c r="E780" s="40" t="s">
        <v>54</v>
      </c>
      <c r="F780" s="41">
        <v>4282.04</v>
      </c>
      <c r="G780" s="41">
        <v>2.27</v>
      </c>
      <c r="H780" s="41">
        <v>17.57</v>
      </c>
      <c r="I780" s="41">
        <v>2.67</v>
      </c>
      <c r="J780" s="41">
        <v>11433.05</v>
      </c>
    </row>
    <row r="781" spans="1:10" ht="24">
      <c r="A781" s="39" t="s">
        <v>989</v>
      </c>
      <c r="B781" s="40" t="s">
        <v>133</v>
      </c>
      <c r="C781" s="40" t="s">
        <v>29</v>
      </c>
      <c r="D781" s="39" t="s">
        <v>134</v>
      </c>
      <c r="E781" s="40" t="s">
        <v>60</v>
      </c>
      <c r="F781" s="41">
        <v>58.09</v>
      </c>
      <c r="G781" s="41">
        <v>436.13</v>
      </c>
      <c r="H781" s="41">
        <v>17.57</v>
      </c>
      <c r="I781" s="41">
        <v>512.76</v>
      </c>
      <c r="J781" s="41">
        <v>29786.23</v>
      </c>
    </row>
    <row r="782" spans="1:10" ht="24">
      <c r="A782" s="39" t="s">
        <v>990</v>
      </c>
      <c r="B782" s="40" t="s">
        <v>325</v>
      </c>
      <c r="C782" s="40" t="s">
        <v>18</v>
      </c>
      <c r="D782" s="39" t="s">
        <v>326</v>
      </c>
      <c r="E782" s="40" t="s">
        <v>171</v>
      </c>
      <c r="F782" s="41">
        <v>30</v>
      </c>
      <c r="G782" s="41">
        <v>1436.65</v>
      </c>
      <c r="H782" s="41">
        <v>17.57</v>
      </c>
      <c r="I782" s="41">
        <v>1689.07</v>
      </c>
      <c r="J782" s="41">
        <v>50672.1</v>
      </c>
    </row>
    <row r="783" spans="1:10" ht="24">
      <c r="A783" s="39" t="s">
        <v>991</v>
      </c>
      <c r="B783" s="40" t="s">
        <v>155</v>
      </c>
      <c r="C783" s="40" t="s">
        <v>18</v>
      </c>
      <c r="D783" s="39" t="s">
        <v>156</v>
      </c>
      <c r="E783" s="40" t="s">
        <v>60</v>
      </c>
      <c r="F783" s="41">
        <v>136.94</v>
      </c>
      <c r="G783" s="41">
        <v>129.79</v>
      </c>
      <c r="H783" s="41">
        <v>17.57</v>
      </c>
      <c r="I783" s="41">
        <v>152.59</v>
      </c>
      <c r="J783" s="41">
        <v>20895.669999999998</v>
      </c>
    </row>
    <row r="784" spans="1:10" ht="36">
      <c r="A784" s="39" t="s">
        <v>992</v>
      </c>
      <c r="B784" s="40" t="s">
        <v>338</v>
      </c>
      <c r="C784" s="40" t="s">
        <v>29</v>
      </c>
      <c r="D784" s="39" t="s">
        <v>339</v>
      </c>
      <c r="E784" s="40" t="s">
        <v>40</v>
      </c>
      <c r="F784" s="41">
        <v>185.77</v>
      </c>
      <c r="G784" s="41">
        <v>18.55</v>
      </c>
      <c r="H784" s="41">
        <v>17.57</v>
      </c>
      <c r="I784" s="41">
        <v>21.81</v>
      </c>
      <c r="J784" s="41">
        <v>4051.64</v>
      </c>
    </row>
    <row r="785" spans="1:10" ht="36">
      <c r="A785" s="39" t="s">
        <v>993</v>
      </c>
      <c r="B785" s="40" t="s">
        <v>335</v>
      </c>
      <c r="C785" s="40" t="s">
        <v>29</v>
      </c>
      <c r="D785" s="39" t="s">
        <v>336</v>
      </c>
      <c r="E785" s="40" t="s">
        <v>40</v>
      </c>
      <c r="F785" s="41">
        <v>123.68</v>
      </c>
      <c r="G785" s="41">
        <v>3.97</v>
      </c>
      <c r="H785" s="41">
        <v>17.57</v>
      </c>
      <c r="I785" s="41">
        <v>4.67</v>
      </c>
      <c r="J785" s="41">
        <v>577.59</v>
      </c>
    </row>
    <row r="786" spans="1:10" ht="36">
      <c r="A786" s="39" t="s">
        <v>994</v>
      </c>
      <c r="B786" s="40" t="s">
        <v>136</v>
      </c>
      <c r="C786" s="40" t="s">
        <v>29</v>
      </c>
      <c r="D786" s="39" t="s">
        <v>137</v>
      </c>
      <c r="E786" s="40" t="s">
        <v>138</v>
      </c>
      <c r="F786" s="41">
        <v>8530.09</v>
      </c>
      <c r="G786" s="41">
        <v>15.14</v>
      </c>
      <c r="H786" s="41">
        <v>17.57</v>
      </c>
      <c r="I786" s="41">
        <v>17.8</v>
      </c>
      <c r="J786" s="41">
        <v>151835.6</v>
      </c>
    </row>
    <row r="787" spans="1:10" ht="48">
      <c r="A787" s="39" t="s">
        <v>995</v>
      </c>
      <c r="B787" s="40" t="s">
        <v>140</v>
      </c>
      <c r="C787" s="40" t="s">
        <v>18</v>
      </c>
      <c r="D787" s="39" t="s">
        <v>141</v>
      </c>
      <c r="E787" s="40" t="s">
        <v>20</v>
      </c>
      <c r="F787" s="41">
        <v>333.6</v>
      </c>
      <c r="G787" s="41">
        <v>1.1000000000000001</v>
      </c>
      <c r="H787" s="41">
        <v>17.57</v>
      </c>
      <c r="I787" s="41">
        <v>1.29</v>
      </c>
      <c r="J787" s="41">
        <v>430.34</v>
      </c>
    </row>
    <row r="788" spans="1:10" ht="36">
      <c r="A788" s="39" t="s">
        <v>996</v>
      </c>
      <c r="B788" s="40" t="s">
        <v>143</v>
      </c>
      <c r="C788" s="40" t="s">
        <v>29</v>
      </c>
      <c r="D788" s="39" t="s">
        <v>144</v>
      </c>
      <c r="E788" s="40" t="s">
        <v>20</v>
      </c>
      <c r="F788" s="41">
        <v>741.34</v>
      </c>
      <c r="G788" s="41">
        <v>105.62</v>
      </c>
      <c r="H788" s="41">
        <v>17.57</v>
      </c>
      <c r="I788" s="41">
        <v>124.18</v>
      </c>
      <c r="J788" s="41">
        <v>92059.6</v>
      </c>
    </row>
    <row r="789" spans="1:10" ht="36">
      <c r="A789" s="39" t="s">
        <v>997</v>
      </c>
      <c r="B789" s="40" t="s">
        <v>146</v>
      </c>
      <c r="C789" s="40" t="s">
        <v>29</v>
      </c>
      <c r="D789" s="39" t="s">
        <v>147</v>
      </c>
      <c r="E789" s="40" t="s">
        <v>20</v>
      </c>
      <c r="F789" s="41">
        <v>741.34</v>
      </c>
      <c r="G789" s="41">
        <v>4.0999999999999996</v>
      </c>
      <c r="H789" s="41">
        <v>17.57</v>
      </c>
      <c r="I789" s="41">
        <v>4.82</v>
      </c>
      <c r="J789" s="41">
        <v>3573.26</v>
      </c>
    </row>
    <row r="790" spans="1:10" ht="48">
      <c r="A790" s="39" t="s">
        <v>998</v>
      </c>
      <c r="B790" s="40" t="s">
        <v>149</v>
      </c>
      <c r="C790" s="40" t="s">
        <v>29</v>
      </c>
      <c r="D790" s="39" t="s">
        <v>150</v>
      </c>
      <c r="E790" s="40" t="s">
        <v>20</v>
      </c>
      <c r="F790" s="41">
        <v>741.34</v>
      </c>
      <c r="G790" s="41">
        <v>24.83</v>
      </c>
      <c r="H790" s="41">
        <v>17.57</v>
      </c>
      <c r="I790" s="41">
        <v>29.19</v>
      </c>
      <c r="J790" s="41">
        <v>21639.71</v>
      </c>
    </row>
    <row r="791" spans="1:10" ht="36">
      <c r="A791" s="39" t="s">
        <v>999</v>
      </c>
      <c r="B791" s="40" t="s">
        <v>130</v>
      </c>
      <c r="C791" s="40" t="s">
        <v>29</v>
      </c>
      <c r="D791" s="39" t="s">
        <v>131</v>
      </c>
      <c r="E791" s="40" t="s">
        <v>60</v>
      </c>
      <c r="F791" s="41">
        <v>59.05</v>
      </c>
      <c r="G791" s="41">
        <v>472.74</v>
      </c>
      <c r="H791" s="41">
        <v>17.57</v>
      </c>
      <c r="I791" s="41">
        <v>555.79999999999995</v>
      </c>
      <c r="J791" s="41">
        <v>32819.99</v>
      </c>
    </row>
    <row r="792" spans="1:10" ht="24">
      <c r="A792" s="39" t="s">
        <v>1000</v>
      </c>
      <c r="B792" s="40" t="s">
        <v>152</v>
      </c>
      <c r="C792" s="40" t="s">
        <v>29</v>
      </c>
      <c r="D792" s="39" t="s">
        <v>153</v>
      </c>
      <c r="E792" s="40" t="s">
        <v>60</v>
      </c>
      <c r="F792" s="41">
        <v>78.849999999999994</v>
      </c>
      <c r="G792" s="41">
        <v>469.42</v>
      </c>
      <c r="H792" s="41">
        <v>17.57</v>
      </c>
      <c r="I792" s="41">
        <v>551.9</v>
      </c>
      <c r="J792" s="41">
        <v>43517.32</v>
      </c>
    </row>
    <row r="793" spans="1:10" ht="20.100000000000001" customHeight="1">
      <c r="A793" s="37" t="s">
        <v>1001</v>
      </c>
      <c r="B793" s="521" t="s">
        <v>158</v>
      </c>
      <c r="C793" s="521"/>
      <c r="D793" s="521"/>
      <c r="E793" s="521"/>
      <c r="F793" s="521"/>
      <c r="G793" s="521"/>
      <c r="H793" s="521"/>
      <c r="I793" s="521"/>
      <c r="J793" s="38">
        <v>49947.05</v>
      </c>
    </row>
    <row r="794" spans="1:10">
      <c r="A794" s="39" t="s">
        <v>1002</v>
      </c>
      <c r="B794" s="40" t="s">
        <v>534</v>
      </c>
      <c r="C794" s="40" t="s">
        <v>161</v>
      </c>
      <c r="D794" s="39" t="s">
        <v>535</v>
      </c>
      <c r="E794" s="40" t="s">
        <v>163</v>
      </c>
      <c r="F794" s="41">
        <v>14.4</v>
      </c>
      <c r="G794" s="41">
        <v>355.35</v>
      </c>
      <c r="H794" s="41">
        <v>17.57</v>
      </c>
      <c r="I794" s="41">
        <v>417.78</v>
      </c>
      <c r="J794" s="41">
        <v>6016.03</v>
      </c>
    </row>
    <row r="795" spans="1:10">
      <c r="A795" s="39" t="s">
        <v>1003</v>
      </c>
      <c r="B795" s="40" t="s">
        <v>160</v>
      </c>
      <c r="C795" s="40" t="s">
        <v>161</v>
      </c>
      <c r="D795" s="39" t="s">
        <v>162</v>
      </c>
      <c r="E795" s="40" t="s">
        <v>163</v>
      </c>
      <c r="F795" s="41">
        <v>17.399999999999999</v>
      </c>
      <c r="G795" s="41">
        <v>347.25</v>
      </c>
      <c r="H795" s="41">
        <v>17.57</v>
      </c>
      <c r="I795" s="41">
        <v>408.26</v>
      </c>
      <c r="J795" s="41">
        <v>7103.72</v>
      </c>
    </row>
    <row r="796" spans="1:10" ht="24">
      <c r="A796" s="39" t="s">
        <v>1004</v>
      </c>
      <c r="B796" s="40" t="s">
        <v>165</v>
      </c>
      <c r="C796" s="40" t="s">
        <v>161</v>
      </c>
      <c r="D796" s="39" t="s">
        <v>166</v>
      </c>
      <c r="E796" s="40" t="s">
        <v>167</v>
      </c>
      <c r="F796" s="41">
        <v>66</v>
      </c>
      <c r="G796" s="41">
        <v>121.48</v>
      </c>
      <c r="H796" s="41">
        <v>17.57</v>
      </c>
      <c r="I796" s="41">
        <v>142.82</v>
      </c>
      <c r="J796" s="41">
        <v>9426.1200000000008</v>
      </c>
    </row>
    <row r="797" spans="1:10" ht="24">
      <c r="A797" s="39" t="s">
        <v>1005</v>
      </c>
      <c r="B797" s="40" t="s">
        <v>169</v>
      </c>
      <c r="C797" s="40" t="s">
        <v>18</v>
      </c>
      <c r="D797" s="39" t="s">
        <v>170</v>
      </c>
      <c r="E797" s="40" t="s">
        <v>171</v>
      </c>
      <c r="F797" s="41">
        <v>18</v>
      </c>
      <c r="G797" s="41">
        <v>156.33000000000001</v>
      </c>
      <c r="H797" s="41">
        <v>17.57</v>
      </c>
      <c r="I797" s="41">
        <v>183.8</v>
      </c>
      <c r="J797" s="41">
        <v>3308.4</v>
      </c>
    </row>
    <row r="798" spans="1:10" ht="48">
      <c r="A798" s="39" t="s">
        <v>1006</v>
      </c>
      <c r="B798" s="40" t="s">
        <v>176</v>
      </c>
      <c r="C798" s="40" t="s">
        <v>29</v>
      </c>
      <c r="D798" s="39" t="s">
        <v>177</v>
      </c>
      <c r="E798" s="40" t="s">
        <v>20</v>
      </c>
      <c r="F798" s="41">
        <v>288</v>
      </c>
      <c r="G798" s="41">
        <v>24.15</v>
      </c>
      <c r="H798" s="41">
        <v>17.57</v>
      </c>
      <c r="I798" s="41">
        <v>28.39</v>
      </c>
      <c r="J798" s="41">
        <v>8176.32</v>
      </c>
    </row>
    <row r="799" spans="1:10" ht="48">
      <c r="A799" s="39" t="s">
        <v>1007</v>
      </c>
      <c r="B799" s="40" t="s">
        <v>173</v>
      </c>
      <c r="C799" s="40" t="s">
        <v>29</v>
      </c>
      <c r="D799" s="39" t="s">
        <v>174</v>
      </c>
      <c r="E799" s="40" t="s">
        <v>40</v>
      </c>
      <c r="F799" s="41">
        <v>2452.8200000000002</v>
      </c>
      <c r="G799" s="41">
        <v>5.48</v>
      </c>
      <c r="H799" s="41">
        <v>17.57</v>
      </c>
      <c r="I799" s="41">
        <v>6.44</v>
      </c>
      <c r="J799" s="41">
        <v>15796.16</v>
      </c>
    </row>
    <row r="800" spans="1:10" ht="24">
      <c r="A800" s="39" t="s">
        <v>1008</v>
      </c>
      <c r="B800" s="40" t="s">
        <v>540</v>
      </c>
      <c r="C800" s="40" t="s">
        <v>18</v>
      </c>
      <c r="D800" s="39" t="s">
        <v>541</v>
      </c>
      <c r="E800" s="40" t="s">
        <v>20</v>
      </c>
      <c r="F800" s="41">
        <v>5.04</v>
      </c>
      <c r="G800" s="41">
        <v>20.3</v>
      </c>
      <c r="H800" s="41">
        <v>17.57</v>
      </c>
      <c r="I800" s="41">
        <v>23.87</v>
      </c>
      <c r="J800" s="41">
        <v>120.3</v>
      </c>
    </row>
    <row r="801" spans="1:10" ht="20.100000000000001" customHeight="1">
      <c r="A801" s="37" t="s">
        <v>1009</v>
      </c>
      <c r="B801" s="521" t="s">
        <v>179</v>
      </c>
      <c r="C801" s="521"/>
      <c r="D801" s="521"/>
      <c r="E801" s="521"/>
      <c r="F801" s="521"/>
      <c r="G801" s="521"/>
      <c r="H801" s="521"/>
      <c r="I801" s="521"/>
      <c r="J801" s="38">
        <v>51141.38</v>
      </c>
    </row>
    <row r="802" spans="1:10" ht="36">
      <c r="A802" s="39" t="s">
        <v>1010</v>
      </c>
      <c r="B802" s="40" t="s">
        <v>181</v>
      </c>
      <c r="C802" s="40" t="s">
        <v>18</v>
      </c>
      <c r="D802" s="39" t="s">
        <v>182</v>
      </c>
      <c r="E802" s="40" t="s">
        <v>183</v>
      </c>
      <c r="F802" s="41">
        <v>387.2</v>
      </c>
      <c r="G802" s="41">
        <v>112.34</v>
      </c>
      <c r="H802" s="41">
        <v>17.57</v>
      </c>
      <c r="I802" s="41">
        <v>132.08000000000001</v>
      </c>
      <c r="J802" s="41">
        <v>51141.38</v>
      </c>
    </row>
    <row r="803" spans="1:10" ht="20.100000000000001" customHeight="1">
      <c r="A803" s="37" t="s">
        <v>1011</v>
      </c>
      <c r="B803" s="521" t="s">
        <v>185</v>
      </c>
      <c r="C803" s="521"/>
      <c r="D803" s="521"/>
      <c r="E803" s="521"/>
      <c r="F803" s="521"/>
      <c r="G803" s="521"/>
      <c r="H803" s="521"/>
      <c r="I803" s="521"/>
      <c r="J803" s="38">
        <v>1572153.96</v>
      </c>
    </row>
    <row r="804" spans="1:10" ht="48">
      <c r="A804" s="39" t="s">
        <v>1012</v>
      </c>
      <c r="B804" s="40" t="s">
        <v>187</v>
      </c>
      <c r="C804" s="40" t="s">
        <v>29</v>
      </c>
      <c r="D804" s="39" t="s">
        <v>188</v>
      </c>
      <c r="E804" s="40" t="s">
        <v>31</v>
      </c>
      <c r="F804" s="41">
        <v>12</v>
      </c>
      <c r="G804" s="41">
        <v>830</v>
      </c>
      <c r="H804" s="41">
        <v>10.07</v>
      </c>
      <c r="I804" s="41">
        <v>913.58</v>
      </c>
      <c r="J804" s="41">
        <v>10962.96</v>
      </c>
    </row>
    <row r="805" spans="1:10" ht="36">
      <c r="A805" s="39" t="s">
        <v>1013</v>
      </c>
      <c r="B805" s="40" t="s">
        <v>190</v>
      </c>
      <c r="C805" s="40" t="s">
        <v>29</v>
      </c>
      <c r="D805" s="39" t="s">
        <v>191</v>
      </c>
      <c r="E805" s="40" t="s">
        <v>31</v>
      </c>
      <c r="F805" s="41">
        <v>12</v>
      </c>
      <c r="G805" s="41">
        <v>648.42999999999995</v>
      </c>
      <c r="H805" s="41">
        <v>10.07</v>
      </c>
      <c r="I805" s="41">
        <v>713.73</v>
      </c>
      <c r="J805" s="41">
        <v>8564.76</v>
      </c>
    </row>
    <row r="806" spans="1:10" ht="36">
      <c r="A806" s="39" t="s">
        <v>1014</v>
      </c>
      <c r="B806" s="40" t="s">
        <v>193</v>
      </c>
      <c r="C806" s="40" t="s">
        <v>29</v>
      </c>
      <c r="D806" s="39" t="s">
        <v>194</v>
      </c>
      <c r="E806" s="40" t="s">
        <v>195</v>
      </c>
      <c r="F806" s="41">
        <v>1464.54</v>
      </c>
      <c r="G806" s="41">
        <v>522.5</v>
      </c>
      <c r="H806" s="41">
        <v>10.07</v>
      </c>
      <c r="I806" s="41">
        <v>575.12</v>
      </c>
      <c r="J806" s="41">
        <v>842286.24</v>
      </c>
    </row>
    <row r="807" spans="1:10" ht="24">
      <c r="A807" s="39" t="s">
        <v>1015</v>
      </c>
      <c r="B807" s="40" t="s">
        <v>357</v>
      </c>
      <c r="C807" s="40" t="s">
        <v>161</v>
      </c>
      <c r="D807" s="39" t="s">
        <v>358</v>
      </c>
      <c r="E807" s="40" t="s">
        <v>355</v>
      </c>
      <c r="F807" s="41">
        <v>185.77</v>
      </c>
      <c r="G807" s="41">
        <v>501.47</v>
      </c>
      <c r="H807" s="41">
        <v>10.07</v>
      </c>
      <c r="I807" s="41">
        <v>551.97</v>
      </c>
      <c r="J807" s="41">
        <v>102539.47</v>
      </c>
    </row>
    <row r="808" spans="1:10" ht="24">
      <c r="A808" s="39" t="s">
        <v>1016</v>
      </c>
      <c r="B808" s="40" t="s">
        <v>353</v>
      </c>
      <c r="C808" s="40" t="s">
        <v>161</v>
      </c>
      <c r="D808" s="39" t="s">
        <v>354</v>
      </c>
      <c r="E808" s="40" t="s">
        <v>355</v>
      </c>
      <c r="F808" s="41">
        <v>123.68</v>
      </c>
      <c r="G808" s="41">
        <v>227.86</v>
      </c>
      <c r="H808" s="41">
        <v>10.07</v>
      </c>
      <c r="I808" s="41">
        <v>250.81</v>
      </c>
      <c r="J808" s="41">
        <v>31020.18</v>
      </c>
    </row>
    <row r="809" spans="1:10" ht="24">
      <c r="A809" s="39" t="s">
        <v>1017</v>
      </c>
      <c r="B809" s="40" t="s">
        <v>197</v>
      </c>
      <c r="C809" s="40" t="s">
        <v>18</v>
      </c>
      <c r="D809" s="39" t="s">
        <v>198</v>
      </c>
      <c r="E809" s="40" t="s">
        <v>44</v>
      </c>
      <c r="F809" s="41">
        <v>1</v>
      </c>
      <c r="G809" s="41">
        <v>56.1</v>
      </c>
      <c r="H809" s="41">
        <v>10.07</v>
      </c>
      <c r="I809" s="41">
        <v>61.75</v>
      </c>
      <c r="J809" s="41">
        <v>61.75</v>
      </c>
    </row>
    <row r="810" spans="1:10">
      <c r="A810" s="39" t="s">
        <v>1018</v>
      </c>
      <c r="B810" s="40" t="s">
        <v>200</v>
      </c>
      <c r="C810" s="40" t="s">
        <v>161</v>
      </c>
      <c r="D810" s="39" t="s">
        <v>201</v>
      </c>
      <c r="E810" s="40" t="s">
        <v>70</v>
      </c>
      <c r="F810" s="41">
        <v>2768.59</v>
      </c>
      <c r="G810" s="41">
        <v>90.74</v>
      </c>
      <c r="H810" s="41">
        <v>10.07</v>
      </c>
      <c r="I810" s="41">
        <v>99.88</v>
      </c>
      <c r="J810" s="41">
        <v>276526.77</v>
      </c>
    </row>
    <row r="811" spans="1:10">
      <c r="A811" s="39" t="s">
        <v>1019</v>
      </c>
      <c r="B811" s="40" t="s">
        <v>203</v>
      </c>
      <c r="C811" s="40" t="s">
        <v>161</v>
      </c>
      <c r="D811" s="39" t="s">
        <v>204</v>
      </c>
      <c r="E811" s="40" t="s">
        <v>70</v>
      </c>
      <c r="F811" s="41">
        <v>307.62</v>
      </c>
      <c r="G811" s="41">
        <v>74.53</v>
      </c>
      <c r="H811" s="41">
        <v>10.07</v>
      </c>
      <c r="I811" s="41">
        <v>82.04</v>
      </c>
      <c r="J811" s="41">
        <v>25237.14</v>
      </c>
    </row>
    <row r="812" spans="1:10" ht="24">
      <c r="A812" s="39" t="s">
        <v>1020</v>
      </c>
      <c r="B812" s="40" t="s">
        <v>206</v>
      </c>
      <c r="C812" s="40" t="s">
        <v>18</v>
      </c>
      <c r="D812" s="39" t="s">
        <v>207</v>
      </c>
      <c r="E812" s="40" t="s">
        <v>138</v>
      </c>
      <c r="F812" s="41">
        <v>10233.549999999999</v>
      </c>
      <c r="G812" s="41">
        <v>5.32</v>
      </c>
      <c r="H812" s="41">
        <v>10.07</v>
      </c>
      <c r="I812" s="41">
        <v>5.86</v>
      </c>
      <c r="J812" s="41">
        <v>59968.6</v>
      </c>
    </row>
    <row r="813" spans="1:10" ht="36">
      <c r="A813" s="39" t="s">
        <v>1021</v>
      </c>
      <c r="B813" s="40" t="s">
        <v>209</v>
      </c>
      <c r="C813" s="40" t="s">
        <v>29</v>
      </c>
      <c r="D813" s="39" t="s">
        <v>210</v>
      </c>
      <c r="E813" s="40" t="s">
        <v>60</v>
      </c>
      <c r="F813" s="41">
        <v>384.02</v>
      </c>
      <c r="G813" s="41">
        <v>422.5</v>
      </c>
      <c r="H813" s="41">
        <v>10.07</v>
      </c>
      <c r="I813" s="41">
        <v>465.05</v>
      </c>
      <c r="J813" s="41">
        <v>178588.5</v>
      </c>
    </row>
    <row r="814" spans="1:10" ht="36">
      <c r="A814" s="39" t="s">
        <v>1022</v>
      </c>
      <c r="B814" s="40" t="s">
        <v>212</v>
      </c>
      <c r="C814" s="40" t="s">
        <v>29</v>
      </c>
      <c r="D814" s="39" t="s">
        <v>213</v>
      </c>
      <c r="E814" s="40" t="s">
        <v>20</v>
      </c>
      <c r="F814" s="41">
        <v>350.28</v>
      </c>
      <c r="G814" s="41">
        <v>94.4</v>
      </c>
      <c r="H814" s="41">
        <v>10.07</v>
      </c>
      <c r="I814" s="41">
        <v>103.91</v>
      </c>
      <c r="J814" s="41">
        <v>36397.589999999997</v>
      </c>
    </row>
    <row r="815" spans="1:10" ht="20.100000000000001" customHeight="1">
      <c r="A815" s="37" t="s">
        <v>1023</v>
      </c>
      <c r="B815" s="521" t="s">
        <v>1024</v>
      </c>
      <c r="C815" s="521"/>
      <c r="D815" s="521"/>
      <c r="E815" s="521"/>
      <c r="F815" s="521"/>
      <c r="G815" s="521"/>
      <c r="H815" s="521"/>
      <c r="I815" s="521"/>
      <c r="J815" s="38">
        <v>590339.88</v>
      </c>
    </row>
    <row r="816" spans="1:10" ht="20.100000000000001" customHeight="1">
      <c r="A816" s="37" t="s">
        <v>1025</v>
      </c>
      <c r="B816" s="521" t="s">
        <v>15</v>
      </c>
      <c r="C816" s="521"/>
      <c r="D816" s="521"/>
      <c r="E816" s="521"/>
      <c r="F816" s="521"/>
      <c r="G816" s="521"/>
      <c r="H816" s="521"/>
      <c r="I816" s="521"/>
      <c r="J816" s="38">
        <v>7783.05</v>
      </c>
    </row>
    <row r="817" spans="1:10" ht="24">
      <c r="A817" s="39" t="s">
        <v>1026</v>
      </c>
      <c r="B817" s="40" t="s">
        <v>17</v>
      </c>
      <c r="C817" s="40" t="s">
        <v>18</v>
      </c>
      <c r="D817" s="39" t="s">
        <v>19</v>
      </c>
      <c r="E817" s="40" t="s">
        <v>20</v>
      </c>
      <c r="F817" s="41">
        <v>8</v>
      </c>
      <c r="G817" s="41">
        <v>564.99</v>
      </c>
      <c r="H817" s="41">
        <v>17.57</v>
      </c>
      <c r="I817" s="41">
        <v>664.26</v>
      </c>
      <c r="J817" s="41">
        <v>5314.08</v>
      </c>
    </row>
    <row r="818" spans="1:10" ht="24">
      <c r="A818" s="39" t="s">
        <v>1027</v>
      </c>
      <c r="B818" s="40" t="s">
        <v>22</v>
      </c>
      <c r="C818" s="40" t="s">
        <v>18</v>
      </c>
      <c r="D818" s="39" t="s">
        <v>23</v>
      </c>
      <c r="E818" s="40" t="s">
        <v>24</v>
      </c>
      <c r="F818" s="41">
        <v>3</v>
      </c>
      <c r="G818" s="41">
        <v>700</v>
      </c>
      <c r="H818" s="41">
        <v>17.57</v>
      </c>
      <c r="I818" s="41">
        <v>822.99</v>
      </c>
      <c r="J818" s="41">
        <v>2468.9699999999998</v>
      </c>
    </row>
    <row r="819" spans="1:10" ht="20.100000000000001" customHeight="1">
      <c r="A819" s="37" t="s">
        <v>1028</v>
      </c>
      <c r="B819" s="521" t="s">
        <v>26</v>
      </c>
      <c r="C819" s="521"/>
      <c r="D819" s="521"/>
      <c r="E819" s="521"/>
      <c r="F819" s="521"/>
      <c r="G819" s="521"/>
      <c r="H819" s="521"/>
      <c r="I819" s="521"/>
      <c r="J819" s="38">
        <v>26597.11</v>
      </c>
    </row>
    <row r="820" spans="1:10" ht="24">
      <c r="A820" s="39" t="s">
        <v>1029</v>
      </c>
      <c r="B820" s="40" t="s">
        <v>28</v>
      </c>
      <c r="C820" s="40" t="s">
        <v>29</v>
      </c>
      <c r="D820" s="39" t="s">
        <v>30</v>
      </c>
      <c r="E820" s="40" t="s">
        <v>31</v>
      </c>
      <c r="F820" s="41">
        <v>0.75</v>
      </c>
      <c r="G820" s="41">
        <v>16819.14</v>
      </c>
      <c r="H820" s="41">
        <v>17.57</v>
      </c>
      <c r="I820" s="41">
        <v>19774.259999999998</v>
      </c>
      <c r="J820" s="41">
        <v>14830.7</v>
      </c>
    </row>
    <row r="821" spans="1:10" ht="24">
      <c r="A821" s="39" t="s">
        <v>1030</v>
      </c>
      <c r="B821" s="40" t="s">
        <v>33</v>
      </c>
      <c r="C821" s="40" t="s">
        <v>29</v>
      </c>
      <c r="D821" s="39" t="s">
        <v>34</v>
      </c>
      <c r="E821" s="40" t="s">
        <v>31</v>
      </c>
      <c r="F821" s="41">
        <v>1.5</v>
      </c>
      <c r="G821" s="41">
        <v>6672</v>
      </c>
      <c r="H821" s="41">
        <v>17.57</v>
      </c>
      <c r="I821" s="41">
        <v>7844.27</v>
      </c>
      <c r="J821" s="41">
        <v>11766.41</v>
      </c>
    </row>
    <row r="822" spans="1:10" ht="20.100000000000001" customHeight="1">
      <c r="A822" s="37" t="s">
        <v>1031</v>
      </c>
      <c r="B822" s="521" t="s">
        <v>36</v>
      </c>
      <c r="C822" s="521"/>
      <c r="D822" s="521"/>
      <c r="E822" s="521"/>
      <c r="F822" s="521"/>
      <c r="G822" s="521"/>
      <c r="H822" s="521"/>
      <c r="I822" s="521"/>
      <c r="J822" s="38">
        <v>25285</v>
      </c>
    </row>
    <row r="823" spans="1:10">
      <c r="A823" s="39" t="s">
        <v>1032</v>
      </c>
      <c r="B823" s="40" t="s">
        <v>38</v>
      </c>
      <c r="C823" s="40" t="s">
        <v>29</v>
      </c>
      <c r="D823" s="39" t="s">
        <v>39</v>
      </c>
      <c r="E823" s="40" t="s">
        <v>40</v>
      </c>
      <c r="F823" s="41">
        <v>97.68</v>
      </c>
      <c r="G823" s="41">
        <v>0.49</v>
      </c>
      <c r="H823" s="41">
        <v>17.57</v>
      </c>
      <c r="I823" s="41">
        <v>0.57999999999999996</v>
      </c>
      <c r="J823" s="41">
        <v>56.65</v>
      </c>
    </row>
    <row r="824" spans="1:10" ht="24">
      <c r="A824" s="39" t="s">
        <v>1033</v>
      </c>
      <c r="B824" s="40" t="s">
        <v>42</v>
      </c>
      <c r="C824" s="40" t="s">
        <v>18</v>
      </c>
      <c r="D824" s="39" t="s">
        <v>43</v>
      </c>
      <c r="E824" s="40" t="s">
        <v>44</v>
      </c>
      <c r="F824" s="41">
        <v>88.23</v>
      </c>
      <c r="G824" s="41">
        <v>212.24</v>
      </c>
      <c r="H824" s="41">
        <v>17.57</v>
      </c>
      <c r="I824" s="41">
        <v>249.53</v>
      </c>
      <c r="J824" s="41">
        <v>22016.03</v>
      </c>
    </row>
    <row r="825" spans="1:10" ht="24">
      <c r="A825" s="39" t="s">
        <v>1034</v>
      </c>
      <c r="B825" s="40" t="s">
        <v>46</v>
      </c>
      <c r="C825" s="40" t="s">
        <v>18</v>
      </c>
      <c r="D825" s="39" t="s">
        <v>47</v>
      </c>
      <c r="E825" s="40" t="s">
        <v>40</v>
      </c>
      <c r="F825" s="41">
        <v>101.6</v>
      </c>
      <c r="G825" s="41">
        <v>11.13</v>
      </c>
      <c r="H825" s="41">
        <v>17.57</v>
      </c>
      <c r="I825" s="41">
        <v>13.09</v>
      </c>
      <c r="J825" s="41">
        <v>1329.94</v>
      </c>
    </row>
    <row r="826" spans="1:10" ht="48">
      <c r="A826" s="39" t="s">
        <v>1035</v>
      </c>
      <c r="B826" s="40" t="s">
        <v>49</v>
      </c>
      <c r="C826" s="40" t="s">
        <v>18</v>
      </c>
      <c r="D826" s="39" t="s">
        <v>50</v>
      </c>
      <c r="E826" s="40" t="s">
        <v>44</v>
      </c>
      <c r="F826" s="41">
        <v>116.01</v>
      </c>
      <c r="G826" s="41">
        <v>2.9</v>
      </c>
      <c r="H826" s="41">
        <v>17.57</v>
      </c>
      <c r="I826" s="41">
        <v>3.41</v>
      </c>
      <c r="J826" s="41">
        <v>395.59</v>
      </c>
    </row>
    <row r="827" spans="1:10" ht="36">
      <c r="A827" s="39" t="s">
        <v>1036</v>
      </c>
      <c r="B827" s="40" t="s">
        <v>52</v>
      </c>
      <c r="C827" s="40" t="s">
        <v>29</v>
      </c>
      <c r="D827" s="39" t="s">
        <v>53</v>
      </c>
      <c r="E827" s="40" t="s">
        <v>54</v>
      </c>
      <c r="F827" s="41">
        <v>556.85</v>
      </c>
      <c r="G827" s="41">
        <v>2.27</v>
      </c>
      <c r="H827" s="41">
        <v>17.57</v>
      </c>
      <c r="I827" s="41">
        <v>2.67</v>
      </c>
      <c r="J827" s="41">
        <v>1486.79</v>
      </c>
    </row>
    <row r="828" spans="1:10" ht="20.100000000000001" customHeight="1">
      <c r="A828" s="37" t="s">
        <v>1037</v>
      </c>
      <c r="B828" s="521" t="s">
        <v>444</v>
      </c>
      <c r="C828" s="521"/>
      <c r="D828" s="521"/>
      <c r="E828" s="521"/>
      <c r="F828" s="521"/>
      <c r="G828" s="521"/>
      <c r="H828" s="521"/>
      <c r="I828" s="521"/>
      <c r="J828" s="38">
        <v>7482.46</v>
      </c>
    </row>
    <row r="829" spans="1:10" ht="24">
      <c r="A829" s="39" t="s">
        <v>1038</v>
      </c>
      <c r="B829" s="40" t="s">
        <v>58</v>
      </c>
      <c r="C829" s="40" t="s">
        <v>18</v>
      </c>
      <c r="D829" s="39" t="s">
        <v>59</v>
      </c>
      <c r="E829" s="40" t="s">
        <v>60</v>
      </c>
      <c r="F829" s="41">
        <v>320.69</v>
      </c>
      <c r="G829" s="41">
        <v>2.59</v>
      </c>
      <c r="H829" s="41">
        <v>17.57</v>
      </c>
      <c r="I829" s="41">
        <v>3.05</v>
      </c>
      <c r="J829" s="41">
        <v>978.1</v>
      </c>
    </row>
    <row r="830" spans="1:10" ht="48">
      <c r="A830" s="39" t="s">
        <v>1039</v>
      </c>
      <c r="B830" s="40" t="s">
        <v>49</v>
      </c>
      <c r="C830" s="40" t="s">
        <v>18</v>
      </c>
      <c r="D830" s="39" t="s">
        <v>50</v>
      </c>
      <c r="E830" s="40" t="s">
        <v>44</v>
      </c>
      <c r="F830" s="41">
        <v>400.86</v>
      </c>
      <c r="G830" s="41">
        <v>2.9</v>
      </c>
      <c r="H830" s="41">
        <v>17.57</v>
      </c>
      <c r="I830" s="41">
        <v>3.41</v>
      </c>
      <c r="J830" s="41">
        <v>1366.93</v>
      </c>
    </row>
    <row r="831" spans="1:10" ht="36">
      <c r="A831" s="39" t="s">
        <v>1040</v>
      </c>
      <c r="B831" s="40" t="s">
        <v>52</v>
      </c>
      <c r="C831" s="40" t="s">
        <v>29</v>
      </c>
      <c r="D831" s="39" t="s">
        <v>53</v>
      </c>
      <c r="E831" s="40" t="s">
        <v>54</v>
      </c>
      <c r="F831" s="41">
        <v>1924.13</v>
      </c>
      <c r="G831" s="41">
        <v>2.27</v>
      </c>
      <c r="H831" s="41">
        <v>17.57</v>
      </c>
      <c r="I831" s="41">
        <v>2.67</v>
      </c>
      <c r="J831" s="41">
        <v>5137.43</v>
      </c>
    </row>
    <row r="832" spans="1:10" ht="20.100000000000001" customHeight="1">
      <c r="A832" s="37" t="s">
        <v>1041</v>
      </c>
      <c r="B832" s="521" t="s">
        <v>11</v>
      </c>
      <c r="C832" s="521"/>
      <c r="D832" s="521"/>
      <c r="E832" s="521"/>
      <c r="F832" s="521"/>
      <c r="G832" s="521"/>
      <c r="H832" s="521"/>
      <c r="I832" s="521"/>
      <c r="J832" s="38">
        <v>164648.63</v>
      </c>
    </row>
    <row r="833" spans="1:10" ht="24">
      <c r="A833" s="39" t="s">
        <v>1042</v>
      </c>
      <c r="B833" s="40" t="s">
        <v>956</v>
      </c>
      <c r="C833" s="40" t="s">
        <v>29</v>
      </c>
      <c r="D833" s="39" t="s">
        <v>957</v>
      </c>
      <c r="E833" s="40" t="s">
        <v>20</v>
      </c>
      <c r="F833" s="41">
        <v>1690</v>
      </c>
      <c r="G833" s="41">
        <v>8.2899999999999991</v>
      </c>
      <c r="H833" s="41">
        <v>17.57</v>
      </c>
      <c r="I833" s="41">
        <v>9.75</v>
      </c>
      <c r="J833" s="41">
        <v>16477.5</v>
      </c>
    </row>
    <row r="834" spans="1:10" ht="48">
      <c r="A834" s="39" t="s">
        <v>1043</v>
      </c>
      <c r="B834" s="40" t="s">
        <v>959</v>
      </c>
      <c r="C834" s="40" t="s">
        <v>29</v>
      </c>
      <c r="D834" s="39" t="s">
        <v>960</v>
      </c>
      <c r="E834" s="40" t="s">
        <v>60</v>
      </c>
      <c r="F834" s="41">
        <v>84.5</v>
      </c>
      <c r="G834" s="41">
        <v>9.49</v>
      </c>
      <c r="H834" s="41">
        <v>17.57</v>
      </c>
      <c r="I834" s="41">
        <v>11.16</v>
      </c>
      <c r="J834" s="41">
        <v>943.02</v>
      </c>
    </row>
    <row r="835" spans="1:10" ht="36">
      <c r="A835" s="39" t="s">
        <v>1044</v>
      </c>
      <c r="B835" s="40" t="s">
        <v>52</v>
      </c>
      <c r="C835" s="40" t="s">
        <v>29</v>
      </c>
      <c r="D835" s="39" t="s">
        <v>53</v>
      </c>
      <c r="E835" s="40" t="s">
        <v>54</v>
      </c>
      <c r="F835" s="41">
        <v>405.6</v>
      </c>
      <c r="G835" s="41">
        <v>2.27</v>
      </c>
      <c r="H835" s="41">
        <v>17.57</v>
      </c>
      <c r="I835" s="41">
        <v>2.67</v>
      </c>
      <c r="J835" s="41">
        <v>1082.95</v>
      </c>
    </row>
    <row r="836" spans="1:10" ht="24">
      <c r="A836" s="39" t="s">
        <v>1045</v>
      </c>
      <c r="B836" s="40" t="s">
        <v>963</v>
      </c>
      <c r="C836" s="40" t="s">
        <v>29</v>
      </c>
      <c r="D836" s="39" t="s">
        <v>964</v>
      </c>
      <c r="E836" s="40" t="s">
        <v>20</v>
      </c>
      <c r="F836" s="41">
        <v>2901.34</v>
      </c>
      <c r="G836" s="41">
        <v>2.93</v>
      </c>
      <c r="H836" s="41">
        <v>17.57</v>
      </c>
      <c r="I836" s="41">
        <v>3.44</v>
      </c>
      <c r="J836" s="41">
        <v>9980.61</v>
      </c>
    </row>
    <row r="837" spans="1:10" ht="24">
      <c r="A837" s="39" t="s">
        <v>1046</v>
      </c>
      <c r="B837" s="40" t="s">
        <v>80</v>
      </c>
      <c r="C837" s="40" t="s">
        <v>18</v>
      </c>
      <c r="D837" s="39" t="s">
        <v>81</v>
      </c>
      <c r="E837" s="40" t="s">
        <v>20</v>
      </c>
      <c r="F837" s="41">
        <v>586.44000000000005</v>
      </c>
      <c r="G837" s="41">
        <v>1.24</v>
      </c>
      <c r="H837" s="41">
        <v>17.57</v>
      </c>
      <c r="I837" s="41">
        <v>1.46</v>
      </c>
      <c r="J837" s="41">
        <v>856.2</v>
      </c>
    </row>
    <row r="838" spans="1:10" ht="36">
      <c r="A838" s="39" t="s">
        <v>1047</v>
      </c>
      <c r="B838" s="40" t="s">
        <v>83</v>
      </c>
      <c r="C838" s="40" t="s">
        <v>18</v>
      </c>
      <c r="D838" s="39" t="s">
        <v>84</v>
      </c>
      <c r="E838" s="40" t="s">
        <v>60</v>
      </c>
      <c r="F838" s="41">
        <v>174.39</v>
      </c>
      <c r="G838" s="41">
        <v>133.37</v>
      </c>
      <c r="H838" s="41">
        <v>17.57</v>
      </c>
      <c r="I838" s="41">
        <v>156.80000000000001</v>
      </c>
      <c r="J838" s="41">
        <v>27344.35</v>
      </c>
    </row>
    <row r="839" spans="1:10" ht="36">
      <c r="A839" s="39" t="s">
        <v>1048</v>
      </c>
      <c r="B839" s="40" t="s">
        <v>86</v>
      </c>
      <c r="C839" s="40" t="s">
        <v>18</v>
      </c>
      <c r="D839" s="39" t="s">
        <v>87</v>
      </c>
      <c r="E839" s="40" t="s">
        <v>44</v>
      </c>
      <c r="F839" s="41">
        <v>174.39</v>
      </c>
      <c r="G839" s="41">
        <v>7.86</v>
      </c>
      <c r="H839" s="41">
        <v>17.57</v>
      </c>
      <c r="I839" s="41">
        <v>9.24</v>
      </c>
      <c r="J839" s="41">
        <v>1611.36</v>
      </c>
    </row>
    <row r="840" spans="1:10" ht="24">
      <c r="A840" s="39" t="s">
        <v>1049</v>
      </c>
      <c r="B840" s="40" t="s">
        <v>89</v>
      </c>
      <c r="C840" s="40" t="s">
        <v>18</v>
      </c>
      <c r="D840" s="39" t="s">
        <v>90</v>
      </c>
      <c r="E840" s="40" t="s">
        <v>54</v>
      </c>
      <c r="F840" s="41">
        <v>3104.14</v>
      </c>
      <c r="G840" s="41">
        <v>1.77</v>
      </c>
      <c r="H840" s="41">
        <v>17.57</v>
      </c>
      <c r="I840" s="41">
        <v>2.08</v>
      </c>
      <c r="J840" s="41">
        <v>6456.61</v>
      </c>
    </row>
    <row r="841" spans="1:10" ht="24">
      <c r="A841" s="39" t="s">
        <v>1050</v>
      </c>
      <c r="B841" s="40" t="s">
        <v>65</v>
      </c>
      <c r="C841" s="40" t="s">
        <v>29</v>
      </c>
      <c r="D841" s="39" t="s">
        <v>66</v>
      </c>
      <c r="E841" s="40" t="s">
        <v>20</v>
      </c>
      <c r="F841" s="41">
        <v>683.76</v>
      </c>
      <c r="G841" s="41">
        <v>2.79</v>
      </c>
      <c r="H841" s="41">
        <v>17.57</v>
      </c>
      <c r="I841" s="41">
        <v>3.28</v>
      </c>
      <c r="J841" s="41">
        <v>2242.73</v>
      </c>
    </row>
    <row r="842" spans="1:10" ht="24">
      <c r="A842" s="39" t="s">
        <v>1051</v>
      </c>
      <c r="B842" s="40" t="s">
        <v>68</v>
      </c>
      <c r="C842" s="40" t="s">
        <v>18</v>
      </c>
      <c r="D842" s="39" t="s">
        <v>69</v>
      </c>
      <c r="E842" s="40" t="s">
        <v>70</v>
      </c>
      <c r="F842" s="41">
        <v>102.56</v>
      </c>
      <c r="G842" s="41">
        <v>11.4</v>
      </c>
      <c r="H842" s="41">
        <v>17.57</v>
      </c>
      <c r="I842" s="41">
        <v>13.4</v>
      </c>
      <c r="J842" s="41">
        <v>1374.3</v>
      </c>
    </row>
    <row r="843" spans="1:10" ht="36">
      <c r="A843" s="39" t="s">
        <v>1052</v>
      </c>
      <c r="B843" s="40" t="s">
        <v>72</v>
      </c>
      <c r="C843" s="40" t="s">
        <v>18</v>
      </c>
      <c r="D843" s="39" t="s">
        <v>73</v>
      </c>
      <c r="E843" s="40" t="s">
        <v>60</v>
      </c>
      <c r="F843" s="41">
        <v>117.22</v>
      </c>
      <c r="G843" s="41">
        <v>14.44</v>
      </c>
      <c r="H843" s="41">
        <v>17.57</v>
      </c>
      <c r="I843" s="41">
        <v>16.98</v>
      </c>
      <c r="J843" s="41">
        <v>1990.4</v>
      </c>
    </row>
    <row r="844" spans="1:10" ht="48">
      <c r="A844" s="39" t="s">
        <v>1053</v>
      </c>
      <c r="B844" s="40" t="s">
        <v>49</v>
      </c>
      <c r="C844" s="40" t="s">
        <v>18</v>
      </c>
      <c r="D844" s="39" t="s">
        <v>50</v>
      </c>
      <c r="E844" s="40" t="s">
        <v>44</v>
      </c>
      <c r="F844" s="41">
        <v>274.73</v>
      </c>
      <c r="G844" s="41">
        <v>2.9</v>
      </c>
      <c r="H844" s="41">
        <v>17.57</v>
      </c>
      <c r="I844" s="41">
        <v>3.41</v>
      </c>
      <c r="J844" s="41">
        <v>936.83</v>
      </c>
    </row>
    <row r="845" spans="1:10" ht="24">
      <c r="A845" s="39" t="s">
        <v>1054</v>
      </c>
      <c r="B845" s="40" t="s">
        <v>76</v>
      </c>
      <c r="C845" s="40" t="s">
        <v>18</v>
      </c>
      <c r="D845" s="39" t="s">
        <v>77</v>
      </c>
      <c r="E845" s="40" t="s">
        <v>78</v>
      </c>
      <c r="F845" s="41">
        <v>3131.92</v>
      </c>
      <c r="G845" s="41">
        <v>1.37</v>
      </c>
      <c r="H845" s="41">
        <v>17.57</v>
      </c>
      <c r="I845" s="41">
        <v>1.61</v>
      </c>
      <c r="J845" s="41">
        <v>5042.3900000000003</v>
      </c>
    </row>
    <row r="846" spans="1:10" ht="24">
      <c r="A846" s="39" t="s">
        <v>1055</v>
      </c>
      <c r="B846" s="40" t="s">
        <v>92</v>
      </c>
      <c r="C846" s="40" t="s">
        <v>18</v>
      </c>
      <c r="D846" s="39" t="s">
        <v>93</v>
      </c>
      <c r="E846" s="40" t="s">
        <v>20</v>
      </c>
      <c r="F846" s="41">
        <v>1335.98</v>
      </c>
      <c r="G846" s="41">
        <v>0.65</v>
      </c>
      <c r="H846" s="41">
        <v>17.57</v>
      </c>
      <c r="I846" s="41">
        <v>0.76</v>
      </c>
      <c r="J846" s="41">
        <v>1015.34</v>
      </c>
    </row>
    <row r="847" spans="1:10" ht="48">
      <c r="A847" s="39" t="s">
        <v>1056</v>
      </c>
      <c r="B847" s="40" t="s">
        <v>95</v>
      </c>
      <c r="C847" s="40" t="s">
        <v>18</v>
      </c>
      <c r="D847" s="39" t="s">
        <v>96</v>
      </c>
      <c r="E847" s="40" t="s">
        <v>60</v>
      </c>
      <c r="F847" s="41">
        <v>91.66</v>
      </c>
      <c r="G847" s="41">
        <v>112.75</v>
      </c>
      <c r="H847" s="41">
        <v>17.57</v>
      </c>
      <c r="I847" s="41">
        <v>132.56</v>
      </c>
      <c r="J847" s="41">
        <v>12150.45</v>
      </c>
    </row>
    <row r="848" spans="1:10" ht="60">
      <c r="A848" s="39" t="s">
        <v>1057</v>
      </c>
      <c r="B848" s="40" t="s">
        <v>98</v>
      </c>
      <c r="C848" s="40" t="s">
        <v>29</v>
      </c>
      <c r="D848" s="39" t="s">
        <v>99</v>
      </c>
      <c r="E848" s="40" t="s">
        <v>40</v>
      </c>
      <c r="F848" s="41">
        <v>623.99</v>
      </c>
      <c r="G848" s="41">
        <v>56.47</v>
      </c>
      <c r="H848" s="41">
        <v>17.57</v>
      </c>
      <c r="I848" s="41">
        <v>66.39</v>
      </c>
      <c r="J848" s="41">
        <v>41426.699999999997</v>
      </c>
    </row>
    <row r="849" spans="1:10" ht="60">
      <c r="A849" s="39" t="s">
        <v>1058</v>
      </c>
      <c r="B849" s="40" t="s">
        <v>101</v>
      </c>
      <c r="C849" s="40" t="s">
        <v>29</v>
      </c>
      <c r="D849" s="39" t="s">
        <v>102</v>
      </c>
      <c r="E849" s="40" t="s">
        <v>40</v>
      </c>
      <c r="F849" s="41">
        <v>34.86</v>
      </c>
      <c r="G849" s="41">
        <v>60.43</v>
      </c>
      <c r="H849" s="41">
        <v>17.57</v>
      </c>
      <c r="I849" s="41">
        <v>71.05</v>
      </c>
      <c r="J849" s="41">
        <v>2476.8000000000002</v>
      </c>
    </row>
    <row r="850" spans="1:10" ht="24">
      <c r="A850" s="39" t="s">
        <v>1059</v>
      </c>
      <c r="B850" s="40" t="s">
        <v>107</v>
      </c>
      <c r="C850" s="40" t="s">
        <v>29</v>
      </c>
      <c r="D850" s="39" t="s">
        <v>108</v>
      </c>
      <c r="E850" s="40" t="s">
        <v>40</v>
      </c>
      <c r="F850" s="41">
        <v>623.99</v>
      </c>
      <c r="G850" s="41">
        <v>39.770000000000003</v>
      </c>
      <c r="H850" s="41">
        <v>17.57</v>
      </c>
      <c r="I850" s="41">
        <v>46.76</v>
      </c>
      <c r="J850" s="41">
        <v>29177.77</v>
      </c>
    </row>
    <row r="851" spans="1:10" ht="24">
      <c r="A851" s="39" t="s">
        <v>1060</v>
      </c>
      <c r="B851" s="40" t="s">
        <v>110</v>
      </c>
      <c r="C851" s="40" t="s">
        <v>29</v>
      </c>
      <c r="D851" s="39" t="s">
        <v>111</v>
      </c>
      <c r="E851" s="40" t="s">
        <v>40</v>
      </c>
      <c r="F851" s="41">
        <v>34.86</v>
      </c>
      <c r="G851" s="41">
        <v>50.32</v>
      </c>
      <c r="H851" s="41">
        <v>17.57</v>
      </c>
      <c r="I851" s="41">
        <v>59.16</v>
      </c>
      <c r="J851" s="41">
        <v>2062.3200000000002</v>
      </c>
    </row>
    <row r="852" spans="1:10" ht="20.100000000000001" customHeight="1">
      <c r="A852" s="37" t="s">
        <v>1061</v>
      </c>
      <c r="B852" s="521" t="s">
        <v>158</v>
      </c>
      <c r="C852" s="521"/>
      <c r="D852" s="521"/>
      <c r="E852" s="521"/>
      <c r="F852" s="521"/>
      <c r="G852" s="521"/>
      <c r="H852" s="521"/>
      <c r="I852" s="521"/>
      <c r="J852" s="38">
        <v>16776.330000000002</v>
      </c>
    </row>
    <row r="853" spans="1:10">
      <c r="A853" s="39" t="s">
        <v>1062</v>
      </c>
      <c r="B853" s="40" t="s">
        <v>534</v>
      </c>
      <c r="C853" s="40" t="s">
        <v>161</v>
      </c>
      <c r="D853" s="39" t="s">
        <v>535</v>
      </c>
      <c r="E853" s="40" t="s">
        <v>163</v>
      </c>
      <c r="F853" s="41">
        <v>0.6</v>
      </c>
      <c r="G853" s="41">
        <v>355.35</v>
      </c>
      <c r="H853" s="41">
        <v>17.57</v>
      </c>
      <c r="I853" s="41">
        <v>417.78</v>
      </c>
      <c r="J853" s="41">
        <v>250.67</v>
      </c>
    </row>
    <row r="854" spans="1:10">
      <c r="A854" s="39" t="s">
        <v>1063</v>
      </c>
      <c r="B854" s="40" t="s">
        <v>160</v>
      </c>
      <c r="C854" s="40" t="s">
        <v>161</v>
      </c>
      <c r="D854" s="39" t="s">
        <v>162</v>
      </c>
      <c r="E854" s="40" t="s">
        <v>163</v>
      </c>
      <c r="F854" s="41">
        <v>6.53</v>
      </c>
      <c r="G854" s="41">
        <v>347.25</v>
      </c>
      <c r="H854" s="41">
        <v>17.57</v>
      </c>
      <c r="I854" s="41">
        <v>408.26</v>
      </c>
      <c r="J854" s="41">
        <v>2665.94</v>
      </c>
    </row>
    <row r="855" spans="1:10" ht="24">
      <c r="A855" s="39" t="s">
        <v>1064</v>
      </c>
      <c r="B855" s="40" t="s">
        <v>165</v>
      </c>
      <c r="C855" s="40" t="s">
        <v>161</v>
      </c>
      <c r="D855" s="39" t="s">
        <v>166</v>
      </c>
      <c r="E855" s="40" t="s">
        <v>167</v>
      </c>
      <c r="F855" s="41">
        <v>12</v>
      </c>
      <c r="G855" s="41">
        <v>121.48</v>
      </c>
      <c r="H855" s="41">
        <v>17.57</v>
      </c>
      <c r="I855" s="41">
        <v>142.82</v>
      </c>
      <c r="J855" s="41">
        <v>1713.84</v>
      </c>
    </row>
    <row r="856" spans="1:10" ht="24">
      <c r="A856" s="39" t="s">
        <v>1065</v>
      </c>
      <c r="B856" s="40" t="s">
        <v>169</v>
      </c>
      <c r="C856" s="40" t="s">
        <v>18</v>
      </c>
      <c r="D856" s="39" t="s">
        <v>170</v>
      </c>
      <c r="E856" s="40" t="s">
        <v>171</v>
      </c>
      <c r="F856" s="41">
        <v>6</v>
      </c>
      <c r="G856" s="41">
        <v>156.33000000000001</v>
      </c>
      <c r="H856" s="41">
        <v>17.57</v>
      </c>
      <c r="I856" s="41">
        <v>183.8</v>
      </c>
      <c r="J856" s="41">
        <v>1102.8</v>
      </c>
    </row>
    <row r="857" spans="1:10" ht="48">
      <c r="A857" s="39" t="s">
        <v>1066</v>
      </c>
      <c r="B857" s="40" t="s">
        <v>176</v>
      </c>
      <c r="C857" s="40" t="s">
        <v>29</v>
      </c>
      <c r="D857" s="39" t="s">
        <v>177</v>
      </c>
      <c r="E857" s="40" t="s">
        <v>20</v>
      </c>
      <c r="F857" s="41">
        <v>111.18</v>
      </c>
      <c r="G857" s="41">
        <v>24.15</v>
      </c>
      <c r="H857" s="41">
        <v>17.57</v>
      </c>
      <c r="I857" s="41">
        <v>28.39</v>
      </c>
      <c r="J857" s="41">
        <v>3156.4</v>
      </c>
    </row>
    <row r="858" spans="1:10" ht="48">
      <c r="A858" s="39" t="s">
        <v>1067</v>
      </c>
      <c r="B858" s="40" t="s">
        <v>173</v>
      </c>
      <c r="C858" s="40" t="s">
        <v>29</v>
      </c>
      <c r="D858" s="39" t="s">
        <v>174</v>
      </c>
      <c r="E858" s="40" t="s">
        <v>40</v>
      </c>
      <c r="F858" s="41">
        <v>1224.6400000000001</v>
      </c>
      <c r="G858" s="41">
        <v>5.48</v>
      </c>
      <c r="H858" s="41">
        <v>17.57</v>
      </c>
      <c r="I858" s="41">
        <v>6.44</v>
      </c>
      <c r="J858" s="41">
        <v>7886.68</v>
      </c>
    </row>
    <row r="859" spans="1:10" ht="20.100000000000001" customHeight="1">
      <c r="A859" s="37" t="s">
        <v>1068</v>
      </c>
      <c r="B859" s="521" t="s">
        <v>179</v>
      </c>
      <c r="C859" s="521"/>
      <c r="D859" s="521"/>
      <c r="E859" s="521"/>
      <c r="F859" s="521"/>
      <c r="G859" s="521"/>
      <c r="H859" s="521"/>
      <c r="I859" s="521"/>
      <c r="J859" s="38">
        <v>3500.12</v>
      </c>
    </row>
    <row r="860" spans="1:10" ht="36">
      <c r="A860" s="39" t="s">
        <v>1069</v>
      </c>
      <c r="B860" s="40" t="s">
        <v>181</v>
      </c>
      <c r="C860" s="40" t="s">
        <v>18</v>
      </c>
      <c r="D860" s="39" t="s">
        <v>182</v>
      </c>
      <c r="E860" s="40" t="s">
        <v>183</v>
      </c>
      <c r="F860" s="41">
        <v>26.5</v>
      </c>
      <c r="G860" s="41">
        <v>112.34</v>
      </c>
      <c r="H860" s="41">
        <v>17.57</v>
      </c>
      <c r="I860" s="41">
        <v>132.08000000000001</v>
      </c>
      <c r="J860" s="41">
        <v>3500.12</v>
      </c>
    </row>
    <row r="861" spans="1:10" ht="20.100000000000001" customHeight="1">
      <c r="A861" s="37" t="s">
        <v>1070</v>
      </c>
      <c r="B861" s="521" t="s">
        <v>185</v>
      </c>
      <c r="C861" s="521"/>
      <c r="D861" s="521"/>
      <c r="E861" s="521"/>
      <c r="F861" s="521"/>
      <c r="G861" s="521"/>
      <c r="H861" s="521"/>
      <c r="I861" s="521"/>
      <c r="J861" s="38">
        <v>338267.18</v>
      </c>
    </row>
    <row r="862" spans="1:10" ht="48">
      <c r="A862" s="39" t="s">
        <v>1071</v>
      </c>
      <c r="B862" s="40" t="s">
        <v>187</v>
      </c>
      <c r="C862" s="40" t="s">
        <v>29</v>
      </c>
      <c r="D862" s="39" t="s">
        <v>188</v>
      </c>
      <c r="E862" s="40" t="s">
        <v>31</v>
      </c>
      <c r="F862" s="41">
        <v>3</v>
      </c>
      <c r="G862" s="41">
        <v>830</v>
      </c>
      <c r="H862" s="41">
        <v>10.07</v>
      </c>
      <c r="I862" s="41">
        <v>913.58</v>
      </c>
      <c r="J862" s="41">
        <v>2740.74</v>
      </c>
    </row>
    <row r="863" spans="1:10" ht="36">
      <c r="A863" s="39" t="s">
        <v>1072</v>
      </c>
      <c r="B863" s="40" t="s">
        <v>190</v>
      </c>
      <c r="C863" s="40" t="s">
        <v>29</v>
      </c>
      <c r="D863" s="39" t="s">
        <v>191</v>
      </c>
      <c r="E863" s="40" t="s">
        <v>31</v>
      </c>
      <c r="F863" s="41">
        <v>3</v>
      </c>
      <c r="G863" s="41">
        <v>648.42999999999995</v>
      </c>
      <c r="H863" s="41">
        <v>10.07</v>
      </c>
      <c r="I863" s="41">
        <v>713.73</v>
      </c>
      <c r="J863" s="41">
        <v>2141.19</v>
      </c>
    </row>
    <row r="864" spans="1:10" ht="36">
      <c r="A864" s="39" t="s">
        <v>1073</v>
      </c>
      <c r="B864" s="40" t="s">
        <v>193</v>
      </c>
      <c r="C864" s="40" t="s">
        <v>29</v>
      </c>
      <c r="D864" s="39" t="s">
        <v>194</v>
      </c>
      <c r="E864" s="40" t="s">
        <v>195</v>
      </c>
      <c r="F864" s="41">
        <v>445.53</v>
      </c>
      <c r="G864" s="41">
        <v>522.5</v>
      </c>
      <c r="H864" s="41">
        <v>10.07</v>
      </c>
      <c r="I864" s="41">
        <v>575.12</v>
      </c>
      <c r="J864" s="41">
        <v>256233.21</v>
      </c>
    </row>
    <row r="865" spans="1:10" ht="24">
      <c r="A865" s="39" t="s">
        <v>1074</v>
      </c>
      <c r="B865" s="40" t="s">
        <v>197</v>
      </c>
      <c r="C865" s="40" t="s">
        <v>18</v>
      </c>
      <c r="D865" s="39" t="s">
        <v>198</v>
      </c>
      <c r="E865" s="40" t="s">
        <v>44</v>
      </c>
      <c r="F865" s="41">
        <v>117.22</v>
      </c>
      <c r="G865" s="41">
        <v>56.1</v>
      </c>
      <c r="H865" s="41">
        <v>10.07</v>
      </c>
      <c r="I865" s="41">
        <v>61.75</v>
      </c>
      <c r="J865" s="41">
        <v>7238.34</v>
      </c>
    </row>
    <row r="866" spans="1:10">
      <c r="A866" s="39" t="s">
        <v>1075</v>
      </c>
      <c r="B866" s="40" t="s">
        <v>200</v>
      </c>
      <c r="C866" s="40" t="s">
        <v>161</v>
      </c>
      <c r="D866" s="39" t="s">
        <v>201</v>
      </c>
      <c r="E866" s="40" t="s">
        <v>70</v>
      </c>
      <c r="F866" s="41">
        <v>129.22999999999999</v>
      </c>
      <c r="G866" s="41">
        <v>90.74</v>
      </c>
      <c r="H866" s="41">
        <v>10.07</v>
      </c>
      <c r="I866" s="41">
        <v>99.88</v>
      </c>
      <c r="J866" s="41">
        <v>12907.49</v>
      </c>
    </row>
    <row r="867" spans="1:10">
      <c r="A867" s="39" t="s">
        <v>1076</v>
      </c>
      <c r="B867" s="40" t="s">
        <v>203</v>
      </c>
      <c r="C867" s="40" t="s">
        <v>161</v>
      </c>
      <c r="D867" s="39" t="s">
        <v>204</v>
      </c>
      <c r="E867" s="40" t="s">
        <v>70</v>
      </c>
      <c r="F867" s="41">
        <v>14.36</v>
      </c>
      <c r="G867" s="41">
        <v>74.53</v>
      </c>
      <c r="H867" s="41">
        <v>10.07</v>
      </c>
      <c r="I867" s="41">
        <v>82.04</v>
      </c>
      <c r="J867" s="41">
        <v>1178.0899999999999</v>
      </c>
    </row>
    <row r="868" spans="1:10" ht="24">
      <c r="A868" s="39" t="s">
        <v>1077</v>
      </c>
      <c r="B868" s="40" t="s">
        <v>206</v>
      </c>
      <c r="C868" s="40" t="s">
        <v>18</v>
      </c>
      <c r="D868" s="39" t="s">
        <v>207</v>
      </c>
      <c r="E868" s="40" t="s">
        <v>138</v>
      </c>
      <c r="F868" s="41">
        <v>703.73</v>
      </c>
      <c r="G868" s="41">
        <v>5.32</v>
      </c>
      <c r="H868" s="41">
        <v>10.07</v>
      </c>
      <c r="I868" s="41">
        <v>5.86</v>
      </c>
      <c r="J868" s="41">
        <v>4123.8599999999997</v>
      </c>
    </row>
    <row r="869" spans="1:10" ht="36">
      <c r="A869" s="39" t="s">
        <v>1078</v>
      </c>
      <c r="B869" s="40" t="s">
        <v>209</v>
      </c>
      <c r="C869" s="40" t="s">
        <v>29</v>
      </c>
      <c r="D869" s="39" t="s">
        <v>210</v>
      </c>
      <c r="E869" s="40" t="s">
        <v>60</v>
      </c>
      <c r="F869" s="41">
        <v>111.18</v>
      </c>
      <c r="G869" s="41">
        <v>422.5</v>
      </c>
      <c r="H869" s="41">
        <v>10.07</v>
      </c>
      <c r="I869" s="41">
        <v>465.05</v>
      </c>
      <c r="J869" s="41">
        <v>51704.26</v>
      </c>
    </row>
    <row r="870" spans="1:10" ht="20.100000000000001" customHeight="1">
      <c r="A870" s="37" t="s">
        <v>1079</v>
      </c>
      <c r="B870" s="521" t="s">
        <v>1080</v>
      </c>
      <c r="C870" s="521"/>
      <c r="D870" s="521"/>
      <c r="E870" s="521"/>
      <c r="F870" s="521"/>
      <c r="G870" s="521"/>
      <c r="H870" s="521"/>
      <c r="I870" s="521"/>
      <c r="J870" s="38">
        <v>1933447.72</v>
      </c>
    </row>
    <row r="871" spans="1:10" ht="20.100000000000001" customHeight="1">
      <c r="A871" s="37" t="s">
        <v>1081</v>
      </c>
      <c r="B871" s="521" t="s">
        <v>15</v>
      </c>
      <c r="C871" s="521"/>
      <c r="D871" s="521"/>
      <c r="E871" s="521"/>
      <c r="F871" s="521"/>
      <c r="G871" s="521"/>
      <c r="H871" s="521"/>
      <c r="I871" s="521"/>
      <c r="J871" s="38">
        <v>13543.98</v>
      </c>
    </row>
    <row r="872" spans="1:10" ht="24">
      <c r="A872" s="39" t="s">
        <v>1082</v>
      </c>
      <c r="B872" s="40" t="s">
        <v>17</v>
      </c>
      <c r="C872" s="40" t="s">
        <v>18</v>
      </c>
      <c r="D872" s="39" t="s">
        <v>19</v>
      </c>
      <c r="E872" s="40" t="s">
        <v>20</v>
      </c>
      <c r="F872" s="41">
        <v>8</v>
      </c>
      <c r="G872" s="41">
        <v>564.99</v>
      </c>
      <c r="H872" s="41">
        <v>17.57</v>
      </c>
      <c r="I872" s="41">
        <v>664.26</v>
      </c>
      <c r="J872" s="41">
        <v>5314.08</v>
      </c>
    </row>
    <row r="873" spans="1:10" ht="24">
      <c r="A873" s="39" t="s">
        <v>1083</v>
      </c>
      <c r="B873" s="40" t="s">
        <v>22</v>
      </c>
      <c r="C873" s="40" t="s">
        <v>18</v>
      </c>
      <c r="D873" s="39" t="s">
        <v>23</v>
      </c>
      <c r="E873" s="40" t="s">
        <v>24</v>
      </c>
      <c r="F873" s="41">
        <v>10</v>
      </c>
      <c r="G873" s="41">
        <v>700</v>
      </c>
      <c r="H873" s="41">
        <v>17.57</v>
      </c>
      <c r="I873" s="41">
        <v>822.99</v>
      </c>
      <c r="J873" s="41">
        <v>8229.9</v>
      </c>
    </row>
    <row r="874" spans="1:10" ht="20.100000000000001" customHeight="1">
      <c r="A874" s="37" t="s">
        <v>1084</v>
      </c>
      <c r="B874" s="521" t="s">
        <v>26</v>
      </c>
      <c r="C874" s="521"/>
      <c r="D874" s="521"/>
      <c r="E874" s="521"/>
      <c r="F874" s="521"/>
      <c r="G874" s="521"/>
      <c r="H874" s="521"/>
      <c r="I874" s="521"/>
      <c r="J874" s="38">
        <v>63939.18</v>
      </c>
    </row>
    <row r="875" spans="1:10" ht="24">
      <c r="A875" s="39" t="s">
        <v>1085</v>
      </c>
      <c r="B875" s="40" t="s">
        <v>28</v>
      </c>
      <c r="C875" s="40" t="s">
        <v>29</v>
      </c>
      <c r="D875" s="39" t="s">
        <v>30</v>
      </c>
      <c r="E875" s="40" t="s">
        <v>31</v>
      </c>
      <c r="F875" s="41">
        <v>1.25</v>
      </c>
      <c r="G875" s="41">
        <v>16819.14</v>
      </c>
      <c r="H875" s="41">
        <v>17.57</v>
      </c>
      <c r="I875" s="41">
        <v>19774.259999999998</v>
      </c>
      <c r="J875" s="41">
        <v>24717.83</v>
      </c>
    </row>
    <row r="876" spans="1:10" ht="24">
      <c r="A876" s="39" t="s">
        <v>1086</v>
      </c>
      <c r="B876" s="40" t="s">
        <v>33</v>
      </c>
      <c r="C876" s="40" t="s">
        <v>29</v>
      </c>
      <c r="D876" s="39" t="s">
        <v>34</v>
      </c>
      <c r="E876" s="40" t="s">
        <v>31</v>
      </c>
      <c r="F876" s="41">
        <v>5</v>
      </c>
      <c r="G876" s="41">
        <v>6672</v>
      </c>
      <c r="H876" s="41">
        <v>17.57</v>
      </c>
      <c r="I876" s="41">
        <v>7844.27</v>
      </c>
      <c r="J876" s="41">
        <v>39221.35</v>
      </c>
    </row>
    <row r="877" spans="1:10" ht="20.100000000000001" customHeight="1">
      <c r="A877" s="37" t="s">
        <v>1087</v>
      </c>
      <c r="B877" s="521" t="s">
        <v>36</v>
      </c>
      <c r="C877" s="521"/>
      <c r="D877" s="521"/>
      <c r="E877" s="521"/>
      <c r="F877" s="521"/>
      <c r="G877" s="521"/>
      <c r="H877" s="521"/>
      <c r="I877" s="521"/>
      <c r="J877" s="38">
        <v>567.41999999999996</v>
      </c>
    </row>
    <row r="878" spans="1:10">
      <c r="A878" s="39" t="s">
        <v>1088</v>
      </c>
      <c r="B878" s="40" t="s">
        <v>38</v>
      </c>
      <c r="C878" s="40" t="s">
        <v>29</v>
      </c>
      <c r="D878" s="39" t="s">
        <v>39</v>
      </c>
      <c r="E878" s="40" t="s">
        <v>40</v>
      </c>
      <c r="F878" s="41">
        <v>978.31</v>
      </c>
      <c r="G878" s="41">
        <v>0.49</v>
      </c>
      <c r="H878" s="41">
        <v>17.57</v>
      </c>
      <c r="I878" s="41">
        <v>0.57999999999999996</v>
      </c>
      <c r="J878" s="41">
        <v>567.41999999999996</v>
      </c>
    </row>
    <row r="879" spans="1:10" ht="20.100000000000001" customHeight="1">
      <c r="A879" s="37" t="s">
        <v>1089</v>
      </c>
      <c r="B879" s="521" t="s">
        <v>444</v>
      </c>
      <c r="C879" s="521"/>
      <c r="D879" s="521"/>
      <c r="E879" s="521"/>
      <c r="F879" s="521"/>
      <c r="G879" s="521"/>
      <c r="H879" s="521"/>
      <c r="I879" s="521"/>
      <c r="J879" s="38">
        <v>117553.49</v>
      </c>
    </row>
    <row r="880" spans="1:10" ht="24">
      <c r="A880" s="39" t="s">
        <v>1090</v>
      </c>
      <c r="B880" s="40" t="s">
        <v>58</v>
      </c>
      <c r="C880" s="40" t="s">
        <v>18</v>
      </c>
      <c r="D880" s="39" t="s">
        <v>59</v>
      </c>
      <c r="E880" s="40" t="s">
        <v>60</v>
      </c>
      <c r="F880" s="41">
        <v>3357.35</v>
      </c>
      <c r="G880" s="41">
        <v>2.59</v>
      </c>
      <c r="H880" s="41">
        <v>17.57</v>
      </c>
      <c r="I880" s="41">
        <v>3.05</v>
      </c>
      <c r="J880" s="41">
        <v>10239.92</v>
      </c>
    </row>
    <row r="881" spans="1:10" ht="48">
      <c r="A881" s="39" t="s">
        <v>1091</v>
      </c>
      <c r="B881" s="40" t="s">
        <v>49</v>
      </c>
      <c r="C881" s="40" t="s">
        <v>18</v>
      </c>
      <c r="D881" s="39" t="s">
        <v>50</v>
      </c>
      <c r="E881" s="40" t="s">
        <v>44</v>
      </c>
      <c r="F881" s="41">
        <v>4196.6899999999996</v>
      </c>
      <c r="G881" s="41">
        <v>2.9</v>
      </c>
      <c r="H881" s="41">
        <v>17.57</v>
      </c>
      <c r="I881" s="41">
        <v>3.41</v>
      </c>
      <c r="J881" s="41">
        <v>14310.71</v>
      </c>
    </row>
    <row r="882" spans="1:10" ht="36">
      <c r="A882" s="39" t="s">
        <v>1092</v>
      </c>
      <c r="B882" s="40" t="s">
        <v>52</v>
      </c>
      <c r="C882" s="40" t="s">
        <v>29</v>
      </c>
      <c r="D882" s="39" t="s">
        <v>53</v>
      </c>
      <c r="E882" s="40" t="s">
        <v>54</v>
      </c>
      <c r="F882" s="41">
        <v>34832.53</v>
      </c>
      <c r="G882" s="41">
        <v>2.27</v>
      </c>
      <c r="H882" s="41">
        <v>17.57</v>
      </c>
      <c r="I882" s="41">
        <v>2.67</v>
      </c>
      <c r="J882" s="41">
        <v>93002.86</v>
      </c>
    </row>
    <row r="883" spans="1:10" ht="20.100000000000001" customHeight="1">
      <c r="A883" s="37" t="s">
        <v>1093</v>
      </c>
      <c r="B883" s="521" t="s">
        <v>11</v>
      </c>
      <c r="C883" s="521"/>
      <c r="D883" s="521"/>
      <c r="E883" s="521"/>
      <c r="F883" s="521"/>
      <c r="G883" s="521"/>
      <c r="H883" s="521"/>
      <c r="I883" s="521"/>
      <c r="J883" s="38">
        <v>448249.48</v>
      </c>
    </row>
    <row r="884" spans="1:10" ht="24">
      <c r="A884" s="39" t="s">
        <v>1094</v>
      </c>
      <c r="B884" s="40" t="s">
        <v>65</v>
      </c>
      <c r="C884" s="40" t="s">
        <v>29</v>
      </c>
      <c r="D884" s="39" t="s">
        <v>66</v>
      </c>
      <c r="E884" s="40" t="s">
        <v>20</v>
      </c>
      <c r="F884" s="41">
        <v>5380.71</v>
      </c>
      <c r="G884" s="41">
        <v>2.79</v>
      </c>
      <c r="H884" s="41">
        <v>17.57</v>
      </c>
      <c r="I884" s="41">
        <v>3.28</v>
      </c>
      <c r="J884" s="41">
        <v>17648.73</v>
      </c>
    </row>
    <row r="885" spans="1:10" ht="24">
      <c r="A885" s="39" t="s">
        <v>1095</v>
      </c>
      <c r="B885" s="40" t="s">
        <v>385</v>
      </c>
      <c r="C885" s="40" t="s">
        <v>18</v>
      </c>
      <c r="D885" s="39" t="s">
        <v>1096</v>
      </c>
      <c r="E885" s="40" t="s">
        <v>44</v>
      </c>
      <c r="F885" s="41">
        <v>1076.1400000000001</v>
      </c>
      <c r="G885" s="41">
        <v>104.33</v>
      </c>
      <c r="H885" s="41">
        <v>17.57</v>
      </c>
      <c r="I885" s="41">
        <v>122.66</v>
      </c>
      <c r="J885" s="41">
        <v>131999.32999999999</v>
      </c>
    </row>
    <row r="886" spans="1:10" ht="24">
      <c r="A886" s="39" t="s">
        <v>1097</v>
      </c>
      <c r="B886" s="40" t="s">
        <v>68</v>
      </c>
      <c r="C886" s="40" t="s">
        <v>18</v>
      </c>
      <c r="D886" s="39" t="s">
        <v>69</v>
      </c>
      <c r="E886" s="40" t="s">
        <v>70</v>
      </c>
      <c r="F886" s="41">
        <v>660.36</v>
      </c>
      <c r="G886" s="41">
        <v>11.4</v>
      </c>
      <c r="H886" s="41">
        <v>17.57</v>
      </c>
      <c r="I886" s="41">
        <v>13.4</v>
      </c>
      <c r="J886" s="41">
        <v>8848.82</v>
      </c>
    </row>
    <row r="887" spans="1:10" ht="36">
      <c r="A887" s="39" t="s">
        <v>1098</v>
      </c>
      <c r="B887" s="40" t="s">
        <v>72</v>
      </c>
      <c r="C887" s="40" t="s">
        <v>18</v>
      </c>
      <c r="D887" s="39" t="s">
        <v>73</v>
      </c>
      <c r="E887" s="40" t="s">
        <v>60</v>
      </c>
      <c r="F887" s="41">
        <v>880.48</v>
      </c>
      <c r="G887" s="41">
        <v>14.44</v>
      </c>
      <c r="H887" s="41">
        <v>17.57</v>
      </c>
      <c r="I887" s="41">
        <v>16.98</v>
      </c>
      <c r="J887" s="41">
        <v>14950.55</v>
      </c>
    </row>
    <row r="888" spans="1:10" ht="48">
      <c r="A888" s="39" t="s">
        <v>1099</v>
      </c>
      <c r="B888" s="40" t="s">
        <v>49</v>
      </c>
      <c r="C888" s="40" t="s">
        <v>18</v>
      </c>
      <c r="D888" s="39" t="s">
        <v>50</v>
      </c>
      <c r="E888" s="40" t="s">
        <v>44</v>
      </c>
      <c r="F888" s="41">
        <v>1926.05</v>
      </c>
      <c r="G888" s="41">
        <v>2.9</v>
      </c>
      <c r="H888" s="41">
        <v>17.57</v>
      </c>
      <c r="I888" s="41">
        <v>3.41</v>
      </c>
      <c r="J888" s="41">
        <v>6567.83</v>
      </c>
    </row>
    <row r="889" spans="1:10" ht="24">
      <c r="A889" s="39" t="s">
        <v>1100</v>
      </c>
      <c r="B889" s="40" t="s">
        <v>76</v>
      </c>
      <c r="C889" s="40" t="s">
        <v>18</v>
      </c>
      <c r="D889" s="39" t="s">
        <v>77</v>
      </c>
      <c r="E889" s="40" t="s">
        <v>78</v>
      </c>
      <c r="F889" s="41">
        <v>16178.82</v>
      </c>
      <c r="G889" s="41">
        <v>1.37</v>
      </c>
      <c r="H889" s="41">
        <v>17.57</v>
      </c>
      <c r="I889" s="41">
        <v>1.61</v>
      </c>
      <c r="J889" s="41">
        <v>26047.9</v>
      </c>
    </row>
    <row r="890" spans="1:10" ht="24">
      <c r="A890" s="39" t="s">
        <v>1101</v>
      </c>
      <c r="B890" s="40" t="s">
        <v>80</v>
      </c>
      <c r="C890" s="40" t="s">
        <v>18</v>
      </c>
      <c r="D890" s="39" t="s">
        <v>81</v>
      </c>
      <c r="E890" s="40" t="s">
        <v>20</v>
      </c>
      <c r="F890" s="41">
        <v>3958.6</v>
      </c>
      <c r="G890" s="41">
        <v>1.24</v>
      </c>
      <c r="H890" s="41">
        <v>17.57</v>
      </c>
      <c r="I890" s="41">
        <v>1.46</v>
      </c>
      <c r="J890" s="41">
        <v>5779.56</v>
      </c>
    </row>
    <row r="891" spans="1:10" ht="36">
      <c r="A891" s="39" t="s">
        <v>1102</v>
      </c>
      <c r="B891" s="40" t="s">
        <v>83</v>
      </c>
      <c r="C891" s="40" t="s">
        <v>18</v>
      </c>
      <c r="D891" s="39" t="s">
        <v>84</v>
      </c>
      <c r="E891" s="40" t="s">
        <v>60</v>
      </c>
      <c r="F891" s="41">
        <v>197.93</v>
      </c>
      <c r="G891" s="41">
        <v>133.37</v>
      </c>
      <c r="H891" s="41">
        <v>17.57</v>
      </c>
      <c r="I891" s="41">
        <v>156.80000000000001</v>
      </c>
      <c r="J891" s="41">
        <v>31035.42</v>
      </c>
    </row>
    <row r="892" spans="1:10" ht="36">
      <c r="A892" s="39" t="s">
        <v>1103</v>
      </c>
      <c r="B892" s="40" t="s">
        <v>86</v>
      </c>
      <c r="C892" s="40" t="s">
        <v>18</v>
      </c>
      <c r="D892" s="39" t="s">
        <v>87</v>
      </c>
      <c r="E892" s="40" t="s">
        <v>44</v>
      </c>
      <c r="F892" s="41">
        <v>197.93</v>
      </c>
      <c r="G892" s="41">
        <v>7.86</v>
      </c>
      <c r="H892" s="41">
        <v>17.57</v>
      </c>
      <c r="I892" s="41">
        <v>9.24</v>
      </c>
      <c r="J892" s="41">
        <v>1828.87</v>
      </c>
    </row>
    <row r="893" spans="1:10" ht="24">
      <c r="A893" s="39" t="s">
        <v>1104</v>
      </c>
      <c r="B893" s="40" t="s">
        <v>89</v>
      </c>
      <c r="C893" s="40" t="s">
        <v>18</v>
      </c>
      <c r="D893" s="39" t="s">
        <v>90</v>
      </c>
      <c r="E893" s="40" t="s">
        <v>54</v>
      </c>
      <c r="F893" s="41">
        <v>3740.88</v>
      </c>
      <c r="G893" s="41">
        <v>1.77</v>
      </c>
      <c r="H893" s="41">
        <v>17.57</v>
      </c>
      <c r="I893" s="41">
        <v>2.08</v>
      </c>
      <c r="J893" s="41">
        <v>7781.03</v>
      </c>
    </row>
    <row r="894" spans="1:10" ht="24">
      <c r="A894" s="39" t="s">
        <v>1105</v>
      </c>
      <c r="B894" s="40" t="s">
        <v>92</v>
      </c>
      <c r="C894" s="40" t="s">
        <v>18</v>
      </c>
      <c r="D894" s="39" t="s">
        <v>93</v>
      </c>
      <c r="E894" s="40" t="s">
        <v>20</v>
      </c>
      <c r="F894" s="41">
        <v>3729.52</v>
      </c>
      <c r="G894" s="41">
        <v>0.65</v>
      </c>
      <c r="H894" s="41">
        <v>17.57</v>
      </c>
      <c r="I894" s="41">
        <v>0.76</v>
      </c>
      <c r="J894" s="41">
        <v>2834.44</v>
      </c>
    </row>
    <row r="895" spans="1:10" ht="48">
      <c r="A895" s="39" t="s">
        <v>1106</v>
      </c>
      <c r="B895" s="40" t="s">
        <v>95</v>
      </c>
      <c r="C895" s="40" t="s">
        <v>18</v>
      </c>
      <c r="D895" s="39" t="s">
        <v>96</v>
      </c>
      <c r="E895" s="40" t="s">
        <v>60</v>
      </c>
      <c r="F895" s="41">
        <v>254.52</v>
      </c>
      <c r="G895" s="41">
        <v>112.75</v>
      </c>
      <c r="H895" s="41">
        <v>17.57</v>
      </c>
      <c r="I895" s="41">
        <v>132.56</v>
      </c>
      <c r="J895" s="41">
        <v>33739.17</v>
      </c>
    </row>
    <row r="896" spans="1:10" ht="60">
      <c r="A896" s="39" t="s">
        <v>1107</v>
      </c>
      <c r="B896" s="40" t="s">
        <v>98</v>
      </c>
      <c r="C896" s="40" t="s">
        <v>29</v>
      </c>
      <c r="D896" s="39" t="s">
        <v>99</v>
      </c>
      <c r="E896" s="40" t="s">
        <v>40</v>
      </c>
      <c r="F896" s="41">
        <v>2002.55</v>
      </c>
      <c r="G896" s="41">
        <v>56.47</v>
      </c>
      <c r="H896" s="41">
        <v>17.57</v>
      </c>
      <c r="I896" s="41">
        <v>66.39</v>
      </c>
      <c r="J896" s="41">
        <v>132949.29</v>
      </c>
    </row>
    <row r="897" spans="1:10" ht="60">
      <c r="A897" s="39" t="s">
        <v>1108</v>
      </c>
      <c r="B897" s="40" t="s">
        <v>101</v>
      </c>
      <c r="C897" s="40" t="s">
        <v>29</v>
      </c>
      <c r="D897" s="39" t="s">
        <v>102</v>
      </c>
      <c r="E897" s="40" t="s">
        <v>40</v>
      </c>
      <c r="F897" s="41">
        <v>84.77</v>
      </c>
      <c r="G897" s="41">
        <v>60.43</v>
      </c>
      <c r="H897" s="41">
        <v>17.57</v>
      </c>
      <c r="I897" s="41">
        <v>71.05</v>
      </c>
      <c r="J897" s="41">
        <v>6022.91</v>
      </c>
    </row>
    <row r="898" spans="1:10" ht="24">
      <c r="A898" s="39" t="s">
        <v>1109</v>
      </c>
      <c r="B898" s="40" t="s">
        <v>107</v>
      </c>
      <c r="C898" s="40" t="s">
        <v>29</v>
      </c>
      <c r="D898" s="39" t="s">
        <v>108</v>
      </c>
      <c r="E898" s="40" t="s">
        <v>40</v>
      </c>
      <c r="F898" s="41">
        <v>406.91</v>
      </c>
      <c r="G898" s="41">
        <v>39.770000000000003</v>
      </c>
      <c r="H898" s="41">
        <v>17.57</v>
      </c>
      <c r="I898" s="41">
        <v>46.76</v>
      </c>
      <c r="J898" s="41">
        <v>19027.11</v>
      </c>
    </row>
    <row r="899" spans="1:10" ht="24">
      <c r="A899" s="39" t="s">
        <v>1110</v>
      </c>
      <c r="B899" s="40" t="s">
        <v>110</v>
      </c>
      <c r="C899" s="40" t="s">
        <v>29</v>
      </c>
      <c r="D899" s="39" t="s">
        <v>111</v>
      </c>
      <c r="E899" s="40" t="s">
        <v>40</v>
      </c>
      <c r="F899" s="41">
        <v>20.09</v>
      </c>
      <c r="G899" s="41">
        <v>50.32</v>
      </c>
      <c r="H899" s="41">
        <v>17.57</v>
      </c>
      <c r="I899" s="41">
        <v>59.16</v>
      </c>
      <c r="J899" s="41">
        <v>1188.52</v>
      </c>
    </row>
    <row r="900" spans="1:10" ht="20.100000000000001" customHeight="1">
      <c r="A900" s="37" t="s">
        <v>1111</v>
      </c>
      <c r="B900" s="521" t="s">
        <v>1112</v>
      </c>
      <c r="C900" s="521"/>
      <c r="D900" s="521"/>
      <c r="E900" s="521"/>
      <c r="F900" s="521"/>
      <c r="G900" s="521"/>
      <c r="H900" s="521"/>
      <c r="I900" s="521"/>
      <c r="J900" s="38">
        <v>277668.58</v>
      </c>
    </row>
    <row r="901" spans="1:10" ht="24">
      <c r="A901" s="39" t="s">
        <v>1113</v>
      </c>
      <c r="B901" s="40" t="s">
        <v>1114</v>
      </c>
      <c r="C901" s="40" t="s">
        <v>29</v>
      </c>
      <c r="D901" s="39" t="s">
        <v>1115</v>
      </c>
      <c r="E901" s="40" t="s">
        <v>54</v>
      </c>
      <c r="F901" s="41">
        <v>39.450000000000003</v>
      </c>
      <c r="G901" s="41">
        <v>977.6</v>
      </c>
      <c r="H901" s="41">
        <v>17.57</v>
      </c>
      <c r="I901" s="41">
        <v>1149.3599999999999</v>
      </c>
      <c r="J901" s="41">
        <v>45342.25</v>
      </c>
    </row>
    <row r="902" spans="1:10" ht="24">
      <c r="A902" s="39" t="s">
        <v>1116</v>
      </c>
      <c r="B902" s="40" t="s">
        <v>1117</v>
      </c>
      <c r="C902" s="40" t="s">
        <v>18</v>
      </c>
      <c r="D902" s="39" t="s">
        <v>1118</v>
      </c>
      <c r="E902" s="40" t="s">
        <v>60</v>
      </c>
      <c r="F902" s="41">
        <v>86.59</v>
      </c>
      <c r="G902" s="41">
        <v>507.45</v>
      </c>
      <c r="H902" s="41">
        <v>17.57</v>
      </c>
      <c r="I902" s="41">
        <v>596.61</v>
      </c>
      <c r="J902" s="41">
        <v>51660.46</v>
      </c>
    </row>
    <row r="903" spans="1:10" ht="24">
      <c r="A903" s="39" t="s">
        <v>1119</v>
      </c>
      <c r="B903" s="40" t="s">
        <v>1120</v>
      </c>
      <c r="C903" s="40" t="s">
        <v>29</v>
      </c>
      <c r="D903" s="39" t="s">
        <v>1121</v>
      </c>
      <c r="E903" s="40" t="s">
        <v>60</v>
      </c>
      <c r="F903" s="41">
        <v>44.61</v>
      </c>
      <c r="G903" s="41">
        <v>600.74</v>
      </c>
      <c r="H903" s="41">
        <v>17.57</v>
      </c>
      <c r="I903" s="41">
        <v>706.29</v>
      </c>
      <c r="J903" s="41">
        <v>31507.599999999999</v>
      </c>
    </row>
    <row r="904" spans="1:10" ht="60">
      <c r="A904" s="39" t="s">
        <v>1122</v>
      </c>
      <c r="B904" s="40" t="s">
        <v>1123</v>
      </c>
      <c r="C904" s="40" t="s">
        <v>29</v>
      </c>
      <c r="D904" s="39" t="s">
        <v>1124</v>
      </c>
      <c r="E904" s="40" t="s">
        <v>40</v>
      </c>
      <c r="F904" s="41">
        <v>250.4</v>
      </c>
      <c r="G904" s="41">
        <v>506.66</v>
      </c>
      <c r="H904" s="41">
        <v>17.57</v>
      </c>
      <c r="I904" s="41">
        <v>595.67999999999995</v>
      </c>
      <c r="J904" s="41">
        <v>149158.26999999999</v>
      </c>
    </row>
    <row r="905" spans="1:10" ht="20.100000000000001" customHeight="1">
      <c r="A905" s="37" t="s">
        <v>1125</v>
      </c>
      <c r="B905" s="521" t="s">
        <v>120</v>
      </c>
      <c r="C905" s="521"/>
      <c r="D905" s="521"/>
      <c r="E905" s="521"/>
      <c r="F905" s="521"/>
      <c r="G905" s="521"/>
      <c r="H905" s="521"/>
      <c r="I905" s="521"/>
      <c r="J905" s="38">
        <v>306689.46999999997</v>
      </c>
    </row>
    <row r="906" spans="1:10" ht="60">
      <c r="A906" s="39" t="s">
        <v>1126</v>
      </c>
      <c r="B906" s="40" t="s">
        <v>122</v>
      </c>
      <c r="C906" s="40" t="s">
        <v>29</v>
      </c>
      <c r="D906" s="39" t="s">
        <v>123</v>
      </c>
      <c r="E906" s="40" t="s">
        <v>60</v>
      </c>
      <c r="F906" s="41">
        <v>143</v>
      </c>
      <c r="G906" s="41">
        <v>6.48</v>
      </c>
      <c r="H906" s="41">
        <v>17.57</v>
      </c>
      <c r="I906" s="41">
        <v>7.62</v>
      </c>
      <c r="J906" s="41">
        <v>1089.6600000000001</v>
      </c>
    </row>
    <row r="907" spans="1:10" ht="60">
      <c r="A907" s="39" t="s">
        <v>1127</v>
      </c>
      <c r="B907" s="40" t="s">
        <v>310</v>
      </c>
      <c r="C907" s="40" t="s">
        <v>29</v>
      </c>
      <c r="D907" s="39" t="s">
        <v>311</v>
      </c>
      <c r="E907" s="40" t="s">
        <v>60</v>
      </c>
      <c r="F907" s="41">
        <v>0.99</v>
      </c>
      <c r="G907" s="41">
        <v>8.5399999999999991</v>
      </c>
      <c r="H907" s="41">
        <v>17.57</v>
      </c>
      <c r="I907" s="41">
        <v>10.039999999999999</v>
      </c>
      <c r="J907" s="41">
        <v>9.94</v>
      </c>
    </row>
    <row r="908" spans="1:10" ht="60">
      <c r="A908" s="39" t="s">
        <v>1128</v>
      </c>
      <c r="B908" s="40" t="s">
        <v>319</v>
      </c>
      <c r="C908" s="40" t="s">
        <v>29</v>
      </c>
      <c r="D908" s="39" t="s">
        <v>320</v>
      </c>
      <c r="E908" s="40" t="s">
        <v>60</v>
      </c>
      <c r="F908" s="41">
        <v>0.42</v>
      </c>
      <c r="G908" s="41">
        <v>22.62</v>
      </c>
      <c r="H908" s="41">
        <v>17.57</v>
      </c>
      <c r="I908" s="41">
        <v>26.59</v>
      </c>
      <c r="J908" s="41">
        <v>11.17</v>
      </c>
    </row>
    <row r="909" spans="1:10" ht="60">
      <c r="A909" s="39" t="s">
        <v>1129</v>
      </c>
      <c r="B909" s="40" t="s">
        <v>125</v>
      </c>
      <c r="C909" s="40" t="s">
        <v>29</v>
      </c>
      <c r="D909" s="39" t="s">
        <v>126</v>
      </c>
      <c r="E909" s="40" t="s">
        <v>60</v>
      </c>
      <c r="F909" s="41">
        <v>53.63</v>
      </c>
      <c r="G909" s="41">
        <v>23.75</v>
      </c>
      <c r="H909" s="41">
        <v>17.57</v>
      </c>
      <c r="I909" s="41">
        <v>27.92</v>
      </c>
      <c r="J909" s="41">
        <v>1497.35</v>
      </c>
    </row>
    <row r="910" spans="1:10" ht="48">
      <c r="A910" s="39" t="s">
        <v>1130</v>
      </c>
      <c r="B910" s="40" t="s">
        <v>49</v>
      </c>
      <c r="C910" s="40" t="s">
        <v>18</v>
      </c>
      <c r="D910" s="39" t="s">
        <v>50</v>
      </c>
      <c r="E910" s="40" t="s">
        <v>44</v>
      </c>
      <c r="F910" s="41">
        <v>112.43</v>
      </c>
      <c r="G910" s="41">
        <v>2.9</v>
      </c>
      <c r="H910" s="41">
        <v>17.57</v>
      </c>
      <c r="I910" s="41">
        <v>3.41</v>
      </c>
      <c r="J910" s="41">
        <v>383.39</v>
      </c>
    </row>
    <row r="911" spans="1:10" ht="36">
      <c r="A911" s="39" t="s">
        <v>1131</v>
      </c>
      <c r="B911" s="40" t="s">
        <v>52</v>
      </c>
      <c r="C911" s="40" t="s">
        <v>29</v>
      </c>
      <c r="D911" s="39" t="s">
        <v>53</v>
      </c>
      <c r="E911" s="40" t="s">
        <v>54</v>
      </c>
      <c r="F911" s="41">
        <v>933.17</v>
      </c>
      <c r="G911" s="41">
        <v>2.27</v>
      </c>
      <c r="H911" s="41">
        <v>17.57</v>
      </c>
      <c r="I911" s="41">
        <v>2.67</v>
      </c>
      <c r="J911" s="41">
        <v>2491.56</v>
      </c>
    </row>
    <row r="912" spans="1:10" ht="36">
      <c r="A912" s="39" t="s">
        <v>1132</v>
      </c>
      <c r="B912" s="40" t="s">
        <v>130</v>
      </c>
      <c r="C912" s="40" t="s">
        <v>29</v>
      </c>
      <c r="D912" s="39" t="s">
        <v>131</v>
      </c>
      <c r="E912" s="40" t="s">
        <v>60</v>
      </c>
      <c r="F912" s="41">
        <v>75.930000000000007</v>
      </c>
      <c r="G912" s="41">
        <v>472.74</v>
      </c>
      <c r="H912" s="41">
        <v>17.57</v>
      </c>
      <c r="I912" s="41">
        <v>555.79999999999995</v>
      </c>
      <c r="J912" s="41">
        <v>42201.89</v>
      </c>
    </row>
    <row r="913" spans="1:10" ht="24">
      <c r="A913" s="39" t="s">
        <v>1133</v>
      </c>
      <c r="B913" s="40" t="s">
        <v>133</v>
      </c>
      <c r="C913" s="40" t="s">
        <v>29</v>
      </c>
      <c r="D913" s="39" t="s">
        <v>134</v>
      </c>
      <c r="E913" s="40" t="s">
        <v>60</v>
      </c>
      <c r="F913" s="41">
        <v>59.58</v>
      </c>
      <c r="G913" s="41">
        <v>436.13</v>
      </c>
      <c r="H913" s="41">
        <v>17.57</v>
      </c>
      <c r="I913" s="41">
        <v>512.76</v>
      </c>
      <c r="J913" s="41">
        <v>30550.240000000002</v>
      </c>
    </row>
    <row r="914" spans="1:10" ht="36">
      <c r="A914" s="39" t="s">
        <v>1134</v>
      </c>
      <c r="B914" s="40" t="s">
        <v>136</v>
      </c>
      <c r="C914" s="40" t="s">
        <v>29</v>
      </c>
      <c r="D914" s="39" t="s">
        <v>137</v>
      </c>
      <c r="E914" s="40" t="s">
        <v>138</v>
      </c>
      <c r="F914" s="41">
        <v>4939.3500000000004</v>
      </c>
      <c r="G914" s="41">
        <v>15.14</v>
      </c>
      <c r="H914" s="41">
        <v>17.57</v>
      </c>
      <c r="I914" s="41">
        <v>17.8</v>
      </c>
      <c r="J914" s="41">
        <v>87920.43</v>
      </c>
    </row>
    <row r="915" spans="1:10" ht="48">
      <c r="A915" s="39" t="s">
        <v>1135</v>
      </c>
      <c r="B915" s="40" t="s">
        <v>140</v>
      </c>
      <c r="C915" s="40" t="s">
        <v>18</v>
      </c>
      <c r="D915" s="39" t="s">
        <v>141</v>
      </c>
      <c r="E915" s="40" t="s">
        <v>20</v>
      </c>
      <c r="F915" s="41">
        <v>357.49</v>
      </c>
      <c r="G915" s="41">
        <v>1.1000000000000001</v>
      </c>
      <c r="H915" s="41">
        <v>17.57</v>
      </c>
      <c r="I915" s="41">
        <v>1.29</v>
      </c>
      <c r="J915" s="41">
        <v>461.16</v>
      </c>
    </row>
    <row r="916" spans="1:10" ht="36">
      <c r="A916" s="39" t="s">
        <v>1136</v>
      </c>
      <c r="B916" s="40" t="s">
        <v>143</v>
      </c>
      <c r="C916" s="40" t="s">
        <v>29</v>
      </c>
      <c r="D916" s="39" t="s">
        <v>144</v>
      </c>
      <c r="E916" s="40" t="s">
        <v>20</v>
      </c>
      <c r="F916" s="41">
        <v>476.66</v>
      </c>
      <c r="G916" s="41">
        <v>105.62</v>
      </c>
      <c r="H916" s="41">
        <v>17.57</v>
      </c>
      <c r="I916" s="41">
        <v>124.18</v>
      </c>
      <c r="J916" s="41">
        <v>59191.64</v>
      </c>
    </row>
    <row r="917" spans="1:10" ht="36">
      <c r="A917" s="39" t="s">
        <v>1137</v>
      </c>
      <c r="B917" s="40" t="s">
        <v>146</v>
      </c>
      <c r="C917" s="40" t="s">
        <v>29</v>
      </c>
      <c r="D917" s="39" t="s">
        <v>147</v>
      </c>
      <c r="E917" s="40" t="s">
        <v>20</v>
      </c>
      <c r="F917" s="41">
        <v>476.66</v>
      </c>
      <c r="G917" s="41">
        <v>4.0999999999999996</v>
      </c>
      <c r="H917" s="41">
        <v>17.57</v>
      </c>
      <c r="I917" s="41">
        <v>4.82</v>
      </c>
      <c r="J917" s="41">
        <v>2297.5</v>
      </c>
    </row>
    <row r="918" spans="1:10" ht="48">
      <c r="A918" s="39" t="s">
        <v>1138</v>
      </c>
      <c r="B918" s="40" t="s">
        <v>149</v>
      </c>
      <c r="C918" s="40" t="s">
        <v>29</v>
      </c>
      <c r="D918" s="39" t="s">
        <v>150</v>
      </c>
      <c r="E918" s="40" t="s">
        <v>20</v>
      </c>
      <c r="F918" s="41">
        <v>476.66</v>
      </c>
      <c r="G918" s="41">
        <v>24.83</v>
      </c>
      <c r="H918" s="41">
        <v>17.57</v>
      </c>
      <c r="I918" s="41">
        <v>29.19</v>
      </c>
      <c r="J918" s="41">
        <v>13913.71</v>
      </c>
    </row>
    <row r="919" spans="1:10" ht="24">
      <c r="A919" s="39" t="s">
        <v>1139</v>
      </c>
      <c r="B919" s="40" t="s">
        <v>152</v>
      </c>
      <c r="C919" s="40" t="s">
        <v>29</v>
      </c>
      <c r="D919" s="39" t="s">
        <v>153</v>
      </c>
      <c r="E919" s="40" t="s">
        <v>60</v>
      </c>
      <c r="F919" s="41">
        <v>50.7</v>
      </c>
      <c r="G919" s="41">
        <v>469.42</v>
      </c>
      <c r="H919" s="41">
        <v>17.57</v>
      </c>
      <c r="I919" s="41">
        <v>551.9</v>
      </c>
      <c r="J919" s="41">
        <v>27981.33</v>
      </c>
    </row>
    <row r="920" spans="1:10" ht="24">
      <c r="A920" s="39" t="s">
        <v>1140</v>
      </c>
      <c r="B920" s="40" t="s">
        <v>155</v>
      </c>
      <c r="C920" s="40" t="s">
        <v>18</v>
      </c>
      <c r="D920" s="39" t="s">
        <v>156</v>
      </c>
      <c r="E920" s="40" t="s">
        <v>60</v>
      </c>
      <c r="F920" s="41">
        <v>186.21</v>
      </c>
      <c r="G920" s="41">
        <v>129.79</v>
      </c>
      <c r="H920" s="41">
        <v>17.57</v>
      </c>
      <c r="I920" s="41">
        <v>152.59</v>
      </c>
      <c r="J920" s="41">
        <v>28413.78</v>
      </c>
    </row>
    <row r="921" spans="1:10" ht="36">
      <c r="A921" s="39" t="s">
        <v>1141</v>
      </c>
      <c r="B921" s="40" t="s">
        <v>338</v>
      </c>
      <c r="C921" s="40" t="s">
        <v>29</v>
      </c>
      <c r="D921" s="39" t="s">
        <v>339</v>
      </c>
      <c r="E921" s="40" t="s">
        <v>40</v>
      </c>
      <c r="F921" s="41">
        <v>2</v>
      </c>
      <c r="G921" s="41">
        <v>18.55</v>
      </c>
      <c r="H921" s="41">
        <v>17.57</v>
      </c>
      <c r="I921" s="41">
        <v>21.81</v>
      </c>
      <c r="J921" s="41">
        <v>43.62</v>
      </c>
    </row>
    <row r="922" spans="1:10" ht="24">
      <c r="A922" s="39" t="s">
        <v>1142</v>
      </c>
      <c r="B922" s="40" t="s">
        <v>1143</v>
      </c>
      <c r="C922" s="40" t="s">
        <v>18</v>
      </c>
      <c r="D922" s="39" t="s">
        <v>1144</v>
      </c>
      <c r="E922" s="40" t="s">
        <v>171</v>
      </c>
      <c r="F922" s="41">
        <v>10</v>
      </c>
      <c r="G922" s="41">
        <v>700.1</v>
      </c>
      <c r="H922" s="41">
        <v>17.57</v>
      </c>
      <c r="I922" s="41">
        <v>823.11</v>
      </c>
      <c r="J922" s="41">
        <v>8231.1</v>
      </c>
    </row>
    <row r="923" spans="1:10" ht="20.100000000000001" customHeight="1">
      <c r="A923" s="37" t="s">
        <v>1145</v>
      </c>
      <c r="B923" s="521" t="s">
        <v>158</v>
      </c>
      <c r="C923" s="521"/>
      <c r="D923" s="521"/>
      <c r="E923" s="521"/>
      <c r="F923" s="521"/>
      <c r="G923" s="521"/>
      <c r="H923" s="521"/>
      <c r="I923" s="521"/>
      <c r="J923" s="38">
        <v>31235.99</v>
      </c>
    </row>
    <row r="924" spans="1:10">
      <c r="A924" s="39" t="s">
        <v>1146</v>
      </c>
      <c r="B924" s="40" t="s">
        <v>160</v>
      </c>
      <c r="C924" s="40" t="s">
        <v>161</v>
      </c>
      <c r="D924" s="39" t="s">
        <v>162</v>
      </c>
      <c r="E924" s="40" t="s">
        <v>163</v>
      </c>
      <c r="F924" s="41">
        <v>12.9</v>
      </c>
      <c r="G924" s="41">
        <v>347.25</v>
      </c>
      <c r="H924" s="41">
        <v>17.57</v>
      </c>
      <c r="I924" s="41">
        <v>408.26</v>
      </c>
      <c r="J924" s="41">
        <v>5266.55</v>
      </c>
    </row>
    <row r="925" spans="1:10" ht="24">
      <c r="A925" s="39" t="s">
        <v>1147</v>
      </c>
      <c r="B925" s="40" t="s">
        <v>165</v>
      </c>
      <c r="C925" s="40" t="s">
        <v>161</v>
      </c>
      <c r="D925" s="39" t="s">
        <v>166</v>
      </c>
      <c r="E925" s="40" t="s">
        <v>167</v>
      </c>
      <c r="F925" s="41">
        <v>34</v>
      </c>
      <c r="G925" s="41">
        <v>121.48</v>
      </c>
      <c r="H925" s="41">
        <v>17.57</v>
      </c>
      <c r="I925" s="41">
        <v>142.82</v>
      </c>
      <c r="J925" s="41">
        <v>4855.88</v>
      </c>
    </row>
    <row r="926" spans="1:10" ht="24">
      <c r="A926" s="39" t="s">
        <v>1148</v>
      </c>
      <c r="B926" s="40" t="s">
        <v>169</v>
      </c>
      <c r="C926" s="40" t="s">
        <v>18</v>
      </c>
      <c r="D926" s="39" t="s">
        <v>170</v>
      </c>
      <c r="E926" s="40" t="s">
        <v>171</v>
      </c>
      <c r="F926" s="41">
        <v>12</v>
      </c>
      <c r="G926" s="41">
        <v>156.33000000000001</v>
      </c>
      <c r="H926" s="41">
        <v>17.57</v>
      </c>
      <c r="I926" s="41">
        <v>183.8</v>
      </c>
      <c r="J926" s="41">
        <v>2205.6</v>
      </c>
    </row>
    <row r="927" spans="1:10" ht="48">
      <c r="A927" s="39" t="s">
        <v>1149</v>
      </c>
      <c r="B927" s="40" t="s">
        <v>176</v>
      </c>
      <c r="C927" s="40" t="s">
        <v>29</v>
      </c>
      <c r="D927" s="39" t="s">
        <v>177</v>
      </c>
      <c r="E927" s="40" t="s">
        <v>20</v>
      </c>
      <c r="F927" s="41">
        <v>121.6</v>
      </c>
      <c r="G927" s="41">
        <v>24.15</v>
      </c>
      <c r="H927" s="41">
        <v>17.57</v>
      </c>
      <c r="I927" s="41">
        <v>28.39</v>
      </c>
      <c r="J927" s="41">
        <v>3452.22</v>
      </c>
    </row>
    <row r="928" spans="1:10" ht="48">
      <c r="A928" s="39" t="s">
        <v>1150</v>
      </c>
      <c r="B928" s="40" t="s">
        <v>173</v>
      </c>
      <c r="C928" s="40" t="s">
        <v>29</v>
      </c>
      <c r="D928" s="39" t="s">
        <v>174</v>
      </c>
      <c r="E928" s="40" t="s">
        <v>40</v>
      </c>
      <c r="F928" s="41">
        <v>2399.96</v>
      </c>
      <c r="G928" s="41">
        <v>5.48</v>
      </c>
      <c r="H928" s="41">
        <v>17.57</v>
      </c>
      <c r="I928" s="41">
        <v>6.44</v>
      </c>
      <c r="J928" s="41">
        <v>15455.74</v>
      </c>
    </row>
    <row r="929" spans="1:10" ht="20.100000000000001" customHeight="1">
      <c r="A929" s="37" t="s">
        <v>1151</v>
      </c>
      <c r="B929" s="521" t="s">
        <v>179</v>
      </c>
      <c r="C929" s="521"/>
      <c r="D929" s="521"/>
      <c r="E929" s="521"/>
      <c r="F929" s="521"/>
      <c r="G929" s="521"/>
      <c r="H929" s="521"/>
      <c r="I929" s="521"/>
      <c r="J929" s="38">
        <v>10327.34</v>
      </c>
    </row>
    <row r="930" spans="1:10" ht="36">
      <c r="A930" s="39" t="s">
        <v>1152</v>
      </c>
      <c r="B930" s="40" t="s">
        <v>181</v>
      </c>
      <c r="C930" s="40" t="s">
        <v>18</v>
      </c>
      <c r="D930" s="39" t="s">
        <v>182</v>
      </c>
      <c r="E930" s="40" t="s">
        <v>183</v>
      </c>
      <c r="F930" s="41">
        <v>78.19</v>
      </c>
      <c r="G930" s="41">
        <v>112.34</v>
      </c>
      <c r="H930" s="41">
        <v>17.57</v>
      </c>
      <c r="I930" s="41">
        <v>132.08000000000001</v>
      </c>
      <c r="J930" s="41">
        <v>10327.34</v>
      </c>
    </row>
    <row r="931" spans="1:10" ht="20.100000000000001" customHeight="1">
      <c r="A931" s="37" t="s">
        <v>1153</v>
      </c>
      <c r="B931" s="521" t="s">
        <v>185</v>
      </c>
      <c r="C931" s="521"/>
      <c r="D931" s="521"/>
      <c r="E931" s="521"/>
      <c r="F931" s="521"/>
      <c r="G931" s="521"/>
      <c r="H931" s="521"/>
      <c r="I931" s="521"/>
      <c r="J931" s="38">
        <v>663672.79</v>
      </c>
    </row>
    <row r="932" spans="1:10" ht="48">
      <c r="A932" s="39" t="s">
        <v>1154</v>
      </c>
      <c r="B932" s="40" t="s">
        <v>187</v>
      </c>
      <c r="C932" s="40" t="s">
        <v>29</v>
      </c>
      <c r="D932" s="39" t="s">
        <v>188</v>
      </c>
      <c r="E932" s="40" t="s">
        <v>31</v>
      </c>
      <c r="F932" s="41">
        <v>10</v>
      </c>
      <c r="G932" s="41">
        <v>830</v>
      </c>
      <c r="H932" s="41">
        <v>10.07</v>
      </c>
      <c r="I932" s="41">
        <v>913.58</v>
      </c>
      <c r="J932" s="41">
        <v>9135.7999999999993</v>
      </c>
    </row>
    <row r="933" spans="1:10" ht="36">
      <c r="A933" s="39" t="s">
        <v>1155</v>
      </c>
      <c r="B933" s="40" t="s">
        <v>190</v>
      </c>
      <c r="C933" s="40" t="s">
        <v>29</v>
      </c>
      <c r="D933" s="39" t="s">
        <v>191</v>
      </c>
      <c r="E933" s="40" t="s">
        <v>31</v>
      </c>
      <c r="F933" s="41">
        <v>10</v>
      </c>
      <c r="G933" s="41">
        <v>648.42999999999995</v>
      </c>
      <c r="H933" s="41">
        <v>10.07</v>
      </c>
      <c r="I933" s="41">
        <v>713.73</v>
      </c>
      <c r="J933" s="41">
        <v>7137.3</v>
      </c>
    </row>
    <row r="934" spans="1:10" ht="36">
      <c r="A934" s="39" t="s">
        <v>1156</v>
      </c>
      <c r="B934" s="40" t="s">
        <v>193</v>
      </c>
      <c r="C934" s="40" t="s">
        <v>29</v>
      </c>
      <c r="D934" s="39" t="s">
        <v>194</v>
      </c>
      <c r="E934" s="40" t="s">
        <v>195</v>
      </c>
      <c r="F934" s="41">
        <v>505.67</v>
      </c>
      <c r="G934" s="41">
        <v>522.5</v>
      </c>
      <c r="H934" s="41">
        <v>10.07</v>
      </c>
      <c r="I934" s="41">
        <v>575.12</v>
      </c>
      <c r="J934" s="41">
        <v>290820.93</v>
      </c>
    </row>
    <row r="935" spans="1:10" ht="24">
      <c r="A935" s="39" t="s">
        <v>1157</v>
      </c>
      <c r="B935" s="40" t="s">
        <v>357</v>
      </c>
      <c r="C935" s="40" t="s">
        <v>161</v>
      </c>
      <c r="D935" s="39" t="s">
        <v>358</v>
      </c>
      <c r="E935" s="40" t="s">
        <v>355</v>
      </c>
      <c r="F935" s="41">
        <v>2</v>
      </c>
      <c r="G935" s="41">
        <v>501.47</v>
      </c>
      <c r="H935" s="41">
        <v>10.07</v>
      </c>
      <c r="I935" s="41">
        <v>551.97</v>
      </c>
      <c r="J935" s="41">
        <v>1103.94</v>
      </c>
    </row>
    <row r="936" spans="1:10" ht="24">
      <c r="A936" s="39" t="s">
        <v>1158</v>
      </c>
      <c r="B936" s="40" t="s">
        <v>197</v>
      </c>
      <c r="C936" s="40" t="s">
        <v>18</v>
      </c>
      <c r="D936" s="39" t="s">
        <v>198</v>
      </c>
      <c r="E936" s="40" t="s">
        <v>44</v>
      </c>
      <c r="F936" s="41">
        <v>880.48</v>
      </c>
      <c r="G936" s="41">
        <v>56.1</v>
      </c>
      <c r="H936" s="41">
        <v>10.07</v>
      </c>
      <c r="I936" s="41">
        <v>61.75</v>
      </c>
      <c r="J936" s="41">
        <v>54369.64</v>
      </c>
    </row>
    <row r="937" spans="1:10">
      <c r="A937" s="39" t="s">
        <v>1159</v>
      </c>
      <c r="B937" s="40" t="s">
        <v>200</v>
      </c>
      <c r="C937" s="40" t="s">
        <v>161</v>
      </c>
      <c r="D937" s="39" t="s">
        <v>201</v>
      </c>
      <c r="E937" s="40" t="s">
        <v>70</v>
      </c>
      <c r="F937" s="41">
        <v>832.05</v>
      </c>
      <c r="G937" s="41">
        <v>90.74</v>
      </c>
      <c r="H937" s="41">
        <v>10.07</v>
      </c>
      <c r="I937" s="41">
        <v>99.88</v>
      </c>
      <c r="J937" s="41">
        <v>83105.149999999994</v>
      </c>
    </row>
    <row r="938" spans="1:10">
      <c r="A938" s="39" t="s">
        <v>1160</v>
      </c>
      <c r="B938" s="40" t="s">
        <v>203</v>
      </c>
      <c r="C938" s="40" t="s">
        <v>161</v>
      </c>
      <c r="D938" s="39" t="s">
        <v>204</v>
      </c>
      <c r="E938" s="40" t="s">
        <v>70</v>
      </c>
      <c r="F938" s="41">
        <v>92.45</v>
      </c>
      <c r="G938" s="41">
        <v>74.53</v>
      </c>
      <c r="H938" s="41">
        <v>10.07</v>
      </c>
      <c r="I938" s="41">
        <v>82.04</v>
      </c>
      <c r="J938" s="41">
        <v>7584.6</v>
      </c>
    </row>
    <row r="939" spans="1:10" ht="24">
      <c r="A939" s="39" t="s">
        <v>1161</v>
      </c>
      <c r="B939" s="40" t="s">
        <v>206</v>
      </c>
      <c r="C939" s="40" t="s">
        <v>18</v>
      </c>
      <c r="D939" s="39" t="s">
        <v>207</v>
      </c>
      <c r="E939" s="40" t="s">
        <v>138</v>
      </c>
      <c r="F939" s="41">
        <v>4750.32</v>
      </c>
      <c r="G939" s="41">
        <v>5.32</v>
      </c>
      <c r="H939" s="41">
        <v>10.07</v>
      </c>
      <c r="I939" s="41">
        <v>5.86</v>
      </c>
      <c r="J939" s="41">
        <v>27836.880000000001</v>
      </c>
    </row>
    <row r="940" spans="1:10" ht="36">
      <c r="A940" s="39" t="s">
        <v>1162</v>
      </c>
      <c r="B940" s="40" t="s">
        <v>209</v>
      </c>
      <c r="C940" s="40" t="s">
        <v>29</v>
      </c>
      <c r="D940" s="39" t="s">
        <v>210</v>
      </c>
      <c r="E940" s="40" t="s">
        <v>60</v>
      </c>
      <c r="F940" s="41">
        <v>308.73</v>
      </c>
      <c r="G940" s="41">
        <v>422.5</v>
      </c>
      <c r="H940" s="41">
        <v>10.07</v>
      </c>
      <c r="I940" s="41">
        <v>465.05</v>
      </c>
      <c r="J940" s="41">
        <v>143574.89000000001</v>
      </c>
    </row>
    <row r="941" spans="1:10" ht="36">
      <c r="A941" s="39" t="s">
        <v>1163</v>
      </c>
      <c r="B941" s="40" t="s">
        <v>212</v>
      </c>
      <c r="C941" s="40" t="s">
        <v>29</v>
      </c>
      <c r="D941" s="39" t="s">
        <v>213</v>
      </c>
      <c r="E941" s="40" t="s">
        <v>20</v>
      </c>
      <c r="F941" s="41">
        <v>375.36</v>
      </c>
      <c r="G941" s="41">
        <v>94.4</v>
      </c>
      <c r="H941" s="41">
        <v>10.07</v>
      </c>
      <c r="I941" s="41">
        <v>103.91</v>
      </c>
      <c r="J941" s="41">
        <v>39003.660000000003</v>
      </c>
    </row>
    <row r="942" spans="1:10" ht="20.100000000000001" customHeight="1">
      <c r="A942" s="37" t="s">
        <v>1164</v>
      </c>
      <c r="B942" s="521" t="s">
        <v>1165</v>
      </c>
      <c r="C942" s="521"/>
      <c r="D942" s="521"/>
      <c r="E942" s="521"/>
      <c r="F942" s="521"/>
      <c r="G942" s="521"/>
      <c r="H942" s="521"/>
      <c r="I942" s="521"/>
      <c r="J942" s="38">
        <v>43327</v>
      </c>
    </row>
    <row r="943" spans="1:10" ht="20.100000000000001" customHeight="1">
      <c r="A943" s="37" t="s">
        <v>1166</v>
      </c>
      <c r="B943" s="521" t="s">
        <v>1167</v>
      </c>
      <c r="C943" s="521"/>
      <c r="D943" s="521"/>
      <c r="E943" s="521"/>
      <c r="F943" s="521"/>
      <c r="G943" s="521"/>
      <c r="H943" s="521"/>
      <c r="I943" s="521"/>
      <c r="J943" s="38">
        <v>43327</v>
      </c>
    </row>
    <row r="944" spans="1:10" ht="20.100000000000001" customHeight="1">
      <c r="A944" s="37" t="s">
        <v>1168</v>
      </c>
      <c r="B944" s="521" t="s">
        <v>15</v>
      </c>
      <c r="C944" s="521"/>
      <c r="D944" s="521"/>
      <c r="E944" s="521"/>
      <c r="F944" s="521"/>
      <c r="G944" s="521"/>
      <c r="H944" s="521"/>
      <c r="I944" s="521"/>
      <c r="J944" s="38">
        <v>3559.05</v>
      </c>
    </row>
    <row r="945" spans="1:10" ht="24">
      <c r="A945" s="39" t="s">
        <v>1169</v>
      </c>
      <c r="B945" s="40" t="s">
        <v>17</v>
      </c>
      <c r="C945" s="40" t="s">
        <v>18</v>
      </c>
      <c r="D945" s="39" t="s">
        <v>19</v>
      </c>
      <c r="E945" s="40" t="s">
        <v>20</v>
      </c>
      <c r="F945" s="41">
        <v>2.88</v>
      </c>
      <c r="G945" s="41">
        <v>564.99</v>
      </c>
      <c r="H945" s="41">
        <v>17.57</v>
      </c>
      <c r="I945" s="41">
        <v>664.26</v>
      </c>
      <c r="J945" s="41">
        <v>1913.07</v>
      </c>
    </row>
    <row r="946" spans="1:10" ht="24">
      <c r="A946" s="39" t="s">
        <v>1170</v>
      </c>
      <c r="B946" s="40" t="s">
        <v>22</v>
      </c>
      <c r="C946" s="40" t="s">
        <v>18</v>
      </c>
      <c r="D946" s="39" t="s">
        <v>23</v>
      </c>
      <c r="E946" s="40" t="s">
        <v>24</v>
      </c>
      <c r="F946" s="41">
        <v>2</v>
      </c>
      <c r="G946" s="41">
        <v>700</v>
      </c>
      <c r="H946" s="41">
        <v>17.57</v>
      </c>
      <c r="I946" s="41">
        <v>822.99</v>
      </c>
      <c r="J946" s="41">
        <v>1645.98</v>
      </c>
    </row>
    <row r="947" spans="1:10" ht="20.100000000000001" customHeight="1">
      <c r="A947" s="37" t="s">
        <v>1171</v>
      </c>
      <c r="B947" s="521" t="s">
        <v>26</v>
      </c>
      <c r="C947" s="521"/>
      <c r="D947" s="521"/>
      <c r="E947" s="521"/>
      <c r="F947" s="521"/>
      <c r="G947" s="521"/>
      <c r="H947" s="521"/>
      <c r="I947" s="521"/>
      <c r="J947" s="38">
        <v>1961.07</v>
      </c>
    </row>
    <row r="948" spans="1:10" ht="24">
      <c r="A948" s="39" t="s">
        <v>1172</v>
      </c>
      <c r="B948" s="40" t="s">
        <v>33</v>
      </c>
      <c r="C948" s="40" t="s">
        <v>29</v>
      </c>
      <c r="D948" s="39" t="s">
        <v>34</v>
      </c>
      <c r="E948" s="40" t="s">
        <v>31</v>
      </c>
      <c r="F948" s="41">
        <v>0.25</v>
      </c>
      <c r="G948" s="41">
        <v>6672</v>
      </c>
      <c r="H948" s="41">
        <v>17.57</v>
      </c>
      <c r="I948" s="41">
        <v>7844.27</v>
      </c>
      <c r="J948" s="41">
        <v>1961.07</v>
      </c>
    </row>
    <row r="949" spans="1:10" ht="20.100000000000001" customHeight="1">
      <c r="A949" s="37" t="s">
        <v>1173</v>
      </c>
      <c r="B949" s="521" t="s">
        <v>1174</v>
      </c>
      <c r="C949" s="521"/>
      <c r="D949" s="521"/>
      <c r="E949" s="521"/>
      <c r="F949" s="521"/>
      <c r="G949" s="521"/>
      <c r="H949" s="521"/>
      <c r="I949" s="521"/>
      <c r="J949" s="38">
        <v>37806.879999999997</v>
      </c>
    </row>
    <row r="950" spans="1:10">
      <c r="A950" s="39" t="s">
        <v>1175</v>
      </c>
      <c r="B950" s="40" t="s">
        <v>534</v>
      </c>
      <c r="C950" s="40" t="s">
        <v>161</v>
      </c>
      <c r="D950" s="39" t="s">
        <v>535</v>
      </c>
      <c r="E950" s="40" t="s">
        <v>163</v>
      </c>
      <c r="F950" s="41">
        <v>2.4</v>
      </c>
      <c r="G950" s="41">
        <v>355.35</v>
      </c>
      <c r="H950" s="41">
        <v>17.57</v>
      </c>
      <c r="I950" s="41">
        <v>417.78</v>
      </c>
      <c r="J950" s="41">
        <v>1002.67</v>
      </c>
    </row>
    <row r="951" spans="1:10">
      <c r="A951" s="39" t="s">
        <v>1176</v>
      </c>
      <c r="B951" s="40" t="s">
        <v>160</v>
      </c>
      <c r="C951" s="40" t="s">
        <v>161</v>
      </c>
      <c r="D951" s="39" t="s">
        <v>162</v>
      </c>
      <c r="E951" s="40" t="s">
        <v>163</v>
      </c>
      <c r="F951" s="41">
        <v>3.8</v>
      </c>
      <c r="G951" s="41">
        <v>347.25</v>
      </c>
      <c r="H951" s="41">
        <v>17.57</v>
      </c>
      <c r="I951" s="41">
        <v>408.26</v>
      </c>
      <c r="J951" s="41">
        <v>1551.39</v>
      </c>
    </row>
    <row r="952" spans="1:10" ht="24">
      <c r="A952" s="39" t="s">
        <v>1177</v>
      </c>
      <c r="B952" s="40" t="s">
        <v>165</v>
      </c>
      <c r="C952" s="40" t="s">
        <v>161</v>
      </c>
      <c r="D952" s="39" t="s">
        <v>166</v>
      </c>
      <c r="E952" s="40" t="s">
        <v>167</v>
      </c>
      <c r="F952" s="41">
        <v>10</v>
      </c>
      <c r="G952" s="41">
        <v>121.48</v>
      </c>
      <c r="H952" s="41">
        <v>17.57</v>
      </c>
      <c r="I952" s="41">
        <v>142.82</v>
      </c>
      <c r="J952" s="41">
        <v>1428.2</v>
      </c>
    </row>
    <row r="953" spans="1:10" ht="48">
      <c r="A953" s="39" t="s">
        <v>1178</v>
      </c>
      <c r="B953" s="40" t="s">
        <v>173</v>
      </c>
      <c r="C953" s="40" t="s">
        <v>29</v>
      </c>
      <c r="D953" s="39" t="s">
        <v>174</v>
      </c>
      <c r="E953" s="40" t="s">
        <v>40</v>
      </c>
      <c r="F953" s="41">
        <v>1281.1400000000001</v>
      </c>
      <c r="G953" s="41">
        <v>5.48</v>
      </c>
      <c r="H953" s="41">
        <v>17.57</v>
      </c>
      <c r="I953" s="41">
        <v>6.44</v>
      </c>
      <c r="J953" s="41">
        <v>8250.5400000000009</v>
      </c>
    </row>
    <row r="954" spans="1:10" ht="36">
      <c r="A954" s="39" t="s">
        <v>1179</v>
      </c>
      <c r="B954" s="40" t="s">
        <v>1180</v>
      </c>
      <c r="C954" s="40" t="s">
        <v>29</v>
      </c>
      <c r="D954" s="39" t="s">
        <v>1181</v>
      </c>
      <c r="E954" s="40" t="s">
        <v>20</v>
      </c>
      <c r="F954" s="41">
        <v>23.6</v>
      </c>
      <c r="G954" s="41">
        <v>42.79</v>
      </c>
      <c r="H954" s="41">
        <v>17.57</v>
      </c>
      <c r="I954" s="41">
        <v>50.31</v>
      </c>
      <c r="J954" s="41">
        <v>1187.32</v>
      </c>
    </row>
    <row r="955" spans="1:10" ht="24">
      <c r="A955" s="39" t="s">
        <v>1182</v>
      </c>
      <c r="B955" s="40" t="s">
        <v>1183</v>
      </c>
      <c r="C955" s="40" t="s">
        <v>161</v>
      </c>
      <c r="D955" s="39" t="s">
        <v>1184</v>
      </c>
      <c r="E955" s="40" t="s">
        <v>167</v>
      </c>
      <c r="F955" s="41">
        <v>455</v>
      </c>
      <c r="G955" s="41">
        <v>35.619999999999997</v>
      </c>
      <c r="H955" s="41">
        <v>17.57</v>
      </c>
      <c r="I955" s="41">
        <v>41.88</v>
      </c>
      <c r="J955" s="41">
        <v>19055.400000000001</v>
      </c>
    </row>
    <row r="956" spans="1:10" ht="24">
      <c r="A956" s="39" t="s">
        <v>1185</v>
      </c>
      <c r="B956" s="40" t="s">
        <v>540</v>
      </c>
      <c r="C956" s="40" t="s">
        <v>18</v>
      </c>
      <c r="D956" s="39" t="s">
        <v>541</v>
      </c>
      <c r="E956" s="40" t="s">
        <v>20</v>
      </c>
      <c r="F956" s="41">
        <v>223.35</v>
      </c>
      <c r="G956" s="41">
        <v>20.3</v>
      </c>
      <c r="H956" s="41">
        <v>17.57</v>
      </c>
      <c r="I956" s="41">
        <v>23.87</v>
      </c>
      <c r="J956" s="41">
        <v>5331.36</v>
      </c>
    </row>
    <row r="957" spans="1:10" ht="15" customHeight="1">
      <c r="A957" s="42"/>
      <c r="B957" s="42"/>
      <c r="C957" s="42"/>
      <c r="D957" s="42"/>
      <c r="E957" s="42"/>
      <c r="F957" s="42"/>
      <c r="G957" s="42"/>
      <c r="H957" s="522" t="s">
        <v>1186</v>
      </c>
      <c r="I957" s="522"/>
      <c r="J957" s="38">
        <v>1677077.46</v>
      </c>
    </row>
    <row r="958" spans="1:10" ht="15" customHeight="1">
      <c r="A958" s="42"/>
      <c r="B958" s="42"/>
      <c r="C958" s="42"/>
      <c r="D958" s="42"/>
      <c r="E958" s="42"/>
      <c r="F958" s="42"/>
      <c r="G958" s="42"/>
      <c r="H958" s="522" t="s">
        <v>1187</v>
      </c>
      <c r="I958" s="522"/>
      <c r="J958" s="38">
        <v>11639864.359999999</v>
      </c>
    </row>
    <row r="959" spans="1:10" ht="15" customHeight="1">
      <c r="A959" s="42"/>
      <c r="B959" s="42"/>
      <c r="C959" s="42"/>
      <c r="D959" s="42"/>
      <c r="E959" s="42"/>
      <c r="F959" s="42"/>
      <c r="G959" s="42"/>
      <c r="H959" s="522" t="s">
        <v>1188</v>
      </c>
      <c r="I959" s="522"/>
      <c r="J959" s="38">
        <v>13316941.82</v>
      </c>
    </row>
  </sheetData>
  <mergeCells count="157">
    <mergeCell ref="H958:I958"/>
    <mergeCell ref="H959:I959"/>
    <mergeCell ref="B943:I943"/>
    <mergeCell ref="B944:I944"/>
    <mergeCell ref="B947:I947"/>
    <mergeCell ref="B949:I949"/>
    <mergeCell ref="H957:I957"/>
    <mergeCell ref="B905:I905"/>
    <mergeCell ref="B923:I923"/>
    <mergeCell ref="B929:I929"/>
    <mergeCell ref="B931:I931"/>
    <mergeCell ref="B942:I942"/>
    <mergeCell ref="B874:I874"/>
    <mergeCell ref="B877:I877"/>
    <mergeCell ref="B879:I879"/>
    <mergeCell ref="B883:I883"/>
    <mergeCell ref="B900:I900"/>
    <mergeCell ref="B852:I852"/>
    <mergeCell ref="B859:I859"/>
    <mergeCell ref="B861:I861"/>
    <mergeCell ref="B870:I870"/>
    <mergeCell ref="B871:I871"/>
    <mergeCell ref="B816:I816"/>
    <mergeCell ref="B819:I819"/>
    <mergeCell ref="B822:I822"/>
    <mergeCell ref="B828:I828"/>
    <mergeCell ref="B832:I832"/>
    <mergeCell ref="B772:I772"/>
    <mergeCell ref="B793:I793"/>
    <mergeCell ref="B801:I801"/>
    <mergeCell ref="B803:I803"/>
    <mergeCell ref="B815:I815"/>
    <mergeCell ref="B736:I736"/>
    <mergeCell ref="B739:I739"/>
    <mergeCell ref="B742:I742"/>
    <mergeCell ref="B747:I747"/>
    <mergeCell ref="B752:I752"/>
    <mergeCell ref="B703:I703"/>
    <mergeCell ref="B717:I717"/>
    <mergeCell ref="B723:I723"/>
    <mergeCell ref="B725:I725"/>
    <mergeCell ref="B735:I735"/>
    <mergeCell ref="B670:I670"/>
    <mergeCell ref="B673:I673"/>
    <mergeCell ref="B676:I676"/>
    <mergeCell ref="B681:I681"/>
    <mergeCell ref="B686:I686"/>
    <mergeCell ref="B641:I641"/>
    <mergeCell ref="B651:I651"/>
    <mergeCell ref="B657:I657"/>
    <mergeCell ref="B659:I659"/>
    <mergeCell ref="B669:I669"/>
    <mergeCell ref="B605:I605"/>
    <mergeCell ref="B608:I608"/>
    <mergeCell ref="B611:I611"/>
    <mergeCell ref="B618:I618"/>
    <mergeCell ref="B623:I623"/>
    <mergeCell ref="B572:I572"/>
    <mergeCell ref="B586:I586"/>
    <mergeCell ref="B592:I592"/>
    <mergeCell ref="B594:I594"/>
    <mergeCell ref="B604:I604"/>
    <mergeCell ref="B544:I544"/>
    <mergeCell ref="B547:I547"/>
    <mergeCell ref="B550:I550"/>
    <mergeCell ref="B552:I552"/>
    <mergeCell ref="B556:I556"/>
    <mergeCell ref="B510:I510"/>
    <mergeCell ref="B525:I525"/>
    <mergeCell ref="B531:I531"/>
    <mergeCell ref="B533:I533"/>
    <mergeCell ref="B543:I543"/>
    <mergeCell ref="B474:I474"/>
    <mergeCell ref="B477:I477"/>
    <mergeCell ref="B480:I480"/>
    <mergeCell ref="B486:I486"/>
    <mergeCell ref="B490:I490"/>
    <mergeCell ref="B444:I444"/>
    <mergeCell ref="B454:I454"/>
    <mergeCell ref="B461:I461"/>
    <mergeCell ref="B463:I463"/>
    <mergeCell ref="B473:I473"/>
    <mergeCell ref="B414:I414"/>
    <mergeCell ref="B417:I417"/>
    <mergeCell ref="B420:I420"/>
    <mergeCell ref="B425:I425"/>
    <mergeCell ref="B430:I430"/>
    <mergeCell ref="B378:I378"/>
    <mergeCell ref="B395:I395"/>
    <mergeCell ref="B402:I402"/>
    <mergeCell ref="B404:I404"/>
    <mergeCell ref="B413:I413"/>
    <mergeCell ref="B362:I362"/>
    <mergeCell ref="B363:I363"/>
    <mergeCell ref="B366:I366"/>
    <mergeCell ref="B369:I369"/>
    <mergeCell ref="B374:I374"/>
    <mergeCell ref="B321:I321"/>
    <mergeCell ref="B326:I326"/>
    <mergeCell ref="B333:I333"/>
    <mergeCell ref="B349:I349"/>
    <mergeCell ref="B355:I355"/>
    <mergeCell ref="B300:I300"/>
    <mergeCell ref="B309:I309"/>
    <mergeCell ref="B310:I310"/>
    <mergeCell ref="B313:I313"/>
    <mergeCell ref="B316:I316"/>
    <mergeCell ref="B264:I264"/>
    <mergeCell ref="B270:I270"/>
    <mergeCell ref="B274:I274"/>
    <mergeCell ref="B292:I292"/>
    <mergeCell ref="B298:I298"/>
    <mergeCell ref="B247:I247"/>
    <mergeCell ref="B257:I257"/>
    <mergeCell ref="B258:I258"/>
    <mergeCell ref="B261:I261"/>
    <mergeCell ref="B204:I204"/>
    <mergeCell ref="B210:I210"/>
    <mergeCell ref="B214:I214"/>
    <mergeCell ref="B229:I229"/>
    <mergeCell ref="B239:I239"/>
    <mergeCell ref="B197:I197"/>
    <mergeCell ref="B198:I198"/>
    <mergeCell ref="B201:I201"/>
    <mergeCell ref="B138:I138"/>
    <mergeCell ref="B143:I143"/>
    <mergeCell ref="B147:I147"/>
    <mergeCell ref="B164:I164"/>
    <mergeCell ref="B178:I178"/>
    <mergeCell ref="B245:I245"/>
    <mergeCell ref="B132:I132"/>
    <mergeCell ref="B135:I135"/>
    <mergeCell ref="B79:I79"/>
    <mergeCell ref="B85:I85"/>
    <mergeCell ref="B89:I89"/>
    <mergeCell ref="B102:I102"/>
    <mergeCell ref="B116:I116"/>
    <mergeCell ref="B184:I184"/>
    <mergeCell ref="B186:I186"/>
    <mergeCell ref="B76:I76"/>
    <mergeCell ref="B11:I11"/>
    <mergeCell ref="B17:I17"/>
    <mergeCell ref="B21:I21"/>
    <mergeCell ref="B40:I40"/>
    <mergeCell ref="B54:I54"/>
    <mergeCell ref="B121:I121"/>
    <mergeCell ref="B123:I123"/>
    <mergeCell ref="B131:I131"/>
    <mergeCell ref="A1:J1"/>
    <mergeCell ref="B3:I3"/>
    <mergeCell ref="B4:I4"/>
    <mergeCell ref="B5:I5"/>
    <mergeCell ref="B8:I8"/>
    <mergeCell ref="B60:I60"/>
    <mergeCell ref="B62:I62"/>
    <mergeCell ref="B72:I72"/>
    <mergeCell ref="B73:I73"/>
  </mergeCells>
  <printOptions horizontalCentered="1"/>
  <pageMargins left="0" right="0" top="0.39370078740157483" bottom="0.78740157480314965" header="0" footer="0"/>
  <pageSetup scale="59" orientation="portrait" r:id="rId1"/>
  <headerFooter>
    <oddFooter>&amp;C&amp;P/&amp;N&amp;R&amp;G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947D0-7ABA-495F-B3D6-7860A47639CE}">
  <sheetPr>
    <pageSetUpPr fitToPage="1"/>
  </sheetPr>
  <dimension ref="A1:AD3706"/>
  <sheetViews>
    <sheetView view="pageBreakPreview" zoomScale="90" zoomScaleSheetLayoutView="90" workbookViewId="0">
      <selection activeCell="C12" sqref="C12"/>
    </sheetView>
  </sheetViews>
  <sheetFormatPr defaultColWidth="9.140625" defaultRowHeight="12.75"/>
  <cols>
    <col min="1" max="1" width="9" style="474" customWidth="1"/>
    <col min="2" max="2" width="13.85546875" style="474" customWidth="1"/>
    <col min="3" max="3" width="58.28515625" style="474" customWidth="1"/>
    <col min="4" max="4" width="7.85546875" style="443" bestFit="1" customWidth="1"/>
    <col min="5" max="5" width="15.7109375" style="474" customWidth="1"/>
    <col min="6" max="6" width="16" style="475" customWidth="1"/>
    <col min="7" max="7" width="14.85546875" style="475" customWidth="1"/>
    <col min="8" max="8" width="16.28515625" style="475" customWidth="1"/>
    <col min="9" max="9" width="17.28515625" style="475" customWidth="1"/>
    <col min="10" max="10" width="17.140625" style="475" customWidth="1"/>
    <col min="11" max="11" width="14.85546875" style="82" customWidth="1"/>
    <col min="12" max="12" width="35.85546875" style="82" customWidth="1"/>
    <col min="13" max="16384" width="9.140625" style="82"/>
  </cols>
  <sheetData>
    <row r="1" spans="1:17" s="79" customFormat="1" ht="15.75" customHeight="1">
      <c r="A1" s="574" t="s">
        <v>1955</v>
      </c>
      <c r="B1" s="575"/>
      <c r="C1" s="575"/>
      <c r="D1" s="575"/>
      <c r="E1" s="575"/>
      <c r="F1" s="575"/>
      <c r="G1" s="575"/>
      <c r="H1" s="575"/>
      <c r="I1" s="575"/>
      <c r="J1" s="575"/>
      <c r="L1" s="80"/>
    </row>
    <row r="2" spans="1:17" s="79" customFormat="1" ht="15.75" customHeight="1">
      <c r="A2" s="576" t="s">
        <v>1956</v>
      </c>
      <c r="B2" s="577"/>
      <c r="C2" s="577"/>
      <c r="D2" s="577"/>
      <c r="E2" s="577"/>
      <c r="F2" s="577"/>
      <c r="G2" s="577"/>
      <c r="H2" s="577"/>
      <c r="I2" s="577"/>
      <c r="J2" s="577"/>
      <c r="L2" s="80"/>
    </row>
    <row r="3" spans="1:17" s="79" customFormat="1" ht="22.5" customHeight="1">
      <c r="A3" s="576" t="s">
        <v>1975</v>
      </c>
      <c r="B3" s="577"/>
      <c r="C3" s="577"/>
      <c r="D3" s="577"/>
      <c r="E3" s="577"/>
      <c r="F3" s="577"/>
      <c r="G3" s="577"/>
      <c r="H3" s="577"/>
      <c r="I3" s="577"/>
      <c r="J3" s="577"/>
      <c r="L3" s="80"/>
    </row>
    <row r="4" spans="1:17" s="79" customFormat="1" ht="22.5" customHeight="1">
      <c r="A4" s="578"/>
      <c r="B4" s="579"/>
      <c r="C4" s="579"/>
      <c r="D4" s="579"/>
      <c r="E4" s="579"/>
      <c r="F4" s="579"/>
      <c r="G4" s="579"/>
      <c r="H4" s="579"/>
      <c r="I4" s="579"/>
      <c r="J4" s="579"/>
      <c r="L4" s="80"/>
      <c r="Q4" s="80"/>
    </row>
    <row r="5" spans="1:17">
      <c r="A5" s="580" t="s">
        <v>1976</v>
      </c>
      <c r="B5" s="581"/>
      <c r="C5" s="581"/>
      <c r="D5" s="581"/>
      <c r="E5" s="581"/>
      <c r="F5" s="581"/>
      <c r="G5" s="581"/>
      <c r="H5" s="581"/>
      <c r="I5" s="581"/>
      <c r="J5" s="582"/>
      <c r="K5" s="81"/>
      <c r="L5" s="81"/>
      <c r="M5" s="81"/>
      <c r="N5" s="81"/>
      <c r="O5" s="81"/>
      <c r="P5" s="81"/>
    </row>
    <row r="6" spans="1:17" ht="30" customHeight="1">
      <c r="A6" s="583" t="str">
        <f>'[3]Planilha Orçamentária'!A6:K6</f>
        <v>Objeto:  PAVIMENTAÇÃO E DRENAGEM, RECAPEAMENTO, CONTENÇÃO DE ENCOSTAS, ADEQUAÇÃO DE VIAS, CICLOFAIXA, PONTES E TRAVESSIAS EM DESNÍVEL, DEMOLIÇÃO E REMOÇÃO DE PAVIMENTOS EM DIVERSOS BAIRROS</v>
      </c>
      <c r="B6" s="583"/>
      <c r="C6" s="583"/>
      <c r="D6" s="583"/>
      <c r="E6" s="583"/>
      <c r="F6" s="583"/>
      <c r="G6" s="583"/>
      <c r="H6" s="583"/>
      <c r="I6" s="583"/>
      <c r="J6" s="583"/>
      <c r="K6" s="83"/>
      <c r="L6" s="84"/>
      <c r="M6" s="81"/>
      <c r="N6" s="81"/>
      <c r="O6" s="81"/>
      <c r="P6" s="81"/>
    </row>
    <row r="7" spans="1:17">
      <c r="A7" s="570" t="s">
        <v>1977</v>
      </c>
      <c r="B7" s="570"/>
      <c r="C7" s="570"/>
      <c r="D7" s="570"/>
      <c r="E7" s="570"/>
      <c r="F7" s="570"/>
      <c r="G7" s="570"/>
      <c r="H7" s="570"/>
      <c r="I7" s="570"/>
      <c r="J7" s="570"/>
      <c r="K7" s="85"/>
      <c r="L7" s="86"/>
      <c r="M7" s="81"/>
      <c r="N7" s="81"/>
      <c r="O7" s="81"/>
      <c r="P7" s="81"/>
    </row>
    <row r="8" spans="1:17" ht="29.25" customHeight="1">
      <c r="A8" s="571" t="s">
        <v>1978</v>
      </c>
      <c r="B8" s="572"/>
      <c r="C8" s="572"/>
      <c r="D8" s="572"/>
      <c r="E8" s="572"/>
      <c r="F8" s="572"/>
      <c r="G8" s="572"/>
      <c r="H8" s="572"/>
      <c r="I8" s="573"/>
      <c r="J8" s="87" t="str" cm="1">
        <f t="array" ref="J8:O8">'[3]Planilha Orçamentária'!A8:F8</f>
        <v>Data: SETEMBRO/2022</v>
      </c>
      <c r="K8" s="85">
        <v>0</v>
      </c>
      <c r="L8" s="86">
        <v>0</v>
      </c>
      <c r="M8" s="81">
        <v>0</v>
      </c>
      <c r="N8" s="81">
        <v>0</v>
      </c>
      <c r="O8" s="81">
        <v>0</v>
      </c>
      <c r="P8" s="81"/>
    </row>
    <row r="9" spans="1:17" s="92" customFormat="1">
      <c r="A9" s="88" t="s">
        <v>1979</v>
      </c>
      <c r="B9" s="88" t="s">
        <v>1980</v>
      </c>
      <c r="C9" s="88" t="s">
        <v>1981</v>
      </c>
      <c r="D9" s="88" t="s">
        <v>1982</v>
      </c>
      <c r="E9" s="88" t="s">
        <v>1983</v>
      </c>
      <c r="F9" s="89" t="s">
        <v>1984</v>
      </c>
      <c r="G9" s="88" t="s">
        <v>1985</v>
      </c>
      <c r="H9" s="88" t="s">
        <v>1986</v>
      </c>
      <c r="I9" s="88" t="s">
        <v>1987</v>
      </c>
      <c r="J9" s="90" t="s">
        <v>1988</v>
      </c>
      <c r="K9" s="86"/>
      <c r="L9" s="86"/>
      <c r="M9" s="91"/>
      <c r="N9" s="91"/>
      <c r="O9" s="91"/>
      <c r="P9" s="91"/>
    </row>
    <row r="10" spans="1:17">
      <c r="A10" s="93" t="str">
        <f>'[3]Planilha Orçamentária'!A13</f>
        <v>1.1</v>
      </c>
      <c r="B10" s="526" t="str">
        <f>VLOOKUP(A10,'[3]Planilha Orçamentária'!A:K,3,0)</f>
        <v>RUA EQUADOR - CAJUEIRO SECO</v>
      </c>
      <c r="C10" s="527"/>
      <c r="D10" s="527"/>
      <c r="E10" s="527"/>
      <c r="F10" s="527"/>
      <c r="G10" s="527"/>
      <c r="H10" s="527"/>
      <c r="I10" s="527"/>
      <c r="J10" s="527"/>
    </row>
    <row r="11" spans="1:17">
      <c r="A11" s="94" t="str">
        <f>'[3]Planilha Orçamentária'!A14</f>
        <v>1.1.1</v>
      </c>
      <c r="B11" s="95"/>
      <c r="C11" s="96" t="str">
        <f>VLOOKUP(A11,'[3]Planilha Orçamentária'!A:K,3,0)</f>
        <v>INSTALAÇÕES PROVISÓRIAS</v>
      </c>
      <c r="D11" s="97"/>
      <c r="E11" s="98"/>
      <c r="F11" s="99"/>
      <c r="G11" s="99"/>
      <c r="H11" s="99"/>
      <c r="I11" s="100"/>
      <c r="J11" s="101"/>
    </row>
    <row r="12" spans="1:17" ht="25.5">
      <c r="A12" s="102" t="str">
        <f>'[3]Planilha Orçamentária'!A15</f>
        <v>1.1.1.1</v>
      </c>
      <c r="B12" s="103" t="str">
        <f>VLOOKUP(A12,'[3]Planilha Orçamentária'!A:K,2,0)</f>
        <v>CP-74209/001-15055090</v>
      </c>
      <c r="C12" s="104" t="str">
        <f>VLOOKUP(A12,'[3]Planilha Orçamentária'!A:K,3,0)</f>
        <v>PLACA DE OBRA EM CHAPA DE ACO GALVANIZADO</v>
      </c>
      <c r="D12" s="105" t="str">
        <f>VLOOKUP(A12,'[3]Planilha Orçamentária'!A:K,4,0)</f>
        <v xml:space="preserve">M2    </v>
      </c>
      <c r="E12" s="104"/>
      <c r="F12" s="106" t="s">
        <v>1989</v>
      </c>
      <c r="G12" s="106" t="s">
        <v>1990</v>
      </c>
      <c r="H12" s="106"/>
      <c r="I12" s="106" t="s">
        <v>1991</v>
      </c>
      <c r="J12" s="107">
        <f>ROUND(SUM(J14:J14),2)</f>
        <v>8</v>
      </c>
    </row>
    <row r="13" spans="1:17">
      <c r="A13" s="102"/>
      <c r="B13" s="108"/>
      <c r="C13" s="104"/>
      <c r="D13" s="109"/>
      <c r="E13" s="110"/>
      <c r="F13" s="111"/>
      <c r="G13" s="111"/>
      <c r="H13" s="111"/>
      <c r="I13" s="111"/>
      <c r="J13" s="107"/>
    </row>
    <row r="14" spans="1:17">
      <c r="A14" s="102"/>
      <c r="B14" s="112"/>
      <c r="C14" s="113"/>
      <c r="D14" s="114"/>
      <c r="E14" s="115"/>
      <c r="F14" s="116">
        <v>2</v>
      </c>
      <c r="G14" s="116">
        <v>4</v>
      </c>
      <c r="H14" s="117"/>
      <c r="I14" s="116">
        <v>1</v>
      </c>
      <c r="J14" s="118">
        <f>ROUND(PRODUCT(E14:I14),2)</f>
        <v>8</v>
      </c>
    </row>
    <row r="15" spans="1:17">
      <c r="A15" s="553"/>
      <c r="B15" s="554"/>
      <c r="C15" s="554"/>
      <c r="D15" s="554"/>
      <c r="E15" s="554"/>
      <c r="F15" s="554"/>
      <c r="G15" s="554"/>
      <c r="H15" s="554"/>
      <c r="I15" s="554"/>
      <c r="J15" s="555"/>
    </row>
    <row r="16" spans="1:17" ht="25.5">
      <c r="A16" s="102" t="str">
        <f>'[3]Planilha Orçamentária'!A16</f>
        <v>1.1.1.2</v>
      </c>
      <c r="B16" s="108" t="str">
        <f>VLOOKUP(A16,'[3]Planilha Orçamentária'!A:K,2,0)</f>
        <v>COMP-07440249</v>
      </c>
      <c r="C16" s="104" t="str">
        <f>VLOOKUP(A16,'[3]Planilha Orçamentária'!A:K,3,0)</f>
        <v>BANHEIRO QUÍMICO, COM LOCAÇÃO, TRANSPORTE E LIMPEZA</v>
      </c>
      <c r="D16" s="105" t="str">
        <f>VLOOKUP(A16,'[3]Planilha Orçamentária'!A:K,4,0)</f>
        <v>MÊS</v>
      </c>
      <c r="E16" s="104"/>
      <c r="F16" s="111"/>
      <c r="G16" s="111"/>
      <c r="H16" s="111"/>
      <c r="I16" s="111"/>
      <c r="J16" s="122">
        <f>ROUND(SUM(J19:J19),2)</f>
        <v>6</v>
      </c>
    </row>
    <row r="17" spans="1:10" ht="25.5">
      <c r="A17" s="102"/>
      <c r="B17" s="108"/>
      <c r="C17" s="104"/>
      <c r="D17" s="105"/>
      <c r="E17" s="104"/>
      <c r="F17" s="111"/>
      <c r="G17" s="111"/>
      <c r="H17" s="111"/>
      <c r="I17" s="106" t="s">
        <v>1992</v>
      </c>
      <c r="J17" s="122"/>
    </row>
    <row r="18" spans="1:10">
      <c r="A18" s="102"/>
      <c r="B18" s="108"/>
      <c r="C18" s="104"/>
      <c r="D18" s="105"/>
      <c r="E18" s="104"/>
      <c r="F18" s="111"/>
      <c r="G18" s="111"/>
      <c r="H18" s="111"/>
      <c r="I18" s="106"/>
      <c r="J18" s="122"/>
    </row>
    <row r="19" spans="1:10">
      <c r="A19" s="102"/>
      <c r="B19" s="123"/>
      <c r="C19" s="124"/>
      <c r="D19" s="125"/>
      <c r="E19" s="126"/>
      <c r="F19" s="126"/>
      <c r="G19" s="117"/>
      <c r="H19" s="117"/>
      <c r="I19" s="127">
        <v>6</v>
      </c>
      <c r="J19" s="128">
        <f>ROUND(PRODUCT(E19:I19),2)</f>
        <v>6</v>
      </c>
    </row>
    <row r="20" spans="1:10">
      <c r="A20" s="102"/>
      <c r="B20" s="123"/>
      <c r="C20" s="124"/>
      <c r="D20" s="125"/>
      <c r="E20" s="126"/>
      <c r="F20" s="126"/>
      <c r="G20" s="117"/>
      <c r="H20" s="117"/>
      <c r="I20" s="127"/>
      <c r="J20" s="128"/>
    </row>
    <row r="21" spans="1:10">
      <c r="A21" s="94" t="str">
        <f>'[3]Planilha Orçamentária'!A17</f>
        <v>1.1.2</v>
      </c>
      <c r="B21" s="95"/>
      <c r="C21" s="96" t="str">
        <f>VLOOKUP(A21,'[3]Planilha Orçamentária'!A:K,3,0)</f>
        <v>ADMINISTRAÇÃO LOCAL</v>
      </c>
      <c r="D21" s="96"/>
      <c r="E21" s="129"/>
      <c r="F21" s="130"/>
      <c r="G21" s="130"/>
      <c r="H21" s="130"/>
      <c r="I21" s="130"/>
      <c r="J21" s="131"/>
    </row>
    <row r="22" spans="1:10" ht="25.5">
      <c r="A22" s="132" t="str">
        <f>'[3]Planilha Orçamentária'!A18</f>
        <v>1.1.2.1</v>
      </c>
      <c r="B22" s="103">
        <f>VLOOKUP(A22,'[3]Planilha Orçamentária'!A:K,2,0)</f>
        <v>93565</v>
      </c>
      <c r="C22" s="104" t="str">
        <f>VLOOKUP(A22,'[3]Planilha Orçamentária'!A:K,3,0)</f>
        <v>ENGENHEIRO CIVIL DE OBRA JUNIOR COM ENCARGOS COMPLEMENTARES</v>
      </c>
      <c r="D22" s="105" t="str">
        <f>VLOOKUP(A22,'[3]Planilha Orçamentária'!A:K,4,0)</f>
        <v>MES</v>
      </c>
      <c r="E22" s="133"/>
      <c r="F22" s="134"/>
      <c r="G22" s="134"/>
      <c r="H22" s="134"/>
      <c r="I22" s="134"/>
      <c r="J22" s="107">
        <f>ROUND(SUM(J24),2)</f>
        <v>0.75</v>
      </c>
    </row>
    <row r="23" spans="1:10" ht="14.25">
      <c r="A23" s="132"/>
      <c r="B23" s="103"/>
      <c r="C23" s="135"/>
      <c r="D23" s="105"/>
      <c r="E23" s="136"/>
      <c r="F23" s="136"/>
      <c r="G23" s="136"/>
      <c r="H23" s="136"/>
      <c r="I23" s="136"/>
      <c r="J23" s="107"/>
    </row>
    <row r="24" spans="1:10" ht="14.25">
      <c r="A24" s="137"/>
      <c r="B24" s="138"/>
      <c r="C24" s="135" t="s">
        <v>1993</v>
      </c>
      <c r="D24" s="139"/>
      <c r="E24" s="136">
        <f>22/176</f>
        <v>0.125</v>
      </c>
      <c r="F24" s="136"/>
      <c r="G24" s="136"/>
      <c r="H24" s="136"/>
      <c r="I24" s="136">
        <f>I19</f>
        <v>6</v>
      </c>
      <c r="J24" s="118">
        <f>ROUND(PRODUCT(E24:I24),2)</f>
        <v>0.75</v>
      </c>
    </row>
    <row r="25" spans="1:10" ht="14.25">
      <c r="A25" s="137"/>
      <c r="B25" s="138"/>
      <c r="C25" s="135" t="s">
        <v>1994</v>
      </c>
      <c r="D25" s="139"/>
      <c r="E25" s="136"/>
      <c r="F25" s="136"/>
      <c r="G25" s="136"/>
      <c r="H25" s="136"/>
      <c r="I25" s="136"/>
      <c r="J25" s="140"/>
    </row>
    <row r="26" spans="1:10" ht="14.25">
      <c r="A26" s="137"/>
      <c r="B26" s="138"/>
      <c r="C26" s="135" t="s">
        <v>1995</v>
      </c>
      <c r="D26" s="141"/>
      <c r="E26" s="142"/>
      <c r="F26" s="127"/>
      <c r="G26" s="117"/>
      <c r="H26" s="117"/>
      <c r="I26" s="143"/>
      <c r="J26" s="144"/>
    </row>
    <row r="27" spans="1:10">
      <c r="A27" s="531"/>
      <c r="B27" s="531"/>
      <c r="C27" s="531"/>
      <c r="D27" s="531"/>
      <c r="E27" s="531"/>
      <c r="F27" s="531"/>
      <c r="G27" s="531"/>
      <c r="H27" s="531"/>
      <c r="I27" s="531"/>
      <c r="J27" s="531"/>
    </row>
    <row r="28" spans="1:10" ht="25.5">
      <c r="A28" s="132" t="str">
        <f>'[3]Planilha Orçamentária'!A19</f>
        <v>1.1.2.2</v>
      </c>
      <c r="B28" s="103">
        <f>VLOOKUP(A28,'[3]Planilha Orçamentária'!A:K,2,0)</f>
        <v>93572</v>
      </c>
      <c r="C28" s="104" t="str">
        <f>VLOOKUP(A28,'[3]Planilha Orçamentária'!A:K,3,0)</f>
        <v>ENCARREGADO GERAL DE OBRAS COM ENCARGOS COMPLEMENTARES</v>
      </c>
      <c r="D28" s="105" t="str">
        <f>VLOOKUP(A28,'[3]Planilha Orçamentária'!A:K,4,0)</f>
        <v>MES</v>
      </c>
      <c r="E28" s="133"/>
      <c r="F28" s="134"/>
      <c r="G28" s="134"/>
      <c r="H28" s="134"/>
      <c r="I28" s="134"/>
      <c r="J28" s="107">
        <f>ROUND(SUM(J30),2)</f>
        <v>3</v>
      </c>
    </row>
    <row r="29" spans="1:10" ht="14.25">
      <c r="A29" s="102"/>
      <c r="B29" s="102"/>
      <c r="C29" s="135" t="s">
        <v>1996</v>
      </c>
      <c r="D29" s="102"/>
      <c r="E29" s="136"/>
      <c r="F29" s="102"/>
      <c r="G29" s="102"/>
      <c r="H29" s="102"/>
      <c r="I29" s="102"/>
      <c r="J29" s="121"/>
    </row>
    <row r="30" spans="1:10" ht="14.25">
      <c r="A30" s="102"/>
      <c r="B30" s="102"/>
      <c r="C30" s="135" t="s">
        <v>1997</v>
      </c>
      <c r="D30" s="102"/>
      <c r="E30" s="136">
        <f>88/176</f>
        <v>0.5</v>
      </c>
      <c r="F30" s="102"/>
      <c r="G30" s="102"/>
      <c r="H30" s="102"/>
      <c r="I30" s="136">
        <f>I19</f>
        <v>6</v>
      </c>
      <c r="J30" s="128">
        <f>ROUND(PRODUCT(E30:I30),2)</f>
        <v>3</v>
      </c>
    </row>
    <row r="31" spans="1:10" ht="14.25">
      <c r="A31" s="102"/>
      <c r="B31" s="119"/>
      <c r="C31" s="135" t="s">
        <v>1995</v>
      </c>
      <c r="D31" s="102"/>
      <c r="E31" s="102"/>
      <c r="F31" s="102"/>
      <c r="G31" s="102"/>
      <c r="H31" s="102"/>
      <c r="I31" s="102"/>
      <c r="J31" s="102"/>
    </row>
    <row r="32" spans="1:10">
      <c r="A32" s="102"/>
      <c r="B32" s="119"/>
      <c r="C32" s="102"/>
      <c r="D32" s="120"/>
      <c r="E32" s="120"/>
      <c r="F32" s="120"/>
      <c r="G32" s="120"/>
      <c r="H32" s="120"/>
      <c r="I32" s="121"/>
      <c r="J32" s="102"/>
    </row>
    <row r="33" spans="1:10">
      <c r="A33" s="94" t="str">
        <f>'[3]Planilha Orçamentária'!A20</f>
        <v>1.1.3</v>
      </c>
      <c r="B33" s="95"/>
      <c r="C33" s="96" t="str">
        <f>VLOOKUP(A33,'[3]Planilha Orçamentária'!A:K,3,0)</f>
        <v>SERVIÇOS PRELIMINARES</v>
      </c>
      <c r="D33" s="97"/>
      <c r="E33" s="98"/>
      <c r="F33" s="99"/>
      <c r="G33" s="99"/>
      <c r="H33" s="99"/>
      <c r="I33" s="100"/>
      <c r="J33" s="101"/>
    </row>
    <row r="34" spans="1:10">
      <c r="A34" s="145" t="str">
        <f>'[3]Planilha Orçamentária'!A21</f>
        <v>1.1.3.1</v>
      </c>
      <c r="B34" s="146">
        <f>VLOOKUP(A34,'[3]Planilha Orçamentária'!A:K,2,0)</f>
        <v>99064</v>
      </c>
      <c r="C34" s="147" t="str">
        <f>VLOOKUP(A34,'[3]Planilha Orçamentária'!A:K,3,0)</f>
        <v>LOCAÇÃO DE PAVIMENTAÇÃO. AF_10/2018</v>
      </c>
      <c r="D34" s="148" t="str">
        <f>VLOOKUP(A34,'[3]Planilha Orçamentária'!A:K,4,0)</f>
        <v>M</v>
      </c>
      <c r="E34" s="147"/>
      <c r="F34" s="136"/>
      <c r="G34" s="149"/>
      <c r="H34" s="149"/>
      <c r="I34" s="149"/>
      <c r="J34" s="150">
        <f>ROUND(SUM(J36:J38),2)</f>
        <v>614.66999999999996</v>
      </c>
    </row>
    <row r="35" spans="1:10">
      <c r="A35" s="151"/>
      <c r="B35" s="152"/>
      <c r="C35" s="147"/>
      <c r="D35" s="148"/>
      <c r="E35" s="147"/>
      <c r="F35" s="106" t="s">
        <v>1989</v>
      </c>
      <c r="G35" s="149"/>
      <c r="H35" s="149"/>
      <c r="I35" s="149"/>
      <c r="J35" s="150"/>
    </row>
    <row r="36" spans="1:10">
      <c r="A36" s="153"/>
      <c r="B36" s="154"/>
      <c r="C36" s="155" t="s">
        <v>1998</v>
      </c>
      <c r="D36" s="156"/>
      <c r="E36" s="157"/>
      <c r="F36" s="136">
        <f>[3]PARÂMETROS!B124</f>
        <v>317.47000000000003</v>
      </c>
      <c r="G36" s="157"/>
      <c r="H36" s="157"/>
      <c r="I36" s="157"/>
      <c r="J36" s="158">
        <f>ROUND(PRODUCT(E36:I36),2)</f>
        <v>317.47000000000003</v>
      </c>
    </row>
    <row r="37" spans="1:10">
      <c r="A37" s="153"/>
      <c r="B37" s="154"/>
      <c r="C37" s="155" t="s">
        <v>1999</v>
      </c>
      <c r="D37" s="156"/>
      <c r="E37" s="157"/>
      <c r="F37" s="136">
        <f>[3]PARÂMETROS!B125</f>
        <v>147.16</v>
      </c>
      <c r="G37" s="157"/>
      <c r="H37" s="157"/>
      <c r="I37" s="157"/>
      <c r="J37" s="158">
        <f t="shared" ref="J37:J38" si="0">ROUND(PRODUCT(E37:I37),2)</f>
        <v>147.16</v>
      </c>
    </row>
    <row r="38" spans="1:10">
      <c r="A38" s="153"/>
      <c r="B38" s="154"/>
      <c r="C38" s="155" t="s">
        <v>2000</v>
      </c>
      <c r="D38" s="156"/>
      <c r="E38" s="157"/>
      <c r="F38" s="136">
        <f>[3]PARÂMETROS!B126</f>
        <v>150.04</v>
      </c>
      <c r="G38" s="157"/>
      <c r="H38" s="157"/>
      <c r="I38" s="157"/>
      <c r="J38" s="158">
        <f t="shared" si="0"/>
        <v>150.04</v>
      </c>
    </row>
    <row r="39" spans="1:10">
      <c r="A39" s="531"/>
      <c r="B39" s="531"/>
      <c r="C39" s="531"/>
      <c r="D39" s="531"/>
      <c r="E39" s="531"/>
      <c r="F39" s="531"/>
      <c r="G39" s="531"/>
      <c r="H39" s="531"/>
      <c r="I39" s="531"/>
      <c r="J39" s="531"/>
    </row>
    <row r="40" spans="1:10" ht="25.5">
      <c r="A40" s="145" t="str">
        <f>'[3]Planilha Orçamentária'!A22</f>
        <v>1.1.3.2</v>
      </c>
      <c r="B40" s="146" t="str">
        <f>VLOOKUP(A40,'[3]Planilha Orçamentária'!A:K,2,0)</f>
        <v>COMP-17562084</v>
      </c>
      <c r="C40" s="147" t="str">
        <f>VLOOKUP(A40,'[3]Planilha Orçamentária'!A:K,3,0)</f>
        <v>DEMOLIÇÃO MANUAL DE CONCRETO SIMPLES</v>
      </c>
      <c r="D40" s="148" t="str">
        <f>VLOOKUP(A40,'[3]Planilha Orçamentária'!A:K,4,0)</f>
        <v>M3</v>
      </c>
      <c r="E40" s="147"/>
      <c r="F40" s="136"/>
      <c r="G40" s="149"/>
      <c r="H40" s="149"/>
      <c r="I40" s="149"/>
      <c r="J40" s="150">
        <f>ROUND(SUM(J42),2)</f>
        <v>211.49</v>
      </c>
    </row>
    <row r="41" spans="1:10">
      <c r="A41" s="151"/>
      <c r="B41" s="152"/>
      <c r="C41" s="159" t="s">
        <v>2001</v>
      </c>
      <c r="D41" s="148"/>
      <c r="E41" s="147"/>
      <c r="F41" s="160"/>
      <c r="G41" s="160"/>
      <c r="H41" s="161" t="s">
        <v>2002</v>
      </c>
      <c r="I41" s="106" t="s">
        <v>2003</v>
      </c>
      <c r="J41" s="150"/>
    </row>
    <row r="42" spans="1:10" ht="25.5">
      <c r="A42" s="153"/>
      <c r="B42" s="154"/>
      <c r="C42" s="162" t="s">
        <v>2004</v>
      </c>
      <c r="D42" s="123"/>
      <c r="E42" s="123"/>
      <c r="F42" s="157"/>
      <c r="G42" s="157"/>
      <c r="H42" s="157">
        <v>7.0000000000000007E-2</v>
      </c>
      <c r="I42" s="157">
        <v>3021.34</v>
      </c>
      <c r="J42" s="158">
        <f>ROUND(PRODUCT(E42:I42),2)</f>
        <v>211.49</v>
      </c>
    </row>
    <row r="43" spans="1:10">
      <c r="A43" s="531"/>
      <c r="B43" s="531"/>
      <c r="C43" s="531"/>
      <c r="D43" s="531"/>
      <c r="E43" s="531"/>
      <c r="F43" s="531"/>
      <c r="G43" s="531"/>
      <c r="H43" s="531"/>
      <c r="I43" s="531"/>
      <c r="J43" s="531"/>
    </row>
    <row r="44" spans="1:10" ht="25.5">
      <c r="A44" s="145" t="str">
        <f>'[3]Planilha Orçamentária'!A23</f>
        <v>1.1.3.3</v>
      </c>
      <c r="B44" s="146" t="str">
        <f>VLOOKUP(A44,'[3]Planilha Orçamentária'!A:K,2,0)</f>
        <v>COMP-01471766</v>
      </c>
      <c r="C44" s="147" t="str">
        <f>VLOOKUP(A44,'[3]Planilha Orçamentária'!A:K,3,0)</f>
        <v>DEMOLIÇÃO DE MEIO-FIO</v>
      </c>
      <c r="D44" s="148" t="str">
        <f>VLOOKUP(A44,'[3]Planilha Orçamentária'!A:K,4,0)</f>
        <v>M</v>
      </c>
      <c r="E44" s="147"/>
      <c r="F44" s="136"/>
      <c r="G44" s="149"/>
      <c r="H44" s="149"/>
      <c r="I44" s="149"/>
      <c r="J44" s="150">
        <f>ROUND(SUM(J46),2)</f>
        <v>1279.92</v>
      </c>
    </row>
    <row r="45" spans="1:10">
      <c r="A45" s="102"/>
      <c r="B45" s="119"/>
      <c r="C45" s="159" t="s">
        <v>2001</v>
      </c>
      <c r="D45" s="102"/>
      <c r="E45" s="102"/>
      <c r="F45" s="163" t="s">
        <v>1989</v>
      </c>
      <c r="G45" s="164"/>
      <c r="H45" s="164"/>
      <c r="I45" s="164"/>
      <c r="J45" s="102"/>
    </row>
    <row r="46" spans="1:10" ht="25.5">
      <c r="A46" s="102"/>
      <c r="B46" s="119"/>
      <c r="C46" s="162" t="s">
        <v>2005</v>
      </c>
      <c r="D46" s="102"/>
      <c r="E46" s="102"/>
      <c r="F46" s="157">
        <v>1279.92</v>
      </c>
      <c r="G46" s="164"/>
      <c r="H46" s="164"/>
      <c r="I46" s="164"/>
      <c r="J46" s="158">
        <f>ROUND(PRODUCT(E46:I46),2)</f>
        <v>1279.92</v>
      </c>
    </row>
    <row r="47" spans="1:10">
      <c r="A47" s="102"/>
      <c r="B47" s="119"/>
      <c r="C47" s="102"/>
      <c r="D47" s="102"/>
      <c r="E47" s="102"/>
      <c r="F47" s="102"/>
      <c r="G47" s="164"/>
      <c r="H47" s="164"/>
      <c r="I47" s="164"/>
      <c r="J47" s="102"/>
    </row>
    <row r="48" spans="1:10" ht="51">
      <c r="A48" s="145" t="str">
        <f>'[3]Planilha Orçamentária'!A24</f>
        <v>1.1.3.4</v>
      </c>
      <c r="B48" s="146" t="str">
        <f>VLOOKUP(A48,'[3]Planilha Orçamentária'!A:K,2,0)</f>
        <v>COMP-35145154</v>
      </c>
      <c r="C48" s="147" t="str">
        <f>VLOOKUP(A48,'[3]Planilha Orçamentária'!A:K,3,0)</f>
        <v>CARGA E DESCARGA MECANICA DE SOLO UTILIZANDO CAMINHAO BASCULANTE 14,0M3/36T E PA CARREGADEIRA SOBRE PNEUS 128 HP, CAPACIDADE DA CAÇAMBA 1,7 A 2,8 M3, PESO OPERACIONAL 11632 KH</v>
      </c>
      <c r="D48" s="148" t="str">
        <f>VLOOKUP(A48,'[3]Planilha Orçamentária'!A:K,4,0)</f>
        <v>M3</v>
      </c>
      <c r="E48" s="147"/>
      <c r="F48" s="136"/>
      <c r="G48" s="149"/>
      <c r="H48" s="149"/>
      <c r="I48" s="149"/>
      <c r="J48" s="150">
        <f>ROUND(SUM(J50:J52),2)</f>
        <v>336.36</v>
      </c>
    </row>
    <row r="49" spans="1:10">
      <c r="A49" s="151"/>
      <c r="B49" s="152"/>
      <c r="C49" s="165"/>
      <c r="D49" s="166"/>
      <c r="E49" s="162" t="s">
        <v>2006</v>
      </c>
      <c r="F49" s="149"/>
      <c r="G49" s="149"/>
      <c r="H49" s="149"/>
      <c r="I49" s="161" t="s">
        <v>2007</v>
      </c>
      <c r="J49" s="150"/>
    </row>
    <row r="50" spans="1:10">
      <c r="A50" s="153"/>
      <c r="B50" s="154"/>
      <c r="C50" s="165" t="s">
        <v>2008</v>
      </c>
      <c r="D50" s="166"/>
      <c r="E50" s="162">
        <v>1.25</v>
      </c>
      <c r="F50" s="149"/>
      <c r="G50" s="149"/>
      <c r="H50" s="149"/>
      <c r="I50" s="167">
        <f>J40</f>
        <v>211.49</v>
      </c>
      <c r="J50" s="158">
        <f>ROUND(PRODUCT(E50:I50),2)</f>
        <v>264.36</v>
      </c>
    </row>
    <row r="51" spans="1:10">
      <c r="A51" s="153"/>
      <c r="B51" s="154"/>
      <c r="C51" s="168"/>
      <c r="D51" s="166"/>
      <c r="E51" s="162" t="s">
        <v>2006</v>
      </c>
      <c r="F51" s="169" t="s">
        <v>1989</v>
      </c>
      <c r="G51" s="169" t="s">
        <v>1990</v>
      </c>
      <c r="H51" s="169" t="s">
        <v>2002</v>
      </c>
      <c r="I51" s="167"/>
      <c r="J51" s="158"/>
    </row>
    <row r="52" spans="1:10">
      <c r="A52" s="153"/>
      <c r="B52" s="154"/>
      <c r="C52" s="165" t="s">
        <v>2009</v>
      </c>
      <c r="D52" s="166"/>
      <c r="E52" s="162">
        <v>1.25</v>
      </c>
      <c r="F52" s="170">
        <f>J44</f>
        <v>1279.92</v>
      </c>
      <c r="G52" s="169">
        <v>0.15</v>
      </c>
      <c r="H52" s="169">
        <v>0.3</v>
      </c>
      <c r="I52" s="167"/>
      <c r="J52" s="158">
        <f>ROUND(PRODUCT(E52:I52),2)</f>
        <v>72</v>
      </c>
    </row>
    <row r="53" spans="1:10">
      <c r="A53" s="531"/>
      <c r="B53" s="531"/>
      <c r="C53" s="531"/>
      <c r="D53" s="531"/>
      <c r="E53" s="531"/>
      <c r="F53" s="531"/>
      <c r="G53" s="531"/>
      <c r="H53" s="531"/>
      <c r="I53" s="531"/>
      <c r="J53" s="531"/>
    </row>
    <row r="54" spans="1:10" ht="38.25">
      <c r="A54" s="145" t="str">
        <f>'[3]Planilha Orçamentária'!A25</f>
        <v>1.1.3.5</v>
      </c>
      <c r="B54" s="146">
        <f>VLOOKUP(A54,'[3]Planilha Orçamentária'!A:K,2,0)</f>
        <v>95876</v>
      </c>
      <c r="C54" s="147" t="str">
        <f>VLOOKUP(A54,'[3]Planilha Orçamentária'!A:K,3,0)</f>
        <v>TRANSPORTE COM CAMINHÃO BASCULANTE DE 14 M³, EM VIA URBANA PAVIMENTADA, DMT ATÉ 30 KM (UNIDADE: M3XKM). AF_07/2020</v>
      </c>
      <c r="D54" s="148" t="str">
        <f>VLOOKUP(A54,'[3]Planilha Orçamentária'!A:K,4,0)</f>
        <v>M3XKM</v>
      </c>
      <c r="E54" s="147"/>
      <c r="F54" s="136"/>
      <c r="G54" s="149"/>
      <c r="H54" s="149"/>
      <c r="I54" s="149"/>
      <c r="J54" s="150">
        <f>ROUND(SUM(J56),2)</f>
        <v>706.36</v>
      </c>
    </row>
    <row r="55" spans="1:10">
      <c r="A55" s="151"/>
      <c r="B55" s="152"/>
      <c r="C55" s="171" t="s">
        <v>2010</v>
      </c>
      <c r="D55" s="123"/>
      <c r="E55" s="123" t="s">
        <v>2011</v>
      </c>
      <c r="F55" s="123"/>
      <c r="G55" s="123"/>
      <c r="H55" s="123"/>
      <c r="I55" s="123" t="s">
        <v>2007</v>
      </c>
      <c r="J55" s="150"/>
    </row>
    <row r="56" spans="1:10">
      <c r="A56" s="153"/>
      <c r="B56" s="154"/>
      <c r="C56" s="155" t="s">
        <v>2012</v>
      </c>
      <c r="D56" s="123"/>
      <c r="E56" s="162">
        <v>2.1</v>
      </c>
      <c r="F56" s="162"/>
      <c r="G56" s="162"/>
      <c r="H56" s="162"/>
      <c r="I56" s="172">
        <f>J48</f>
        <v>336.36</v>
      </c>
      <c r="J56" s="158">
        <f>ROUND(PRODUCT(E56:I56),2)</f>
        <v>706.36</v>
      </c>
    </row>
    <row r="57" spans="1:10">
      <c r="A57" s="531"/>
      <c r="B57" s="531"/>
      <c r="C57" s="531"/>
      <c r="D57" s="531"/>
      <c r="E57" s="531"/>
      <c r="F57" s="531"/>
      <c r="G57" s="531"/>
      <c r="H57" s="531"/>
      <c r="I57" s="531"/>
      <c r="J57" s="531"/>
    </row>
    <row r="58" spans="1:10">
      <c r="A58" s="94" t="str">
        <f>'[3]Planilha Orçamentária'!A26</f>
        <v>1.1.4</v>
      </c>
      <c r="B58" s="95"/>
      <c r="C58" s="96" t="str">
        <f>VLOOKUP(A58,'[3]Planilha Orçamentária'!A:K,3,0)</f>
        <v>TERRAPLANAGEM</v>
      </c>
      <c r="D58" s="97"/>
      <c r="E58" s="98"/>
      <c r="F58" s="99"/>
      <c r="G58" s="99"/>
      <c r="H58" s="99"/>
      <c r="I58" s="100"/>
      <c r="J58" s="173"/>
    </row>
    <row r="59" spans="1:10" ht="38.25">
      <c r="A59" s="132" t="str">
        <f>'[3]Planilha Orçamentária'!A27</f>
        <v>1.1.4.1</v>
      </c>
      <c r="B59" s="103" t="str">
        <f>VLOOKUP(A59,'[3]Planilha Orçamentária'!A:K,2,0)</f>
        <v>CP-74205/001-17324935</v>
      </c>
      <c r="C59" s="104" t="str">
        <f>VLOOKUP(A59,'[3]Planilha Orçamentária'!A:K,3,0)</f>
        <v>ESCAVAÇÃO MECÂNICA DE MATERIAL 1A. CATEGORIA, PROVENIENTE DE CORTE DE SUBLEITO (C/TRATOR ESTEIRAS  160HP)</v>
      </c>
      <c r="D59" s="105" t="str">
        <f>VLOOKUP(A59,'[3]Planilha Orçamentária'!A:K,4,0)</f>
        <v>M3</v>
      </c>
      <c r="E59" s="104"/>
      <c r="F59" s="111"/>
      <c r="G59" s="111"/>
      <c r="H59" s="111"/>
      <c r="I59" s="111"/>
      <c r="J59" s="107">
        <f>ROUND(SUM(J61:J61),2)</f>
        <v>2121.4899999999998</v>
      </c>
    </row>
    <row r="60" spans="1:10">
      <c r="A60" s="132"/>
      <c r="B60" s="103"/>
      <c r="C60" s="165" t="s">
        <v>2013</v>
      </c>
      <c r="D60" s="105"/>
      <c r="E60" s="104"/>
      <c r="F60" s="111"/>
      <c r="G60" s="111"/>
      <c r="H60" s="111"/>
      <c r="I60" s="106" t="s">
        <v>2007</v>
      </c>
      <c r="J60" s="107"/>
    </row>
    <row r="61" spans="1:10">
      <c r="A61" s="174"/>
      <c r="B61" s="175"/>
      <c r="C61" s="155" t="s">
        <v>2014</v>
      </c>
      <c r="D61" s="156"/>
      <c r="E61" s="157"/>
      <c r="F61" s="157"/>
      <c r="G61" s="157"/>
      <c r="H61" s="157"/>
      <c r="I61" s="157">
        <f>[3]PARÂMETROS!G128</f>
        <v>2121.4899999999998</v>
      </c>
      <c r="J61" s="176">
        <f>ROUND(PRODUCT(E61:I61),2)</f>
        <v>2121.4899999999998</v>
      </c>
    </row>
    <row r="62" spans="1:10">
      <c r="A62" s="549"/>
      <c r="B62" s="549"/>
      <c r="C62" s="549"/>
      <c r="D62" s="549"/>
      <c r="E62" s="549"/>
      <c r="F62" s="549"/>
      <c r="G62" s="549"/>
      <c r="H62" s="549"/>
      <c r="I62" s="549"/>
      <c r="J62" s="549"/>
    </row>
    <row r="63" spans="1:10" ht="51">
      <c r="A63" s="177" t="str">
        <f>'[3]Planilha Orçamentária'!A28</f>
        <v>1.1.4.2</v>
      </c>
      <c r="B63" s="178" t="str">
        <f>VLOOKUP(A63,'[3]Planilha Orçamentária'!A:K,2,0)</f>
        <v>COMP-35145154</v>
      </c>
      <c r="C63" s="179" t="str">
        <f>VLOOKUP(A63,'[3]Planilha Orçamentária'!A:K,3,0)</f>
        <v>CARGA E DESCARGA MECANICA DE SOLO UTILIZANDO CAMINHAO BASCULANTE 14,0M3/36T E PA CARREGADEIRA SOBRE PNEUS 128 HP, CAPACIDADE DA CAÇAMBA 1,7 A 2,8 M3, PESO OPERACIONAL 11632 KH</v>
      </c>
      <c r="D63" s="180" t="str">
        <f>VLOOKUP(A63,'[3]Planilha Orçamentária'!A:K,4,0)</f>
        <v>M3</v>
      </c>
      <c r="E63" s="179"/>
      <c r="F63" s="181"/>
      <c r="G63" s="181"/>
      <c r="H63" s="181"/>
      <c r="I63" s="181"/>
      <c r="J63" s="182">
        <f>ROUND(SUM(J66:J66),2)</f>
        <v>2651.86</v>
      </c>
    </row>
    <row r="64" spans="1:10">
      <c r="A64" s="177"/>
      <c r="B64" s="178"/>
      <c r="C64" s="165" t="s">
        <v>2013</v>
      </c>
      <c r="D64" s="180"/>
      <c r="E64" s="179"/>
      <c r="F64" s="181"/>
      <c r="G64" s="181"/>
      <c r="H64" s="181"/>
      <c r="I64" s="181"/>
      <c r="J64" s="182"/>
    </row>
    <row r="65" spans="1:10">
      <c r="A65" s="177"/>
      <c r="B65" s="178"/>
      <c r="C65" s="155" t="s">
        <v>2015</v>
      </c>
      <c r="D65" s="183"/>
      <c r="E65" s="184" t="s">
        <v>2006</v>
      </c>
      <c r="F65" s="181"/>
      <c r="G65" s="181"/>
      <c r="H65" s="181"/>
      <c r="I65" s="106" t="s">
        <v>2007</v>
      </c>
      <c r="J65" s="182"/>
    </row>
    <row r="66" spans="1:10">
      <c r="A66" s="123"/>
      <c r="B66" s="123"/>
      <c r="C66" s="155" t="s">
        <v>2016</v>
      </c>
      <c r="D66" s="185"/>
      <c r="E66" s="116">
        <v>1.25</v>
      </c>
      <c r="F66" s="116"/>
      <c r="G66" s="116"/>
      <c r="H66" s="116"/>
      <c r="I66" s="116">
        <f>[3]PARÂMETROS!G129</f>
        <v>2121.4899999999998</v>
      </c>
      <c r="J66" s="118">
        <f>ROUND(PRODUCT(E66:I66),2)</f>
        <v>2651.86</v>
      </c>
    </row>
    <row r="67" spans="1:10">
      <c r="A67" s="549"/>
      <c r="B67" s="549"/>
      <c r="C67" s="549"/>
      <c r="D67" s="549"/>
      <c r="E67" s="549"/>
      <c r="F67" s="549"/>
      <c r="G67" s="549"/>
      <c r="H67" s="549"/>
      <c r="I67" s="549"/>
      <c r="J67" s="549"/>
    </row>
    <row r="68" spans="1:10" ht="38.25">
      <c r="A68" s="186" t="str">
        <f>'[3]Planilha Orçamentária'!A29</f>
        <v>1.1.4.3</v>
      </c>
      <c r="B68" s="187">
        <f>VLOOKUP(A68,'[3]Planilha Orçamentária'!A:K,2,0)</f>
        <v>95876</v>
      </c>
      <c r="C68" s="188" t="str">
        <f>VLOOKUP(A68,'[3]Planilha Orçamentária'!A:K,3,0)</f>
        <v>TRANSPORTE COM CAMINHÃO BASCULANTE DE 14 M³, EM VIA URBANA PAVIMENTADA, DMT ATÉ 30 KM (UNIDADE: M3XKM). AF_07/2020</v>
      </c>
      <c r="D68" s="189" t="str">
        <f>VLOOKUP(A68,'[3]Planilha Orçamentária'!A:K,4,0)</f>
        <v>M3XKM</v>
      </c>
      <c r="E68" s="188"/>
      <c r="F68" s="190"/>
      <c r="G68" s="190"/>
      <c r="H68" s="191"/>
      <c r="I68" s="191"/>
      <c r="J68" s="192">
        <f>ROUND(SUM(J71:J71),2)</f>
        <v>5568.91</v>
      </c>
    </row>
    <row r="69" spans="1:10">
      <c r="A69" s="186"/>
      <c r="B69" s="187"/>
      <c r="C69" s="165" t="s">
        <v>2013</v>
      </c>
      <c r="D69" s="189"/>
      <c r="E69" s="188"/>
      <c r="F69" s="190"/>
      <c r="G69" s="190"/>
      <c r="H69" s="160"/>
      <c r="I69" s="160"/>
      <c r="J69" s="150"/>
    </row>
    <row r="70" spans="1:10">
      <c r="A70" s="186"/>
      <c r="B70" s="187"/>
      <c r="C70" s="171" t="s">
        <v>2010</v>
      </c>
      <c r="D70" s="189"/>
      <c r="E70" s="193" t="s">
        <v>2011</v>
      </c>
      <c r="F70" s="190"/>
      <c r="G70" s="190"/>
      <c r="H70" s="160"/>
      <c r="I70" s="160"/>
      <c r="J70" s="150"/>
    </row>
    <row r="71" spans="1:10">
      <c r="A71" s="174"/>
      <c r="B71" s="174"/>
      <c r="C71" s="155" t="s">
        <v>2017</v>
      </c>
      <c r="D71" s="156"/>
      <c r="E71" s="157">
        <v>2.1</v>
      </c>
      <c r="F71" s="157"/>
      <c r="G71" s="157"/>
      <c r="H71" s="194"/>
      <c r="I71" s="195">
        <f>J63</f>
        <v>2651.86</v>
      </c>
      <c r="J71" s="196">
        <f>ROUND(PRODUCT(E71:I71),2)</f>
        <v>5568.91</v>
      </c>
    </row>
    <row r="72" spans="1:10">
      <c r="A72" s="532"/>
      <c r="B72" s="533"/>
      <c r="C72" s="533"/>
      <c r="D72" s="533"/>
      <c r="E72" s="533"/>
      <c r="F72" s="533"/>
      <c r="G72" s="533"/>
      <c r="H72" s="533"/>
      <c r="I72" s="533"/>
      <c r="J72" s="534"/>
    </row>
    <row r="73" spans="1:10">
      <c r="A73" s="94" t="str">
        <f>'[3]Planilha Orçamentária'!A30</f>
        <v>1.1.5</v>
      </c>
      <c r="B73" s="95"/>
      <c r="C73" s="96" t="str">
        <f>VLOOKUP(A73,'[3]Planilha Orçamentária'!A:K,3,0)</f>
        <v>PAVIMENTAÇÃO</v>
      </c>
      <c r="D73" s="97"/>
      <c r="E73" s="98"/>
      <c r="F73" s="99"/>
      <c r="G73" s="99"/>
      <c r="H73" s="99"/>
      <c r="I73" s="100"/>
      <c r="J73" s="131"/>
    </row>
    <row r="74" spans="1:10" ht="25.5">
      <c r="A74" s="145" t="str">
        <f>'[3]Planilha Orçamentária'!A31</f>
        <v>1.1.5.1</v>
      </c>
      <c r="B74" s="199">
        <f>VLOOKUP(A74,'[3]Planilha Orçamentária'!A:K,2,0)</f>
        <v>100576</v>
      </c>
      <c r="C74" s="147" t="str">
        <f>VLOOKUP(A74,'[3]Planilha Orçamentária'!A:K,3,0)</f>
        <v>REGULARIZAÇÃO E COMPACTAÇÃO DE SUBLEITO DE SOLO  PREDOMINANTEMENTE ARGILOSO. AF_11/2019</v>
      </c>
      <c r="D74" s="148" t="str">
        <f>VLOOKUP(A74,'[3]Planilha Orçamentária'!A:K,4,0)</f>
        <v>M2</v>
      </c>
      <c r="E74" s="147"/>
      <c r="F74" s="160"/>
      <c r="G74" s="160"/>
      <c r="H74" s="160"/>
      <c r="I74" s="160"/>
      <c r="J74" s="150">
        <f>ROUND(SUM(J76:J76),2)</f>
        <v>4302.6899999999996</v>
      </c>
    </row>
    <row r="75" spans="1:10">
      <c r="A75" s="145"/>
      <c r="B75" s="199"/>
      <c r="C75" s="159" t="s">
        <v>2018</v>
      </c>
      <c r="D75" s="148"/>
      <c r="E75" s="147"/>
      <c r="F75" s="161" t="s">
        <v>1989</v>
      </c>
      <c r="G75" s="161" t="s">
        <v>1990</v>
      </c>
      <c r="H75" s="160"/>
      <c r="I75" s="161"/>
      <c r="J75" s="150"/>
    </row>
    <row r="76" spans="1:10" ht="25.5">
      <c r="A76" s="145"/>
      <c r="B76" s="199"/>
      <c r="C76" s="200" t="s">
        <v>2019</v>
      </c>
      <c r="D76" s="185"/>
      <c r="E76" s="116"/>
      <c r="F76" s="201">
        <f>J34</f>
        <v>614.66999999999996</v>
      </c>
      <c r="G76" s="161">
        <f>6+1</f>
        <v>7</v>
      </c>
      <c r="H76" s="160"/>
      <c r="I76" s="161"/>
      <c r="J76" s="158">
        <f>ROUND(PRODUCT(E76:I76),2)</f>
        <v>4302.6899999999996</v>
      </c>
    </row>
    <row r="77" spans="1:10">
      <c r="A77" s="550"/>
      <c r="B77" s="551"/>
      <c r="C77" s="551"/>
      <c r="D77" s="551"/>
      <c r="E77" s="551"/>
      <c r="F77" s="551"/>
      <c r="G77" s="551"/>
      <c r="H77" s="551"/>
      <c r="I77" s="551"/>
      <c r="J77" s="552"/>
    </row>
    <row r="78" spans="1:10" ht="38.25">
      <c r="A78" s="186" t="str">
        <f>'[3]Planilha Orçamentária'!A32</f>
        <v>1.1.5.2</v>
      </c>
      <c r="B78" s="187" t="str">
        <f>VLOOKUP(A78,'[3]Planilha Orçamentária'!A:K,2,0)</f>
        <v>COMP-28881239</v>
      </c>
      <c r="C78" s="188" t="str">
        <f>VLOOKUP(A78,'[3]Planilha Orçamentária'!A:K,3,0)</f>
        <v>Base ou sub-base de macadame hidráulico com brita comercial - EXCLUSIVE MATERIAL, CARGA E TRANSPORTE - NÃO DESONERADO</v>
      </c>
      <c r="D78" s="189" t="str">
        <f>VLOOKUP(A78,'[3]Planilha Orçamentária'!A:K,4,0)</f>
        <v>M3</v>
      </c>
      <c r="E78" s="188"/>
      <c r="F78" s="190"/>
      <c r="G78" s="190"/>
      <c r="H78" s="190"/>
      <c r="I78" s="190"/>
      <c r="J78" s="203">
        <f>ROUND(SUM(J80:J80),2)</f>
        <v>553.20000000000005</v>
      </c>
    </row>
    <row r="79" spans="1:10">
      <c r="A79" s="186"/>
      <c r="B79" s="187"/>
      <c r="C79" s="159" t="s">
        <v>2018</v>
      </c>
      <c r="D79" s="148"/>
      <c r="E79" s="147"/>
      <c r="F79" s="161" t="s">
        <v>1989</v>
      </c>
      <c r="G79" s="161" t="s">
        <v>1990</v>
      </c>
      <c r="H79" s="161" t="s">
        <v>2002</v>
      </c>
      <c r="I79" s="161"/>
      <c r="J79" s="203"/>
    </row>
    <row r="80" spans="1:10" ht="28.5">
      <c r="A80" s="186"/>
      <c r="B80" s="187"/>
      <c r="C80" s="204" t="s">
        <v>2020</v>
      </c>
      <c r="D80" s="148"/>
      <c r="E80" s="147"/>
      <c r="F80" s="167">
        <f>F76</f>
        <v>614.66999999999996</v>
      </c>
      <c r="G80" s="161">
        <f>6-1+0.5+0.5</f>
        <v>6</v>
      </c>
      <c r="H80" s="161">
        <v>0.15</v>
      </c>
      <c r="I80" s="167"/>
      <c r="J80" s="176">
        <f>ROUND(PRODUCT(E80:I80),2)</f>
        <v>553.20000000000005</v>
      </c>
    </row>
    <row r="81" spans="1:10">
      <c r="A81" s="205"/>
      <c r="B81" s="206"/>
      <c r="C81" s="171"/>
      <c r="D81" s="189"/>
      <c r="E81" s="188"/>
      <c r="F81" s="207"/>
      <c r="G81" s="207"/>
      <c r="H81" s="208"/>
      <c r="I81" s="209"/>
      <c r="J81" s="196"/>
    </row>
    <row r="82" spans="1:10" ht="38.25">
      <c r="A82" s="177" t="str">
        <f>'[3]Planilha Orçamentária'!A33</f>
        <v>1.1.5.3</v>
      </c>
      <c r="B82" s="178" t="str">
        <f>VLOOKUP(A82,'[3]Planilha Orçamentária'!A:K,2,0)</f>
        <v>CP-96396-26507981</v>
      </c>
      <c r="C82" s="179" t="str">
        <f>VLOOKUP(A82,'[3]Planilha Orçamentária'!A:K,3,0)</f>
        <v>EXECUÇÃO E COMPACTAÇÃO DE BASE E OU SUB BASE PARA PAVIMENTAÇÃO DE BRITA GRADUADA SIMPLES - EXCLUSIVE MATERIAL, CARGA E TRANSPORTE</v>
      </c>
      <c r="D82" s="180" t="str">
        <f>VLOOKUP(A82,'[3]Planilha Orçamentária'!A:K,4,0)</f>
        <v>M3</v>
      </c>
      <c r="E82" s="179"/>
      <c r="F82" s="181"/>
      <c r="G82" s="181"/>
      <c r="H82" s="181"/>
      <c r="I82" s="181"/>
      <c r="J82" s="182">
        <f>ROUND(SUM(J84:J84),2)</f>
        <v>614.66999999999996</v>
      </c>
    </row>
    <row r="83" spans="1:10">
      <c r="A83" s="177"/>
      <c r="B83" s="178"/>
      <c r="C83" s="159" t="s">
        <v>2018</v>
      </c>
      <c r="D83" s="180"/>
      <c r="E83" s="184"/>
      <c r="F83" s="161" t="s">
        <v>1989</v>
      </c>
      <c r="G83" s="161" t="s">
        <v>1990</v>
      </c>
      <c r="H83" s="161" t="s">
        <v>2002</v>
      </c>
      <c r="I83" s="210"/>
      <c r="J83" s="182"/>
    </row>
    <row r="84" spans="1:10" ht="28.5">
      <c r="A84" s="123"/>
      <c r="B84" s="211"/>
      <c r="C84" s="204" t="s">
        <v>2021</v>
      </c>
      <c r="D84" s="185"/>
      <c r="E84" s="127"/>
      <c r="F84" s="127">
        <f>F76</f>
        <v>614.66999999999996</v>
      </c>
      <c r="G84" s="161">
        <f>6-1</f>
        <v>5</v>
      </c>
      <c r="H84" s="161">
        <v>0.2</v>
      </c>
      <c r="I84" s="212"/>
      <c r="J84" s="118">
        <f>ROUND(PRODUCT(E84:I84),2)</f>
        <v>614.66999999999996</v>
      </c>
    </row>
    <row r="85" spans="1:10">
      <c r="A85" s="546"/>
      <c r="B85" s="547"/>
      <c r="C85" s="547"/>
      <c r="D85" s="547"/>
      <c r="E85" s="547"/>
      <c r="F85" s="547"/>
      <c r="G85" s="547"/>
      <c r="H85" s="547"/>
      <c r="I85" s="547"/>
      <c r="J85" s="548"/>
    </row>
    <row r="86" spans="1:10" ht="51">
      <c r="A86" s="145" t="str">
        <f>'[3]Planilha Orçamentária'!A34</f>
        <v>1.1.5.4</v>
      </c>
      <c r="B86" s="146" t="str">
        <f>VLOOKUP(A86,'[3]Planilha Orçamentária'!A:K,2,0)</f>
        <v>COMP-35145154</v>
      </c>
      <c r="C86" s="147" t="str">
        <f>VLOOKUP(A86,'[3]Planilha Orçamentária'!A:K,3,0)</f>
        <v>CARGA E DESCARGA MECANICA DE SOLO UTILIZANDO CAMINHAO BASCULANTE 14,0M3/36T E PA CARREGADEIRA SOBRE PNEUS 128 HP, CAPACIDADE DA CAÇAMBA 1,7 A 2,8 M3, PESO OPERACIONAL 11632 KH</v>
      </c>
      <c r="D86" s="148" t="str">
        <f>VLOOKUP(A86,'[3]Planilha Orçamentária'!A:K,4,0)</f>
        <v>M3</v>
      </c>
      <c r="E86" s="216"/>
      <c r="F86" s="217"/>
      <c r="G86" s="217"/>
      <c r="H86" s="217"/>
      <c r="I86" s="217"/>
      <c r="J86" s="218">
        <f>ROUND(SUM(J87:J88),2)</f>
        <v>1459.84</v>
      </c>
    </row>
    <row r="87" spans="1:10" ht="25.5">
      <c r="A87" s="205"/>
      <c r="B87" s="219"/>
      <c r="C87" s="147"/>
      <c r="D87" s="148"/>
      <c r="E87" s="220" t="s">
        <v>2006</v>
      </c>
      <c r="F87" s="220"/>
      <c r="G87" s="220"/>
      <c r="H87" s="220"/>
      <c r="I87" s="220" t="s">
        <v>2022</v>
      </c>
      <c r="J87" s="174"/>
    </row>
    <row r="88" spans="1:10" ht="14.25">
      <c r="A88" s="205"/>
      <c r="B88" s="219"/>
      <c r="C88" s="221" t="s">
        <v>2023</v>
      </c>
      <c r="D88" s="156"/>
      <c r="E88" s="106">
        <v>1.25</v>
      </c>
      <c r="F88" s="106"/>
      <c r="G88" s="222"/>
      <c r="H88" s="157"/>
      <c r="I88" s="157">
        <f>J82+J78</f>
        <v>1167.8699999999999</v>
      </c>
      <c r="J88" s="176">
        <f>ROUND(PRODUCT(E88:I88),2)</f>
        <v>1459.84</v>
      </c>
    </row>
    <row r="89" spans="1:10">
      <c r="A89" s="205"/>
      <c r="B89" s="219"/>
      <c r="C89" s="205"/>
      <c r="D89" s="205"/>
      <c r="E89" s="174"/>
      <c r="F89" s="174"/>
      <c r="G89" s="174"/>
      <c r="H89" s="174"/>
      <c r="I89" s="174"/>
      <c r="J89" s="174"/>
    </row>
    <row r="90" spans="1:10" ht="25.5">
      <c r="A90" s="145" t="str">
        <f>'[3]Planilha Orçamentária'!A35</f>
        <v>1.1.5.5</v>
      </c>
      <c r="B90" s="146" t="str">
        <f>VLOOKUP(A90,'[3]Planilha Orçamentária'!A:K,2,0)</f>
        <v>COMP-83526730</v>
      </c>
      <c r="C90" s="147" t="str">
        <f>VLOOKUP(A90,'[3]Planilha Orçamentária'!A:K,3,0)</f>
        <v>TRANSPORTE COMERCIAL DE BRITA</v>
      </c>
      <c r="D90" s="148" t="str">
        <f>VLOOKUP(A90,'[3]Planilha Orçamentária'!A:K,4,0)</f>
        <v>M3XKM</v>
      </c>
      <c r="E90" s="216"/>
      <c r="F90" s="217"/>
      <c r="G90" s="217"/>
      <c r="H90" s="217"/>
      <c r="I90" s="217"/>
      <c r="J90" s="218">
        <f>ROUND(SUM(J91:J92),2)</f>
        <v>10218.879999999999</v>
      </c>
    </row>
    <row r="91" spans="1:10" ht="25.5">
      <c r="A91" s="205"/>
      <c r="B91" s="219"/>
      <c r="C91" s="159" t="s">
        <v>2024</v>
      </c>
      <c r="D91" s="180"/>
      <c r="E91" s="106" t="s">
        <v>2011</v>
      </c>
      <c r="F91" s="181"/>
      <c r="G91" s="181"/>
      <c r="H91" s="106"/>
      <c r="I91" s="167" t="s">
        <v>2025</v>
      </c>
      <c r="J91" s="174"/>
    </row>
    <row r="92" spans="1:10" ht="14.25">
      <c r="A92" s="205"/>
      <c r="B92" s="219"/>
      <c r="C92" s="221" t="s">
        <v>2026</v>
      </c>
      <c r="D92" s="156"/>
      <c r="E92" s="157">
        <v>7</v>
      </c>
      <c r="F92" s="106"/>
      <c r="G92" s="157"/>
      <c r="H92" s="157"/>
      <c r="I92" s="157">
        <f>J86</f>
        <v>1459.84</v>
      </c>
      <c r="J92" s="176">
        <f>ROUND(PRODUCT(E92:I92),2)</f>
        <v>10218.879999999999</v>
      </c>
    </row>
    <row r="93" spans="1:10">
      <c r="A93" s="205"/>
      <c r="B93" s="219"/>
      <c r="C93" s="205"/>
      <c r="D93" s="205"/>
      <c r="E93" s="174"/>
      <c r="F93" s="174"/>
      <c r="G93" s="174"/>
      <c r="H93" s="174"/>
      <c r="I93" s="174"/>
      <c r="J93" s="174"/>
    </row>
    <row r="94" spans="1:10">
      <c r="A94" s="213"/>
      <c r="B94" s="214"/>
      <c r="C94" s="214"/>
      <c r="D94" s="214"/>
      <c r="E94" s="214"/>
      <c r="F94" s="214"/>
      <c r="G94" s="214"/>
      <c r="H94" s="214"/>
      <c r="I94" s="214"/>
      <c r="J94" s="215"/>
    </row>
    <row r="95" spans="1:10" ht="25.5">
      <c r="A95" s="186" t="str">
        <f>'[3]Planilha Orçamentária'!A36</f>
        <v>1.1.5.6</v>
      </c>
      <c r="B95" s="187" t="str">
        <f>VLOOKUP(A95,'[3]Planilha Orçamentária'!A:K,2,0)</f>
        <v>CP-96401-52745838</v>
      </c>
      <c r="C95" s="188" t="str">
        <f>VLOOKUP(A95,'[3]Planilha Orçamentária'!A:K,3,0)</f>
        <v>EXECUÇÃO DE IMPRIMAÇÃO COM ASFALTO DILUÍDO CM-30, EXCLUSIVE MATERIAL.</v>
      </c>
      <c r="D95" s="189" t="str">
        <f>VLOOKUP(A95,'[3]Planilha Orçamentária'!A:K,4,0)</f>
        <v>M2</v>
      </c>
      <c r="E95" s="188"/>
      <c r="F95" s="190"/>
      <c r="G95" s="190"/>
      <c r="H95" s="190"/>
      <c r="I95" s="190"/>
      <c r="J95" s="150">
        <f>ROUND(SUM(J97:J99),2)</f>
        <v>3068.17</v>
      </c>
    </row>
    <row r="96" spans="1:10">
      <c r="A96" s="186"/>
      <c r="B96" s="187"/>
      <c r="C96" s="159" t="s">
        <v>2018</v>
      </c>
      <c r="D96" s="189"/>
      <c r="E96" s="188"/>
      <c r="F96" s="190"/>
      <c r="G96" s="190"/>
      <c r="H96" s="208"/>
      <c r="I96" s="161" t="s">
        <v>2003</v>
      </c>
      <c r="J96" s="150"/>
    </row>
    <row r="97" spans="1:10" ht="28.5">
      <c r="A97" s="174"/>
      <c r="B97" s="174"/>
      <c r="C97" s="221" t="s">
        <v>2027</v>
      </c>
      <c r="D97" s="174"/>
      <c r="E97" s="174"/>
      <c r="F97" s="223"/>
      <c r="G97" s="174"/>
      <c r="H97" s="224"/>
      <c r="I97" s="224">
        <f>[3]PARÂMETROS!F138</f>
        <v>3366.55</v>
      </c>
      <c r="J97" s="158">
        <f>ROUND(PRODUCT(E97:I97),2)</f>
        <v>3366.55</v>
      </c>
    </row>
    <row r="98" spans="1:10" ht="14.25">
      <c r="A98" s="174"/>
      <c r="B98" s="174"/>
      <c r="C98" s="221"/>
      <c r="D98" s="174"/>
      <c r="E98" s="174"/>
      <c r="F98" s="161" t="s">
        <v>1989</v>
      </c>
      <c r="G98" s="161" t="s">
        <v>1990</v>
      </c>
      <c r="H98" s="224"/>
      <c r="I98" s="224"/>
      <c r="J98" s="158"/>
    </row>
    <row r="99" spans="1:10" ht="14.25">
      <c r="A99" s="174"/>
      <c r="B99" s="174"/>
      <c r="C99" s="221" t="s">
        <v>2028</v>
      </c>
      <c r="D99" s="174"/>
      <c r="E99" s="174">
        <v>-1</v>
      </c>
      <c r="F99" s="223">
        <v>298.38</v>
      </c>
      <c r="G99" s="174">
        <v>1</v>
      </c>
      <c r="H99" s="224"/>
      <c r="I99" s="224"/>
      <c r="J99" s="158">
        <f>ROUND(PRODUCT(E99:I99),2)</f>
        <v>-298.38</v>
      </c>
    </row>
    <row r="100" spans="1:10">
      <c r="A100" s="549"/>
      <c r="B100" s="549"/>
      <c r="C100" s="549"/>
      <c r="D100" s="549"/>
      <c r="E100" s="549"/>
      <c r="F100" s="549"/>
      <c r="G100" s="549"/>
      <c r="H100" s="549"/>
      <c r="I100" s="549"/>
      <c r="J100" s="549"/>
    </row>
    <row r="101" spans="1:10" ht="38.25">
      <c r="A101" s="225" t="str">
        <f>'[3]Planilha Orçamentária'!A37</f>
        <v>1.1.5.7</v>
      </c>
      <c r="B101" s="226" t="str">
        <f>VLOOKUP(A101,'[3]Planilha Orçamentária'!A:K,2,0)</f>
        <v>CP-95995-51339760</v>
      </c>
      <c r="C101" s="227" t="str">
        <f>VLOOKUP(A101,'[3]Planilha Orçamentária'!A:K,3,0)</f>
        <v>EXECUÇÃO DE PAVIMENTO COM APLICAÇÃO DE CONCRETO ASFÁLTICO, CAMADA DE ROLAMENTO - EXCLUSIVE CARGA E TRANSPORTE E CONCRETO BETUMINOSO</v>
      </c>
      <c r="D101" s="228" t="str">
        <f>VLOOKUP(A101,'[3]Planilha Orçamentária'!A:K,4,0)</f>
        <v>M3</v>
      </c>
      <c r="E101" s="227"/>
      <c r="F101" s="229"/>
      <c r="G101" s="229"/>
      <c r="H101" s="229"/>
      <c r="I101" s="229"/>
      <c r="J101" s="182">
        <f>ROUND(SUM(J102:J105),2)</f>
        <v>153.41</v>
      </c>
    </row>
    <row r="102" spans="1:10">
      <c r="A102" s="230"/>
      <c r="B102" s="231"/>
      <c r="C102" s="159" t="s">
        <v>2018</v>
      </c>
      <c r="D102" s="105"/>
      <c r="E102" s="165"/>
      <c r="F102" s="106"/>
      <c r="G102" s="106"/>
      <c r="H102" s="106" t="s">
        <v>2002</v>
      </c>
      <c r="I102" s="161" t="s">
        <v>2003</v>
      </c>
      <c r="J102" s="118"/>
    </row>
    <row r="103" spans="1:10" ht="14.25">
      <c r="A103" s="153"/>
      <c r="B103" s="153"/>
      <c r="C103" s="232" t="s">
        <v>2029</v>
      </c>
      <c r="D103" s="153"/>
      <c r="E103" s="233"/>
      <c r="F103" s="234"/>
      <c r="G103" s="153"/>
      <c r="H103" s="153">
        <v>0.05</v>
      </c>
      <c r="I103" s="233">
        <f>J97</f>
        <v>3366.55</v>
      </c>
      <c r="J103" s="235">
        <f>ROUND(PRODUCT(E103:I103),2)</f>
        <v>168.33</v>
      </c>
    </row>
    <row r="104" spans="1:10" ht="14.25">
      <c r="A104" s="174"/>
      <c r="B104" s="174"/>
      <c r="C104" s="221"/>
      <c r="D104" s="174"/>
      <c r="E104" s="174"/>
      <c r="F104" s="161" t="s">
        <v>1989</v>
      </c>
      <c r="G104" s="161" t="s">
        <v>1990</v>
      </c>
      <c r="H104" s="161" t="s">
        <v>2002</v>
      </c>
      <c r="I104" s="224"/>
      <c r="J104" s="158"/>
    </row>
    <row r="105" spans="1:10" ht="14.25">
      <c r="A105" s="174"/>
      <c r="B105" s="174"/>
      <c r="C105" s="221" t="s">
        <v>2028</v>
      </c>
      <c r="D105" s="174"/>
      <c r="E105" s="174">
        <v>-1</v>
      </c>
      <c r="F105" s="223">
        <f>F99</f>
        <v>298.38</v>
      </c>
      <c r="G105" s="174">
        <v>1</v>
      </c>
      <c r="H105" s="174">
        <v>0.05</v>
      </c>
      <c r="I105" s="224"/>
      <c r="J105" s="158">
        <f>ROUND(PRODUCT(E105:I105),2)</f>
        <v>-14.92</v>
      </c>
    </row>
    <row r="106" spans="1:10">
      <c r="A106" s="546"/>
      <c r="B106" s="547"/>
      <c r="C106" s="547"/>
      <c r="D106" s="547"/>
      <c r="E106" s="547"/>
      <c r="F106" s="547"/>
      <c r="G106" s="547"/>
      <c r="H106" s="547"/>
      <c r="I106" s="547"/>
      <c r="J106" s="547"/>
    </row>
    <row r="107" spans="1:10" ht="38.25">
      <c r="A107" s="132" t="str">
        <f>'[3]Planilha Orçamentária'!A38</f>
        <v>1.1.5.8</v>
      </c>
      <c r="B107" s="108" t="str">
        <f>VLOOKUP(A107,'[3]Planilha Orçamentária'!A:K,2,0)</f>
        <v>COMP-10034101</v>
      </c>
      <c r="C107" s="104" t="str">
        <f>VLOOKUP(A107,'[3]Planilha Orçamentária'!A:K,3,0)</f>
        <v>CARGA, MANOBRAS E DESCARGA DE MISTURA BETUMINOSA A QUENTE, COM CAMINHAO BASCULANTE 6 M3, DESCARGA EM VIBRO-ACABADORA</v>
      </c>
      <c r="D107" s="105" t="str">
        <f>VLOOKUP(A107,'[3]Planilha Orçamentária'!A:K,4,0)</f>
        <v>M3</v>
      </c>
      <c r="E107" s="104"/>
      <c r="F107" s="111"/>
      <c r="G107" s="111"/>
      <c r="H107" s="111"/>
      <c r="I107" s="111"/>
      <c r="J107" s="122">
        <f>ROUND(SUM(J109:J109),2)</f>
        <v>153.41</v>
      </c>
    </row>
    <row r="108" spans="1:10" ht="14.25">
      <c r="A108" s="132"/>
      <c r="B108" s="108"/>
      <c r="C108" s="204"/>
      <c r="D108" s="105"/>
      <c r="E108" s="104"/>
      <c r="F108" s="106"/>
      <c r="G108" s="111"/>
      <c r="H108" s="111"/>
      <c r="I108" s="143" t="s">
        <v>2007</v>
      </c>
      <c r="J108" s="122"/>
    </row>
    <row r="109" spans="1:10" ht="14.25">
      <c r="A109" s="225"/>
      <c r="B109" s="236"/>
      <c r="C109" s="237" t="s">
        <v>2030</v>
      </c>
      <c r="D109" s="205"/>
      <c r="E109" s="205"/>
      <c r="F109" s="238"/>
      <c r="G109" s="205"/>
      <c r="H109" s="205"/>
      <c r="I109" s="239">
        <f>J101</f>
        <v>153.41</v>
      </c>
      <c r="J109" s="128">
        <f t="shared" ref="J109" si="1">ROUND(PRODUCT(E109:I109),2)</f>
        <v>153.41</v>
      </c>
    </row>
    <row r="110" spans="1:10" ht="14.25" customHeight="1">
      <c r="A110" s="528"/>
      <c r="B110" s="529"/>
      <c r="C110" s="529"/>
      <c r="D110" s="529"/>
      <c r="E110" s="529"/>
      <c r="F110" s="529"/>
      <c r="G110" s="529"/>
      <c r="H110" s="529"/>
      <c r="I110" s="529"/>
      <c r="J110" s="529"/>
    </row>
    <row r="111" spans="1:10" ht="25.5">
      <c r="A111" s="132" t="str">
        <f>'[3]Planilha Orçamentária'!A39</f>
        <v>1.1.5.9</v>
      </c>
      <c r="B111" s="108" t="str">
        <f>VLOOKUP(A111,'[3]Planilha Orçamentária'!A:K,2,0)</f>
        <v>CP-95303-56931542</v>
      </c>
      <c r="C111" s="104" t="str">
        <f>VLOOKUP(A111,'[3]Planilha Orçamentária'!A:K,3,0)</f>
        <v>TRANSPORTE COM CAMINHÃO BASCULANTE 10 M3 DE MASSA ASFALTICA PARA PAVIMENTAÇÃO URBANA</v>
      </c>
      <c r="D111" s="105" t="str">
        <f>VLOOKUP(A111,'[3]Planilha Orçamentária'!A:K,4,0)</f>
        <v>M3XKM</v>
      </c>
      <c r="E111" s="104"/>
      <c r="F111" s="111"/>
      <c r="G111" s="111"/>
      <c r="H111" s="111"/>
      <c r="I111" s="111"/>
      <c r="J111" s="122">
        <f>ROUND(SUM(J113:J113),2)</f>
        <v>2316.4899999999998</v>
      </c>
    </row>
    <row r="112" spans="1:10" ht="25.5">
      <c r="A112" s="132"/>
      <c r="B112" s="108"/>
      <c r="C112" s="159" t="s">
        <v>2031</v>
      </c>
      <c r="D112" s="241"/>
      <c r="E112" s="165" t="s">
        <v>2011</v>
      </c>
      <c r="F112" s="106"/>
      <c r="G112" s="106"/>
      <c r="H112" s="160"/>
      <c r="I112" s="167" t="s">
        <v>2025</v>
      </c>
      <c r="J112" s="122"/>
    </row>
    <row r="113" spans="1:10" ht="14.25">
      <c r="A113" s="225"/>
      <c r="B113" s="236"/>
      <c r="C113" s="221" t="s">
        <v>2032</v>
      </c>
      <c r="D113" s="241"/>
      <c r="E113" s="127">
        <v>15.1</v>
      </c>
      <c r="F113" s="106"/>
      <c r="G113" s="242"/>
      <c r="H113" s="160"/>
      <c r="I113" s="243">
        <f>J107</f>
        <v>153.41</v>
      </c>
      <c r="J113" s="128">
        <f t="shared" ref="J113" si="2">ROUND(PRODUCT(E113:I113),2)</f>
        <v>2316.4899999999998</v>
      </c>
    </row>
    <row r="114" spans="1:10">
      <c r="A114" s="528"/>
      <c r="B114" s="529"/>
      <c r="C114" s="529"/>
      <c r="D114" s="529"/>
      <c r="E114" s="529"/>
      <c r="F114" s="529"/>
      <c r="G114" s="529"/>
      <c r="H114" s="529"/>
      <c r="I114" s="529"/>
      <c r="J114" s="529"/>
    </row>
    <row r="115" spans="1:10" ht="25.5">
      <c r="A115" s="132" t="str">
        <f>'[3]Planilha Orçamentária'!A40</f>
        <v>1.1.5.10</v>
      </c>
      <c r="B115" s="108" t="str">
        <f>VLOOKUP(A115,'[3]Planilha Orçamentária'!A:K,2,0)</f>
        <v>CP-97084-89637704</v>
      </c>
      <c r="C115" s="104" t="str">
        <f>VLOOKUP(A115,'[3]Planilha Orçamentária'!A:K,3,0)</f>
        <v>REGULARIZACAO E COMPACTAÇÃO MANUAL DE TERRENO COM PLACA VIBRATÓRIA</v>
      </c>
      <c r="D115" s="105" t="str">
        <f>VLOOKUP(A115,'[3]Planilha Orçamentária'!A:K,4,0)</f>
        <v>M2</v>
      </c>
      <c r="E115" s="104"/>
      <c r="F115" s="111"/>
      <c r="G115" s="111"/>
      <c r="H115" s="111"/>
      <c r="I115" s="111"/>
      <c r="J115" s="122">
        <f>ROUND(SUM(J117:J117),2)</f>
        <v>3007.49</v>
      </c>
    </row>
    <row r="116" spans="1:10">
      <c r="A116" s="132"/>
      <c r="B116" s="108"/>
      <c r="C116" s="159" t="s">
        <v>2018</v>
      </c>
      <c r="D116" s="105"/>
      <c r="E116" s="104"/>
      <c r="F116" s="106"/>
      <c r="G116" s="111"/>
      <c r="H116" s="111"/>
      <c r="I116" s="161" t="s">
        <v>2003</v>
      </c>
      <c r="J116" s="122"/>
    </row>
    <row r="117" spans="1:10">
      <c r="A117" s="225"/>
      <c r="B117" s="236"/>
      <c r="C117" s="244" t="s">
        <v>2033</v>
      </c>
      <c r="D117" s="174"/>
      <c r="E117" s="174"/>
      <c r="F117" s="223"/>
      <c r="G117" s="143"/>
      <c r="H117" s="143"/>
      <c r="I117" s="127">
        <f>[3]PARÂMETROS!F147</f>
        <v>3007.49</v>
      </c>
      <c r="J117" s="128">
        <f t="shared" ref="J117" si="3">ROUND(PRODUCT(E117:I117),2)</f>
        <v>3007.49</v>
      </c>
    </row>
    <row r="118" spans="1:10">
      <c r="A118" s="528"/>
      <c r="B118" s="529"/>
      <c r="C118" s="529"/>
      <c r="D118" s="529"/>
      <c r="E118" s="529"/>
      <c r="F118" s="529"/>
      <c r="G118" s="529"/>
      <c r="H118" s="529"/>
      <c r="I118" s="529"/>
      <c r="J118" s="529"/>
    </row>
    <row r="119" spans="1:10" ht="51">
      <c r="A119" s="132" t="str">
        <f>'[3]Planilha Orçamentária'!A41</f>
        <v>1.1.5.11</v>
      </c>
      <c r="B119" s="108" t="str">
        <f>VLOOKUP(A119,'[3]Planilha Orçamentária'!A:K,2,0)</f>
        <v>CP-94991-12549457</v>
      </c>
      <c r="C119" s="104" t="str">
        <f>VLOOKUP(A119,'[3]Planilha Orçamentária'!A:K,3,0)</f>
        <v>EXECUÇÃO DE PASSEIO (CALÇADA) OU PISO DE CONCRETO COM CONCRETO MOLDADO IN LOCO, USINADO, ACABAMENTO CONVENCIONAL, NÃO ARMADO - EXCLUINDO O CONCRETO USINADO 20MPA</v>
      </c>
      <c r="D119" s="105" t="str">
        <f>VLOOKUP(A119,'[3]Planilha Orçamentária'!A:K,4,0)</f>
        <v>M3</v>
      </c>
      <c r="E119" s="104"/>
      <c r="F119" s="111"/>
      <c r="G119" s="111"/>
      <c r="H119" s="111"/>
      <c r="I119" s="111"/>
      <c r="J119" s="122">
        <f>ROUND(SUM(J121:J122),2)</f>
        <v>208.83</v>
      </c>
    </row>
    <row r="120" spans="1:10">
      <c r="A120" s="132"/>
      <c r="B120" s="108"/>
      <c r="C120" s="159" t="s">
        <v>2018</v>
      </c>
      <c r="D120" s="105"/>
      <c r="E120" s="104"/>
      <c r="F120" s="106"/>
      <c r="G120" s="111"/>
      <c r="H120" s="111"/>
      <c r="I120" s="111"/>
      <c r="J120" s="122"/>
    </row>
    <row r="121" spans="1:10">
      <c r="A121" s="225"/>
      <c r="B121" s="236"/>
      <c r="C121" s="244" t="s">
        <v>2033</v>
      </c>
      <c r="D121" s="174"/>
      <c r="E121" s="174"/>
      <c r="F121" s="223"/>
      <c r="G121" s="143"/>
      <c r="H121" s="143">
        <v>7.0000000000000007E-2</v>
      </c>
      <c r="I121" s="127">
        <f>J115</f>
        <v>3007.49</v>
      </c>
      <c r="J121" s="128">
        <f t="shared" ref="J121:J122" si="4">ROUND(PRODUCT(E121:I121),2)</f>
        <v>210.52</v>
      </c>
    </row>
    <row r="122" spans="1:10">
      <c r="A122" s="132"/>
      <c r="B122" s="108"/>
      <c r="C122" s="155" t="s">
        <v>2034</v>
      </c>
      <c r="D122" s="174"/>
      <c r="E122" s="174">
        <v>-1</v>
      </c>
      <c r="F122" s="223"/>
      <c r="G122" s="143"/>
      <c r="H122" s="143">
        <v>7.0000000000000007E-2</v>
      </c>
      <c r="I122" s="127">
        <f>J244</f>
        <v>24.18</v>
      </c>
      <c r="J122" s="128">
        <f t="shared" si="4"/>
        <v>-1.69</v>
      </c>
    </row>
    <row r="123" spans="1:10">
      <c r="A123" s="528"/>
      <c r="B123" s="529"/>
      <c r="C123" s="529"/>
      <c r="D123" s="529"/>
      <c r="E123" s="529"/>
      <c r="F123" s="529"/>
      <c r="G123" s="529"/>
      <c r="H123" s="529"/>
      <c r="I123" s="529"/>
      <c r="J123" s="529"/>
    </row>
    <row r="124" spans="1:10" ht="63.75">
      <c r="A124" s="132" t="str">
        <f>'[3]Planilha Orçamentária'!A42</f>
        <v>1.1.5.12</v>
      </c>
      <c r="B124" s="108">
        <f>VLOOKUP(A124,'[3]Planilha Orçamentária'!A:K,2,0)</f>
        <v>94273</v>
      </c>
      <c r="C124" s="104" t="str">
        <f>VLOOKUP(A124,'[3]Planilha Orçamentária'!A:K,3,0)</f>
        <v>ASSENTAMENTO DE GUIA (MEIO-FIO) EM TRECHO RETO, CONFECCIONADA EM CONCRETO PRÉ-FABRICADO, DIMENSÕES 100X15X13X30 CM (COMPRIMENTO X BASE INFERIOR X BASE SUPERIOR X ALTURA), PARA VIAS URBANAS (USO VIÁRIO). AF_06/2016</v>
      </c>
      <c r="D124" s="105" t="str">
        <f>VLOOKUP(A124,'[3]Planilha Orçamentária'!A:K,4,0)</f>
        <v>M</v>
      </c>
      <c r="E124" s="104"/>
      <c r="F124" s="111"/>
      <c r="G124" s="111"/>
      <c r="H124" s="111"/>
      <c r="I124" s="111"/>
      <c r="J124" s="122">
        <f>ROUND(SUM(J126:J127),2)</f>
        <v>1282.3800000000001</v>
      </c>
    </row>
    <row r="125" spans="1:10">
      <c r="A125" s="132"/>
      <c r="B125" s="108"/>
      <c r="C125" s="159" t="s">
        <v>2018</v>
      </c>
      <c r="D125" s="105"/>
      <c r="E125" s="104"/>
      <c r="F125" s="106" t="s">
        <v>1989</v>
      </c>
      <c r="G125" s="111"/>
      <c r="H125" s="111"/>
      <c r="I125" s="111"/>
      <c r="J125" s="122"/>
    </row>
    <row r="126" spans="1:10" ht="25.5">
      <c r="A126" s="225"/>
      <c r="B126" s="236"/>
      <c r="C126" s="245" t="s">
        <v>2035</v>
      </c>
      <c r="D126" s="228"/>
      <c r="E126" s="227"/>
      <c r="F126" s="246">
        <f>1261.63-F131</f>
        <v>1225.47</v>
      </c>
      <c r="G126" s="229"/>
      <c r="H126" s="229"/>
      <c r="I126" s="229"/>
      <c r="J126" s="128">
        <f t="shared" ref="J126:J127" si="5">ROUND(PRODUCT(E126:I126),2)</f>
        <v>1225.47</v>
      </c>
    </row>
    <row r="127" spans="1:10">
      <c r="A127" s="132"/>
      <c r="B127" s="108"/>
      <c r="C127" s="247" t="s">
        <v>2036</v>
      </c>
      <c r="D127" s="105"/>
      <c r="E127" s="104"/>
      <c r="F127" s="223">
        <f>[3]PARÂMETROS!B142</f>
        <v>56.91</v>
      </c>
      <c r="G127" s="111"/>
      <c r="H127" s="111"/>
      <c r="I127" s="111"/>
      <c r="J127" s="128">
        <f t="shared" si="5"/>
        <v>56.91</v>
      </c>
    </row>
    <row r="128" spans="1:10">
      <c r="A128" s="528"/>
      <c r="B128" s="529"/>
      <c r="C128" s="529"/>
      <c r="D128" s="529"/>
      <c r="E128" s="529"/>
      <c r="F128" s="529"/>
      <c r="G128" s="529"/>
      <c r="H128" s="529"/>
      <c r="I128" s="529"/>
      <c r="J128" s="529"/>
    </row>
    <row r="129" spans="1:10" ht="63.75">
      <c r="A129" s="132" t="str">
        <f>'[3]Planilha Orçamentária'!A43</f>
        <v>1.1.5.13</v>
      </c>
      <c r="B129" s="108">
        <f>VLOOKUP(A129,'[3]Planilha Orçamentária'!A:K,2,0)</f>
        <v>94274</v>
      </c>
      <c r="C129" s="104" t="str">
        <f>VLOOKUP(A129,'[3]Planilha Orçamentária'!A:K,3,0)</f>
        <v>ASSENTAMENTO DE GUIA (MEIO-FIO) EM TRECHO CURVO, CONFECCIONADA EM CONCRETO PRÉ-FABRICADO, DIMENSÕES 100X15X13X30 CM (COMPRIMENTO X BASE INFERIOR X BASE SUPERIOR X ALTURA), PARA VIAS URBANAS (USO VIÁRIO). AF_06/2016</v>
      </c>
      <c r="D129" s="105" t="str">
        <f>VLOOKUP(A129,'[3]Planilha Orçamentária'!A:K,4,0)</f>
        <v>M</v>
      </c>
      <c r="E129" s="104"/>
      <c r="F129" s="111"/>
      <c r="G129" s="111"/>
      <c r="H129" s="111"/>
      <c r="I129" s="111"/>
      <c r="J129" s="122">
        <f>ROUND(SUM(J131:J131),2)</f>
        <v>36.159999999999997</v>
      </c>
    </row>
    <row r="130" spans="1:10">
      <c r="A130" s="132"/>
      <c r="B130" s="108"/>
      <c r="C130" s="159" t="s">
        <v>2018</v>
      </c>
      <c r="D130" s="105"/>
      <c r="E130" s="104"/>
      <c r="F130" s="106" t="s">
        <v>1989</v>
      </c>
      <c r="G130" s="111"/>
      <c r="H130" s="111"/>
      <c r="I130" s="111"/>
      <c r="J130" s="122"/>
    </row>
    <row r="131" spans="1:10">
      <c r="A131" s="225"/>
      <c r="B131" s="236"/>
      <c r="C131" s="245" t="s">
        <v>2037</v>
      </c>
      <c r="D131" s="228"/>
      <c r="E131" s="227"/>
      <c r="F131" s="246">
        <f>[3]PARÂMETROS!B143</f>
        <v>36.159999999999997</v>
      </c>
      <c r="G131" s="229"/>
      <c r="H131" s="229"/>
      <c r="I131" s="229"/>
      <c r="J131" s="128">
        <f t="shared" ref="J131" si="6">ROUND(PRODUCT(E131:I131),2)</f>
        <v>36.159999999999997</v>
      </c>
    </row>
    <row r="132" spans="1:10">
      <c r="A132" s="528"/>
      <c r="B132" s="529"/>
      <c r="C132" s="529"/>
      <c r="D132" s="529"/>
      <c r="E132" s="529"/>
      <c r="F132" s="529"/>
      <c r="G132" s="529"/>
      <c r="H132" s="529"/>
      <c r="I132" s="529"/>
      <c r="J132" s="529"/>
    </row>
    <row r="133" spans="1:10" ht="76.5">
      <c r="A133" s="132" t="str">
        <f>'[3]Planilha Orçamentária'!A44</f>
        <v>1.1.5.14</v>
      </c>
      <c r="B133" s="108">
        <f>VLOOKUP(A133,'[3]Planilha Orçamentária'!A:K,2,0)</f>
        <v>94275</v>
      </c>
      <c r="C133" s="104" t="str">
        <f>VLOOKUP(A133,'[3]Planilha Orçamentária'!A:K,3,0)</f>
        <v>ASSENTAMENTO DE GUIA (MEIO-FIO) EM TRECHO RETO, CONFECCIONADA EM CONCRETO PRÉ-FABRICADO, DIMENSÕES 100X15X13X20 CM (COMPRIMENTO X BASE INFERIOR X BASE SUPERIOR X ALTURA), PARA URBANIZAÇÃO INTERNA DE EMPREENDIMENTOS. AF_06/2016_P</v>
      </c>
      <c r="D133" s="105" t="str">
        <f>VLOOKUP(A133,'[3]Planilha Orçamentária'!A:K,4,0)</f>
        <v>M</v>
      </c>
      <c r="E133" s="104"/>
      <c r="F133" s="111"/>
      <c r="G133" s="111"/>
      <c r="H133" s="111"/>
      <c r="I133" s="111"/>
      <c r="J133" s="122">
        <f>ROUND(SUM(J135:J135),2)</f>
        <v>77</v>
      </c>
    </row>
    <row r="134" spans="1:10">
      <c r="A134" s="132"/>
      <c r="B134" s="108"/>
      <c r="C134" s="159" t="s">
        <v>2018</v>
      </c>
      <c r="D134" s="105"/>
      <c r="E134" s="104"/>
      <c r="F134" s="106" t="s">
        <v>1989</v>
      </c>
      <c r="G134" s="111"/>
      <c r="H134" s="111"/>
      <c r="I134" s="111"/>
      <c r="J134" s="122"/>
    </row>
    <row r="135" spans="1:10" ht="25.5">
      <c r="A135" s="225"/>
      <c r="B135" s="236"/>
      <c r="C135" s="245" t="s">
        <v>2038</v>
      </c>
      <c r="D135" s="228"/>
      <c r="E135" s="227"/>
      <c r="F135" s="246">
        <f>[3]PARÂMETROS!B146</f>
        <v>77</v>
      </c>
      <c r="G135" s="229"/>
      <c r="H135" s="229"/>
      <c r="I135" s="229"/>
      <c r="J135" s="128">
        <f t="shared" ref="J135" si="7">ROUND(PRODUCT(E135:I135),2)</f>
        <v>77</v>
      </c>
    </row>
    <row r="136" spans="1:10">
      <c r="A136" s="528"/>
      <c r="B136" s="529"/>
      <c r="C136" s="529"/>
      <c r="D136" s="529"/>
      <c r="E136" s="529"/>
      <c r="F136" s="529"/>
      <c r="G136" s="529"/>
      <c r="H136" s="529"/>
      <c r="I136" s="529"/>
      <c r="J136" s="529"/>
    </row>
    <row r="137" spans="1:10" ht="38.25">
      <c r="A137" s="132" t="str">
        <f>'[3]Planilha Orçamentária'!A45</f>
        <v>1.1.5.15</v>
      </c>
      <c r="B137" s="108">
        <f>VLOOKUP(A137,'[3]Planilha Orçamentária'!A:K,2,0)</f>
        <v>94287</v>
      </c>
      <c r="C137" s="104" t="str">
        <f>VLOOKUP(A137,'[3]Planilha Orçamentária'!A:K,3,0)</f>
        <v>EXECUÇÃO DE SARJETA DE CONCRETO USINADO, MOLDADA  IN LOCO  EM TRECHO RETO, 30 CM BASE X 10 CM ALTURA. AF_06/2016</v>
      </c>
      <c r="D137" s="105" t="str">
        <f>VLOOKUP(A137,'[3]Planilha Orçamentária'!A:K,4,0)</f>
        <v>M</v>
      </c>
      <c r="E137" s="104"/>
      <c r="F137" s="111"/>
      <c r="G137" s="111"/>
      <c r="H137" s="111"/>
      <c r="I137" s="111"/>
      <c r="J137" s="122">
        <f>ROUND(SUM(J140:J143),2)</f>
        <v>330.83</v>
      </c>
    </row>
    <row r="138" spans="1:10">
      <c r="A138" s="132"/>
      <c r="B138" s="108"/>
      <c r="C138" s="159" t="s">
        <v>2018</v>
      </c>
      <c r="D138" s="105"/>
      <c r="E138" s="104"/>
      <c r="F138" s="106" t="s">
        <v>1989</v>
      </c>
      <c r="G138" s="111"/>
      <c r="H138" s="111"/>
      <c r="I138" s="111"/>
      <c r="J138" s="122"/>
    </row>
    <row r="139" spans="1:10">
      <c r="A139" s="225"/>
      <c r="B139" s="236"/>
      <c r="C139" s="248" t="s">
        <v>2039</v>
      </c>
      <c r="D139" s="228"/>
      <c r="E139" s="227"/>
      <c r="F139" s="249"/>
      <c r="G139" s="229"/>
      <c r="H139" s="229"/>
      <c r="I139" s="229"/>
      <c r="J139" s="250"/>
    </row>
    <row r="140" spans="1:10">
      <c r="A140" s="132"/>
      <c r="B140" s="108"/>
      <c r="C140" s="247" t="s">
        <v>2040</v>
      </c>
      <c r="D140" s="105"/>
      <c r="E140" s="104"/>
      <c r="F140" s="223">
        <f>153.75+148.9+17.47</f>
        <v>320.12</v>
      </c>
      <c r="G140" s="111"/>
      <c r="H140" s="111"/>
      <c r="I140" s="111"/>
      <c r="J140" s="128">
        <f t="shared" ref="J140:J143" si="8">ROUND(PRODUCT(E140:I140),2)</f>
        <v>320.12</v>
      </c>
    </row>
    <row r="141" spans="1:10">
      <c r="A141" s="132"/>
      <c r="B141" s="108"/>
      <c r="C141" s="247" t="s">
        <v>2041</v>
      </c>
      <c r="D141" s="105"/>
      <c r="E141" s="165">
        <v>-1</v>
      </c>
      <c r="F141" s="223">
        <f>3.05+3.16+3.17</f>
        <v>9.379999999999999</v>
      </c>
      <c r="G141" s="111"/>
      <c r="H141" s="111"/>
      <c r="I141" s="111"/>
      <c r="J141" s="128">
        <f t="shared" si="8"/>
        <v>-9.3800000000000008</v>
      </c>
    </row>
    <row r="142" spans="1:10">
      <c r="A142" s="132"/>
      <c r="B142" s="108"/>
      <c r="C142" s="159" t="s">
        <v>2042</v>
      </c>
      <c r="D142" s="105"/>
      <c r="E142" s="165"/>
      <c r="F142" s="223"/>
      <c r="G142" s="111"/>
      <c r="H142" s="111"/>
      <c r="I142" s="111"/>
      <c r="J142" s="128"/>
    </row>
    <row r="143" spans="1:10">
      <c r="A143" s="132"/>
      <c r="B143" s="108"/>
      <c r="C143" s="247" t="s">
        <v>2043</v>
      </c>
      <c r="D143" s="105"/>
      <c r="E143" s="165"/>
      <c r="F143" s="223">
        <f>4.47+3.38+3.21+9.03</f>
        <v>20.089999999999996</v>
      </c>
      <c r="G143" s="111"/>
      <c r="H143" s="111"/>
      <c r="I143" s="111"/>
      <c r="J143" s="128">
        <f t="shared" si="8"/>
        <v>20.09</v>
      </c>
    </row>
    <row r="144" spans="1:10">
      <c r="A144" s="528"/>
      <c r="B144" s="529"/>
      <c r="C144" s="529"/>
      <c r="D144" s="529"/>
      <c r="E144" s="529"/>
      <c r="F144" s="529"/>
      <c r="G144" s="529"/>
      <c r="H144" s="529"/>
      <c r="I144" s="529"/>
      <c r="J144" s="529"/>
    </row>
    <row r="145" spans="1:10" ht="38.25">
      <c r="A145" s="132" t="str">
        <f>'[3]Planilha Orçamentária'!A46</f>
        <v>1.1.5.16</v>
      </c>
      <c r="B145" s="108">
        <f>VLOOKUP(A145,'[3]Planilha Orçamentária'!A:K,2,0)</f>
        <v>94288</v>
      </c>
      <c r="C145" s="104" t="str">
        <f>VLOOKUP(A145,'[3]Planilha Orçamentária'!A:K,3,0)</f>
        <v>EXECUÇÃO DE SARJETA DE CONCRETO USINADO, MOLDADA  IN LOCO  EM TRECHO CURVO, 30 CM BASE X 10 CM ALTURA. AF_06/2016</v>
      </c>
      <c r="D145" s="105" t="str">
        <f>VLOOKUP(A145,'[3]Planilha Orçamentária'!A:K,4,0)</f>
        <v>M</v>
      </c>
      <c r="E145" s="104"/>
      <c r="F145" s="111"/>
      <c r="G145" s="111"/>
      <c r="H145" s="111"/>
      <c r="I145" s="111"/>
      <c r="J145" s="122">
        <f>ROUND(SUM(J148:J150),2)</f>
        <v>17.84</v>
      </c>
    </row>
    <row r="146" spans="1:10">
      <c r="A146" s="132"/>
      <c r="B146" s="108"/>
      <c r="C146" s="159" t="s">
        <v>2018</v>
      </c>
      <c r="D146" s="105"/>
      <c r="E146" s="104"/>
      <c r="F146" s="106" t="s">
        <v>1989</v>
      </c>
      <c r="G146" s="111"/>
      <c r="H146" s="111"/>
      <c r="I146" s="111"/>
      <c r="J146" s="122"/>
    </row>
    <row r="147" spans="1:10">
      <c r="A147" s="132"/>
      <c r="B147" s="108"/>
      <c r="C147" s="159" t="s">
        <v>2042</v>
      </c>
      <c r="D147" s="105"/>
      <c r="E147" s="104"/>
      <c r="F147" s="106"/>
      <c r="G147" s="111"/>
      <c r="H147" s="111"/>
      <c r="I147" s="111"/>
      <c r="J147" s="122"/>
    </row>
    <row r="148" spans="1:10">
      <c r="A148" s="132"/>
      <c r="B148" s="108"/>
      <c r="C148" s="247" t="s">
        <v>2044</v>
      </c>
      <c r="D148" s="105"/>
      <c r="E148" s="104"/>
      <c r="F148" s="223">
        <f>2.63+3.1+2.73</f>
        <v>8.4600000000000009</v>
      </c>
      <c r="G148" s="111"/>
      <c r="H148" s="111"/>
      <c r="I148" s="111"/>
      <c r="J148" s="128">
        <f t="shared" ref="J148:J150" si="9">ROUND(PRODUCT(E148:I148),2)</f>
        <v>8.4600000000000009</v>
      </c>
    </row>
    <row r="149" spans="1:10">
      <c r="A149" s="132"/>
      <c r="B149" s="108"/>
      <c r="C149" s="159" t="s">
        <v>2039</v>
      </c>
      <c r="D149" s="105"/>
      <c r="E149" s="104"/>
      <c r="F149" s="223"/>
      <c r="G149" s="111"/>
      <c r="H149" s="111"/>
      <c r="I149" s="111"/>
      <c r="J149" s="128"/>
    </row>
    <row r="150" spans="1:10">
      <c r="A150" s="132"/>
      <c r="B150" s="108"/>
      <c r="C150" s="247" t="s">
        <v>2044</v>
      </c>
      <c r="D150" s="105"/>
      <c r="E150" s="165"/>
      <c r="F150" s="223">
        <f>3.05+3.16+3.17</f>
        <v>9.379999999999999</v>
      </c>
      <c r="G150" s="111"/>
      <c r="H150" s="111"/>
      <c r="I150" s="111"/>
      <c r="J150" s="128">
        <f t="shared" si="9"/>
        <v>9.3800000000000008</v>
      </c>
    </row>
    <row r="151" spans="1:10">
      <c r="A151" s="528"/>
      <c r="B151" s="529"/>
      <c r="C151" s="529"/>
      <c r="D151" s="529"/>
      <c r="E151" s="529"/>
      <c r="F151" s="529"/>
      <c r="G151" s="529"/>
      <c r="H151" s="529"/>
      <c r="I151" s="529"/>
      <c r="J151" s="529"/>
    </row>
    <row r="152" spans="1:10" ht="25.5">
      <c r="A152" s="132" t="str">
        <f>'[3]Planilha Orçamentária'!A47</f>
        <v>1.1.5.17</v>
      </c>
      <c r="B152" s="108">
        <f>VLOOKUP(A152,'[3]Planilha Orçamentária'!A:K,2,0)</f>
        <v>98511</v>
      </c>
      <c r="C152" s="104" t="str">
        <f>VLOOKUP(A152,'[3]Planilha Orçamentária'!A:K,3,0)</f>
        <v>PLANTIO DE ÁRVORE ORNAMENTAL COM ALTURA DE MUDA MAIOR QUE 2,00 M E MENOR OU IGUAL A 4,00 M. AF_05/2018</v>
      </c>
      <c r="D152" s="105" t="str">
        <f>VLOOKUP(A152,'[3]Planilha Orçamentária'!A:K,4,0)</f>
        <v>UN</v>
      </c>
      <c r="E152" s="104"/>
      <c r="F152" s="111"/>
      <c r="G152" s="111"/>
      <c r="H152" s="111"/>
      <c r="I152" s="111"/>
      <c r="J152" s="122">
        <f>ROUND(SUM(J154:J154),2)</f>
        <v>11</v>
      </c>
    </row>
    <row r="153" spans="1:10">
      <c r="A153" s="132"/>
      <c r="B153" s="108"/>
      <c r="C153" s="159" t="s">
        <v>2018</v>
      </c>
      <c r="D153" s="105"/>
      <c r="E153" s="104"/>
      <c r="F153" s="106"/>
      <c r="G153" s="111"/>
      <c r="H153" s="111"/>
      <c r="I153" s="106" t="s">
        <v>2045</v>
      </c>
      <c r="J153" s="122"/>
    </row>
    <row r="154" spans="1:10">
      <c r="A154" s="225"/>
      <c r="B154" s="236"/>
      <c r="C154" s="244" t="s">
        <v>2046</v>
      </c>
      <c r="D154" s="228"/>
      <c r="E154" s="227"/>
      <c r="F154" s="246"/>
      <c r="G154" s="229"/>
      <c r="H154" s="229"/>
      <c r="I154" s="246">
        <v>11</v>
      </c>
      <c r="J154" s="128">
        <f t="shared" ref="J154" si="10">ROUND(PRODUCT(E154:I154),2)</f>
        <v>11</v>
      </c>
    </row>
    <row r="155" spans="1:10">
      <c r="A155" s="528"/>
      <c r="B155" s="529"/>
      <c r="C155" s="529"/>
      <c r="D155" s="529"/>
      <c r="E155" s="529"/>
      <c r="F155" s="529"/>
      <c r="G155" s="529"/>
      <c r="H155" s="529"/>
      <c r="I155" s="529"/>
      <c r="J155" s="529"/>
    </row>
    <row r="156" spans="1:10">
      <c r="A156" s="132" t="str">
        <f>'[3]Planilha Orçamentária'!A48</f>
        <v>1.1.5.18</v>
      </c>
      <c r="B156" s="108">
        <f>VLOOKUP(A156,'[3]Planilha Orçamentária'!A:K,2,0)</f>
        <v>98504</v>
      </c>
      <c r="C156" s="104" t="str">
        <f>VLOOKUP(A156,'[3]Planilha Orçamentária'!A:K,3,0)</f>
        <v>PLANTIO DE GRAMA BATATAIS EM PLACAS. AF_05/2018</v>
      </c>
      <c r="D156" s="105" t="str">
        <f>VLOOKUP(A156,'[3]Planilha Orçamentária'!A:K,4,0)</f>
        <v>M2</v>
      </c>
      <c r="E156" s="104"/>
      <c r="F156" s="111"/>
      <c r="G156" s="111"/>
      <c r="H156" s="111"/>
      <c r="I156" s="111"/>
      <c r="J156" s="122">
        <f>ROUND(SUM(J158:J158),2)</f>
        <v>55</v>
      </c>
    </row>
    <row r="157" spans="1:10">
      <c r="A157" s="132"/>
      <c r="B157" s="108"/>
      <c r="C157" s="159" t="s">
        <v>2018</v>
      </c>
      <c r="D157" s="105"/>
      <c r="E157" s="104"/>
      <c r="F157" s="106"/>
      <c r="G157" s="111"/>
      <c r="H157" s="111"/>
      <c r="I157" s="106" t="s">
        <v>2003</v>
      </c>
      <c r="J157" s="122"/>
    </row>
    <row r="158" spans="1:10">
      <c r="A158" s="225"/>
      <c r="B158" s="236"/>
      <c r="C158" s="244" t="s">
        <v>2046</v>
      </c>
      <c r="D158" s="228"/>
      <c r="E158" s="227"/>
      <c r="F158" s="246"/>
      <c r="G158" s="229"/>
      <c r="H158" s="229"/>
      <c r="I158" s="246">
        <v>55</v>
      </c>
      <c r="J158" s="128">
        <f t="shared" ref="J158" si="11">ROUND(PRODUCT(E158:I158),2)</f>
        <v>55</v>
      </c>
    </row>
    <row r="159" spans="1:10">
      <c r="A159" s="528"/>
      <c r="B159" s="529"/>
      <c r="C159" s="529"/>
      <c r="D159" s="529"/>
      <c r="E159" s="529"/>
      <c r="F159" s="529"/>
      <c r="G159" s="529"/>
      <c r="H159" s="529"/>
      <c r="I159" s="529"/>
      <c r="J159" s="529"/>
    </row>
    <row r="160" spans="1:10">
      <c r="A160" s="94" t="str">
        <f>'[3]Planilha Orçamentária'!A49</f>
        <v>1.1.6</v>
      </c>
      <c r="B160" s="95"/>
      <c r="C160" s="96" t="str">
        <f>VLOOKUP(A160,'[3]Planilha Orçamentária'!A:K,3,0)</f>
        <v>DRENAGEM</v>
      </c>
      <c r="D160" s="96"/>
      <c r="E160" s="129"/>
      <c r="F160" s="130"/>
      <c r="G160" s="130"/>
      <c r="H160" s="130"/>
      <c r="I160" s="130"/>
      <c r="J160" s="131"/>
    </row>
    <row r="161" spans="1:11" ht="63.75">
      <c r="A161" s="251" t="str">
        <f>'[3]Planilha Orçamentária'!A50</f>
        <v>1.1.6.1</v>
      </c>
      <c r="B161" s="252">
        <f>VLOOKUP(A161,'[3]Planilha Orçamentária'!A:K,2,0)</f>
        <v>90091</v>
      </c>
      <c r="C161" s="253" t="str">
        <f>VLOOKUP(A161,'[3]Planilha Orçamentária'!A:K,3,0)</f>
        <v>ESCAVAÇÃO MECANIZADA DE VALA COM PROF. ATÉ 1,5 M (MÉDIA MONTANTE E JUSANTE/UMA COMPOSIÇÃO POR TRECHO), ESCAVADEIRA (0,8 M3), LARG. DE 1,5 M A 2,5 M, EM SOLO DE 1A CATEGORIA, LOCAIS COM BAIXO NÍVEL DE INTERFERÊNCIA. AF_02/2021</v>
      </c>
      <c r="D161" s="254" t="str">
        <f>VLOOKUP(A161,'[3]Planilha Orçamentária'!A:K,4,0)</f>
        <v>M3</v>
      </c>
      <c r="E161" s="255"/>
      <c r="F161" s="256"/>
      <c r="G161" s="256"/>
      <c r="H161" s="256"/>
      <c r="I161" s="256"/>
      <c r="J161" s="257">
        <f>ROUND(SUM(J162:J166),2)</f>
        <v>71.61</v>
      </c>
    </row>
    <row r="162" spans="1:11">
      <c r="A162" s="258"/>
      <c r="B162" s="258"/>
      <c r="C162" s="259" t="s">
        <v>2047</v>
      </c>
      <c r="D162" s="258"/>
      <c r="E162" s="258"/>
      <c r="F162" s="161"/>
      <c r="G162" s="161"/>
      <c r="H162" s="161"/>
      <c r="I162" s="258"/>
      <c r="J162" s="258"/>
    </row>
    <row r="163" spans="1:11" ht="14.25">
      <c r="A163" s="258"/>
      <c r="B163" s="258"/>
      <c r="C163" s="204" t="s">
        <v>2048</v>
      </c>
      <c r="D163" s="148"/>
      <c r="E163" s="147"/>
      <c r="F163" s="161" t="s">
        <v>1989</v>
      </c>
      <c r="G163" s="161" t="s">
        <v>1990</v>
      </c>
      <c r="H163" s="161" t="s">
        <v>2049</v>
      </c>
      <c r="I163" s="161"/>
      <c r="J163" s="158"/>
    </row>
    <row r="164" spans="1:11" ht="42.75">
      <c r="A164" s="258"/>
      <c r="B164" s="258"/>
      <c r="C164" s="260" t="s">
        <v>2050</v>
      </c>
      <c r="D164" s="148"/>
      <c r="E164" s="147"/>
      <c r="F164" s="223">
        <v>298.38</v>
      </c>
      <c r="G164" s="223">
        <f>1+0.6</f>
        <v>1.6</v>
      </c>
      <c r="H164" s="223">
        <f>0.55-0.4</f>
        <v>0.15000000000000002</v>
      </c>
      <c r="I164" s="223"/>
      <c r="J164" s="128">
        <f>ROUND(PRODUCT(E164:I164),2)</f>
        <v>71.61</v>
      </c>
    </row>
    <row r="165" spans="1:11">
      <c r="A165" s="258"/>
      <c r="B165" s="258"/>
      <c r="C165" s="261" t="s">
        <v>2051</v>
      </c>
      <c r="D165" s="262"/>
      <c r="E165" s="263"/>
      <c r="F165" s="264"/>
      <c r="G165" s="264"/>
      <c r="H165" s="263"/>
      <c r="I165" s="263"/>
      <c r="J165" s="158"/>
      <c r="K165" s="82" t="s">
        <v>2052</v>
      </c>
    </row>
    <row r="166" spans="1:11" ht="14.25" customHeight="1">
      <c r="A166" s="535"/>
      <c r="B166" s="536"/>
      <c r="C166" s="536"/>
      <c r="D166" s="536"/>
      <c r="E166" s="536"/>
      <c r="F166" s="536"/>
      <c r="G166" s="536"/>
      <c r="H166" s="536"/>
      <c r="I166" s="536"/>
      <c r="J166" s="537"/>
    </row>
    <row r="167" spans="1:11" ht="63.75">
      <c r="A167" s="251" t="str">
        <f>'[3]Planilha Orçamentária'!A51</f>
        <v>1.1.6.2</v>
      </c>
      <c r="B167" s="252">
        <f>VLOOKUP(A167,'[3]Planilha Orçamentária'!A:K,2,0)</f>
        <v>93367</v>
      </c>
      <c r="C167" s="253" t="str">
        <f>VLOOKUP(A167,'[3]Planilha Orçamentária'!A:K,3,0)</f>
        <v>REATERRO MECANIZADO DE VALA COM ESCAVADEIRA HIDRÁULICA (CAPACIDADE DA CAÇAMBA: 0,8 M³ / POTÊNCIA: 111 HP), LARGURA DE 1,5 A 2,5 M, PROFUNDIDADE ATÉ 1,5 M, COM SOLO DE 1ª CATEGORIA EM LOCAIS COM BAIXO NÍVEL DE INTERFERÊNCIA. AF_04/2016</v>
      </c>
      <c r="D167" s="254" t="str">
        <f>VLOOKUP(A167,'[3]Planilha Orçamentária'!A:K,4,0)</f>
        <v>M3</v>
      </c>
      <c r="E167" s="255"/>
      <c r="F167" s="256"/>
      <c r="G167" s="256"/>
      <c r="H167" s="256"/>
      <c r="I167" s="256"/>
      <c r="J167" s="257">
        <f>ROUND(SUM(J168:J171),2)</f>
        <v>26.85</v>
      </c>
    </row>
    <row r="168" spans="1:11">
      <c r="A168" s="258"/>
      <c r="B168" s="258"/>
      <c r="C168" s="259" t="s">
        <v>2047</v>
      </c>
      <c r="D168" s="258"/>
      <c r="E168" s="258"/>
      <c r="F168" s="258"/>
      <c r="G168" s="258"/>
      <c r="H168" s="258"/>
      <c r="I168" s="258"/>
      <c r="J168" s="258"/>
    </row>
    <row r="169" spans="1:11" ht="25.5">
      <c r="A169" s="258"/>
      <c r="B169" s="258"/>
      <c r="C169" s="267" t="s">
        <v>2053</v>
      </c>
      <c r="D169" s="258"/>
      <c r="E169" s="258"/>
      <c r="F169" s="258"/>
      <c r="G169" s="258"/>
      <c r="H169" s="258"/>
      <c r="I169" s="258"/>
      <c r="J169" s="258"/>
    </row>
    <row r="170" spans="1:11" ht="15">
      <c r="A170" s="258"/>
      <c r="B170" s="258"/>
      <c r="C170" s="268" t="s">
        <v>2054</v>
      </c>
      <c r="D170" s="258"/>
      <c r="E170" s="258"/>
      <c r="F170" s="269"/>
      <c r="G170" s="269"/>
      <c r="H170" s="269"/>
      <c r="I170" s="263">
        <f>J161</f>
        <v>71.61</v>
      </c>
      <c r="J170" s="158">
        <f>ROUND(PRODUCT(E170:I170),2)</f>
        <v>71.61</v>
      </c>
    </row>
    <row r="171" spans="1:11" ht="25.5">
      <c r="A171" s="258"/>
      <c r="B171" s="258"/>
      <c r="C171" s="268" t="s">
        <v>2055</v>
      </c>
      <c r="D171" s="270"/>
      <c r="E171" s="270">
        <v>-1</v>
      </c>
      <c r="F171" s="271">
        <f>F164</f>
        <v>298.38</v>
      </c>
      <c r="G171" s="123">
        <v>1</v>
      </c>
      <c r="H171" s="272">
        <f>H164</f>
        <v>0.15000000000000002</v>
      </c>
      <c r="I171" s="269"/>
      <c r="J171" s="158">
        <f>ROUND(PRODUCT(E171:I171),2)</f>
        <v>-44.76</v>
      </c>
    </row>
    <row r="172" spans="1:11">
      <c r="A172" s="535"/>
      <c r="B172" s="536"/>
      <c r="C172" s="536"/>
      <c r="D172" s="536"/>
      <c r="E172" s="536"/>
      <c r="F172" s="536"/>
      <c r="G172" s="536"/>
      <c r="H172" s="536"/>
      <c r="I172" s="536"/>
      <c r="J172" s="537"/>
    </row>
    <row r="173" spans="1:11" ht="51">
      <c r="A173" s="251" t="str">
        <f>'[3]Planilha Orçamentária'!A52</f>
        <v>1.1.6.3</v>
      </c>
      <c r="B173" s="252" t="str">
        <f>VLOOKUP(A173,'[3]Planilha Orçamentária'!A:K,2,0)</f>
        <v>COMP-35145154</v>
      </c>
      <c r="C173" s="253" t="str">
        <f>VLOOKUP(A173,'[3]Planilha Orçamentária'!A:K,3,0)</f>
        <v>CARGA E DESCARGA MECANICA DE SOLO UTILIZANDO CAMINHAO BASCULANTE 14,0M3/36T E PA CARREGADEIRA SOBRE PNEUS 128 HP, CAPACIDADE DA CAÇAMBA 1,7 A 2,8 M3, PESO OPERACIONAL 11632 KH</v>
      </c>
      <c r="D173" s="254" t="str">
        <f>VLOOKUP(A173,'[3]Planilha Orçamentária'!A:K,4,0)</f>
        <v>M3</v>
      </c>
      <c r="E173" s="255"/>
      <c r="F173" s="256"/>
      <c r="G173" s="256"/>
      <c r="H173" s="256"/>
      <c r="I173" s="256"/>
      <c r="J173" s="257">
        <f>ROUND(SUM(J174:J175),2)</f>
        <v>55.95</v>
      </c>
    </row>
    <row r="174" spans="1:11" ht="25.5">
      <c r="A174" s="258"/>
      <c r="B174" s="258"/>
      <c r="C174" s="159"/>
      <c r="D174" s="148"/>
      <c r="E174" s="159" t="s">
        <v>2006</v>
      </c>
      <c r="F174" s="161"/>
      <c r="G174" s="161"/>
      <c r="H174" s="161"/>
      <c r="I174" s="161" t="s">
        <v>2056</v>
      </c>
      <c r="J174" s="258"/>
    </row>
    <row r="175" spans="1:11" ht="14.25">
      <c r="A175" s="258"/>
      <c r="B175" s="258"/>
      <c r="C175" s="273" t="s">
        <v>2057</v>
      </c>
      <c r="D175" s="274"/>
      <c r="E175" s="263">
        <v>1.25</v>
      </c>
      <c r="F175" s="157"/>
      <c r="G175" s="275"/>
      <c r="H175" s="275"/>
      <c r="I175" s="275">
        <f>J161-J167</f>
        <v>44.76</v>
      </c>
      <c r="J175" s="158">
        <f>ROUND(PRODUCT(E175:I175),2)</f>
        <v>55.95</v>
      </c>
    </row>
    <row r="176" spans="1:11">
      <c r="A176" s="535"/>
      <c r="B176" s="536"/>
      <c r="C176" s="536"/>
      <c r="D176" s="536"/>
      <c r="E176" s="536"/>
      <c r="F176" s="536"/>
      <c r="G176" s="536"/>
      <c r="H176" s="536"/>
      <c r="I176" s="536"/>
      <c r="J176" s="537"/>
    </row>
    <row r="177" spans="1:10" ht="38.25">
      <c r="A177" s="251" t="str">
        <f>'[3]Planilha Orçamentária'!A53</f>
        <v>1.1.6.4</v>
      </c>
      <c r="B177" s="252">
        <f>VLOOKUP(A177,'[3]Planilha Orçamentária'!A:K,2,0)</f>
        <v>95876</v>
      </c>
      <c r="C177" s="276" t="str">
        <f>VLOOKUP(A177,'[3]Planilha Orçamentária'!A:K,3,0)</f>
        <v>TRANSPORTE COM CAMINHÃO BASCULANTE DE 14 M³, EM VIA URBANA PAVIMENTADA, DMT ATÉ 30 KM (UNIDADE: M3XKM). AF_07/2020</v>
      </c>
      <c r="D177" s="105" t="str">
        <f>VLOOKUP(A177,'[3]Planilha Orçamentária'!A:K,4,0)</f>
        <v>M3XKM</v>
      </c>
      <c r="E177" s="104"/>
      <c r="F177" s="256"/>
      <c r="G177" s="256"/>
      <c r="H177" s="256"/>
      <c r="I177" s="256"/>
      <c r="J177" s="257">
        <f>ROUND(SUM(J178:J179),2)</f>
        <v>117.5</v>
      </c>
    </row>
    <row r="178" spans="1:10">
      <c r="A178" s="258"/>
      <c r="B178" s="258"/>
      <c r="C178" s="159" t="s">
        <v>2058</v>
      </c>
      <c r="D178" s="148"/>
      <c r="E178" s="159" t="s">
        <v>2011</v>
      </c>
      <c r="F178" s="258"/>
      <c r="G178" s="258"/>
      <c r="H178" s="258"/>
      <c r="I178" s="258" t="s">
        <v>2007</v>
      </c>
      <c r="J178" s="258"/>
    </row>
    <row r="179" spans="1:10" ht="14.25">
      <c r="A179" s="258"/>
      <c r="B179" s="258"/>
      <c r="C179" s="273" t="s">
        <v>2059</v>
      </c>
      <c r="D179" s="274"/>
      <c r="E179" s="277">
        <v>2.1</v>
      </c>
      <c r="F179" s="258"/>
      <c r="G179" s="258"/>
      <c r="H179" s="258"/>
      <c r="I179" s="278">
        <f>J173</f>
        <v>55.95</v>
      </c>
      <c r="J179" s="158">
        <f>ROUND(PRODUCT(E179:I179),2)</f>
        <v>117.5</v>
      </c>
    </row>
    <row r="180" spans="1:10">
      <c r="A180" s="535"/>
      <c r="B180" s="536"/>
      <c r="C180" s="536"/>
      <c r="D180" s="536"/>
      <c r="E180" s="536"/>
      <c r="F180" s="536"/>
      <c r="G180" s="536"/>
      <c r="H180" s="536"/>
      <c r="I180" s="536"/>
      <c r="J180" s="537"/>
    </row>
    <row r="181" spans="1:10" ht="38.25">
      <c r="A181" s="251" t="str">
        <f>'[3]Planilha Orçamentária'!A54</f>
        <v>1.1.6.5</v>
      </c>
      <c r="B181" s="252">
        <f>VLOOKUP(A181,'[3]Planilha Orçamentária'!A:K,2,0)</f>
        <v>94971</v>
      </c>
      <c r="C181" s="253" t="str">
        <f>VLOOKUP(A181,'[3]Planilha Orçamentária'!A:K,3,0)</f>
        <v>CONCRETO FCK = 25MPA, TRAÇO 1:2,3:2,7 (EM MASSA SECA DE CIMENTO/ AREIA MÉDIA/ BRITA 1) - PREPARO MECÂNICO COM BETONEIRA 600 L. AF_05/2021</v>
      </c>
      <c r="D181" s="254" t="str">
        <f>VLOOKUP(A181,'[3]Planilha Orçamentária'!A:K,4,0)</f>
        <v>M3</v>
      </c>
      <c r="E181" s="255"/>
      <c r="F181" s="256"/>
      <c r="G181" s="256"/>
      <c r="H181" s="256"/>
      <c r="I181" s="256"/>
      <c r="J181" s="257">
        <f>ROUND(SUM(J182:J184),2)</f>
        <v>38.03</v>
      </c>
    </row>
    <row r="182" spans="1:10" ht="28.5">
      <c r="A182" s="258"/>
      <c r="B182" s="258"/>
      <c r="C182" s="221" t="s">
        <v>2060</v>
      </c>
      <c r="D182" s="258"/>
      <c r="E182" s="258"/>
      <c r="F182" s="161"/>
      <c r="G182" s="161"/>
      <c r="H182" s="161"/>
      <c r="I182" s="279"/>
      <c r="J182" s="258"/>
    </row>
    <row r="183" spans="1:10" ht="14.25">
      <c r="A183" s="258"/>
      <c r="B183" s="258"/>
      <c r="C183" s="280" t="s">
        <v>2061</v>
      </c>
      <c r="D183" s="123"/>
      <c r="E183" s="123"/>
      <c r="F183" s="281">
        <f>F164</f>
        <v>298.38</v>
      </c>
      <c r="G183" s="282">
        <v>1</v>
      </c>
      <c r="H183" s="123">
        <v>0.15</v>
      </c>
      <c r="I183" s="281"/>
      <c r="J183" s="158">
        <f>ROUND(PRODUCT(E183:I183),2)</f>
        <v>44.76</v>
      </c>
    </row>
    <row r="184" spans="1:10" ht="28.5">
      <c r="A184" s="265"/>
      <c r="B184" s="266"/>
      <c r="C184" s="280" t="s">
        <v>2062</v>
      </c>
      <c r="D184" s="123"/>
      <c r="E184" s="123">
        <v>-1</v>
      </c>
      <c r="F184" s="283">
        <v>1.8800000000000001E-2</v>
      </c>
      <c r="G184" s="136">
        <f>F183</f>
        <v>298.38</v>
      </c>
      <c r="H184" s="136">
        <v>0.15</v>
      </c>
      <c r="I184" s="136">
        <v>8</v>
      </c>
      <c r="J184" s="158">
        <f>ROUND(PRODUCT(E184:I184),2)</f>
        <v>-6.73</v>
      </c>
    </row>
    <row r="185" spans="1:10">
      <c r="A185" s="535"/>
      <c r="B185" s="536"/>
      <c r="C185" s="536"/>
      <c r="D185" s="536"/>
      <c r="E185" s="536"/>
      <c r="F185" s="536"/>
      <c r="G185" s="536"/>
      <c r="H185" s="536"/>
      <c r="I185" s="536"/>
      <c r="J185" s="537"/>
    </row>
    <row r="186" spans="1:10" ht="38.25">
      <c r="A186" s="251" t="str">
        <f>'[3]Planilha Orçamentária'!A55</f>
        <v>1.1.6.6</v>
      </c>
      <c r="B186" s="252">
        <f>VLOOKUP(A186,'[3]Planilha Orçamentária'!A:K,2,0)</f>
        <v>94974</v>
      </c>
      <c r="C186" s="253" t="str">
        <f>VLOOKUP(A186,'[3]Planilha Orçamentária'!A:K,3,0)</f>
        <v>CONCRETO MAGRO PARA LASTRO, TRAÇO 1:4,5:4,5 (EM MASSA SECA DE CIMENTO/ AREIA MÉDIA/ BRITA 1) - PREPARO MANUAL. AF_05/2021</v>
      </c>
      <c r="D186" s="254" t="str">
        <f>VLOOKUP(A186,'[3]Planilha Orçamentária'!A:K,4,0)</f>
        <v>M3</v>
      </c>
      <c r="E186" s="255"/>
      <c r="F186" s="256"/>
      <c r="G186" s="256"/>
      <c r="H186" s="256"/>
      <c r="I186" s="279"/>
      <c r="J186" s="257">
        <f>ROUND(SUM(J187:J188),2)</f>
        <v>29.84</v>
      </c>
    </row>
    <row r="187" spans="1:10">
      <c r="A187" s="258"/>
      <c r="B187" s="258"/>
      <c r="C187" s="259" t="s">
        <v>2047</v>
      </c>
      <c r="D187" s="258"/>
      <c r="E187" s="258"/>
      <c r="F187" s="263" t="s">
        <v>1989</v>
      </c>
      <c r="G187" s="263" t="s">
        <v>1990</v>
      </c>
      <c r="H187" s="263" t="s">
        <v>2002</v>
      </c>
      <c r="I187" s="279"/>
      <c r="J187" s="258"/>
    </row>
    <row r="188" spans="1:10" ht="14.25">
      <c r="A188" s="258"/>
      <c r="B188" s="258"/>
      <c r="C188" s="284" t="s">
        <v>2063</v>
      </c>
      <c r="D188" s="123"/>
      <c r="E188" s="123"/>
      <c r="F188" s="285">
        <f>F164</f>
        <v>298.38</v>
      </c>
      <c r="G188" s="282">
        <v>1</v>
      </c>
      <c r="H188" s="123">
        <v>0.1</v>
      </c>
      <c r="I188" s="278"/>
      <c r="J188" s="158">
        <f>ROUND(PRODUCT(E188:I188),2)</f>
        <v>29.84</v>
      </c>
    </row>
    <row r="189" spans="1:10">
      <c r="A189" s="535"/>
      <c r="B189" s="536"/>
      <c r="C189" s="536"/>
      <c r="D189" s="536"/>
      <c r="E189" s="536"/>
      <c r="F189" s="536"/>
      <c r="G189" s="536"/>
      <c r="H189" s="536"/>
      <c r="I189" s="536"/>
      <c r="J189" s="537"/>
    </row>
    <row r="190" spans="1:10" ht="38.25">
      <c r="A190" s="251" t="str">
        <f>'[3]Planilha Orçamentária'!A56</f>
        <v>1.1.6.7</v>
      </c>
      <c r="B190" s="252">
        <f>VLOOKUP(A190,'[3]Planilha Orçamentária'!A:K,2,0)</f>
        <v>92771</v>
      </c>
      <c r="C190" s="253" t="str">
        <f>VLOOKUP(A190,'[3]Planilha Orçamentária'!A:K,3,0)</f>
        <v>ARMAÇÃO DE LAJE DE ESTRUTURA CONVENCIONAL DE CONCRETO ARMADO UTILIZANDO AÇO CA-50 DE 10,0 MM - MONTAGEM. AF_06/2022</v>
      </c>
      <c r="D190" s="254" t="str">
        <f>VLOOKUP(A190,'[3]Planilha Orçamentária'!A:K,4,0)</f>
        <v>KG</v>
      </c>
      <c r="E190" s="255"/>
      <c r="F190" s="256"/>
      <c r="G190" s="256"/>
      <c r="H190" s="256"/>
      <c r="I190" s="256"/>
      <c r="J190" s="257">
        <f>ROUND(SUM(J191:J192),2)</f>
        <v>2473.5700000000002</v>
      </c>
    </row>
    <row r="191" spans="1:10">
      <c r="A191" s="258"/>
      <c r="B191" s="258"/>
      <c r="C191" s="259" t="s">
        <v>2047</v>
      </c>
      <c r="D191" s="258"/>
      <c r="E191" s="279"/>
      <c r="F191" s="263" t="s">
        <v>2064</v>
      </c>
      <c r="G191" s="263"/>
      <c r="H191" s="263"/>
      <c r="I191" s="279" t="s">
        <v>2065</v>
      </c>
      <c r="J191" s="258"/>
    </row>
    <row r="192" spans="1:10" ht="28.5">
      <c r="A192" s="258"/>
      <c r="B192" s="258"/>
      <c r="C192" s="221" t="s">
        <v>2066</v>
      </c>
      <c r="D192" s="105"/>
      <c r="E192" s="104"/>
      <c r="F192" s="278">
        <f>F164</f>
        <v>298.38</v>
      </c>
      <c r="G192" s="278"/>
      <c r="H192" s="278"/>
      <c r="I192" s="278">
        <v>8.2899999999999991</v>
      </c>
      <c r="J192" s="158">
        <f>ROUND(PRODUCT(E192:I192),2)</f>
        <v>2473.5700000000002</v>
      </c>
    </row>
    <row r="193" spans="1:10">
      <c r="A193" s="535"/>
      <c r="B193" s="536"/>
      <c r="C193" s="536"/>
      <c r="D193" s="536"/>
      <c r="E193" s="536"/>
      <c r="F193" s="536"/>
      <c r="G193" s="536"/>
      <c r="H193" s="536"/>
      <c r="I193" s="536"/>
      <c r="J193" s="537"/>
    </row>
    <row r="194" spans="1:10" ht="51">
      <c r="A194" s="251" t="str">
        <f>'[3]Planilha Orçamentária'!A57</f>
        <v>1.1.6.8</v>
      </c>
      <c r="B194" s="252" t="str">
        <f>VLOOKUP(A194,'[3]Planilha Orçamentária'!A:K,2,0)</f>
        <v>CP-92268-29291149</v>
      </c>
      <c r="C194" s="253" t="str">
        <f>VLOOKUP(A194,'[3]Planilha Orçamentária'!A:K,3,0)</f>
        <v>FABRICAÇÃO DE FÔRMA PARA LAJES, EM CHAPA DE MADEIRA COMPENSADA PLASTIFICADA, E = 18 MM - EXCLUINDO O PAINEL DE MADEIRA COMPENSADA PLASTIFICADA DE 2200 x 1100 MM, E = *17* MM</v>
      </c>
      <c r="D194" s="254" t="str">
        <f>VLOOKUP(A194,'[3]Planilha Orçamentária'!A:K,4,0)</f>
        <v>M2</v>
      </c>
      <c r="E194" s="255"/>
      <c r="F194" s="256"/>
      <c r="G194" s="256"/>
      <c r="H194" s="256"/>
      <c r="I194" s="256"/>
      <c r="J194" s="257">
        <f>ROUND(SUM(J195:J196),2)</f>
        <v>179.03</v>
      </c>
    </row>
    <row r="195" spans="1:10">
      <c r="A195" s="258"/>
      <c r="B195" s="258"/>
      <c r="C195" s="259" t="s">
        <v>2047</v>
      </c>
      <c r="D195" s="174"/>
      <c r="E195" s="279"/>
      <c r="F195" s="174" t="s">
        <v>2067</v>
      </c>
      <c r="G195" s="174" t="s">
        <v>2002</v>
      </c>
      <c r="H195" s="174" t="s">
        <v>1989</v>
      </c>
      <c r="I195" s="174"/>
      <c r="J195" s="258"/>
    </row>
    <row r="196" spans="1:10" ht="28.5">
      <c r="A196" s="258"/>
      <c r="B196" s="258"/>
      <c r="C196" s="280" t="s">
        <v>2068</v>
      </c>
      <c r="D196" s="156"/>
      <c r="E196" s="157"/>
      <c r="F196" s="136">
        <f>1*4</f>
        <v>4</v>
      </c>
      <c r="G196" s="136">
        <v>0.15</v>
      </c>
      <c r="H196" s="136">
        <f>F192</f>
        <v>298.38</v>
      </c>
      <c r="I196" s="286"/>
      <c r="J196" s="158">
        <f>ROUND(PRODUCT(E196:I196),2)</f>
        <v>179.03</v>
      </c>
    </row>
    <row r="197" spans="1:10">
      <c r="A197" s="535"/>
      <c r="B197" s="536"/>
      <c r="C197" s="536"/>
      <c r="D197" s="536"/>
      <c r="E197" s="536"/>
      <c r="F197" s="536"/>
      <c r="G197" s="536"/>
      <c r="H197" s="536"/>
      <c r="I197" s="536"/>
      <c r="J197" s="537"/>
    </row>
    <row r="198" spans="1:10" ht="51">
      <c r="A198" s="251" t="str">
        <f>'[3]Planilha Orçamentária'!A58</f>
        <v>1.1.6.9</v>
      </c>
      <c r="B198" s="252">
        <f>VLOOKUP(A198,'[3]Planilha Orçamentária'!A:K,2,0)</f>
        <v>103320</v>
      </c>
      <c r="C198" s="253" t="str">
        <f>VLOOKUP(A198,'[3]Planilha Orçamentária'!A:K,3,0)</f>
        <v>ALVENARIA DE VEDAÇÃO DE BLOCOS VAZADOS DE CONCRETO DE 19X19X39 CM (ESPESSURA 19 CM) E ARGAMASSA DE ASSENTAMENTO COM PREPARO EM BETONEIRA. AF_12/2021</v>
      </c>
      <c r="D198" s="254" t="str">
        <f>VLOOKUP(A198,'[3]Planilha Orçamentária'!A:K,4,0)</f>
        <v>M2</v>
      </c>
      <c r="E198" s="255"/>
      <c r="F198" s="256"/>
      <c r="G198" s="256"/>
      <c r="H198" s="256"/>
      <c r="I198" s="256"/>
      <c r="J198" s="257">
        <f>ROUND(SUM(J199:J200),2)</f>
        <v>238.7</v>
      </c>
    </row>
    <row r="199" spans="1:10">
      <c r="A199" s="258"/>
      <c r="B199" s="258"/>
      <c r="C199" s="259" t="s">
        <v>2047</v>
      </c>
      <c r="D199" s="174"/>
      <c r="E199" s="279"/>
      <c r="F199" s="174" t="s">
        <v>1989</v>
      </c>
      <c r="G199" s="174"/>
      <c r="H199" s="174" t="s">
        <v>2069</v>
      </c>
      <c r="I199" s="174" t="s">
        <v>2070</v>
      </c>
      <c r="J199" s="258"/>
    </row>
    <row r="200" spans="1:10" ht="14.25">
      <c r="A200" s="258"/>
      <c r="B200" s="258"/>
      <c r="C200" s="280" t="s">
        <v>2071</v>
      </c>
      <c r="D200" s="156"/>
      <c r="E200" s="157"/>
      <c r="F200" s="136">
        <f>H196</f>
        <v>298.38</v>
      </c>
      <c r="G200" s="136"/>
      <c r="H200" s="136">
        <v>0.4</v>
      </c>
      <c r="I200" s="136">
        <v>2</v>
      </c>
      <c r="J200" s="158">
        <f>ROUND(PRODUCT(E200:I200),2)</f>
        <v>238.7</v>
      </c>
    </row>
    <row r="201" spans="1:10">
      <c r="A201" s="535"/>
      <c r="B201" s="536"/>
      <c r="C201" s="536"/>
      <c r="D201" s="536"/>
      <c r="E201" s="536"/>
      <c r="F201" s="536"/>
      <c r="G201" s="536"/>
      <c r="H201" s="536"/>
      <c r="I201" s="536"/>
      <c r="J201" s="537"/>
    </row>
    <row r="202" spans="1:10" ht="51">
      <c r="A202" s="251" t="str">
        <f>'[3]Planilha Orçamentária'!A59</f>
        <v>1.1.6.10</v>
      </c>
      <c r="B202" s="252">
        <f>VLOOKUP(A202,'[3]Planilha Orçamentária'!A:K,2,0)</f>
        <v>87879</v>
      </c>
      <c r="C202" s="253" t="str">
        <f>VLOOKUP(A202,'[3]Planilha Orçamentária'!A:K,3,0)</f>
        <v>CHAPISCO APLICADO EM ALVENARIAS E ESTRUTURAS DE CONCRETO INTERNAS, COM COLHER DE PEDREIRO.  ARGAMASSA TRAÇO 1:3 COM PREPARO EM BETONEIRA 400L. AF_06/2014</v>
      </c>
      <c r="D202" s="254" t="str">
        <f>VLOOKUP(A202,'[3]Planilha Orçamentária'!A:K,4,0)</f>
        <v>M2</v>
      </c>
      <c r="E202" s="255"/>
      <c r="F202" s="256"/>
      <c r="G202" s="256"/>
      <c r="H202" s="256"/>
      <c r="I202" s="256"/>
      <c r="J202" s="257">
        <f>ROUND(SUM(J203:J204),2)</f>
        <v>238.7</v>
      </c>
    </row>
    <row r="203" spans="1:10">
      <c r="A203" s="258"/>
      <c r="B203" s="258"/>
      <c r="C203" s="259" t="s">
        <v>2047</v>
      </c>
      <c r="D203" s="258"/>
      <c r="E203" s="258"/>
      <c r="F203" s="258"/>
      <c r="G203" s="258"/>
      <c r="H203" s="136"/>
      <c r="I203" s="287"/>
      <c r="J203" s="258"/>
    </row>
    <row r="204" spans="1:10" ht="14.25">
      <c r="A204" s="258"/>
      <c r="B204" s="258"/>
      <c r="C204" s="280" t="s">
        <v>2072</v>
      </c>
      <c r="D204" s="156"/>
      <c r="E204" s="157"/>
      <c r="F204" s="136"/>
      <c r="G204" s="136"/>
      <c r="H204" s="136"/>
      <c r="I204" s="288">
        <f>J198</f>
        <v>238.7</v>
      </c>
      <c r="J204" s="158">
        <f>ROUND(PRODUCT(E204:I204),2)</f>
        <v>238.7</v>
      </c>
    </row>
    <row r="205" spans="1:10">
      <c r="A205" s="535"/>
      <c r="B205" s="536"/>
      <c r="C205" s="536"/>
      <c r="D205" s="536"/>
      <c r="E205" s="536"/>
      <c r="F205" s="536"/>
      <c r="G205" s="536"/>
      <c r="H205" s="536"/>
      <c r="I205" s="536"/>
      <c r="J205" s="537"/>
    </row>
    <row r="206" spans="1:10" ht="63.75">
      <c r="A206" s="251" t="str">
        <f>'[3]Planilha Orçamentária'!A60</f>
        <v>1.1.6.11</v>
      </c>
      <c r="B206" s="252">
        <f>VLOOKUP(A206,'[3]Planilha Orçamentária'!A:K,2,0)</f>
        <v>87547</v>
      </c>
      <c r="C206" s="253" t="str">
        <f>VLOOKUP(A206,'[3]Planilha Orçamentária'!A:K,3,0)</f>
        <v>MASSA ÚNICA, PARA RECEBIMENTO DE PINTURA, EM ARGAMASSA TRAÇO 1:2:8, PREPARO MECÂNICO COM BETONEIRA 400L, APLICADA MANUALMENTE EM FACES INTERNAS DE PAREDES, ESPESSURA DE 10MM, COM EXECUÇÃO DE TALISCAS. AF_06/2014</v>
      </c>
      <c r="D206" s="254" t="str">
        <f>VLOOKUP(A206,'[3]Planilha Orçamentária'!A:K,4,0)</f>
        <v>M2</v>
      </c>
      <c r="E206" s="255"/>
      <c r="F206" s="256"/>
      <c r="G206" s="256"/>
      <c r="H206" s="256"/>
      <c r="I206" s="256"/>
      <c r="J206" s="257">
        <f>ROUND(SUM(J207:J208),2)</f>
        <v>238.7</v>
      </c>
    </row>
    <row r="207" spans="1:10">
      <c r="A207" s="258"/>
      <c r="B207" s="258"/>
      <c r="C207" s="259" t="s">
        <v>2047</v>
      </c>
      <c r="D207" s="258"/>
      <c r="E207" s="258"/>
      <c r="F207" s="258"/>
      <c r="G207" s="258"/>
      <c r="H207" s="136"/>
      <c r="I207" s="287"/>
      <c r="J207" s="258"/>
    </row>
    <row r="208" spans="1:10" ht="14.25">
      <c r="A208" s="258"/>
      <c r="B208" s="258"/>
      <c r="C208" s="280" t="s">
        <v>2072</v>
      </c>
      <c r="D208" s="156"/>
      <c r="E208" s="157"/>
      <c r="F208" s="136"/>
      <c r="G208" s="136"/>
      <c r="H208" s="136"/>
      <c r="I208" s="288">
        <f>J202</f>
        <v>238.7</v>
      </c>
      <c r="J208" s="158">
        <f>ROUND(PRODUCT(E208:I208),2)</f>
        <v>238.7</v>
      </c>
    </row>
    <row r="209" spans="1:10">
      <c r="A209" s="535"/>
      <c r="B209" s="536"/>
      <c r="C209" s="536"/>
      <c r="D209" s="536"/>
      <c r="E209" s="536"/>
      <c r="F209" s="536"/>
      <c r="G209" s="536"/>
      <c r="H209" s="536"/>
      <c r="I209" s="536"/>
      <c r="J209" s="537"/>
    </row>
    <row r="210" spans="1:10" ht="38.25">
      <c r="A210" s="251" t="str">
        <f>'[3]Planilha Orçamentária'!A61</f>
        <v>1.1.6.12</v>
      </c>
      <c r="B210" s="252">
        <f>VLOOKUP(A210,'[3]Planilha Orçamentária'!A:K,2,0)</f>
        <v>94975</v>
      </c>
      <c r="C210" s="253" t="str">
        <f>VLOOKUP(A210,'[3]Planilha Orçamentária'!A:K,3,0)</f>
        <v>CONCRETO FCK = 15MPA, TRAÇO 1:3,4:3,5 (EM MASSA SECA DE CIMENTO/ AREIA MÉDIA/ BRITA 1) - PREPARO MANUAL. AF_05/2021</v>
      </c>
      <c r="D210" s="254" t="str">
        <f>VLOOKUP(A210,'[3]Planilha Orçamentária'!A:K,4,0)</f>
        <v>M3</v>
      </c>
      <c r="E210" s="255"/>
      <c r="F210" s="256"/>
      <c r="G210" s="256"/>
      <c r="H210" s="256"/>
      <c r="I210" s="256"/>
      <c r="J210" s="257">
        <f>ROUND(SUM(J211:J213),2)</f>
        <v>25.39</v>
      </c>
    </row>
    <row r="211" spans="1:10">
      <c r="A211" s="258"/>
      <c r="B211" s="258"/>
      <c r="C211" s="259" t="s">
        <v>2047</v>
      </c>
      <c r="D211" s="258"/>
      <c r="E211" s="258"/>
      <c r="F211" s="258" t="s">
        <v>1989</v>
      </c>
      <c r="G211" s="258"/>
      <c r="H211" s="136"/>
      <c r="I211" s="287"/>
      <c r="J211" s="258"/>
    </row>
    <row r="212" spans="1:10" ht="28.5">
      <c r="A212" s="258"/>
      <c r="B212" s="258"/>
      <c r="C212" s="221" t="s">
        <v>2048</v>
      </c>
      <c r="D212" s="289"/>
      <c r="E212" s="290" t="s">
        <v>2073</v>
      </c>
      <c r="F212" s="290" t="s">
        <v>2074</v>
      </c>
      <c r="G212" s="282"/>
      <c r="H212" s="290" t="s">
        <v>2075</v>
      </c>
      <c r="I212" s="287"/>
      <c r="J212" s="258"/>
    </row>
    <row r="213" spans="1:10" ht="28.5">
      <c r="A213" s="258"/>
      <c r="B213" s="258"/>
      <c r="C213" s="280" t="s">
        <v>2076</v>
      </c>
      <c r="D213" s="289"/>
      <c r="E213" s="291">
        <f>0.294*0.14*0.19</f>
        <v>7.8203999999999999E-3</v>
      </c>
      <c r="F213" s="282">
        <v>13.6</v>
      </c>
      <c r="G213" s="292"/>
      <c r="H213" s="136">
        <f>J198</f>
        <v>238.7</v>
      </c>
      <c r="I213" s="287"/>
      <c r="J213" s="158">
        <f>ROUND(PRODUCT(E213:I213),2)</f>
        <v>25.39</v>
      </c>
    </row>
    <row r="214" spans="1:10">
      <c r="A214" s="535"/>
      <c r="B214" s="536"/>
      <c r="C214" s="536"/>
      <c r="D214" s="536"/>
      <c r="E214" s="536"/>
      <c r="F214" s="536"/>
      <c r="G214" s="536"/>
      <c r="H214" s="536"/>
      <c r="I214" s="536"/>
      <c r="J214" s="537"/>
    </row>
    <row r="215" spans="1:10" ht="25.5">
      <c r="A215" s="251" t="str">
        <f>'[3]Planilha Orçamentária'!A62</f>
        <v>1.1.6.13</v>
      </c>
      <c r="B215" s="252" t="str">
        <f>VLOOKUP(A215,'[3]Planilha Orçamentária'!A:K,2,0)</f>
        <v>CP-74157/004-48264518</v>
      </c>
      <c r="C215" s="253" t="str">
        <f>VLOOKUP(A215,'[3]Planilha Orçamentária'!A:K,3,0)</f>
        <v>LANCAMENTO/APLICACAO MANUAL DE CONCRETO EM FUNDACOES (concreto magro)</v>
      </c>
      <c r="D215" s="254" t="str">
        <f>VLOOKUP(A215,'[3]Planilha Orçamentária'!A:K,4,0)</f>
        <v>M3</v>
      </c>
      <c r="E215" s="255"/>
      <c r="F215" s="256"/>
      <c r="G215" s="256"/>
      <c r="H215" s="256"/>
      <c r="I215" s="256"/>
      <c r="J215" s="257">
        <f>ROUND(SUM(J216:J217),2)</f>
        <v>93.26</v>
      </c>
    </row>
    <row r="216" spans="1:10">
      <c r="A216" s="258"/>
      <c r="B216" s="258"/>
      <c r="C216" s="259" t="s">
        <v>2047</v>
      </c>
      <c r="D216" s="258"/>
      <c r="E216" s="258"/>
      <c r="F216" s="258"/>
      <c r="G216" s="258"/>
      <c r="H216" s="136"/>
      <c r="I216" s="287"/>
      <c r="J216" s="258"/>
    </row>
    <row r="217" spans="1:10" ht="14.25">
      <c r="A217" s="258"/>
      <c r="B217" s="258"/>
      <c r="C217" s="280" t="s">
        <v>2077</v>
      </c>
      <c r="D217" s="156"/>
      <c r="E217" s="157"/>
      <c r="F217" s="136"/>
      <c r="G217" s="136"/>
      <c r="H217" s="136"/>
      <c r="I217" s="136">
        <f>J210+J186+J181</f>
        <v>93.26</v>
      </c>
      <c r="J217" s="158">
        <f>ROUND(PRODUCT(E217:I217),2)</f>
        <v>93.26</v>
      </c>
    </row>
    <row r="218" spans="1:10" ht="13.5" customHeight="1">
      <c r="A218" s="535"/>
      <c r="B218" s="536"/>
      <c r="C218" s="536"/>
      <c r="D218" s="536"/>
      <c r="E218" s="536"/>
      <c r="F218" s="536"/>
      <c r="G218" s="536"/>
      <c r="H218" s="536"/>
      <c r="I218" s="536"/>
      <c r="J218" s="537"/>
    </row>
    <row r="219" spans="1:10">
      <c r="A219" s="94" t="str">
        <f>'[3]Planilha Orçamentária'!A63</f>
        <v>1.1.7</v>
      </c>
      <c r="B219" s="95"/>
      <c r="C219" s="96" t="str">
        <f>VLOOKUP(A219,'[3]Planilha Orçamentária'!A:K,3,0)</f>
        <v>SINALIZAÇÃO</v>
      </c>
      <c r="D219" s="96"/>
      <c r="E219" s="129"/>
      <c r="F219" s="130"/>
      <c r="G219" s="130"/>
      <c r="H219" s="130"/>
      <c r="I219" s="130"/>
      <c r="J219" s="131"/>
    </row>
    <row r="220" spans="1:10" ht="25.5">
      <c r="A220" s="251" t="str">
        <f>'[3]Planilha Orçamentária'!A64</f>
        <v>1.1.7.1</v>
      </c>
      <c r="B220" s="252">
        <f>VLOOKUP(A220,'[3]Planilha Orçamentária'!A:K,2,0)</f>
        <v>5213421</v>
      </c>
      <c r="C220" s="253" t="str">
        <f>VLOOKUP(A220,'[3]Planilha Orçamentária'!A:K,3,0)</f>
        <v>Confecção de placa em aço nº 16 galvanizado, com película tipo I + IV</v>
      </c>
      <c r="D220" s="254" t="str">
        <f>VLOOKUP(A220,'[3]Planilha Orçamentária'!A:K,4,0)</f>
        <v xml:space="preserve">M2    </v>
      </c>
      <c r="E220" s="255"/>
      <c r="F220" s="256"/>
      <c r="G220" s="256"/>
      <c r="H220" s="256"/>
      <c r="I220" s="256"/>
      <c r="J220" s="257">
        <f>ROUND(SUM(J221:J226),2)</f>
        <v>7.3</v>
      </c>
    </row>
    <row r="221" spans="1:10" ht="25.5">
      <c r="A221" s="293"/>
      <c r="B221" s="294"/>
      <c r="C221" s="165" t="s">
        <v>2078</v>
      </c>
      <c r="D221" s="295"/>
      <c r="E221" s="296"/>
      <c r="F221" s="297"/>
      <c r="G221" s="297"/>
      <c r="H221" s="157" t="s">
        <v>2003</v>
      </c>
      <c r="I221" s="298" t="s">
        <v>1991</v>
      </c>
      <c r="J221" s="299"/>
    </row>
    <row r="222" spans="1:10">
      <c r="A222" s="300"/>
      <c r="B222" s="301"/>
      <c r="C222" s="302" t="s">
        <v>2079</v>
      </c>
      <c r="D222" s="303"/>
      <c r="E222" s="304"/>
      <c r="F222" s="304"/>
      <c r="G222" s="304"/>
      <c r="H222" s="304">
        <v>0.2</v>
      </c>
      <c r="I222" s="305">
        <v>14</v>
      </c>
      <c r="J222" s="306">
        <f>ROUND(PRODUCT(E222:I222),2)</f>
        <v>2.8</v>
      </c>
    </row>
    <row r="223" spans="1:10">
      <c r="A223" s="293"/>
      <c r="B223" s="294"/>
      <c r="C223" s="155" t="s">
        <v>2080</v>
      </c>
      <c r="D223" s="307"/>
      <c r="E223" s="116"/>
      <c r="F223" s="116"/>
      <c r="G223" s="116"/>
      <c r="H223" s="116">
        <f>0.5*0.5</f>
        <v>0.25</v>
      </c>
      <c r="I223" s="308">
        <v>4</v>
      </c>
      <c r="J223" s="128">
        <f>ROUND(PRODUCT(E223:I223),2)</f>
        <v>1</v>
      </c>
    </row>
    <row r="224" spans="1:10">
      <c r="A224" s="293"/>
      <c r="B224" s="294"/>
      <c r="C224" s="155" t="s">
        <v>2081</v>
      </c>
      <c r="D224" s="307"/>
      <c r="E224" s="116"/>
      <c r="F224" s="116"/>
      <c r="G224" s="116"/>
      <c r="H224" s="116">
        <f>0.5*0.5</f>
        <v>0.25</v>
      </c>
      <c r="I224" s="308">
        <v>2</v>
      </c>
      <c r="J224" s="128">
        <f t="shared" ref="J224:J225" si="12">ROUND(PRODUCT(E224:I224),2)</f>
        <v>0.5</v>
      </c>
    </row>
    <row r="225" spans="1:10" ht="14.25">
      <c r="A225" s="293"/>
      <c r="B225" s="294"/>
      <c r="C225" s="155" t="s">
        <v>2082</v>
      </c>
      <c r="D225" s="309"/>
      <c r="E225" s="310"/>
      <c r="F225" s="282"/>
      <c r="G225" s="282"/>
      <c r="H225" s="116">
        <v>0.2</v>
      </c>
      <c r="I225" s="308">
        <v>15</v>
      </c>
      <c r="J225" s="128">
        <f t="shared" si="12"/>
        <v>3</v>
      </c>
    </row>
    <row r="226" spans="1:10">
      <c r="A226" s="538"/>
      <c r="B226" s="539"/>
      <c r="C226" s="539"/>
      <c r="D226" s="539"/>
      <c r="E226" s="539"/>
      <c r="F226" s="539"/>
      <c r="G226" s="539"/>
      <c r="H226" s="539"/>
      <c r="I226" s="539"/>
      <c r="J226" s="539"/>
    </row>
    <row r="227" spans="1:10" ht="38.25">
      <c r="A227" s="132" t="str">
        <f>'[3]Planilha Orçamentária'!A65</f>
        <v>1.1.7.2</v>
      </c>
      <c r="B227" s="103">
        <f>VLOOKUP(A227,'[3]Planilha Orçamentária'!A:K,2,0)</f>
        <v>5216111</v>
      </c>
      <c r="C227" s="276" t="str">
        <f>VLOOKUP(A227,'[3]Planilha Orçamentária'!A:K,3,0)</f>
        <v>FORNECIMENTO E IMPLANTAÇÃO DE SUPORTE E TRAVESSA PARA PLACA DE SINALIZAÇÃO EM MADEIRA DE LEI TRATADA 8 X 8 CM</v>
      </c>
      <c r="D227" s="105" t="str">
        <f>VLOOKUP(A227,'[3]Planilha Orçamentária'!A:K,4,0)</f>
        <v>UND</v>
      </c>
      <c r="E227" s="104"/>
      <c r="F227" s="111"/>
      <c r="G227" s="111"/>
      <c r="H227" s="111"/>
      <c r="I227" s="111"/>
      <c r="J227" s="107">
        <f>ROUND(SUM(J228:J229),2)</f>
        <v>29</v>
      </c>
    </row>
    <row r="228" spans="1:10">
      <c r="A228" s="138"/>
      <c r="B228" s="138"/>
      <c r="C228" s="165" t="s">
        <v>2078</v>
      </c>
      <c r="D228" s="307"/>
      <c r="E228" s="313"/>
      <c r="F228" s="116"/>
      <c r="G228" s="116"/>
      <c r="H228" s="157"/>
      <c r="I228" s="106" t="s">
        <v>1446</v>
      </c>
      <c r="J228" s="118"/>
    </row>
    <row r="229" spans="1:10">
      <c r="A229" s="314"/>
      <c r="B229" s="314"/>
      <c r="C229" s="244" t="s">
        <v>2046</v>
      </c>
      <c r="D229" s="307"/>
      <c r="E229" s="116"/>
      <c r="F229" s="116"/>
      <c r="G229" s="116"/>
      <c r="H229" s="116"/>
      <c r="I229" s="157">
        <v>29</v>
      </c>
      <c r="J229" s="118">
        <f>ROUND(PRODUCT(E229:I229),2)</f>
        <v>29</v>
      </c>
    </row>
    <row r="230" spans="1:10">
      <c r="A230" s="524"/>
      <c r="B230" s="524"/>
      <c r="C230" s="524"/>
      <c r="D230" s="524"/>
      <c r="E230" s="524"/>
      <c r="F230" s="524"/>
      <c r="G230" s="524"/>
      <c r="H230" s="524"/>
      <c r="I230" s="524"/>
      <c r="J230" s="525"/>
    </row>
    <row r="231" spans="1:10" ht="25.5">
      <c r="A231" s="132" t="str">
        <f>'[3]Planilha Orçamentária'!A66</f>
        <v>1.1.7.3</v>
      </c>
      <c r="B231" s="103" t="str">
        <f>VLOOKUP(A231,'[3]Planilha Orçamentária'!A:K,2,0)</f>
        <v>COMP-58084869</v>
      </c>
      <c r="C231" s="276" t="str">
        <f>VLOOKUP(A231,'[3]Planilha Orçamentária'!A:K,3,0)</f>
        <v>PLACA ESMALTADA PARA IDENTIFICAÇÃO NR DE RUA, DIMENSÕES 45X25CM</v>
      </c>
      <c r="D231" s="105" t="str">
        <f>VLOOKUP(A231,'[3]Planilha Orçamentária'!A:K,4,0)</f>
        <v>UND</v>
      </c>
      <c r="E231" s="104"/>
      <c r="F231" s="111"/>
      <c r="G231" s="111"/>
      <c r="H231" s="111"/>
      <c r="I231" s="111"/>
      <c r="J231" s="107">
        <f>ROUND(SUM(J233:J233),2)</f>
        <v>4</v>
      </c>
    </row>
    <row r="232" spans="1:10">
      <c r="A232" s="251"/>
      <c r="B232" s="252"/>
      <c r="C232" s="165" t="s">
        <v>2078</v>
      </c>
      <c r="D232" s="105"/>
      <c r="E232" s="104"/>
      <c r="F232" s="111"/>
      <c r="G232" s="111"/>
      <c r="H232" s="111"/>
      <c r="I232" s="106" t="s">
        <v>1446</v>
      </c>
      <c r="J232" s="257"/>
    </row>
    <row r="233" spans="1:10">
      <c r="A233" s="314"/>
      <c r="B233" s="314"/>
      <c r="C233" s="244" t="s">
        <v>2046</v>
      </c>
      <c r="D233" s="307"/>
      <c r="E233" s="313"/>
      <c r="F233" s="116"/>
      <c r="G233" s="116"/>
      <c r="H233" s="157"/>
      <c r="I233" s="157">
        <v>4</v>
      </c>
      <c r="J233" s="306">
        <f>ROUND(PRODUCT(E233:I233),2)</f>
        <v>4</v>
      </c>
    </row>
    <row r="234" spans="1:10">
      <c r="A234" s="523"/>
      <c r="B234" s="524"/>
      <c r="C234" s="524"/>
      <c r="D234" s="524"/>
      <c r="E234" s="524"/>
      <c r="F234" s="524"/>
      <c r="G234" s="524"/>
      <c r="H234" s="524"/>
      <c r="I234" s="524"/>
      <c r="J234" s="525"/>
    </row>
    <row r="235" spans="1:10" ht="51">
      <c r="A235" s="132" t="str">
        <f>'[3]Planilha Orçamentária'!A67</f>
        <v>1.1.7.4</v>
      </c>
      <c r="B235" s="103">
        <f>VLOOKUP(A235,'[3]Planilha Orçamentária'!A:K,2,0)</f>
        <v>102512</v>
      </c>
      <c r="C235" s="276" t="str">
        <f>VLOOKUP(A235,'[3]Planilha Orçamentária'!A:K,3,0)</f>
        <v>PINTURA DE EIXO VIÁRIO SOBRE ASFALTO COM TINTA RETRORREFLETIVA A BASE DE RESINA ACRÍLICA COM MICROESFERAS DE VIDRO, APLICAÇÃO MECÂNICA COM DEMARCADORA AUTOPROPELIDA. AF_05/2021</v>
      </c>
      <c r="D235" s="105" t="str">
        <f>VLOOKUP(A235,'[3]Planilha Orçamentária'!A:K,4,0)</f>
        <v>M</v>
      </c>
      <c r="E235" s="104"/>
      <c r="F235" s="111"/>
      <c r="G235" s="111"/>
      <c r="H235" s="111"/>
      <c r="I235" s="111"/>
      <c r="J235" s="107">
        <f>ROUND(SUM(J237:J237),2)</f>
        <v>1502.34</v>
      </c>
    </row>
    <row r="236" spans="1:10">
      <c r="A236" s="251"/>
      <c r="B236" s="252"/>
      <c r="C236" s="165" t="s">
        <v>2078</v>
      </c>
      <c r="D236" s="105"/>
      <c r="E236" s="104"/>
      <c r="F236" s="106" t="s">
        <v>1989</v>
      </c>
      <c r="G236" s="111"/>
      <c r="H236" s="111"/>
      <c r="I236" s="106"/>
      <c r="J236" s="257"/>
    </row>
    <row r="237" spans="1:10">
      <c r="A237" s="314"/>
      <c r="B237" s="314"/>
      <c r="C237" s="244" t="s">
        <v>2046</v>
      </c>
      <c r="D237" s="307"/>
      <c r="E237" s="313"/>
      <c r="F237" s="116">
        <v>1502.34</v>
      </c>
      <c r="G237" s="116"/>
      <c r="H237" s="157"/>
      <c r="I237" s="157"/>
      <c r="J237" s="306">
        <f>ROUND(PRODUCT(E237:I237),2)</f>
        <v>1502.34</v>
      </c>
    </row>
    <row r="238" spans="1:10">
      <c r="A238" s="523"/>
      <c r="B238" s="524"/>
      <c r="C238" s="524"/>
      <c r="D238" s="524"/>
      <c r="E238" s="524"/>
      <c r="F238" s="524"/>
      <c r="G238" s="524"/>
      <c r="H238" s="524"/>
      <c r="I238" s="524"/>
      <c r="J238" s="525"/>
    </row>
    <row r="239" spans="1:10" ht="51">
      <c r="A239" s="251" t="str">
        <f>'[3]Planilha Orçamentária'!A68</f>
        <v>1.1.7.5</v>
      </c>
      <c r="B239" s="252">
        <f>VLOOKUP(A239,'[3]Planilha Orçamentária'!A:K,2,0)</f>
        <v>102509</v>
      </c>
      <c r="C239" s="253" t="str">
        <f>VLOOKUP(A239,'[3]Planilha Orçamentária'!A:K,3,0)</f>
        <v>PINTURA DE FAIXA DE PEDESTRE OU ZEBRADA TINTA RETRORREFLETIVA A BASE DE RESINA ACRÍLICA COM MICROESFERAS DE VIDRO, E = 30 CM, APLICAÇÃO MANUAL. AF_05/2021</v>
      </c>
      <c r="D239" s="254" t="str">
        <f>VLOOKUP(A239,'[3]Planilha Orçamentária'!A:K,4,0)</f>
        <v>M2</v>
      </c>
      <c r="E239" s="255"/>
      <c r="F239" s="256"/>
      <c r="G239" s="256"/>
      <c r="H239" s="256"/>
      <c r="I239" s="256"/>
      <c r="J239" s="257">
        <f>ROUND(SUM(J241:J241),2)</f>
        <v>67.459999999999994</v>
      </c>
    </row>
    <row r="240" spans="1:10">
      <c r="A240" s="137"/>
      <c r="B240" s="137"/>
      <c r="C240" s="165" t="s">
        <v>2078</v>
      </c>
      <c r="D240" s="137"/>
      <c r="E240" s="137"/>
      <c r="F240" s="137"/>
      <c r="G240" s="137"/>
      <c r="H240" s="137"/>
      <c r="I240" s="106" t="s">
        <v>2003</v>
      </c>
      <c r="J240" s="137"/>
    </row>
    <row r="241" spans="1:10">
      <c r="A241" s="137"/>
      <c r="B241" s="137"/>
      <c r="C241" s="244" t="s">
        <v>2046</v>
      </c>
      <c r="D241" s="137"/>
      <c r="E241" s="137"/>
      <c r="F241" s="137"/>
      <c r="G241" s="137"/>
      <c r="H241" s="137"/>
      <c r="I241" s="137">
        <v>67.459999999999994</v>
      </c>
      <c r="J241" s="306">
        <f>ROUND(PRODUCT(E241:I241),2)</f>
        <v>67.459999999999994</v>
      </c>
    </row>
    <row r="242" spans="1:10">
      <c r="A242" s="523"/>
      <c r="B242" s="524"/>
      <c r="C242" s="524"/>
      <c r="D242" s="524"/>
      <c r="E242" s="524"/>
      <c r="F242" s="524"/>
      <c r="G242" s="524"/>
      <c r="H242" s="524"/>
      <c r="I242" s="524"/>
      <c r="J242" s="524"/>
    </row>
    <row r="243" spans="1:10">
      <c r="A243" s="94" t="str">
        <f>'[3]Planilha Orçamentária'!A69</f>
        <v>1.1.8</v>
      </c>
      <c r="B243" s="95"/>
      <c r="C243" s="96" t="str">
        <f>VLOOKUP(A243,'[3]Planilha Orçamentária'!A:K,3,0)</f>
        <v>ACESSIBILIDADE</v>
      </c>
      <c r="D243" s="96"/>
      <c r="E243" s="129"/>
      <c r="F243" s="130"/>
      <c r="G243" s="130"/>
      <c r="H243" s="130"/>
      <c r="I243" s="130"/>
      <c r="J243" s="131"/>
    </row>
    <row r="244" spans="1:10" ht="51">
      <c r="A244" s="251" t="str">
        <f>'[3]Planilha Orçamentária'!A70</f>
        <v>1.1.8.1</v>
      </c>
      <c r="B244" s="252" t="str">
        <f>VLOOKUP(A244,'[3]Planilha Orçamentária'!A:K,2,0)</f>
        <v>CP-S12039-81921471</v>
      </c>
      <c r="C244" s="253" t="str">
        <f>VLOOKUP(A244,'[3]Planilha Orçamentária'!A:K,3,0)</f>
        <v>Piso tátil direcional e/ou alerta, de concreto, na cor natural, p/deficientes visuais, dimensões 40x40cm, aplicado com argamassa industrializada ac-ii, rejuntado, exclusive regularização de base</v>
      </c>
      <c r="D244" s="254" t="str">
        <f>VLOOKUP(A244,'[3]Planilha Orçamentária'!A:K,4,0)</f>
        <v>M2</v>
      </c>
      <c r="E244" s="255"/>
      <c r="F244" s="256"/>
      <c r="G244" s="256"/>
      <c r="H244" s="256"/>
      <c r="I244" s="111"/>
      <c r="J244" s="122">
        <f>ROUND(SUM(J246),2)</f>
        <v>24.18</v>
      </c>
    </row>
    <row r="245" spans="1:10">
      <c r="A245" s="251"/>
      <c r="B245" s="252"/>
      <c r="C245" s="165" t="s">
        <v>2078</v>
      </c>
      <c r="D245" s="254"/>
      <c r="E245" s="255"/>
      <c r="F245" s="256"/>
      <c r="G245" s="256"/>
      <c r="H245" s="256"/>
      <c r="I245" s="106" t="s">
        <v>2003</v>
      </c>
      <c r="J245" s="122"/>
    </row>
    <row r="246" spans="1:10">
      <c r="A246" s="137"/>
      <c r="B246" s="137"/>
      <c r="C246" s="244" t="s">
        <v>2046</v>
      </c>
      <c r="D246" s="137"/>
      <c r="E246" s="137"/>
      <c r="F246" s="137"/>
      <c r="G246" s="137"/>
      <c r="H246" s="137"/>
      <c r="I246" s="318">
        <v>24.18</v>
      </c>
      <c r="J246" s="319">
        <f>ROUND(PRODUCT(E246:I246),2)</f>
        <v>24.18</v>
      </c>
    </row>
    <row r="247" spans="1:10">
      <c r="A247" s="523"/>
      <c r="B247" s="524"/>
      <c r="C247" s="524"/>
      <c r="D247" s="524"/>
      <c r="E247" s="524"/>
      <c r="F247" s="524"/>
      <c r="G247" s="524"/>
      <c r="H247" s="524"/>
      <c r="I247" s="524"/>
      <c r="J247" s="524"/>
    </row>
    <row r="248" spans="1:10">
      <c r="A248" s="94" t="str">
        <f>'[3]Planilha Orçamentária'!A71</f>
        <v>1.1.9</v>
      </c>
      <c r="B248" s="95"/>
      <c r="C248" s="96" t="str">
        <f>VLOOKUP(A248,'[3]Planilha Orçamentária'!A:K,3,0)</f>
        <v>MATERIAIS</v>
      </c>
      <c r="D248" s="96"/>
      <c r="E248" s="129"/>
      <c r="F248" s="130"/>
      <c r="G248" s="130"/>
      <c r="H248" s="130"/>
      <c r="I248" s="130"/>
      <c r="J248" s="131"/>
    </row>
    <row r="249" spans="1:10" ht="51">
      <c r="A249" s="145" t="str">
        <f>'[3]Planilha Orçamentária'!A72</f>
        <v>1.1.9.1</v>
      </c>
      <c r="B249" s="146">
        <f>VLOOKUP(A249,'[3]Planilha Orçamentária'!A:K,2,0)</f>
        <v>10775</v>
      </c>
      <c r="C249" s="147" t="str">
        <f>VLOOKUP(A249,'[3]Planilha Orçamentária'!A:K,3,0)</f>
        <v xml:space="preserve">LOCACAO DE CONTAINER 2,30 X 6,00 M, ALT. 2,50 M, COM 1 SANITARIO, PARA ESCRITORIO, COMPLETO, SEM DIVISORIAS INTERNAS (NAO INCLUI MOBILIZACAO/DESMOBILIZACAO)                                                                                                                                                                                                                                                                                                                                              </v>
      </c>
      <c r="D249" s="148" t="str">
        <f>VLOOKUP(A249,'[3]Planilha Orçamentária'!A:K,4,0)</f>
        <v xml:space="preserve">MES   </v>
      </c>
      <c r="E249" s="147"/>
      <c r="F249" s="160"/>
      <c r="G249" s="160"/>
      <c r="H249" s="160"/>
      <c r="I249" s="160"/>
      <c r="J249" s="218">
        <f>ROUND(SUM(J251:J251),2)</f>
        <v>6</v>
      </c>
    </row>
    <row r="250" spans="1:10" ht="25.5">
      <c r="A250" s="151"/>
      <c r="B250" s="152"/>
      <c r="C250" s="168"/>
      <c r="D250" s="166"/>
      <c r="E250" s="168"/>
      <c r="F250" s="320"/>
      <c r="G250" s="149"/>
      <c r="H250" s="149"/>
      <c r="I250" s="106" t="s">
        <v>1992</v>
      </c>
      <c r="J250" s="321"/>
    </row>
    <row r="251" spans="1:10">
      <c r="A251" s="123"/>
      <c r="B251" s="123"/>
      <c r="C251" s="155"/>
      <c r="D251" s="185"/>
      <c r="E251" s="116"/>
      <c r="F251" s="126"/>
      <c r="G251" s="116"/>
      <c r="H251" s="116"/>
      <c r="I251" s="116">
        <f>I19</f>
        <v>6</v>
      </c>
      <c r="J251" s="128">
        <f>ROUND(PRODUCT(E251:I251),2)</f>
        <v>6</v>
      </c>
    </row>
    <row r="252" spans="1:10">
      <c r="A252" s="531"/>
      <c r="B252" s="531"/>
      <c r="C252" s="531"/>
      <c r="D252" s="531"/>
      <c r="E252" s="531"/>
      <c r="F252" s="531"/>
      <c r="G252" s="531"/>
      <c r="H252" s="531"/>
      <c r="I252" s="531"/>
      <c r="J252" s="531"/>
    </row>
    <row r="253" spans="1:10" ht="38.25">
      <c r="A253" s="145" t="str">
        <f>'[3]Planilha Orçamentária'!A73</f>
        <v>1.1.9.2</v>
      </c>
      <c r="B253" s="146">
        <f>VLOOKUP(A253,'[3]Planilha Orçamentária'!A:K,2,0)</f>
        <v>10776</v>
      </c>
      <c r="C253" s="147" t="str">
        <f>VLOOKUP(A253,'[3]Planilha Orçamentária'!A:K,3,0)</f>
        <v xml:space="preserve">LOCACAO DE CONTAINER 2,30 X 6,00 M, ALT. 2,50 M, PARA ESCRITORIO, SEM DIVISORIAS INTERNAS E SEM SANITARIO (NAO INCLUI MOBILIZACAO/DESMOBILIZACAO)                                                                                                                                                                                                                                                                                                                                                         </v>
      </c>
      <c r="D253" s="148" t="str">
        <f>VLOOKUP(A253,'[3]Planilha Orçamentária'!A:K,4,0)</f>
        <v xml:space="preserve">MES   </v>
      </c>
      <c r="E253" s="147"/>
      <c r="F253" s="160"/>
      <c r="G253" s="160"/>
      <c r="H253" s="160"/>
      <c r="I253" s="160"/>
      <c r="J253" s="218">
        <f>ROUND(SUM(J255:J255),2)</f>
        <v>6</v>
      </c>
    </row>
    <row r="254" spans="1:10" ht="25.5">
      <c r="A254" s="151"/>
      <c r="B254" s="152"/>
      <c r="C254" s="168"/>
      <c r="D254" s="166"/>
      <c r="E254" s="168"/>
      <c r="F254" s="320"/>
      <c r="G254" s="149"/>
      <c r="H254" s="149"/>
      <c r="I254" s="106" t="s">
        <v>1992</v>
      </c>
      <c r="J254" s="321"/>
    </row>
    <row r="255" spans="1:10">
      <c r="A255" s="123"/>
      <c r="B255" s="123"/>
      <c r="C255" s="155"/>
      <c r="D255" s="185"/>
      <c r="E255" s="116"/>
      <c r="F255" s="126"/>
      <c r="G255" s="116"/>
      <c r="H255" s="116"/>
      <c r="I255" s="116">
        <f>I251</f>
        <v>6</v>
      </c>
      <c r="J255" s="128">
        <f>ROUND(PRODUCT(E255:I255),2)</f>
        <v>6</v>
      </c>
    </row>
    <row r="256" spans="1:10">
      <c r="A256" s="531"/>
      <c r="B256" s="531"/>
      <c r="C256" s="531"/>
      <c r="D256" s="531"/>
      <c r="E256" s="531"/>
      <c r="F256" s="531"/>
      <c r="G256" s="531"/>
      <c r="H256" s="531"/>
      <c r="I256" s="531"/>
      <c r="J256" s="531"/>
    </row>
    <row r="257" spans="1:10" ht="38.25">
      <c r="A257" s="132" t="str">
        <f>'[3]Planilha Orçamentária'!A74</f>
        <v>1.1.9.3</v>
      </c>
      <c r="B257" s="108">
        <f>VLOOKUP(A257,'[3]Planilha Orçamentária'!A:K,2,0)</f>
        <v>1518</v>
      </c>
      <c r="C257" s="104" t="str">
        <f>VLOOKUP(A257,'[3]Planilha Orçamentária'!A:K,3,0)</f>
        <v xml:space="preserve">CONCRETO BETUMINOSO USINADO A QUENTE (CBUQ) PARA PAVIMENTACAO ASFALTICA, PADRAO DNIT, FAIXA C, COM CAP 50/70 - AQUISICAO POSTO USINA                                                                                                                                                                                                                                                                                                                                                                      </v>
      </c>
      <c r="D257" s="105" t="str">
        <f>VLOOKUP(A257,'[3]Planilha Orçamentária'!A:K,4,0)</f>
        <v xml:space="preserve">T     </v>
      </c>
      <c r="E257" s="104"/>
      <c r="F257" s="111"/>
      <c r="G257" s="111"/>
      <c r="H257" s="111"/>
      <c r="I257" s="111"/>
      <c r="J257" s="122">
        <f>ROUND(SUM(J258:J259),2)</f>
        <v>391.93</v>
      </c>
    </row>
    <row r="258" spans="1:10">
      <c r="A258" s="174"/>
      <c r="B258" s="174"/>
      <c r="C258" s="159" t="s">
        <v>2018</v>
      </c>
      <c r="D258" s="174"/>
      <c r="E258" s="174" t="s">
        <v>1193</v>
      </c>
      <c r="F258" s="174"/>
      <c r="G258" s="174"/>
      <c r="H258" s="174"/>
      <c r="I258" s="174" t="s">
        <v>2007</v>
      </c>
      <c r="J258" s="174"/>
    </row>
    <row r="259" spans="1:10">
      <c r="A259" s="174"/>
      <c r="B259" s="174"/>
      <c r="C259" s="322" t="s">
        <v>2083</v>
      </c>
      <c r="D259" s="174"/>
      <c r="E259" s="174">
        <v>2.5548000000000002</v>
      </c>
      <c r="F259" s="174"/>
      <c r="G259" s="174"/>
      <c r="H259" s="174"/>
      <c r="I259" s="286">
        <f>J101</f>
        <v>153.41</v>
      </c>
      <c r="J259" s="158">
        <f t="shared" ref="J259" si="13">ROUND(PRODUCT(E259:I259),2)</f>
        <v>391.93</v>
      </c>
    </row>
    <row r="260" spans="1:10">
      <c r="A260" s="219"/>
      <c r="B260" s="323"/>
      <c r="C260" s="323"/>
      <c r="D260" s="323"/>
      <c r="E260" s="323"/>
      <c r="F260" s="323"/>
      <c r="G260" s="323"/>
      <c r="H260" s="323"/>
      <c r="I260" s="323"/>
      <c r="J260" s="198"/>
    </row>
    <row r="261" spans="1:10">
      <c r="A261" s="177" t="str">
        <f>'[3]Planilha Orçamentária'!A75</f>
        <v>1.1.9.4</v>
      </c>
      <c r="B261" s="178" t="str">
        <f>VLOOKUP(A261,'[3]Planilha Orçamentária'!A:K,2,0)</f>
        <v>INS-185032</v>
      </c>
      <c r="C261" s="179" t="str">
        <f>VLOOKUP(A261,'[3]Planilha Orçamentária'!A:K,3,0)</f>
        <v>BRITA GRADUADA SIMPLES (BGS)</v>
      </c>
      <c r="D261" s="180" t="str">
        <f>VLOOKUP(A261,'[3]Planilha Orçamentária'!A:K,4,0)</f>
        <v>M3</v>
      </c>
      <c r="E261" s="179"/>
      <c r="F261" s="181"/>
      <c r="G261" s="181"/>
      <c r="H261" s="181"/>
      <c r="I261" s="181"/>
      <c r="J261" s="182">
        <f>ROUND(SUM(J263:J263),2)</f>
        <v>614.66999999999996</v>
      </c>
    </row>
    <row r="262" spans="1:10">
      <c r="A262" s="177"/>
      <c r="B262" s="178"/>
      <c r="C262" s="159" t="s">
        <v>2018</v>
      </c>
      <c r="D262" s="180"/>
      <c r="E262" s="174" t="s">
        <v>1193</v>
      </c>
      <c r="F262" s="161"/>
      <c r="G262" s="161"/>
      <c r="H262" s="161"/>
      <c r="I262" s="210" t="s">
        <v>2007</v>
      </c>
      <c r="J262" s="182"/>
    </row>
    <row r="263" spans="1:10">
      <c r="A263" s="123"/>
      <c r="B263" s="211"/>
      <c r="C263" s="324" t="s">
        <v>2084</v>
      </c>
      <c r="D263" s="137"/>
      <c r="E263" s="325">
        <v>1</v>
      </c>
      <c r="F263" s="127"/>
      <c r="G263" s="161"/>
      <c r="H263" s="161"/>
      <c r="I263" s="212">
        <f>J82</f>
        <v>614.66999999999996</v>
      </c>
      <c r="J263" s="118">
        <f>ROUND(PRODUCT(E263:I263),2)</f>
        <v>614.66999999999996</v>
      </c>
    </row>
    <row r="264" spans="1:10">
      <c r="A264" s="219"/>
      <c r="B264" s="323"/>
      <c r="C264" s="323"/>
      <c r="D264" s="323"/>
      <c r="E264" s="323"/>
      <c r="F264" s="323"/>
      <c r="G264" s="323"/>
      <c r="H264" s="323"/>
      <c r="I264" s="323"/>
      <c r="J264" s="197"/>
    </row>
    <row r="265" spans="1:10">
      <c r="A265" s="177" t="str">
        <f>'[3]Planilha Orçamentária'!A76</f>
        <v>1.1.9.5</v>
      </c>
      <c r="B265" s="178" t="str">
        <f>VLOOKUP(A265,'[3]Planilha Orçamentária'!A:K,2,0)</f>
        <v>M0808</v>
      </c>
      <c r="C265" s="179" t="str">
        <f>VLOOKUP(A265,'[3]Planilha Orçamentária'!A:K,3,0)</f>
        <v>Brita 4</v>
      </c>
      <c r="D265" s="180" t="str">
        <f>VLOOKUP(A265,'[3]Planilha Orçamentária'!A:K,4,0)</f>
        <v>M3</v>
      </c>
      <c r="E265" s="179"/>
      <c r="F265" s="181"/>
      <c r="G265" s="181"/>
      <c r="H265" s="181"/>
      <c r="I265" s="181"/>
      <c r="J265" s="182">
        <f>ROUND(SUM(J267:J267),2)</f>
        <v>697.03</v>
      </c>
    </row>
    <row r="266" spans="1:10">
      <c r="A266" s="177"/>
      <c r="B266" s="178"/>
      <c r="C266" s="326"/>
      <c r="D266" s="137"/>
      <c r="E266" s="137" t="s">
        <v>2085</v>
      </c>
      <c r="F266" s="174"/>
      <c r="G266" s="174"/>
      <c r="H266" s="174"/>
      <c r="I266" s="174" t="s">
        <v>2007</v>
      </c>
      <c r="J266" s="182"/>
    </row>
    <row r="267" spans="1:10" ht="15">
      <c r="A267" s="123"/>
      <c r="B267" s="211"/>
      <c r="C267" s="200" t="s">
        <v>2086</v>
      </c>
      <c r="D267" s="137"/>
      <c r="E267" s="327">
        <v>1.26</v>
      </c>
      <c r="F267" s="174"/>
      <c r="G267" s="174"/>
      <c r="H267" s="174"/>
      <c r="I267" s="286">
        <f>J78</f>
        <v>553.20000000000005</v>
      </c>
      <c r="J267" s="118">
        <f>ROUND(PRODUCT(E267:I267),2)</f>
        <v>697.03</v>
      </c>
    </row>
    <row r="268" spans="1:10">
      <c r="A268" s="219"/>
      <c r="B268" s="323"/>
      <c r="C268" s="323"/>
      <c r="D268" s="323"/>
      <c r="E268" s="323"/>
      <c r="F268" s="323"/>
      <c r="G268" s="323"/>
      <c r="H268" s="323"/>
      <c r="I268" s="323"/>
      <c r="J268" s="197"/>
    </row>
    <row r="269" spans="1:10">
      <c r="A269" s="177" t="str">
        <f>'[3]Planilha Orçamentária'!A77</f>
        <v>1.1.9.6</v>
      </c>
      <c r="B269" s="178" t="str">
        <f>VLOOKUP(A269,'[3]Planilha Orçamentária'!A:K,2,0)</f>
        <v>M1135</v>
      </c>
      <c r="C269" s="179" t="str">
        <f>VLOOKUP(A269,'[3]Planilha Orçamentária'!A:K,3,0)</f>
        <v>Pó de pedra</v>
      </c>
      <c r="D269" s="180" t="str">
        <f>VLOOKUP(A269,'[3]Planilha Orçamentária'!A:K,4,0)</f>
        <v>M3</v>
      </c>
      <c r="E269" s="179"/>
      <c r="F269" s="181"/>
      <c r="G269" s="181"/>
      <c r="H269" s="181"/>
      <c r="I269" s="181"/>
      <c r="J269" s="182">
        <f>ROUND(SUM(J271:J271),2)</f>
        <v>77.45</v>
      </c>
    </row>
    <row r="270" spans="1:10">
      <c r="A270" s="177"/>
      <c r="B270" s="178"/>
      <c r="C270" s="326"/>
      <c r="D270" s="137"/>
      <c r="E270" s="137" t="s">
        <v>2085</v>
      </c>
      <c r="F270" s="174"/>
      <c r="G270" s="174"/>
      <c r="H270" s="174"/>
      <c r="I270" s="174" t="s">
        <v>2007</v>
      </c>
      <c r="J270" s="182"/>
    </row>
    <row r="271" spans="1:10" ht="15">
      <c r="A271" s="123"/>
      <c r="B271" s="211"/>
      <c r="C271" s="200" t="s">
        <v>2086</v>
      </c>
      <c r="D271" s="137"/>
      <c r="E271" s="327">
        <v>0.14000000000000001</v>
      </c>
      <c r="F271" s="174"/>
      <c r="G271" s="174"/>
      <c r="H271" s="174"/>
      <c r="I271" s="286">
        <f>I267</f>
        <v>553.20000000000005</v>
      </c>
      <c r="J271" s="118">
        <f>ROUND(PRODUCT(E271:I271),2)</f>
        <v>77.45</v>
      </c>
    </row>
    <row r="272" spans="1:10">
      <c r="A272" s="219"/>
      <c r="B272" s="323"/>
      <c r="C272" s="323"/>
      <c r="D272" s="323"/>
      <c r="E272" s="323"/>
      <c r="F272" s="323"/>
      <c r="G272" s="323"/>
      <c r="H272" s="323"/>
      <c r="I272" s="323"/>
      <c r="J272" s="197"/>
    </row>
    <row r="273" spans="1:10">
      <c r="A273" s="177" t="str">
        <f>'[3]Planilha Orçamentária'!A78</f>
        <v>1.1.9.7</v>
      </c>
      <c r="B273" s="178" t="str">
        <f>VLOOKUP(A273,'[3]Planilha Orçamentária'!A:K,2,0)</f>
        <v>INS-711371</v>
      </c>
      <c r="C273" s="179" t="str">
        <f>VLOOKUP(A273,'[3]Planilha Orçamentária'!A:K,3,0)</f>
        <v>ASFALTO DILUÍDO CM - 30</v>
      </c>
      <c r="D273" s="180" t="str">
        <f>VLOOKUP(A273,'[3]Planilha Orçamentária'!A:K,4,0)</f>
        <v>KG</v>
      </c>
      <c r="E273" s="179"/>
      <c r="F273" s="181"/>
      <c r="G273" s="181"/>
      <c r="H273" s="181"/>
      <c r="I273" s="181"/>
      <c r="J273" s="182">
        <f>ROUND(SUM(J275:J275),2)</f>
        <v>3681.8</v>
      </c>
    </row>
    <row r="274" spans="1:10">
      <c r="A274" s="177"/>
      <c r="B274" s="178"/>
      <c r="C274" s="159"/>
      <c r="D274" s="180"/>
      <c r="E274" s="174" t="s">
        <v>2085</v>
      </c>
      <c r="F274" s="161"/>
      <c r="G274" s="161"/>
      <c r="H274" s="161"/>
      <c r="I274" s="210" t="s">
        <v>2003</v>
      </c>
      <c r="J274" s="182"/>
    </row>
    <row r="275" spans="1:10">
      <c r="A275" s="123"/>
      <c r="B275" s="211"/>
      <c r="C275" s="324" t="s">
        <v>2087</v>
      </c>
      <c r="D275" s="137"/>
      <c r="E275" s="325">
        <v>1.2</v>
      </c>
      <c r="F275" s="127"/>
      <c r="G275" s="161"/>
      <c r="H275" s="161"/>
      <c r="I275" s="212">
        <f>J95</f>
        <v>3068.17</v>
      </c>
      <c r="J275" s="118">
        <f>ROUND(PRODUCT(E275:I275),2)</f>
        <v>3681.8</v>
      </c>
    </row>
    <row r="276" spans="1:10">
      <c r="A276" s="219"/>
      <c r="B276" s="323"/>
      <c r="C276" s="323"/>
      <c r="D276" s="323"/>
      <c r="E276" s="323"/>
      <c r="F276" s="323"/>
      <c r="G276" s="323"/>
      <c r="H276" s="323"/>
      <c r="I276" s="323"/>
      <c r="J276" s="197"/>
    </row>
    <row r="277" spans="1:10" ht="38.25">
      <c r="A277" s="177" t="str">
        <f>'[3]Planilha Orçamentária'!A79</f>
        <v>1.1.9.8</v>
      </c>
      <c r="B277" s="178">
        <f>VLOOKUP(A277,'[3]Planilha Orçamentária'!A:K,2,0)</f>
        <v>34492</v>
      </c>
      <c r="C277" s="179" t="str">
        <f>VLOOKUP(A277,'[3]Planilha Orçamentária'!A:K,3,0)</f>
        <v xml:space="preserve">CONCRETO USINADO BOMBEAVEL, CLASSE DE RESISTENCIA C20, COM BRITA 0 E 1, SLUMP = 100 +/- 20 MM, EXCLUI SERVICO DE BOMBEAMENTO (NBR 8953)                                                                                                                                                                                                                                                                                                                                                                   </v>
      </c>
      <c r="D277" s="180" t="str">
        <f>VLOOKUP(A277,'[3]Planilha Orçamentária'!A:K,4,0)</f>
        <v xml:space="preserve">M3    </v>
      </c>
      <c r="E277" s="179"/>
      <c r="F277" s="181"/>
      <c r="G277" s="181"/>
      <c r="H277" s="181"/>
      <c r="I277" s="181"/>
      <c r="J277" s="182">
        <f>ROUND(SUM(J279:J279),2)</f>
        <v>253.31</v>
      </c>
    </row>
    <row r="278" spans="1:10">
      <c r="A278" s="177"/>
      <c r="B278" s="178"/>
      <c r="C278" s="159"/>
      <c r="D278" s="174"/>
      <c r="E278" s="137" t="s">
        <v>2085</v>
      </c>
      <c r="F278" s="174"/>
      <c r="G278" s="174"/>
      <c r="H278" s="174"/>
      <c r="I278" s="174" t="s">
        <v>2007</v>
      </c>
      <c r="J278" s="182"/>
    </row>
    <row r="279" spans="1:10">
      <c r="A279" s="123"/>
      <c r="B279" s="211"/>
      <c r="C279" s="324" t="s">
        <v>2088</v>
      </c>
      <c r="D279" s="137"/>
      <c r="E279" s="325">
        <v>1.2130000000000001</v>
      </c>
      <c r="F279" s="174"/>
      <c r="G279" s="174"/>
      <c r="H279" s="174"/>
      <c r="I279" s="286">
        <f>J119</f>
        <v>208.83</v>
      </c>
      <c r="J279" s="118">
        <f>ROUND(PRODUCT(E279:I279),2)</f>
        <v>253.31</v>
      </c>
    </row>
    <row r="280" spans="1:10">
      <c r="A280" s="219"/>
      <c r="B280" s="323"/>
      <c r="C280" s="323"/>
      <c r="D280" s="323"/>
      <c r="E280" s="323"/>
      <c r="F280" s="323"/>
      <c r="G280" s="323"/>
      <c r="H280" s="323"/>
      <c r="I280" s="323"/>
      <c r="J280" s="197"/>
    </row>
    <row r="281" spans="1:10" ht="38.25">
      <c r="A281" s="177" t="str">
        <f>'[3]Planilha Orçamentária'!A80</f>
        <v>1.1.9.9</v>
      </c>
      <c r="B281" s="178">
        <f>VLOOKUP(A281,'[3]Planilha Orçamentária'!A:K,2,0)</f>
        <v>1345</v>
      </c>
      <c r="C281" s="179" t="str">
        <f>VLOOKUP(A281,'[3]Planilha Orçamentária'!A:K,3,0)</f>
        <v xml:space="preserve">CHAPA/PAINEL DE MADEIRA COMPENSADA PLASTIFICADA (MADEIRITE PLASTIFICADO) PARA FORMA DE CONCRETO, DE 2200 x 1100 MM, E = *17* MM                                                                                                                                                                                                                                                                                                                                                                           </v>
      </c>
      <c r="D281" s="180" t="str">
        <f>VLOOKUP(A281,'[3]Planilha Orçamentária'!A:K,4,0)</f>
        <v xml:space="preserve">M2    </v>
      </c>
      <c r="E281" s="179"/>
      <c r="F281" s="181"/>
      <c r="G281" s="181"/>
      <c r="H281" s="181"/>
      <c r="I281" s="181"/>
      <c r="J281" s="182">
        <f>ROUND(SUM(J283:J283),2)</f>
        <v>187.98</v>
      </c>
    </row>
    <row r="282" spans="1:10">
      <c r="A282" s="177"/>
      <c r="B282" s="178"/>
      <c r="C282" s="159"/>
      <c r="D282" s="174"/>
      <c r="E282" s="137" t="s">
        <v>2085</v>
      </c>
      <c r="F282" s="174"/>
      <c r="G282" s="174"/>
      <c r="H282" s="174"/>
      <c r="I282" s="174" t="s">
        <v>2003</v>
      </c>
      <c r="J282" s="182"/>
    </row>
    <row r="283" spans="1:10">
      <c r="A283" s="123"/>
      <c r="B283" s="211"/>
      <c r="C283" s="324" t="s">
        <v>2089</v>
      </c>
      <c r="D283" s="137"/>
      <c r="E283" s="325">
        <v>1.05</v>
      </c>
      <c r="F283" s="174"/>
      <c r="G283" s="174"/>
      <c r="H283" s="174"/>
      <c r="I283" s="286">
        <f>J194</f>
        <v>179.03</v>
      </c>
      <c r="J283" s="118">
        <f>ROUND(PRODUCT(E283:I283),2)</f>
        <v>187.98</v>
      </c>
    </row>
    <row r="284" spans="1:10">
      <c r="A284" s="219"/>
      <c r="B284" s="323"/>
      <c r="C284" s="323"/>
      <c r="D284" s="323"/>
      <c r="E284" s="323"/>
      <c r="F284" s="323"/>
      <c r="G284" s="323"/>
      <c r="H284" s="323"/>
      <c r="I284" s="323"/>
      <c r="J284" s="197"/>
    </row>
    <row r="285" spans="1:10">
      <c r="A285" s="94" t="str">
        <f>'[3]Planilha Orçamentária'!A82</f>
        <v>1.2.1</v>
      </c>
      <c r="B285" s="95"/>
      <c r="C285" s="96" t="str">
        <f>VLOOKUP(A285,'[3]Planilha Orçamentária'!A:K,3,0)</f>
        <v>INSTALAÇÕES PROVISÓRIAS</v>
      </c>
      <c r="D285" s="97"/>
      <c r="E285" s="98"/>
      <c r="F285" s="99"/>
      <c r="G285" s="99"/>
      <c r="H285" s="99"/>
      <c r="I285" s="100"/>
      <c r="J285" s="101"/>
    </row>
    <row r="286" spans="1:10" ht="25.5">
      <c r="A286" s="102" t="str">
        <f>'[3]Planilha Orçamentária'!A83</f>
        <v>1.2.1.1</v>
      </c>
      <c r="B286" s="103" t="str">
        <f>VLOOKUP(A286,'[3]Planilha Orçamentária'!A:K,2,0)</f>
        <v>CP-74209/001-15055090</v>
      </c>
      <c r="C286" s="104" t="str">
        <f>VLOOKUP(A286,'[3]Planilha Orçamentária'!A:K,3,0)</f>
        <v>PLACA DE OBRA EM CHAPA DE ACO GALVANIZADO</v>
      </c>
      <c r="D286" s="105" t="str">
        <f>VLOOKUP(A286,'[3]Planilha Orçamentária'!A:K,4,0)</f>
        <v xml:space="preserve">M2    </v>
      </c>
      <c r="E286" s="104"/>
      <c r="F286" s="106" t="s">
        <v>1989</v>
      </c>
      <c r="G286" s="106" t="s">
        <v>1990</v>
      </c>
      <c r="H286" s="106"/>
      <c r="I286" s="106" t="s">
        <v>1991</v>
      </c>
      <c r="J286" s="107">
        <f>ROUND(SUM(J288:J288),2)</f>
        <v>8</v>
      </c>
    </row>
    <row r="287" spans="1:10">
      <c r="A287" s="102"/>
      <c r="B287" s="103"/>
      <c r="C287" s="110"/>
      <c r="D287" s="109"/>
      <c r="E287" s="110"/>
      <c r="F287" s="111"/>
      <c r="G287" s="111"/>
      <c r="H287" s="111"/>
      <c r="I287" s="111"/>
      <c r="J287" s="107"/>
    </row>
    <row r="288" spans="1:10">
      <c r="A288" s="102"/>
      <c r="B288" s="123"/>
      <c r="C288" s="328"/>
      <c r="D288" s="114"/>
      <c r="E288" s="115"/>
      <c r="F288" s="116">
        <v>2</v>
      </c>
      <c r="G288" s="116">
        <v>4</v>
      </c>
      <c r="H288" s="117"/>
      <c r="I288" s="116">
        <v>1</v>
      </c>
      <c r="J288" s="118">
        <f>ROUND(PRODUCT(E288:I288),2)</f>
        <v>8</v>
      </c>
    </row>
    <row r="289" spans="1:10">
      <c r="A289" s="553"/>
      <c r="B289" s="554"/>
      <c r="C289" s="554"/>
      <c r="D289" s="554"/>
      <c r="E289" s="554"/>
      <c r="F289" s="554"/>
      <c r="G289" s="554"/>
      <c r="H289" s="554"/>
      <c r="I289" s="554"/>
      <c r="J289" s="555"/>
    </row>
    <row r="290" spans="1:10" ht="25.5">
      <c r="A290" s="102" t="str">
        <f>'[3]Planilha Orçamentária'!A84</f>
        <v>1.2.1.2</v>
      </c>
      <c r="B290" s="108" t="str">
        <f>VLOOKUP(A290,'[3]Planilha Orçamentária'!A:K,2,0)</f>
        <v>COMP-07440249</v>
      </c>
      <c r="C290" s="104" t="str">
        <f>VLOOKUP(A290,'[3]Planilha Orçamentária'!A:K,3,0)</f>
        <v>BANHEIRO QUÍMICO, COM LOCAÇÃO, TRANSPORTE E LIMPEZA</v>
      </c>
      <c r="D290" s="105" t="str">
        <f>VLOOKUP(A290,'[3]Planilha Orçamentária'!A:K,4,0)</f>
        <v>MÊS</v>
      </c>
      <c r="E290" s="104"/>
      <c r="F290" s="111"/>
      <c r="G290" s="111"/>
      <c r="H290" s="111"/>
      <c r="I290" s="111"/>
      <c r="J290" s="122">
        <f>ROUND(SUM(J293:J293),2)</f>
        <v>1</v>
      </c>
    </row>
    <row r="291" spans="1:10" ht="25.5">
      <c r="A291" s="102"/>
      <c r="B291" s="108"/>
      <c r="C291" s="104"/>
      <c r="D291" s="105"/>
      <c r="E291" s="104"/>
      <c r="F291" s="111"/>
      <c r="G291" s="111"/>
      <c r="H291" s="111"/>
      <c r="I291" s="106" t="s">
        <v>1992</v>
      </c>
      <c r="J291" s="122"/>
    </row>
    <row r="292" spans="1:10">
      <c r="A292" s="102"/>
      <c r="B292" s="108"/>
      <c r="C292" s="104"/>
      <c r="D292" s="105"/>
      <c r="E292" s="104"/>
      <c r="F292" s="111"/>
      <c r="G292" s="111"/>
      <c r="H292" s="111"/>
      <c r="I292" s="106"/>
      <c r="J292" s="122"/>
    </row>
    <row r="293" spans="1:10">
      <c r="A293" s="102"/>
      <c r="B293" s="123"/>
      <c r="C293" s="124"/>
      <c r="D293" s="125"/>
      <c r="E293" s="126"/>
      <c r="F293" s="126"/>
      <c r="G293" s="117"/>
      <c r="H293" s="117"/>
      <c r="I293" s="127">
        <v>1</v>
      </c>
      <c r="J293" s="128">
        <f>ROUND(PRODUCT(E293:I293),2)</f>
        <v>1</v>
      </c>
    </row>
    <row r="294" spans="1:10">
      <c r="A294" s="102"/>
      <c r="B294" s="123"/>
      <c r="C294" s="124"/>
      <c r="D294" s="125"/>
      <c r="E294" s="126"/>
      <c r="F294" s="126"/>
      <c r="G294" s="117"/>
      <c r="H294" s="117"/>
      <c r="I294" s="127"/>
      <c r="J294" s="128"/>
    </row>
    <row r="295" spans="1:10">
      <c r="A295" s="94" t="str">
        <f>'[3]Planilha Orçamentária'!A85</f>
        <v>1.2.2</v>
      </c>
      <c r="B295" s="95"/>
      <c r="C295" s="96" t="str">
        <f>VLOOKUP(A295,'[3]Planilha Orçamentária'!A:K,3,0)</f>
        <v>ADMINISTRAÇÃO LOCAL</v>
      </c>
      <c r="D295" s="96"/>
      <c r="E295" s="129"/>
      <c r="F295" s="130"/>
      <c r="G295" s="130"/>
      <c r="H295" s="130"/>
      <c r="I295" s="130"/>
      <c r="J295" s="131"/>
    </row>
    <row r="296" spans="1:10" ht="25.5">
      <c r="A296" s="132" t="str">
        <f>'[3]Planilha Orçamentária'!A86</f>
        <v>1.2.2.1</v>
      </c>
      <c r="B296" s="103">
        <f>VLOOKUP(A296,'[3]Planilha Orçamentária'!A:K,2,0)</f>
        <v>93565</v>
      </c>
      <c r="C296" s="104" t="str">
        <f>VLOOKUP(A296,'[3]Planilha Orçamentária'!A:K,3,0)</f>
        <v>ENGENHEIRO CIVIL DE OBRA JUNIOR COM ENCARGOS COMPLEMENTARES</v>
      </c>
      <c r="D296" s="105" t="str">
        <f>VLOOKUP(A296,'[3]Planilha Orçamentária'!A:K,4,0)</f>
        <v>MES</v>
      </c>
      <c r="E296" s="133"/>
      <c r="F296" s="134"/>
      <c r="G296" s="134"/>
      <c r="H296" s="134"/>
      <c r="I296" s="134"/>
      <c r="J296" s="107">
        <f>ROUND(SUM(J298),2)</f>
        <v>0.13</v>
      </c>
    </row>
    <row r="297" spans="1:10" ht="14.25">
      <c r="A297" s="132"/>
      <c r="B297" s="103"/>
      <c r="C297" s="135" t="s">
        <v>2090</v>
      </c>
      <c r="D297" s="105"/>
      <c r="E297" s="133"/>
      <c r="F297" s="136"/>
      <c r="G297" s="136"/>
      <c r="H297" s="136"/>
      <c r="I297" s="136"/>
      <c r="J297" s="107"/>
    </row>
    <row r="298" spans="1:10" ht="14.25">
      <c r="A298" s="137"/>
      <c r="B298" s="138"/>
      <c r="C298" s="135" t="s">
        <v>2091</v>
      </c>
      <c r="D298" s="139"/>
      <c r="E298" s="136">
        <f>22/176</f>
        <v>0.125</v>
      </c>
      <c r="F298" s="136"/>
      <c r="G298" s="136"/>
      <c r="H298" s="136"/>
      <c r="I298" s="136">
        <f>I293</f>
        <v>1</v>
      </c>
      <c r="J298" s="118">
        <f>ROUND(PRODUCT(E298:I298),2)</f>
        <v>0.13</v>
      </c>
    </row>
    <row r="299" spans="1:10" ht="14.25">
      <c r="A299" s="137"/>
      <c r="B299" s="138"/>
      <c r="C299" s="135" t="s">
        <v>1994</v>
      </c>
      <c r="D299" s="139"/>
      <c r="E299" s="136"/>
      <c r="F299" s="136"/>
      <c r="G299" s="136"/>
      <c r="H299" s="136"/>
      <c r="I299" s="136"/>
      <c r="J299" s="140"/>
    </row>
    <row r="300" spans="1:10" ht="14.25">
      <c r="A300" s="137"/>
      <c r="B300" s="138"/>
      <c r="C300" s="135" t="s">
        <v>1995</v>
      </c>
      <c r="D300" s="141"/>
      <c r="E300" s="142"/>
      <c r="F300" s="127"/>
      <c r="G300" s="117"/>
      <c r="H300" s="117"/>
      <c r="I300" s="143"/>
      <c r="J300" s="144"/>
    </row>
    <row r="301" spans="1:10">
      <c r="A301" s="531"/>
      <c r="B301" s="531"/>
      <c r="C301" s="531"/>
      <c r="D301" s="531"/>
      <c r="E301" s="531"/>
      <c r="F301" s="531"/>
      <c r="G301" s="531"/>
      <c r="H301" s="531"/>
      <c r="I301" s="531"/>
      <c r="J301" s="531"/>
    </row>
    <row r="302" spans="1:10" ht="25.5">
      <c r="A302" s="132" t="str">
        <f>'[3]Planilha Orçamentária'!A87</f>
        <v>1.2.2.2</v>
      </c>
      <c r="B302" s="103">
        <f>VLOOKUP(A302,'[3]Planilha Orçamentária'!A:K,2,0)</f>
        <v>93572</v>
      </c>
      <c r="C302" s="104" t="str">
        <f>VLOOKUP(A302,'[3]Planilha Orçamentária'!A:K,3,0)</f>
        <v>ENCARREGADO GERAL DE OBRAS COM ENCARGOS COMPLEMENTARES</v>
      </c>
      <c r="D302" s="105" t="str">
        <f>VLOOKUP(A302,'[3]Planilha Orçamentária'!A:K,4,0)</f>
        <v>MES</v>
      </c>
      <c r="E302" s="133"/>
      <c r="F302" s="134"/>
      <c r="G302" s="134"/>
      <c r="H302" s="134"/>
      <c r="I302" s="134"/>
      <c r="J302" s="107">
        <f>ROUND(SUM(J304),2)</f>
        <v>0.13</v>
      </c>
    </row>
    <row r="303" spans="1:10" ht="14.25">
      <c r="A303" s="132"/>
      <c r="B303" s="103"/>
      <c r="C303" s="135" t="s">
        <v>2090</v>
      </c>
      <c r="D303" s="105"/>
      <c r="E303" s="133"/>
      <c r="F303" s="136"/>
      <c r="G303" s="136"/>
      <c r="H303" s="136"/>
      <c r="I303" s="136"/>
      <c r="J303" s="107"/>
    </row>
    <row r="304" spans="1:10" ht="14.25">
      <c r="A304" s="137"/>
      <c r="B304" s="138"/>
      <c r="C304" s="135" t="s">
        <v>2091</v>
      </c>
      <c r="D304" s="139"/>
      <c r="E304" s="136">
        <f>22/176</f>
        <v>0.125</v>
      </c>
      <c r="F304" s="136"/>
      <c r="G304" s="136"/>
      <c r="H304" s="136"/>
      <c r="I304" s="136">
        <f>I293</f>
        <v>1</v>
      </c>
      <c r="J304" s="118">
        <f>ROUND(PRODUCT(E304:I304),2)</f>
        <v>0.13</v>
      </c>
    </row>
    <row r="305" spans="1:10" ht="14.25">
      <c r="A305" s="137"/>
      <c r="B305" s="138"/>
      <c r="C305" s="135" t="s">
        <v>1994</v>
      </c>
      <c r="D305" s="139"/>
      <c r="E305" s="136"/>
      <c r="F305" s="136"/>
      <c r="G305" s="136"/>
      <c r="H305" s="136"/>
      <c r="I305" s="136"/>
      <c r="J305" s="140"/>
    </row>
    <row r="306" spans="1:10" ht="14.25">
      <c r="A306" s="137"/>
      <c r="B306" s="138"/>
      <c r="C306" s="135" t="s">
        <v>1995</v>
      </c>
      <c r="D306" s="141"/>
      <c r="E306" s="142"/>
      <c r="F306" s="127"/>
      <c r="G306" s="117"/>
      <c r="H306" s="117"/>
      <c r="I306" s="143"/>
      <c r="J306" s="144"/>
    </row>
    <row r="307" spans="1:10">
      <c r="A307" s="531"/>
      <c r="B307" s="531"/>
      <c r="C307" s="531"/>
      <c r="D307" s="531"/>
      <c r="E307" s="531"/>
      <c r="F307" s="531"/>
      <c r="G307" s="531"/>
      <c r="H307" s="531"/>
      <c r="I307" s="531"/>
      <c r="J307" s="531"/>
    </row>
    <row r="308" spans="1:10">
      <c r="A308" s="102"/>
      <c r="B308" s="119"/>
      <c r="C308" s="102"/>
      <c r="D308" s="120"/>
      <c r="E308" s="120"/>
      <c r="F308" s="120"/>
      <c r="G308" s="120"/>
      <c r="H308" s="120"/>
      <c r="I308" s="121"/>
      <c r="J308" s="102"/>
    </row>
    <row r="309" spans="1:10">
      <c r="A309" s="94" t="str">
        <f>'[3]Planilha Orçamentária'!A88</f>
        <v>1.2.3</v>
      </c>
      <c r="B309" s="95"/>
      <c r="C309" s="96" t="str">
        <f>VLOOKUP(A309,'[3]Planilha Orçamentária'!A:K,3,0)</f>
        <v>SERVIÇOS PRELIMINARES</v>
      </c>
      <c r="D309" s="97"/>
      <c r="E309" s="98"/>
      <c r="F309" s="99"/>
      <c r="G309" s="99"/>
      <c r="H309" s="99"/>
      <c r="I309" s="100"/>
      <c r="J309" s="101"/>
    </row>
    <row r="310" spans="1:10">
      <c r="A310" s="145" t="str">
        <f>'[3]Planilha Orçamentária'!A89</f>
        <v>1.2.3.1</v>
      </c>
      <c r="B310" s="146">
        <f>VLOOKUP(A310,'[3]Planilha Orçamentária'!A:K,2,0)</f>
        <v>99064</v>
      </c>
      <c r="C310" s="147" t="str">
        <f>VLOOKUP(A310,'[3]Planilha Orçamentária'!A:K,3,0)</f>
        <v>LOCAÇÃO DE PAVIMENTAÇÃO. AF_10/2018</v>
      </c>
      <c r="D310" s="148" t="str">
        <f>VLOOKUP(A310,'[3]Planilha Orçamentária'!A:K,4,0)</f>
        <v>M</v>
      </c>
      <c r="E310" s="147"/>
      <c r="F310" s="136"/>
      <c r="G310" s="149"/>
      <c r="H310" s="149"/>
      <c r="I310" s="149"/>
      <c r="J310" s="150">
        <f>ROUND(SUM(J312),2)</f>
        <v>46.54</v>
      </c>
    </row>
    <row r="311" spans="1:10">
      <c r="A311" s="151"/>
      <c r="B311" s="152"/>
      <c r="C311" s="147"/>
      <c r="D311" s="148"/>
      <c r="E311" s="147"/>
      <c r="F311" s="106" t="s">
        <v>1989</v>
      </c>
      <c r="G311" s="149"/>
      <c r="H311" s="149"/>
      <c r="I311" s="149"/>
      <c r="J311" s="150"/>
    </row>
    <row r="312" spans="1:10">
      <c r="A312" s="153"/>
      <c r="B312" s="154"/>
      <c r="C312" s="200" t="s">
        <v>2092</v>
      </c>
      <c r="D312" s="156"/>
      <c r="E312" s="157"/>
      <c r="F312" s="157">
        <f>[3]PARÂMETROS!B241</f>
        <v>46.54</v>
      </c>
      <c r="G312" s="157"/>
      <c r="H312" s="157"/>
      <c r="I312" s="157"/>
      <c r="J312" s="158">
        <f>ROUND(PRODUCT(E312:I312),2)</f>
        <v>46.54</v>
      </c>
    </row>
    <row r="313" spans="1:10">
      <c r="A313" s="531"/>
      <c r="B313" s="531"/>
      <c r="C313" s="531"/>
      <c r="D313" s="531"/>
      <c r="E313" s="531"/>
      <c r="F313" s="531"/>
      <c r="G313" s="531"/>
      <c r="H313" s="531"/>
      <c r="I313" s="531"/>
      <c r="J313" s="531"/>
    </row>
    <row r="314" spans="1:10" ht="25.5">
      <c r="A314" s="145" t="str">
        <f>'[3]Planilha Orçamentária'!A90</f>
        <v>1.2.3.2</v>
      </c>
      <c r="B314" s="199" t="str">
        <f>VLOOKUP(A314,'[3]Planilha Orçamentária'!A:K,2,0)</f>
        <v>COMP-17562084</v>
      </c>
      <c r="C314" s="147" t="str">
        <f>VLOOKUP(A314,'[3]Planilha Orçamentária'!A:K,3,0)</f>
        <v>DEMOLIÇÃO MANUAL DE CONCRETO SIMPLES</v>
      </c>
      <c r="D314" s="148" t="str">
        <f>VLOOKUP(A314,'[3]Planilha Orçamentária'!A:K,4,0)</f>
        <v>M3</v>
      </c>
      <c r="E314" s="147"/>
      <c r="F314" s="160"/>
      <c r="G314" s="160"/>
      <c r="H314" s="160"/>
      <c r="I314" s="160"/>
      <c r="J314" s="150">
        <f>ROUND(SUM(J316),2)</f>
        <v>7.32</v>
      </c>
    </row>
    <row r="315" spans="1:10">
      <c r="A315" s="145"/>
      <c r="B315" s="199"/>
      <c r="C315" s="159" t="s">
        <v>2093</v>
      </c>
      <c r="D315" s="148"/>
      <c r="E315" s="147"/>
      <c r="F315" s="160"/>
      <c r="G315" s="160"/>
      <c r="H315" s="161" t="s">
        <v>2002</v>
      </c>
      <c r="I315" s="106" t="s">
        <v>2003</v>
      </c>
      <c r="J315" s="150"/>
    </row>
    <row r="316" spans="1:10" ht="25.5">
      <c r="A316" s="145"/>
      <c r="B316" s="199"/>
      <c r="C316" s="162" t="s">
        <v>2004</v>
      </c>
      <c r="D316" s="123"/>
      <c r="E316" s="123"/>
      <c r="F316" s="157"/>
      <c r="G316" s="157"/>
      <c r="H316" s="157">
        <v>7.0000000000000007E-2</v>
      </c>
      <c r="I316" s="157">
        <v>104.51</v>
      </c>
      <c r="J316" s="128">
        <f>ROUND(PRODUCT(E316:I316),2)</f>
        <v>7.32</v>
      </c>
    </row>
    <row r="317" spans="1:10">
      <c r="A317" s="561"/>
      <c r="B317" s="562"/>
      <c r="C317" s="562"/>
      <c r="D317" s="562"/>
      <c r="E317" s="562"/>
      <c r="F317" s="562"/>
      <c r="G317" s="562"/>
      <c r="H317" s="562"/>
      <c r="I317" s="562"/>
      <c r="J317" s="563"/>
    </row>
    <row r="318" spans="1:10" ht="25.5">
      <c r="A318" s="145" t="str">
        <f>'[3]Planilha Orçamentária'!A91</f>
        <v>1.2.3.3</v>
      </c>
      <c r="B318" s="199" t="str">
        <f>VLOOKUP(A318,'[3]Planilha Orçamentária'!A:K,2,0)</f>
        <v>COMP-01471766</v>
      </c>
      <c r="C318" s="147" t="str">
        <f>VLOOKUP(A318,'[3]Planilha Orçamentária'!A:K,3,0)</f>
        <v>DEMOLIÇÃO DE MEIO-FIO</v>
      </c>
      <c r="D318" s="148" t="str">
        <f>VLOOKUP(A318,'[3]Planilha Orçamentária'!A:K,4,0)</f>
        <v>M</v>
      </c>
      <c r="E318" s="147"/>
      <c r="F318" s="160"/>
      <c r="G318" s="160"/>
      <c r="H318" s="160"/>
      <c r="I318" s="160"/>
      <c r="J318" s="150">
        <f>ROUND(SUM(J320),2)</f>
        <v>90.28</v>
      </c>
    </row>
    <row r="319" spans="1:10">
      <c r="A319" s="123"/>
      <c r="B319" s="123"/>
      <c r="C319" s="159" t="s">
        <v>2093</v>
      </c>
      <c r="D319" s="123"/>
      <c r="E319" s="123"/>
      <c r="F319" s="123" t="s">
        <v>1989</v>
      </c>
      <c r="G319" s="123"/>
      <c r="H319" s="123"/>
      <c r="I319" s="123"/>
      <c r="J319" s="123"/>
    </row>
    <row r="320" spans="1:10" ht="25.5">
      <c r="A320" s="123"/>
      <c r="B320" s="123"/>
      <c r="C320" s="162" t="s">
        <v>2005</v>
      </c>
      <c r="D320" s="123"/>
      <c r="E320" s="123"/>
      <c r="F320" s="123">
        <v>90.28</v>
      </c>
      <c r="G320" s="123"/>
      <c r="H320" s="123"/>
      <c r="I320" s="123"/>
      <c r="J320" s="128">
        <f>ROUND(PRODUCT(E320:I320),2)</f>
        <v>90.28</v>
      </c>
    </row>
    <row r="321" spans="1:10">
      <c r="A321" s="329"/>
      <c r="B321" s="330"/>
      <c r="C321" s="330"/>
      <c r="D321" s="330"/>
      <c r="E321" s="330"/>
      <c r="F321" s="330"/>
      <c r="G321" s="330"/>
      <c r="H321" s="330"/>
      <c r="I321" s="330"/>
      <c r="J321" s="331"/>
    </row>
    <row r="322" spans="1:10" ht="51">
      <c r="A322" s="145" t="str">
        <f>'[3]Planilha Orçamentária'!A92</f>
        <v>1.2.3.4</v>
      </c>
      <c r="B322" s="199" t="str">
        <f>VLOOKUP(A322,'[3]Planilha Orçamentária'!A:K,2,0)</f>
        <v>COMP-35145154</v>
      </c>
      <c r="C322" s="147" t="str">
        <f>VLOOKUP(A322,'[3]Planilha Orçamentária'!A:K,3,0)</f>
        <v>CARGA E DESCARGA MECANICA DE SOLO UTILIZANDO CAMINHAO BASCULANTE 14,0M3/36T E PA CARREGADEIRA SOBRE PNEUS 128 HP, CAPACIDADE DA CAÇAMBA 1,7 A 2,8 M3, PESO OPERACIONAL 11632 KH</v>
      </c>
      <c r="D322" s="148" t="str">
        <f>VLOOKUP(A322,'[3]Planilha Orçamentária'!A:K,4,0)</f>
        <v>M3</v>
      </c>
      <c r="E322" s="147"/>
      <c r="F322" s="160"/>
      <c r="G322" s="160"/>
      <c r="H322" s="160"/>
      <c r="I322" s="160"/>
      <c r="J322" s="150">
        <f>ROUND(SUM(J324:J326),2)</f>
        <v>14.23</v>
      </c>
    </row>
    <row r="323" spans="1:10">
      <c r="A323" s="145"/>
      <c r="B323" s="199"/>
      <c r="C323" s="165"/>
      <c r="D323" s="166"/>
      <c r="E323" s="162" t="s">
        <v>2006</v>
      </c>
      <c r="F323" s="149"/>
      <c r="G323" s="149"/>
      <c r="H323" s="149"/>
      <c r="I323" s="161" t="s">
        <v>2007</v>
      </c>
      <c r="J323" s="150"/>
    </row>
    <row r="324" spans="1:10">
      <c r="A324" s="145"/>
      <c r="B324" s="199"/>
      <c r="C324" s="165" t="s">
        <v>2008</v>
      </c>
      <c r="D324" s="166"/>
      <c r="E324" s="162">
        <v>1.25</v>
      </c>
      <c r="F324" s="149"/>
      <c r="G324" s="149"/>
      <c r="H324" s="149"/>
      <c r="I324" s="167">
        <f>J314</f>
        <v>7.32</v>
      </c>
      <c r="J324" s="128">
        <f>ROUND(PRODUCT(E324:I324),2)</f>
        <v>9.15</v>
      </c>
    </row>
    <row r="325" spans="1:10">
      <c r="A325" s="145"/>
      <c r="B325" s="199"/>
      <c r="C325" s="165"/>
      <c r="D325" s="148"/>
      <c r="E325" s="162" t="s">
        <v>2006</v>
      </c>
      <c r="F325" s="161" t="s">
        <v>1989</v>
      </c>
      <c r="G325" s="161" t="s">
        <v>1990</v>
      </c>
      <c r="H325" s="161" t="s">
        <v>2002</v>
      </c>
      <c r="I325" s="167"/>
      <c r="J325" s="128"/>
    </row>
    <row r="326" spans="1:10">
      <c r="A326" s="145"/>
      <c r="B326" s="199"/>
      <c r="C326" s="165" t="s">
        <v>2009</v>
      </c>
      <c r="D326" s="166"/>
      <c r="E326" s="162">
        <v>1.25</v>
      </c>
      <c r="F326" s="170">
        <f>J318</f>
        <v>90.28</v>
      </c>
      <c r="G326" s="169">
        <v>0.15</v>
      </c>
      <c r="H326" s="169">
        <v>0.3</v>
      </c>
      <c r="I326" s="167"/>
      <c r="J326" s="128">
        <f>ROUND(PRODUCT(E326:I326),2)</f>
        <v>5.08</v>
      </c>
    </row>
    <row r="327" spans="1:10">
      <c r="A327" s="561"/>
      <c r="B327" s="562"/>
      <c r="C327" s="562"/>
      <c r="D327" s="562"/>
      <c r="E327" s="562"/>
      <c r="F327" s="562"/>
      <c r="G327" s="562"/>
      <c r="H327" s="562"/>
      <c r="I327" s="562"/>
      <c r="J327" s="563"/>
    </row>
    <row r="328" spans="1:10" ht="38.25">
      <c r="A328" s="145" t="str">
        <f>'[3]Planilha Orçamentária'!A93</f>
        <v>1.2.3.5</v>
      </c>
      <c r="B328" s="199">
        <f>VLOOKUP(A328,'[3]Planilha Orçamentária'!A:K,2,0)</f>
        <v>95876</v>
      </c>
      <c r="C328" s="147" t="str">
        <f>VLOOKUP(A328,'[3]Planilha Orçamentária'!A:K,3,0)</f>
        <v>TRANSPORTE COM CAMINHÃO BASCULANTE DE 14 M³, EM VIA URBANA PAVIMENTADA, DMT ATÉ 30 KM (UNIDADE: M3XKM). AF_07/2020</v>
      </c>
      <c r="D328" s="148" t="str">
        <f>VLOOKUP(A328,'[3]Planilha Orçamentária'!A:K,4,0)</f>
        <v>M3XKM</v>
      </c>
      <c r="E328" s="147"/>
      <c r="F328" s="160"/>
      <c r="G328" s="160"/>
      <c r="H328" s="160"/>
      <c r="I328" s="160"/>
      <c r="J328" s="150">
        <f>ROUND(SUM(J330),2)</f>
        <v>27.04</v>
      </c>
    </row>
    <row r="329" spans="1:10">
      <c r="A329" s="145"/>
      <c r="B329" s="199"/>
      <c r="C329" s="171" t="s">
        <v>2094</v>
      </c>
      <c r="D329" s="123"/>
      <c r="E329" s="123" t="s">
        <v>2011</v>
      </c>
      <c r="F329" s="123"/>
      <c r="G329" s="123"/>
      <c r="H329" s="123"/>
      <c r="I329" s="123" t="s">
        <v>2007</v>
      </c>
      <c r="J329" s="150"/>
    </row>
    <row r="330" spans="1:10">
      <c r="A330" s="145"/>
      <c r="B330" s="199"/>
      <c r="C330" s="155" t="s">
        <v>2095</v>
      </c>
      <c r="D330" s="123"/>
      <c r="E330" s="162">
        <v>1.9</v>
      </c>
      <c r="F330" s="162"/>
      <c r="G330" s="162"/>
      <c r="H330" s="162"/>
      <c r="I330" s="172">
        <f>J322</f>
        <v>14.23</v>
      </c>
      <c r="J330" s="128">
        <f>ROUND(PRODUCT(E330:I330),2)</f>
        <v>27.04</v>
      </c>
    </row>
    <row r="331" spans="1:10">
      <c r="A331" s="561"/>
      <c r="B331" s="562"/>
      <c r="C331" s="562"/>
      <c r="D331" s="562"/>
      <c r="E331" s="562"/>
      <c r="F331" s="562"/>
      <c r="G331" s="562"/>
      <c r="H331" s="562"/>
      <c r="I331" s="562"/>
      <c r="J331" s="563"/>
    </row>
    <row r="332" spans="1:10">
      <c r="A332" s="94" t="str">
        <f>'[3]Planilha Orçamentária'!A94</f>
        <v>1.2.4</v>
      </c>
      <c r="B332" s="95"/>
      <c r="C332" s="96" t="str">
        <f>VLOOKUP(A332,'[3]Planilha Orçamentária'!A:K,3,0)</f>
        <v>TERRAPLANAGEM</v>
      </c>
      <c r="D332" s="97"/>
      <c r="E332" s="98"/>
      <c r="F332" s="99"/>
      <c r="G332" s="99"/>
      <c r="H332" s="99"/>
      <c r="I332" s="100"/>
      <c r="J332" s="173"/>
    </row>
    <row r="333" spans="1:10" ht="38.25">
      <c r="A333" s="132" t="str">
        <f>'[3]Planilha Orçamentária'!A95</f>
        <v>1.2.4.1</v>
      </c>
      <c r="B333" s="103" t="str">
        <f>VLOOKUP(A333,'[3]Planilha Orçamentária'!A:K,2,0)</f>
        <v>CP-74205/001-17324935</v>
      </c>
      <c r="C333" s="104" t="str">
        <f>VLOOKUP(A333,'[3]Planilha Orçamentária'!A:K,3,0)</f>
        <v>ESCAVAÇÃO MECÂNICA DE MATERIAL 1A. CATEGORIA, PROVENIENTE DE CORTE DE SUBLEITO (C/TRATOR ESTEIRAS  160HP)</v>
      </c>
      <c r="D333" s="105" t="str">
        <f>VLOOKUP(A333,'[3]Planilha Orçamentária'!A:K,4,0)</f>
        <v>M3</v>
      </c>
      <c r="E333" s="104"/>
      <c r="F333" s="111"/>
      <c r="G333" s="111"/>
      <c r="H333" s="111"/>
      <c r="I333" s="111"/>
      <c r="J333" s="107">
        <f>ROUND(SUM(J335:J335),2)</f>
        <v>105.33</v>
      </c>
    </row>
    <row r="334" spans="1:10">
      <c r="A334" s="132"/>
      <c r="B334" s="103"/>
      <c r="C334" s="165" t="s">
        <v>2096</v>
      </c>
      <c r="D334" s="105"/>
      <c r="E334" s="104"/>
      <c r="F334" s="111"/>
      <c r="G334" s="111"/>
      <c r="H334" s="111"/>
      <c r="I334" s="106" t="s">
        <v>2007</v>
      </c>
      <c r="J334" s="107"/>
    </row>
    <row r="335" spans="1:10">
      <c r="A335" s="174"/>
      <c r="B335" s="175"/>
      <c r="C335" s="155" t="s">
        <v>2097</v>
      </c>
      <c r="D335" s="156"/>
      <c r="E335" s="157"/>
      <c r="F335" s="157"/>
      <c r="G335" s="157"/>
      <c r="H335" s="157"/>
      <c r="I335" s="157">
        <f>[3]PARÂMETROS!G243</f>
        <v>105.33</v>
      </c>
      <c r="J335" s="176">
        <f>ROUND(PRODUCT(E335:I335),2)</f>
        <v>105.33</v>
      </c>
    </row>
    <row r="336" spans="1:10">
      <c r="A336" s="549"/>
      <c r="B336" s="549"/>
      <c r="C336" s="549"/>
      <c r="D336" s="549"/>
      <c r="E336" s="549"/>
      <c r="F336" s="549"/>
      <c r="G336" s="549"/>
      <c r="H336" s="549"/>
      <c r="I336" s="549"/>
      <c r="J336" s="549"/>
    </row>
    <row r="337" spans="1:10" ht="51">
      <c r="A337" s="177" t="str">
        <f>'[3]Planilha Orçamentária'!A96</f>
        <v>1.2.4.2</v>
      </c>
      <c r="B337" s="178" t="str">
        <f>VLOOKUP(A337,'[3]Planilha Orçamentária'!A:K,2,0)</f>
        <v>COMP-35145154</v>
      </c>
      <c r="C337" s="179" t="str">
        <f>VLOOKUP(A337,'[3]Planilha Orçamentária'!A:K,3,0)</f>
        <v>CARGA E DESCARGA MECANICA DE SOLO UTILIZANDO CAMINHAO BASCULANTE 14,0M3/36T E PA CARREGADEIRA SOBRE PNEUS 128 HP, CAPACIDADE DA CAÇAMBA 1,7 A 2,8 M3, PESO OPERACIONAL 11632 KH</v>
      </c>
      <c r="D337" s="180" t="str">
        <f>VLOOKUP(A337,'[3]Planilha Orçamentária'!A:K,4,0)</f>
        <v>M3</v>
      </c>
      <c r="E337" s="179"/>
      <c r="F337" s="181"/>
      <c r="G337" s="181"/>
      <c r="H337" s="181"/>
      <c r="I337" s="181"/>
      <c r="J337" s="107">
        <f>ROUND(SUM(J339:J339),2)</f>
        <v>131.66</v>
      </c>
    </row>
    <row r="338" spans="1:10">
      <c r="A338" s="177"/>
      <c r="B338" s="178"/>
      <c r="C338" s="155" t="s">
        <v>2015</v>
      </c>
      <c r="D338" s="180"/>
      <c r="E338" s="184" t="s">
        <v>2006</v>
      </c>
      <c r="F338" s="332"/>
      <c r="G338" s="332"/>
      <c r="H338" s="332"/>
      <c r="I338" s="332" t="s">
        <v>2007</v>
      </c>
      <c r="J338" s="182"/>
    </row>
    <row r="339" spans="1:10">
      <c r="A339" s="177"/>
      <c r="B339" s="178"/>
      <c r="C339" s="155" t="s">
        <v>2016</v>
      </c>
      <c r="D339" s="156"/>
      <c r="E339" s="157">
        <v>1.25</v>
      </c>
      <c r="F339" s="116"/>
      <c r="G339" s="116"/>
      <c r="H339" s="116"/>
      <c r="I339" s="116">
        <f>J333</f>
        <v>105.33</v>
      </c>
      <c r="J339" s="176">
        <f>ROUND(PRODUCT(E339:I339),2)</f>
        <v>131.66</v>
      </c>
    </row>
    <row r="340" spans="1:10">
      <c r="A340" s="549"/>
      <c r="B340" s="549"/>
      <c r="C340" s="549"/>
      <c r="D340" s="549"/>
      <c r="E340" s="549"/>
      <c r="F340" s="549"/>
      <c r="G340" s="549"/>
      <c r="H340" s="549"/>
      <c r="I340" s="549"/>
      <c r="J340" s="549"/>
    </row>
    <row r="341" spans="1:10" ht="38.25">
      <c r="A341" s="186" t="str">
        <f>'[3]Planilha Orçamentária'!A97</f>
        <v>1.2.4.3</v>
      </c>
      <c r="B341" s="187">
        <f>VLOOKUP(A341,'[3]Planilha Orçamentária'!A:K,2,0)</f>
        <v>95876</v>
      </c>
      <c r="C341" s="188" t="str">
        <f>VLOOKUP(A341,'[3]Planilha Orçamentária'!A:K,3,0)</f>
        <v>TRANSPORTE COM CAMINHÃO BASCULANTE DE 14 M³, EM VIA URBANA PAVIMENTADA, DMT ATÉ 30 KM (UNIDADE: M3XKM). AF_07/2020</v>
      </c>
      <c r="D341" s="189" t="str">
        <f>VLOOKUP(A341,'[3]Planilha Orçamentária'!A:K,4,0)</f>
        <v>M3XKM</v>
      </c>
      <c r="E341" s="188"/>
      <c r="F341" s="160"/>
      <c r="G341" s="160"/>
      <c r="H341" s="160"/>
      <c r="I341" s="160"/>
      <c r="J341" s="122">
        <f>ROUND(SUM(J343:J343),2)</f>
        <v>250.15</v>
      </c>
    </row>
    <row r="342" spans="1:10">
      <c r="A342" s="186"/>
      <c r="B342" s="187"/>
      <c r="C342" s="165" t="s">
        <v>2098</v>
      </c>
      <c r="D342" s="189"/>
      <c r="E342" s="208" t="s">
        <v>2011</v>
      </c>
      <c r="F342" s="160"/>
      <c r="G342" s="160"/>
      <c r="H342" s="161"/>
      <c r="I342" s="161" t="s">
        <v>2007</v>
      </c>
      <c r="J342" s="150"/>
    </row>
    <row r="343" spans="1:10">
      <c r="A343" s="186"/>
      <c r="B343" s="187"/>
      <c r="C343" s="155" t="s">
        <v>2099</v>
      </c>
      <c r="D343" s="156"/>
      <c r="E343" s="157">
        <v>1.9</v>
      </c>
      <c r="F343" s="207"/>
      <c r="G343" s="207"/>
      <c r="H343" s="207"/>
      <c r="I343" s="195">
        <f>J337</f>
        <v>131.66</v>
      </c>
      <c r="J343" s="196">
        <f>ROUND(PRODUCT(E343:I343),2)</f>
        <v>250.15</v>
      </c>
    </row>
    <row r="344" spans="1:10">
      <c r="A344" s="532"/>
      <c r="B344" s="533"/>
      <c r="C344" s="533"/>
      <c r="D344" s="533"/>
      <c r="E344" s="533"/>
      <c r="F344" s="533"/>
      <c r="G344" s="533"/>
      <c r="H344" s="533"/>
      <c r="I344" s="533"/>
      <c r="J344" s="534"/>
    </row>
    <row r="345" spans="1:10">
      <c r="A345" s="94" t="str">
        <f>'[3]Planilha Orçamentária'!A98</f>
        <v>1.2.5</v>
      </c>
      <c r="B345" s="95"/>
      <c r="C345" s="96" t="str">
        <f>VLOOKUP(A345,'[3]Planilha Orçamentária'!A:K,3,0)</f>
        <v>PAVIMENTAÇÃO</v>
      </c>
      <c r="D345" s="97"/>
      <c r="E345" s="98"/>
      <c r="F345" s="99"/>
      <c r="G345" s="99"/>
      <c r="H345" s="99"/>
      <c r="I345" s="100"/>
      <c r="J345" s="131"/>
    </row>
    <row r="346" spans="1:10" ht="25.5">
      <c r="A346" s="145" t="str">
        <f>'[3]Planilha Orçamentária'!A99</f>
        <v>1.2.5.1</v>
      </c>
      <c r="B346" s="199">
        <f>VLOOKUP(A346,'[3]Planilha Orçamentária'!A:K,2,0)</f>
        <v>100576</v>
      </c>
      <c r="C346" s="147" t="str">
        <f>VLOOKUP(A346,'[3]Planilha Orçamentária'!A:K,3,0)</f>
        <v>REGULARIZAÇÃO E COMPACTAÇÃO DE SUBLEITO DE SOLO  PREDOMINANTEMENTE ARGILOSO. AF_11/2019</v>
      </c>
      <c r="D346" s="148" t="str">
        <f>VLOOKUP(A346,'[3]Planilha Orçamentária'!A:K,4,0)</f>
        <v>M2</v>
      </c>
      <c r="E346" s="147"/>
      <c r="F346" s="160"/>
      <c r="G346" s="160"/>
      <c r="H346" s="160"/>
      <c r="I346" s="160"/>
      <c r="J346" s="150">
        <f>ROUND(SUM(J349:J349),2)</f>
        <v>232.7</v>
      </c>
    </row>
    <row r="347" spans="1:10" ht="14.25">
      <c r="A347" s="145"/>
      <c r="B347" s="199"/>
      <c r="C347" s="204" t="s">
        <v>2100</v>
      </c>
      <c r="D347" s="148"/>
      <c r="E347" s="147"/>
      <c r="F347" s="161"/>
      <c r="G347" s="208"/>
      <c r="H347" s="160"/>
      <c r="I347" s="167"/>
      <c r="J347" s="150"/>
    </row>
    <row r="348" spans="1:10" ht="14.25">
      <c r="A348" s="145"/>
      <c r="B348" s="199"/>
      <c r="C348" s="204"/>
      <c r="D348" s="148"/>
      <c r="E348" s="147"/>
      <c r="F348" s="161" t="s">
        <v>1989</v>
      </c>
      <c r="G348" s="161" t="s">
        <v>1990</v>
      </c>
      <c r="H348" s="160"/>
      <c r="I348" s="167"/>
      <c r="J348" s="150"/>
    </row>
    <row r="349" spans="1:10" ht="25.5">
      <c r="A349" s="145"/>
      <c r="B349" s="199"/>
      <c r="C349" s="200" t="s">
        <v>2019</v>
      </c>
      <c r="D349" s="148"/>
      <c r="E349" s="147"/>
      <c r="F349" s="207">
        <f>(2*20)+(6.54)</f>
        <v>46.54</v>
      </c>
      <c r="G349" s="208">
        <f>4+1</f>
        <v>5</v>
      </c>
      <c r="H349" s="160"/>
      <c r="I349" s="167"/>
      <c r="J349" s="158">
        <f>ROUND(PRODUCT(E349:I349),2)</f>
        <v>232.7</v>
      </c>
    </row>
    <row r="350" spans="1:10" ht="15">
      <c r="A350" s="202"/>
      <c r="B350" s="333"/>
      <c r="C350" s="334"/>
      <c r="D350" s="335"/>
      <c r="E350" s="336"/>
      <c r="F350" s="337"/>
      <c r="G350" s="338"/>
      <c r="H350" s="339"/>
      <c r="I350" s="340"/>
      <c r="J350" s="341"/>
    </row>
    <row r="351" spans="1:10" ht="38.25">
      <c r="A351" s="186" t="str">
        <f>'[3]Planilha Orçamentária'!A100</f>
        <v>1.2.5.2</v>
      </c>
      <c r="B351" s="187" t="str">
        <f>VLOOKUP(A351,'[3]Planilha Orçamentária'!A:K,2,0)</f>
        <v>CP-96396-26507981</v>
      </c>
      <c r="C351" s="188" t="str">
        <f>VLOOKUP(A351,'[3]Planilha Orçamentária'!A:K,3,0)</f>
        <v>EXECUÇÃO E COMPACTAÇÃO DE BASE E OU SUB BASE PARA PAVIMENTAÇÃO DE BRITA GRADUADA SIMPLES - EXCLUSIVE MATERIAL, CARGA E TRANSPORTE</v>
      </c>
      <c r="D351" s="189" t="str">
        <f>VLOOKUP(A351,'[3]Planilha Orçamentária'!A:K,4,0)</f>
        <v>M3</v>
      </c>
      <c r="E351" s="188"/>
      <c r="F351" s="190"/>
      <c r="G351" s="190"/>
      <c r="H351" s="190"/>
      <c r="I351" s="190"/>
      <c r="J351" s="203">
        <f>ROUND(SUM(J353:J354),2)</f>
        <v>34.909999999999997</v>
      </c>
    </row>
    <row r="352" spans="1:10" ht="14.25">
      <c r="A352" s="186"/>
      <c r="B352" s="187"/>
      <c r="C352" s="204" t="s">
        <v>2100</v>
      </c>
      <c r="D352" s="189"/>
      <c r="E352" s="188"/>
      <c r="F352" s="190"/>
      <c r="G352" s="190"/>
      <c r="H352" s="190"/>
      <c r="I352" s="190"/>
      <c r="J352" s="203"/>
    </row>
    <row r="353" spans="1:10" ht="14.25" customHeight="1">
      <c r="A353" s="186"/>
      <c r="B353" s="187"/>
      <c r="C353" s="204"/>
      <c r="D353" s="189"/>
      <c r="E353" s="188"/>
      <c r="F353" s="161" t="s">
        <v>1989</v>
      </c>
      <c r="G353" s="161" t="s">
        <v>1990</v>
      </c>
      <c r="H353" s="161" t="s">
        <v>2002</v>
      </c>
      <c r="I353" s="167"/>
      <c r="J353" s="176"/>
    </row>
    <row r="354" spans="1:10" ht="28.5">
      <c r="A354" s="186"/>
      <c r="B354" s="187"/>
      <c r="C354" s="204" t="s">
        <v>2101</v>
      </c>
      <c r="D354" s="189"/>
      <c r="E354" s="188"/>
      <c r="F354" s="161">
        <f>F349</f>
        <v>46.54</v>
      </c>
      <c r="G354" s="208">
        <f>4-1</f>
        <v>3</v>
      </c>
      <c r="H354" s="208">
        <v>0.25</v>
      </c>
      <c r="I354" s="167"/>
      <c r="J354" s="176">
        <f>ROUND(PRODUCT(E354:I354),2)</f>
        <v>34.909999999999997</v>
      </c>
    </row>
    <row r="355" spans="1:10">
      <c r="A355" s="546"/>
      <c r="B355" s="547"/>
      <c r="C355" s="547"/>
      <c r="D355" s="547"/>
      <c r="E355" s="547"/>
      <c r="F355" s="547"/>
      <c r="G355" s="547"/>
      <c r="H355" s="547"/>
      <c r="I355" s="547"/>
      <c r="J355" s="548"/>
    </row>
    <row r="356" spans="1:10" ht="51">
      <c r="A356" s="132" t="str">
        <f>'[3]Planilha Orçamentária'!A101</f>
        <v>1.2.5.3</v>
      </c>
      <c r="B356" s="108" t="str">
        <f>VLOOKUP(A356,'[3]Planilha Orçamentária'!A:K,2,0)</f>
        <v>COMP-35145154</v>
      </c>
      <c r="C356" s="104" t="str">
        <f>VLOOKUP(A356,'[3]Planilha Orçamentária'!A:K,3,0)</f>
        <v>CARGA E DESCARGA MECANICA DE SOLO UTILIZANDO CAMINHAO BASCULANTE 14,0M3/36T E PA CARREGADEIRA SOBRE PNEUS 128 HP, CAPACIDADE DA CAÇAMBA 1,7 A 2,8 M3, PESO OPERACIONAL 11632 KH</v>
      </c>
      <c r="D356" s="105" t="str">
        <f>VLOOKUP(A356,'[3]Planilha Orçamentária'!A:K,4,0)</f>
        <v>M3</v>
      </c>
      <c r="E356" s="104"/>
      <c r="F356" s="111"/>
      <c r="G356" s="111"/>
      <c r="H356" s="111"/>
      <c r="I356" s="111"/>
      <c r="J356" s="122">
        <f>ROUND(SUM(J358:J358),2)</f>
        <v>43.64</v>
      </c>
    </row>
    <row r="357" spans="1:10">
      <c r="A357" s="132"/>
      <c r="B357" s="108"/>
      <c r="C357" s="147"/>
      <c r="D357" s="148"/>
      <c r="E357" s="220" t="s">
        <v>2006</v>
      </c>
      <c r="F357" s="106"/>
      <c r="G357" s="111"/>
      <c r="H357" s="111"/>
      <c r="I357" s="143" t="s">
        <v>2007</v>
      </c>
      <c r="J357" s="122"/>
    </row>
    <row r="358" spans="1:10" ht="14.25">
      <c r="A358" s="132"/>
      <c r="B358" s="108"/>
      <c r="C358" s="221" t="s">
        <v>2023</v>
      </c>
      <c r="D358" s="156"/>
      <c r="E358" s="106">
        <v>1.25</v>
      </c>
      <c r="F358" s="238"/>
      <c r="G358" s="205"/>
      <c r="H358" s="205"/>
      <c r="I358" s="239">
        <f>J351</f>
        <v>34.909999999999997</v>
      </c>
      <c r="J358" s="342">
        <f t="shared" ref="J358" si="14">ROUND(PRODUCT(E358:I358),2)</f>
        <v>43.64</v>
      </c>
    </row>
    <row r="359" spans="1:10">
      <c r="A359" s="549"/>
      <c r="B359" s="549"/>
      <c r="C359" s="549"/>
      <c r="D359" s="549"/>
      <c r="E359" s="549"/>
      <c r="F359" s="549"/>
      <c r="G359" s="549"/>
      <c r="H359" s="549"/>
      <c r="I359" s="549"/>
      <c r="J359" s="549"/>
    </row>
    <row r="360" spans="1:10" ht="25.5">
      <c r="A360" s="132" t="str">
        <f>'[3]Planilha Orçamentária'!A102</f>
        <v>1.2.5.4</v>
      </c>
      <c r="B360" s="108" t="str">
        <f>VLOOKUP(A360,'[3]Planilha Orçamentária'!A:K,2,0)</f>
        <v>COMP-83526730</v>
      </c>
      <c r="C360" s="104" t="str">
        <f>VLOOKUP(A360,'[3]Planilha Orçamentária'!A:K,3,0)</f>
        <v>TRANSPORTE COMERCIAL DE BRITA</v>
      </c>
      <c r="D360" s="105" t="str">
        <f>VLOOKUP(A360,'[3]Planilha Orçamentária'!A:K,4,0)</f>
        <v>M3XKM</v>
      </c>
      <c r="E360" s="104"/>
      <c r="F360" s="111"/>
      <c r="G360" s="111"/>
      <c r="H360" s="111"/>
      <c r="I360" s="111"/>
      <c r="J360" s="122">
        <f>ROUND(SUM(J362:J362),2)</f>
        <v>226.93</v>
      </c>
    </row>
    <row r="361" spans="1:10">
      <c r="A361" s="132"/>
      <c r="B361" s="108"/>
      <c r="C361" s="159" t="s">
        <v>2102</v>
      </c>
      <c r="D361" s="105"/>
      <c r="E361" s="165" t="s">
        <v>2011</v>
      </c>
      <c r="F361" s="106"/>
      <c r="G361" s="106"/>
      <c r="H361" s="106"/>
      <c r="I361" s="106" t="s">
        <v>2007</v>
      </c>
      <c r="J361" s="122"/>
    </row>
    <row r="362" spans="1:10" ht="14.25">
      <c r="A362" s="132"/>
      <c r="B362" s="108"/>
      <c r="C362" s="204" t="s">
        <v>2103</v>
      </c>
      <c r="D362" s="174"/>
      <c r="E362" s="239">
        <v>5.2</v>
      </c>
      <c r="F362" s="223"/>
      <c r="G362" s="174"/>
      <c r="H362" s="174"/>
      <c r="I362" s="224">
        <f>J356</f>
        <v>43.64</v>
      </c>
      <c r="J362" s="342">
        <f t="shared" ref="J362" si="15">ROUND(PRODUCT(E362:I362),2)</f>
        <v>226.93</v>
      </c>
    </row>
    <row r="363" spans="1:10">
      <c r="A363" s="549"/>
      <c r="B363" s="549"/>
      <c r="C363" s="549"/>
      <c r="D363" s="549"/>
      <c r="E363" s="549"/>
      <c r="F363" s="549"/>
      <c r="G363" s="549"/>
      <c r="H363" s="549"/>
      <c r="I363" s="549"/>
      <c r="J363" s="549"/>
    </row>
    <row r="364" spans="1:10" ht="25.5">
      <c r="A364" s="132" t="str">
        <f>'[3]Planilha Orçamentária'!A103</f>
        <v>1.2.5.5</v>
      </c>
      <c r="B364" s="108" t="str">
        <f>VLOOKUP(A364,'[3]Planilha Orçamentária'!A:K,2,0)</f>
        <v>CP-96401-52745838</v>
      </c>
      <c r="C364" s="104" t="str">
        <f>VLOOKUP(A364,'[3]Planilha Orçamentária'!A:K,3,0)</f>
        <v>EXECUÇÃO DE IMPRIMAÇÃO COM ASFALTO DILUÍDO CM-30, EXCLUSIVE MATERIAL.</v>
      </c>
      <c r="D364" s="105" t="str">
        <f>VLOOKUP(A364,'[3]Planilha Orçamentária'!A:K,4,0)</f>
        <v>M2</v>
      </c>
      <c r="E364" s="104"/>
      <c r="F364" s="111"/>
      <c r="G364" s="111"/>
      <c r="H364" s="111"/>
      <c r="I364" s="111"/>
      <c r="J364" s="122">
        <f>ROUND(SUM(J366:J369),2)</f>
        <v>116.38</v>
      </c>
    </row>
    <row r="365" spans="1:10" ht="14.25">
      <c r="A365" s="132"/>
      <c r="B365" s="108"/>
      <c r="C365" s="204" t="s">
        <v>2100</v>
      </c>
      <c r="D365" s="105"/>
      <c r="E365" s="104"/>
      <c r="F365" s="106"/>
      <c r="G365" s="111"/>
      <c r="H365" s="111"/>
      <c r="I365" s="143"/>
      <c r="J365" s="122"/>
    </row>
    <row r="366" spans="1:10" ht="28.5">
      <c r="A366" s="132"/>
      <c r="B366" s="108"/>
      <c r="C366" s="221" t="s">
        <v>2027</v>
      </c>
      <c r="D366" s="105"/>
      <c r="E366" s="104"/>
      <c r="F366" s="223"/>
      <c r="G366" s="111"/>
      <c r="H366" s="111"/>
      <c r="I366" s="143" t="s">
        <v>2003</v>
      </c>
      <c r="J366" s="128"/>
    </row>
    <row r="367" spans="1:10" ht="14.25">
      <c r="A367" s="132"/>
      <c r="B367" s="108"/>
      <c r="C367" s="221" t="s">
        <v>2104</v>
      </c>
      <c r="D367" s="105"/>
      <c r="E367" s="104"/>
      <c r="F367" s="223"/>
      <c r="G367" s="111"/>
      <c r="H367" s="111"/>
      <c r="I367" s="224">
        <f>[3]PARÂMETROS!F253</f>
        <v>172.89</v>
      </c>
      <c r="J367" s="128">
        <f t="shared" ref="J367:J369" si="16">ROUND(PRODUCT(E367:I367),2)</f>
        <v>172.89</v>
      </c>
    </row>
    <row r="368" spans="1:10" ht="14.25">
      <c r="A368" s="132"/>
      <c r="B368" s="108"/>
      <c r="C368" s="221"/>
      <c r="D368" s="105"/>
      <c r="E368" s="223"/>
      <c r="F368" s="223" t="s">
        <v>1989</v>
      </c>
      <c r="G368" s="223" t="s">
        <v>1990</v>
      </c>
      <c r="H368" s="111"/>
      <c r="I368" s="224"/>
      <c r="J368" s="128"/>
    </row>
    <row r="369" spans="1:10" ht="14.25">
      <c r="A369" s="132"/>
      <c r="B369" s="108"/>
      <c r="C369" s="221" t="s">
        <v>2028</v>
      </c>
      <c r="D369" s="105"/>
      <c r="E369" s="223">
        <v>-1</v>
      </c>
      <c r="F369" s="223">
        <v>56.51</v>
      </c>
      <c r="G369" s="223">
        <v>1</v>
      </c>
      <c r="H369" s="111"/>
      <c r="I369" s="224"/>
      <c r="J369" s="128">
        <f t="shared" si="16"/>
        <v>-56.51</v>
      </c>
    </row>
    <row r="370" spans="1:10">
      <c r="A370" s="549"/>
      <c r="B370" s="549"/>
      <c r="C370" s="549"/>
      <c r="D370" s="549"/>
      <c r="E370" s="549"/>
      <c r="F370" s="549"/>
      <c r="G370" s="549"/>
      <c r="H370" s="549"/>
      <c r="I370" s="549"/>
      <c r="J370" s="549"/>
    </row>
    <row r="371" spans="1:10" ht="38.25">
      <c r="A371" s="132" t="str">
        <f>'[3]Planilha Orçamentária'!A104</f>
        <v>1.2.5.6</v>
      </c>
      <c r="B371" s="108" t="str">
        <f>VLOOKUP(A371,'[3]Planilha Orçamentária'!A:K,2,0)</f>
        <v>CP-95995-51339760</v>
      </c>
      <c r="C371" s="104" t="str">
        <f>VLOOKUP(A371,'[3]Planilha Orçamentária'!A:K,3,0)</f>
        <v>EXECUÇÃO DE PAVIMENTO COM APLICAÇÃO DE CONCRETO ASFÁLTICO, CAMADA DE ROLAMENTO - EXCLUSIVE CARGA E TRANSPORTE E CONCRETO BETUMINOSO</v>
      </c>
      <c r="D371" s="105" t="str">
        <f>VLOOKUP(A371,'[3]Planilha Orçamentária'!A:K,4,0)</f>
        <v>M3</v>
      </c>
      <c r="E371" s="104"/>
      <c r="F371" s="111"/>
      <c r="G371" s="111"/>
      <c r="H371" s="111"/>
      <c r="I371" s="111"/>
      <c r="J371" s="122">
        <f>ROUND(SUM(J373:J375),2)</f>
        <v>5.81</v>
      </c>
    </row>
    <row r="372" spans="1:10" ht="14.25">
      <c r="A372" s="132"/>
      <c r="B372" s="108"/>
      <c r="C372" s="204" t="s">
        <v>2100</v>
      </c>
      <c r="D372" s="105"/>
      <c r="E372" s="104"/>
      <c r="F372" s="106"/>
      <c r="G372" s="111"/>
      <c r="H372" s="106" t="s">
        <v>2002</v>
      </c>
      <c r="I372" s="143" t="s">
        <v>2003</v>
      </c>
      <c r="J372" s="122"/>
    </row>
    <row r="373" spans="1:10" ht="14.25">
      <c r="A373" s="132"/>
      <c r="B373" s="108"/>
      <c r="C373" s="221" t="s">
        <v>2029</v>
      </c>
      <c r="D373" s="174"/>
      <c r="E373" s="174"/>
      <c r="F373" s="223"/>
      <c r="G373" s="174"/>
      <c r="H373" s="224">
        <f>[3]PARÂMETROS!E254</f>
        <v>0.05</v>
      </c>
      <c r="I373" s="224">
        <f>J367</f>
        <v>172.89</v>
      </c>
      <c r="J373" s="128">
        <f t="shared" ref="J373" si="17">ROUND(PRODUCT(E373:I373),2)</f>
        <v>8.64</v>
      </c>
    </row>
    <row r="374" spans="1:10" ht="14.25">
      <c r="A374" s="132"/>
      <c r="B374" s="108"/>
      <c r="C374" s="221"/>
      <c r="D374" s="105"/>
      <c r="E374" s="223"/>
      <c r="F374" s="223" t="s">
        <v>1989</v>
      </c>
      <c r="G374" s="223" t="s">
        <v>1990</v>
      </c>
      <c r="H374" s="106" t="s">
        <v>2002</v>
      </c>
      <c r="I374" s="224"/>
      <c r="J374" s="128"/>
    </row>
    <row r="375" spans="1:10" ht="14.25">
      <c r="A375" s="132"/>
      <c r="B375" s="108"/>
      <c r="C375" s="221" t="s">
        <v>2028</v>
      </c>
      <c r="D375" s="105"/>
      <c r="E375" s="223">
        <v>-1</v>
      </c>
      <c r="F375" s="223">
        <f>F369</f>
        <v>56.51</v>
      </c>
      <c r="G375" s="223">
        <v>1</v>
      </c>
      <c r="H375" s="224">
        <v>0.05</v>
      </c>
      <c r="I375" s="224"/>
      <c r="J375" s="128">
        <f t="shared" ref="J375" si="18">ROUND(PRODUCT(E375:I375),2)</f>
        <v>-2.83</v>
      </c>
    </row>
    <row r="376" spans="1:10">
      <c r="A376" s="549"/>
      <c r="B376" s="549"/>
      <c r="C376" s="549"/>
      <c r="D376" s="549"/>
      <c r="E376" s="549"/>
      <c r="F376" s="549"/>
      <c r="G376" s="549"/>
      <c r="H376" s="549"/>
      <c r="I376" s="549"/>
      <c r="J376" s="549"/>
    </row>
    <row r="377" spans="1:10" ht="38.25">
      <c r="A377" s="132" t="str">
        <f>'[3]Planilha Orçamentária'!A105</f>
        <v>1.2.5.7</v>
      </c>
      <c r="B377" s="108" t="str">
        <f>VLOOKUP(A377,'[3]Planilha Orçamentária'!A:K,2,0)</f>
        <v>COMP-10034101</v>
      </c>
      <c r="C377" s="104" t="str">
        <f>VLOOKUP(A377,'[3]Planilha Orçamentária'!A:K,3,0)</f>
        <v>CARGA, MANOBRAS E DESCARGA DE MISTURA BETUMINOSA A QUENTE, COM CAMINHAO BASCULANTE 6 M3, DESCARGA EM VIBRO-ACABADORA</v>
      </c>
      <c r="D377" s="105" t="str">
        <f>VLOOKUP(A377,'[3]Planilha Orçamentária'!A:K,4,0)</f>
        <v>M3</v>
      </c>
      <c r="E377" s="104"/>
      <c r="F377" s="111"/>
      <c r="G377" s="111"/>
      <c r="H377" s="111"/>
      <c r="I377" s="111"/>
      <c r="J377" s="122">
        <f>ROUND(SUM(J379:J379),2)</f>
        <v>5.81</v>
      </c>
    </row>
    <row r="378" spans="1:10" ht="14.25">
      <c r="A378" s="132"/>
      <c r="B378" s="108"/>
      <c r="C378" s="204"/>
      <c r="D378" s="105"/>
      <c r="E378" s="104"/>
      <c r="F378" s="106"/>
      <c r="G378" s="111"/>
      <c r="H378" s="111"/>
      <c r="I378" s="143" t="s">
        <v>2007</v>
      </c>
      <c r="J378" s="122"/>
    </row>
    <row r="379" spans="1:10" ht="14.25">
      <c r="A379" s="132"/>
      <c r="B379" s="108"/>
      <c r="C379" s="237" t="s">
        <v>2030</v>
      </c>
      <c r="D379" s="205"/>
      <c r="E379" s="205"/>
      <c r="F379" s="238"/>
      <c r="G379" s="205"/>
      <c r="H379" s="205"/>
      <c r="I379" s="239">
        <f>J371</f>
        <v>5.81</v>
      </c>
      <c r="J379" s="128">
        <f t="shared" ref="J379" si="19">ROUND(PRODUCT(E379:I379),2)</f>
        <v>5.81</v>
      </c>
    </row>
    <row r="380" spans="1:10">
      <c r="A380" s="549"/>
      <c r="B380" s="549"/>
      <c r="C380" s="549"/>
      <c r="D380" s="549"/>
      <c r="E380" s="549"/>
      <c r="F380" s="549"/>
      <c r="G380" s="549"/>
      <c r="H380" s="549"/>
      <c r="I380" s="549"/>
      <c r="J380" s="549"/>
    </row>
    <row r="381" spans="1:10" ht="25.5">
      <c r="A381" s="132" t="str">
        <f>'[3]Planilha Orçamentária'!A106</f>
        <v>1.2.5.8</v>
      </c>
      <c r="B381" s="108" t="str">
        <f>VLOOKUP(A381,'[3]Planilha Orçamentária'!A:K,2,0)</f>
        <v>CP-95303-56931542</v>
      </c>
      <c r="C381" s="104" t="str">
        <f>VLOOKUP(A381,'[3]Planilha Orçamentária'!A:K,3,0)</f>
        <v>TRANSPORTE COM CAMINHÃO BASCULANTE 10 M3 DE MASSA ASFALTICA PARA PAVIMENTAÇÃO URBANA</v>
      </c>
      <c r="D381" s="105" t="str">
        <f>VLOOKUP(A381,'[3]Planilha Orçamentária'!A:K,4,0)</f>
        <v>M3XKM</v>
      </c>
      <c r="E381" s="104"/>
      <c r="F381" s="111"/>
      <c r="G381" s="111"/>
      <c r="H381" s="111"/>
      <c r="I381" s="111"/>
      <c r="J381" s="122">
        <f>ROUND(SUM(J383:J383),2)</f>
        <v>93.54</v>
      </c>
    </row>
    <row r="382" spans="1:10">
      <c r="A382" s="132"/>
      <c r="B382" s="108"/>
      <c r="C382" s="159" t="s">
        <v>2105</v>
      </c>
      <c r="D382" s="105"/>
      <c r="E382" s="165" t="s">
        <v>2011</v>
      </c>
      <c r="F382" s="106"/>
      <c r="G382" s="106"/>
      <c r="H382" s="106"/>
      <c r="I382" s="106" t="s">
        <v>2007</v>
      </c>
      <c r="J382" s="122"/>
    </row>
    <row r="383" spans="1:10" ht="14.25">
      <c r="A383" s="132"/>
      <c r="B383" s="108"/>
      <c r="C383" s="204" t="s">
        <v>2106</v>
      </c>
      <c r="D383" s="174"/>
      <c r="E383" s="239">
        <v>16.100000000000001</v>
      </c>
      <c r="F383" s="223"/>
      <c r="G383" s="174"/>
      <c r="H383" s="174"/>
      <c r="I383" s="224">
        <f>J377</f>
        <v>5.81</v>
      </c>
      <c r="J383" s="128">
        <f t="shared" ref="J383" si="20">ROUND(PRODUCT(E383:I383),2)</f>
        <v>93.54</v>
      </c>
    </row>
    <row r="384" spans="1:10">
      <c r="A384" s="549"/>
      <c r="B384" s="549"/>
      <c r="C384" s="549"/>
      <c r="D384" s="549"/>
      <c r="E384" s="549"/>
      <c r="F384" s="549"/>
      <c r="G384" s="549"/>
      <c r="H384" s="549"/>
      <c r="I384" s="549"/>
      <c r="J384" s="549"/>
    </row>
    <row r="385" spans="1:10" ht="25.5">
      <c r="A385" s="132" t="str">
        <f>'[3]Planilha Orçamentária'!A107</f>
        <v>1.2.5.9</v>
      </c>
      <c r="B385" s="108" t="str">
        <f>VLOOKUP(A385,'[3]Planilha Orçamentária'!A:K,2,0)</f>
        <v>CP-97084-89637704</v>
      </c>
      <c r="C385" s="104" t="str">
        <f>VLOOKUP(A385,'[3]Planilha Orçamentária'!A:K,3,0)</f>
        <v>REGULARIZACAO E COMPACTAÇÃO MANUAL DE TERRENO COM PLACA VIBRATÓRIA</v>
      </c>
      <c r="D385" s="105" t="str">
        <f>VLOOKUP(A385,'[3]Planilha Orçamentária'!A:K,4,0)</f>
        <v>M2</v>
      </c>
      <c r="E385" s="104"/>
      <c r="F385" s="111"/>
      <c r="G385" s="111"/>
      <c r="H385" s="111"/>
      <c r="I385" s="111"/>
      <c r="J385" s="122">
        <f>ROUND(SUM(J387:J387),2)</f>
        <v>123.1</v>
      </c>
    </row>
    <row r="386" spans="1:10" ht="14.25">
      <c r="A386" s="132"/>
      <c r="B386" s="108"/>
      <c r="C386" s="204" t="s">
        <v>2100</v>
      </c>
      <c r="D386" s="105"/>
      <c r="E386" s="104"/>
      <c r="F386" s="106"/>
      <c r="G386" s="111"/>
      <c r="H386" s="111"/>
      <c r="I386" s="143" t="s">
        <v>2003</v>
      </c>
      <c r="J386" s="122"/>
    </row>
    <row r="387" spans="1:10">
      <c r="A387" s="132"/>
      <c r="B387" s="108"/>
      <c r="C387" s="244" t="s">
        <v>2033</v>
      </c>
      <c r="D387" s="174"/>
      <c r="E387" s="174"/>
      <c r="F387" s="223"/>
      <c r="G387" s="143"/>
      <c r="H387" s="143"/>
      <c r="I387" s="127">
        <f>[3]PARÂMETROS!F262</f>
        <v>123.1</v>
      </c>
      <c r="J387" s="128">
        <f t="shared" ref="J387" si="21">ROUND(PRODUCT(E387:I387),2)</f>
        <v>123.1</v>
      </c>
    </row>
    <row r="388" spans="1:10">
      <c r="A388" s="549"/>
      <c r="B388" s="549"/>
      <c r="C388" s="549"/>
      <c r="D388" s="549"/>
      <c r="E388" s="549"/>
      <c r="F388" s="549"/>
      <c r="G388" s="549"/>
      <c r="H388" s="549"/>
      <c r="I388" s="549"/>
      <c r="J388" s="549"/>
    </row>
    <row r="389" spans="1:10" ht="51">
      <c r="A389" s="132" t="str">
        <f>'[3]Planilha Orçamentária'!A108</f>
        <v>1.2.5.10</v>
      </c>
      <c r="B389" s="108" t="str">
        <f>VLOOKUP(A389,'[3]Planilha Orçamentária'!A:K,2,0)</f>
        <v>CP-94991-12549457</v>
      </c>
      <c r="C389" s="104" t="str">
        <f>VLOOKUP(A389,'[3]Planilha Orçamentária'!A:K,3,0)</f>
        <v>EXECUÇÃO DE PASSEIO (CALÇADA) OU PISO DE CONCRETO COM CONCRETO MOLDADO IN LOCO, USINADO, ACABAMENTO CONVENCIONAL, NÃO ARMADO - EXCLUINDO O CONCRETO USINADO 20MPA</v>
      </c>
      <c r="D389" s="105" t="str">
        <f>VLOOKUP(A389,'[3]Planilha Orçamentária'!A:K,4,0)</f>
        <v>M3</v>
      </c>
      <c r="E389" s="104"/>
      <c r="F389" s="111"/>
      <c r="G389" s="111"/>
      <c r="H389" s="111"/>
      <c r="I389" s="111"/>
      <c r="J389" s="122">
        <f>ROUND(SUM(J391:J392),2)</f>
        <v>8.0399999999999991</v>
      </c>
    </row>
    <row r="390" spans="1:10" ht="14.25">
      <c r="A390" s="132"/>
      <c r="B390" s="108"/>
      <c r="C390" s="204" t="s">
        <v>2100</v>
      </c>
      <c r="D390" s="105"/>
      <c r="E390" s="104"/>
      <c r="F390" s="111"/>
      <c r="G390" s="111"/>
      <c r="H390" s="106" t="s">
        <v>2002</v>
      </c>
      <c r="I390" s="106" t="s">
        <v>2003</v>
      </c>
      <c r="J390" s="122"/>
    </row>
    <row r="391" spans="1:10" ht="25.5">
      <c r="A391" s="132"/>
      <c r="B391" s="108"/>
      <c r="C391" s="155" t="s">
        <v>2107</v>
      </c>
      <c r="D391" s="174"/>
      <c r="E391" s="174"/>
      <c r="F391" s="223"/>
      <c r="G391" s="143"/>
      <c r="H391" s="143">
        <v>7.0000000000000007E-2</v>
      </c>
      <c r="I391" s="127">
        <f>[3]PARÂMETROS!F262</f>
        <v>123.1</v>
      </c>
      <c r="J391" s="128">
        <f t="shared" ref="J391:J392" si="22">ROUND(PRODUCT(E391:I391),2)</f>
        <v>8.6199999999999992</v>
      </c>
    </row>
    <row r="392" spans="1:10">
      <c r="A392" s="132"/>
      <c r="B392" s="108"/>
      <c r="C392" s="155" t="s">
        <v>2034</v>
      </c>
      <c r="D392" s="174"/>
      <c r="E392" s="174">
        <v>-1</v>
      </c>
      <c r="F392" s="223"/>
      <c r="G392" s="143"/>
      <c r="H392" s="143">
        <v>7.0000000000000007E-2</v>
      </c>
      <c r="I392" s="127">
        <f>J480</f>
        <v>8.24</v>
      </c>
      <c r="J392" s="128">
        <f t="shared" si="22"/>
        <v>-0.57999999999999996</v>
      </c>
    </row>
    <row r="393" spans="1:10">
      <c r="A393" s="549"/>
      <c r="B393" s="549"/>
      <c r="C393" s="549"/>
      <c r="D393" s="549"/>
      <c r="E393" s="549"/>
      <c r="F393" s="549"/>
      <c r="G393" s="549"/>
      <c r="H393" s="549"/>
      <c r="I393" s="549"/>
      <c r="J393" s="549"/>
    </row>
    <row r="394" spans="1:10" ht="63.75">
      <c r="A394" s="132" t="str">
        <f>'[3]Planilha Orçamentária'!A109</f>
        <v>1.2.5.11</v>
      </c>
      <c r="B394" s="108">
        <f>VLOOKUP(A394,'[3]Planilha Orçamentária'!A:K,2,0)</f>
        <v>94273</v>
      </c>
      <c r="C394" s="104" t="str">
        <f>VLOOKUP(A394,'[3]Planilha Orçamentária'!A:K,3,0)</f>
        <v>ASSENTAMENTO DE GUIA (MEIO-FIO) EM TRECHO RETO, CONFECCIONADA EM CONCRETO PRÉ-FABRICADO, DIMENSÕES 100X15X13X30 CM (COMPRIMENTO X BASE INFERIOR X BASE SUPERIOR X ALTURA), PARA VIAS URBANAS (USO VIÁRIO). AF_06/2016</v>
      </c>
      <c r="D394" s="105" t="str">
        <f>VLOOKUP(A394,'[3]Planilha Orçamentária'!A:K,4,0)</f>
        <v>M</v>
      </c>
      <c r="E394" s="104"/>
      <c r="F394" s="111"/>
      <c r="G394" s="111"/>
      <c r="H394" s="111"/>
      <c r="I394" s="111"/>
      <c r="J394" s="122">
        <f>ROUND(SUM(J396:J397),2)</f>
        <v>89.93</v>
      </c>
    </row>
    <row r="395" spans="1:10" ht="14.25">
      <c r="A395" s="132"/>
      <c r="B395" s="108"/>
      <c r="C395" s="204" t="s">
        <v>2100</v>
      </c>
      <c r="D395" s="105"/>
      <c r="E395" s="104"/>
      <c r="F395" s="106" t="s">
        <v>1989</v>
      </c>
      <c r="G395" s="111"/>
      <c r="H395" s="111"/>
      <c r="I395" s="111"/>
      <c r="J395" s="122"/>
    </row>
    <row r="396" spans="1:10" ht="25.5">
      <c r="A396" s="225"/>
      <c r="B396" s="236"/>
      <c r="C396" s="245" t="s">
        <v>2035</v>
      </c>
      <c r="D396" s="228"/>
      <c r="E396" s="227"/>
      <c r="F396" s="246">
        <f>89.94-F401</f>
        <v>80.91</v>
      </c>
      <c r="G396" s="256"/>
      <c r="H396" s="256"/>
      <c r="I396" s="256"/>
      <c r="J396" s="342">
        <f t="shared" ref="J396:J397" si="23">ROUND(PRODUCT(E396:I396),2)</f>
        <v>80.91</v>
      </c>
    </row>
    <row r="397" spans="1:10" ht="25.5">
      <c r="A397" s="225"/>
      <c r="B397" s="236"/>
      <c r="C397" s="247" t="s">
        <v>2108</v>
      </c>
      <c r="D397" s="105"/>
      <c r="E397" s="104"/>
      <c r="F397" s="223">
        <f>[3]PARÂMETROS!B257</f>
        <v>9.02</v>
      </c>
      <c r="G397" s="256"/>
      <c r="H397" s="256"/>
      <c r="I397" s="256"/>
      <c r="J397" s="342">
        <f t="shared" si="23"/>
        <v>9.02</v>
      </c>
    </row>
    <row r="398" spans="1:10">
      <c r="A398" s="549"/>
      <c r="B398" s="549"/>
      <c r="C398" s="549"/>
      <c r="D398" s="549"/>
      <c r="E398" s="549"/>
      <c r="F398" s="549"/>
      <c r="G398" s="549"/>
      <c r="H398" s="549"/>
      <c r="I398" s="549"/>
      <c r="J398" s="549"/>
    </row>
    <row r="399" spans="1:10" ht="63.75">
      <c r="A399" s="132" t="str">
        <f>'[3]Planilha Orçamentária'!A110</f>
        <v>1.2.5.12</v>
      </c>
      <c r="B399" s="108">
        <f>VLOOKUP(A399,'[3]Planilha Orçamentária'!A:K,2,0)</f>
        <v>94274</v>
      </c>
      <c r="C399" s="104" t="str">
        <f>VLOOKUP(A399,'[3]Planilha Orçamentária'!A:K,3,0)</f>
        <v>ASSENTAMENTO DE GUIA (MEIO-FIO) EM TRECHO CURVO, CONFECCIONADA EM CONCRETO PRÉ-FABRICADO, DIMENSÕES 100X15X13X30 CM (COMPRIMENTO X BASE INFERIOR X BASE SUPERIOR X ALTURA), PARA VIAS URBANAS (USO VIÁRIO). AF_06/2016</v>
      </c>
      <c r="D399" s="105" t="str">
        <f>VLOOKUP(A399,'[3]Planilha Orçamentária'!A:K,4,0)</f>
        <v>M</v>
      </c>
      <c r="E399" s="104"/>
      <c r="F399" s="111"/>
      <c r="G399" s="111"/>
      <c r="H399" s="111"/>
      <c r="I399" s="111"/>
      <c r="J399" s="122">
        <f>ROUND(SUM(J401:J401),2)</f>
        <v>9.0299999999999994</v>
      </c>
    </row>
    <row r="400" spans="1:10" ht="14.25">
      <c r="A400" s="132"/>
      <c r="B400" s="108"/>
      <c r="C400" s="204" t="s">
        <v>2100</v>
      </c>
      <c r="D400" s="105"/>
      <c r="E400" s="104"/>
      <c r="F400" s="106" t="s">
        <v>1989</v>
      </c>
      <c r="G400" s="111"/>
      <c r="H400" s="111"/>
      <c r="I400" s="143"/>
      <c r="J400" s="122"/>
    </row>
    <row r="401" spans="1:10">
      <c r="A401" s="132"/>
      <c r="B401" s="108"/>
      <c r="C401" s="247" t="s">
        <v>2109</v>
      </c>
      <c r="D401" s="105"/>
      <c r="E401" s="104"/>
      <c r="F401" s="223">
        <f>[3]PARÂMETROS!B258</f>
        <v>9.0300000000000011</v>
      </c>
      <c r="G401" s="111"/>
      <c r="H401" s="111"/>
      <c r="I401" s="224"/>
      <c r="J401" s="128">
        <f t="shared" ref="J401" si="24">ROUND(PRODUCT(E401:I401),2)</f>
        <v>9.0299999999999994</v>
      </c>
    </row>
    <row r="402" spans="1:10">
      <c r="A402" s="549"/>
      <c r="B402" s="549"/>
      <c r="C402" s="549"/>
      <c r="D402" s="549"/>
      <c r="E402" s="549"/>
      <c r="F402" s="549"/>
      <c r="G402" s="549"/>
      <c r="H402" s="549"/>
      <c r="I402" s="549"/>
      <c r="J402" s="549"/>
    </row>
    <row r="403" spans="1:10">
      <c r="A403" s="94" t="str">
        <f>'[3]Planilha Orçamentária'!A111</f>
        <v>1.2.6</v>
      </c>
      <c r="B403" s="95"/>
      <c r="C403" s="96" t="str">
        <f>VLOOKUP(A403,'[3]Planilha Orçamentária'!A:K,3,0)</f>
        <v>DRENAGEM</v>
      </c>
      <c r="D403" s="96"/>
      <c r="E403" s="129"/>
      <c r="F403" s="130"/>
      <c r="G403" s="130"/>
      <c r="H403" s="130"/>
      <c r="I403" s="130"/>
      <c r="J403" s="131"/>
    </row>
    <row r="404" spans="1:10" ht="63.75">
      <c r="A404" s="251" t="str">
        <f>'[3]Planilha Orçamentária'!A112</f>
        <v>1.2.6.1</v>
      </c>
      <c r="B404" s="252">
        <f>VLOOKUP(A404,'[3]Planilha Orçamentária'!A:K,2,0)</f>
        <v>90091</v>
      </c>
      <c r="C404" s="253" t="str">
        <f>VLOOKUP(A404,'[3]Planilha Orçamentária'!A:K,3,0)</f>
        <v>ESCAVAÇÃO MECANIZADA DE VALA COM PROF. ATÉ 1,5 M (MÉDIA MONTANTE E JUSANTE/UMA COMPOSIÇÃO POR TRECHO), ESCAVADEIRA (0,8 M3), LARG. DE 1,5 M A 2,5 M, EM SOLO DE 1A CATEGORIA, LOCAIS COM BAIXO NÍVEL DE INTERFERÊNCIA. AF_02/2021</v>
      </c>
      <c r="D404" s="254" t="str">
        <f>VLOOKUP(A404,'[3]Planilha Orçamentária'!A:K,4,0)</f>
        <v>M3</v>
      </c>
      <c r="E404" s="255"/>
      <c r="F404" s="256"/>
      <c r="G404" s="256"/>
      <c r="H404" s="256"/>
      <c r="I404" s="256"/>
      <c r="J404" s="122">
        <f>ROUND(SUM(J406:J408),2)</f>
        <v>13.56</v>
      </c>
    </row>
    <row r="405" spans="1:10">
      <c r="A405" s="251"/>
      <c r="B405" s="252"/>
      <c r="C405" s="343" t="s">
        <v>2110</v>
      </c>
      <c r="D405" s="254"/>
      <c r="E405" s="255"/>
      <c r="F405" s="320" t="s">
        <v>1989</v>
      </c>
      <c r="G405" s="320" t="s">
        <v>1990</v>
      </c>
      <c r="H405" s="320" t="s">
        <v>2111</v>
      </c>
      <c r="I405" s="256"/>
      <c r="J405" s="344"/>
    </row>
    <row r="406" spans="1:10" ht="42.75">
      <c r="A406" s="293"/>
      <c r="B406" s="294"/>
      <c r="C406" s="260" t="s">
        <v>2050</v>
      </c>
      <c r="D406" s="148"/>
      <c r="E406" s="147"/>
      <c r="F406" s="223">
        <v>56.51</v>
      </c>
      <c r="G406" s="223">
        <f>1+0.6</f>
        <v>1.6</v>
      </c>
      <c r="H406" s="223">
        <f>0.55-0.4</f>
        <v>0.15000000000000002</v>
      </c>
      <c r="I406" s="241"/>
      <c r="J406" s="118">
        <f>ROUND(PRODUCT(E406:I406),2)</f>
        <v>13.56</v>
      </c>
    </row>
    <row r="407" spans="1:10">
      <c r="A407" s="293"/>
      <c r="B407" s="294"/>
      <c r="C407" s="261" t="s">
        <v>2051</v>
      </c>
      <c r="D407" s="262"/>
      <c r="E407" s="263"/>
      <c r="F407" s="264"/>
      <c r="G407" s="264"/>
      <c r="H407" s="263"/>
      <c r="I407" s="305"/>
      <c r="J407" s="118"/>
    </row>
    <row r="408" spans="1:10">
      <c r="A408" s="538"/>
      <c r="B408" s="539"/>
      <c r="C408" s="539"/>
      <c r="D408" s="539"/>
      <c r="E408" s="539"/>
      <c r="F408" s="539"/>
      <c r="G408" s="539"/>
      <c r="H408" s="539"/>
      <c r="I408" s="539"/>
      <c r="J408" s="539"/>
    </row>
    <row r="409" spans="1:10" ht="63.75">
      <c r="A409" s="251" t="str">
        <f>'[3]Planilha Orçamentária'!A113</f>
        <v>1.2.6.2</v>
      </c>
      <c r="B409" s="252">
        <f>VLOOKUP(A409,'[3]Planilha Orçamentária'!A:K,2,0)</f>
        <v>93367</v>
      </c>
      <c r="C409" s="253" t="str">
        <f>VLOOKUP(A409,'[3]Planilha Orçamentária'!A:K,3,0)</f>
        <v>REATERRO MECANIZADO DE VALA COM ESCAVADEIRA HIDRÁULICA (CAPACIDADE DA CAÇAMBA: 0,8 M³ / POTÊNCIA: 111 HP), LARGURA DE 1,5 A 2,5 M, PROFUNDIDADE ATÉ 1,5 M, COM SOLO DE 1ª CATEGORIA EM LOCAIS COM BAIXO NÍVEL DE INTERFERÊNCIA. AF_04/2016</v>
      </c>
      <c r="D409" s="254" t="str">
        <f>VLOOKUP(A409,'[3]Planilha Orçamentária'!A:K,4,0)</f>
        <v>M3</v>
      </c>
      <c r="E409" s="255"/>
      <c r="F409" s="256"/>
      <c r="G409" s="256"/>
      <c r="H409" s="256"/>
      <c r="I409" s="256"/>
      <c r="J409" s="257">
        <f>ROUND(SUM(J410:J413),2)</f>
        <v>5.08</v>
      </c>
    </row>
    <row r="410" spans="1:10" ht="14.25" customHeight="1">
      <c r="A410" s="293"/>
      <c r="B410" s="294"/>
      <c r="C410" s="343" t="s">
        <v>2110</v>
      </c>
      <c r="D410" s="105"/>
      <c r="E410" s="241"/>
      <c r="F410" s="263"/>
      <c r="G410" s="263"/>
      <c r="H410" s="263"/>
      <c r="I410" s="241"/>
      <c r="J410" s="299"/>
    </row>
    <row r="411" spans="1:10" ht="14.25">
      <c r="A411" s="293"/>
      <c r="B411" s="294"/>
      <c r="C411" s="204" t="s">
        <v>2054</v>
      </c>
      <c r="D411" s="258"/>
      <c r="E411" s="258"/>
      <c r="F411" s="320" t="s">
        <v>1989</v>
      </c>
      <c r="G411" s="320" t="s">
        <v>1990</v>
      </c>
      <c r="H411" s="320" t="s">
        <v>2111</v>
      </c>
      <c r="I411" s="305">
        <f>J404</f>
        <v>13.56</v>
      </c>
      <c r="J411" s="306">
        <f>ROUND(PRODUCT(E411:I411),2)</f>
        <v>13.56</v>
      </c>
    </row>
    <row r="412" spans="1:10" ht="25.5">
      <c r="A412" s="293"/>
      <c r="B412" s="294"/>
      <c r="C412" s="268" t="s">
        <v>2055</v>
      </c>
      <c r="D412" s="270"/>
      <c r="E412" s="270">
        <v>-1</v>
      </c>
      <c r="F412" s="271">
        <f>F406</f>
        <v>56.51</v>
      </c>
      <c r="G412" s="123">
        <v>1</v>
      </c>
      <c r="H412" s="272">
        <f>H406</f>
        <v>0.15000000000000002</v>
      </c>
      <c r="I412" s="174"/>
      <c r="J412" s="128">
        <f>ROUND(PRODUCT(E412:I412),2)</f>
        <v>-8.48</v>
      </c>
    </row>
    <row r="413" spans="1:10" ht="14.25">
      <c r="A413" s="311"/>
      <c r="B413" s="345"/>
      <c r="C413" s="346"/>
      <c r="D413" s="266"/>
      <c r="E413" s="266"/>
      <c r="F413" s="347"/>
      <c r="G413" s="347"/>
      <c r="H413" s="347"/>
      <c r="I413" s="348"/>
      <c r="J413" s="140"/>
    </row>
    <row r="414" spans="1:10" ht="51">
      <c r="A414" s="251" t="str">
        <f>'[3]Planilha Orçamentária'!A114</f>
        <v>1.2.6.3</v>
      </c>
      <c r="B414" s="252" t="str">
        <f>VLOOKUP(A414,'[3]Planilha Orçamentária'!A:K,2,0)</f>
        <v>COMP-35145154</v>
      </c>
      <c r="C414" s="253" t="str">
        <f>VLOOKUP(A414,'[3]Planilha Orçamentária'!A:K,3,0)</f>
        <v>CARGA E DESCARGA MECANICA DE SOLO UTILIZANDO CAMINHAO BASCULANTE 14,0M3/36T E PA CARREGADEIRA SOBRE PNEUS 128 HP, CAPACIDADE DA CAÇAMBA 1,7 A 2,8 M3, PESO OPERACIONAL 11632 KH</v>
      </c>
      <c r="D414" s="254" t="str">
        <f>VLOOKUP(A414,'[3]Planilha Orçamentária'!A:K,4,0)</f>
        <v>M3</v>
      </c>
      <c r="E414" s="255"/>
      <c r="F414" s="256"/>
      <c r="G414" s="256"/>
      <c r="H414" s="256"/>
      <c r="I414" s="256"/>
      <c r="J414" s="257">
        <f>ROUND(SUM(J415:J416),2)</f>
        <v>10.6</v>
      </c>
    </row>
    <row r="415" spans="1:10" ht="25.5">
      <c r="A415" s="293"/>
      <c r="B415" s="294"/>
      <c r="C415" s="159"/>
      <c r="D415" s="148"/>
      <c r="E415" s="159" t="s">
        <v>2006</v>
      </c>
      <c r="F415" s="161"/>
      <c r="G415" s="161"/>
      <c r="H415" s="161"/>
      <c r="I415" s="161" t="s">
        <v>2056</v>
      </c>
      <c r="J415" s="299"/>
    </row>
    <row r="416" spans="1:10" ht="14.25">
      <c r="A416" s="293"/>
      <c r="B416" s="294"/>
      <c r="C416" s="273" t="s">
        <v>2057</v>
      </c>
      <c r="D416" s="274"/>
      <c r="E416" s="263">
        <v>1.25</v>
      </c>
      <c r="F416" s="157"/>
      <c r="G416" s="275"/>
      <c r="H416" s="275"/>
      <c r="I416" s="275">
        <f>J404-J409</f>
        <v>8.48</v>
      </c>
      <c r="J416" s="118">
        <f>ROUND(PRODUCT(E416:I416),2)</f>
        <v>10.6</v>
      </c>
    </row>
    <row r="417" spans="1:10">
      <c r="A417" s="556"/>
      <c r="B417" s="557"/>
      <c r="C417" s="557"/>
      <c r="D417" s="557"/>
      <c r="E417" s="557"/>
      <c r="F417" s="557"/>
      <c r="G417" s="557"/>
      <c r="H417" s="557"/>
      <c r="I417" s="557"/>
      <c r="J417" s="568"/>
    </row>
    <row r="418" spans="1:10" ht="38.25">
      <c r="A418" s="251" t="str">
        <f>'[3]Planilha Orçamentária'!A115</f>
        <v>1.2.6.4</v>
      </c>
      <c r="B418" s="252">
        <f>VLOOKUP(A418,'[3]Planilha Orçamentária'!A:K,2,0)</f>
        <v>95876</v>
      </c>
      <c r="C418" s="253" t="str">
        <f>VLOOKUP(A418,'[3]Planilha Orçamentária'!A:K,3,0)</f>
        <v>TRANSPORTE COM CAMINHÃO BASCULANTE DE 14 M³, EM VIA URBANA PAVIMENTADA, DMT ATÉ 30 KM (UNIDADE: M3XKM). AF_07/2020</v>
      </c>
      <c r="D418" s="254" t="str">
        <f>VLOOKUP(A418,'[3]Planilha Orçamentária'!A:K,4,0)</f>
        <v>M3XKM</v>
      </c>
      <c r="E418" s="255"/>
      <c r="F418" s="256"/>
      <c r="G418" s="256"/>
      <c r="H418" s="256"/>
      <c r="I418" s="256"/>
      <c r="J418" s="257">
        <f>ROUND(SUM(J419:J421),2)</f>
        <v>20.14</v>
      </c>
    </row>
    <row r="419" spans="1:10">
      <c r="A419" s="293"/>
      <c r="B419" s="294"/>
      <c r="C419" s="159" t="s">
        <v>2112</v>
      </c>
      <c r="D419" s="148"/>
      <c r="E419" s="159" t="s">
        <v>2011</v>
      </c>
      <c r="F419" s="258"/>
      <c r="G419" s="258"/>
      <c r="H419" s="258"/>
      <c r="I419" s="258" t="s">
        <v>2007</v>
      </c>
      <c r="J419" s="299"/>
    </row>
    <row r="420" spans="1:10" ht="14.25">
      <c r="A420" s="300"/>
      <c r="B420" s="301"/>
      <c r="C420" s="273" t="s">
        <v>2113</v>
      </c>
      <c r="D420" s="274"/>
      <c r="E420" s="277">
        <v>1.9</v>
      </c>
      <c r="F420" s="258"/>
      <c r="G420" s="258"/>
      <c r="H420" s="258"/>
      <c r="I420" s="278">
        <f>J414</f>
        <v>10.6</v>
      </c>
      <c r="J420" s="118">
        <f>ROUND(PRODUCT(E420:I420),2)</f>
        <v>20.14</v>
      </c>
    </row>
    <row r="421" spans="1:10">
      <c r="A421" s="569"/>
      <c r="B421" s="569"/>
      <c r="C421" s="569"/>
      <c r="D421" s="569"/>
      <c r="E421" s="569"/>
      <c r="F421" s="569"/>
      <c r="G421" s="569"/>
      <c r="H421" s="569"/>
      <c r="I421" s="569"/>
      <c r="J421" s="569"/>
    </row>
    <row r="422" spans="1:10" ht="38.25">
      <c r="A422" s="225" t="str">
        <f>'[3]Planilha Orçamentária'!A116</f>
        <v>1.2.6.5</v>
      </c>
      <c r="B422" s="226">
        <f>VLOOKUP(A422,'[3]Planilha Orçamentária'!A:K,2,0)</f>
        <v>94971</v>
      </c>
      <c r="C422" s="351" t="str">
        <f>VLOOKUP(A422,'[3]Planilha Orçamentária'!A:K,3,0)</f>
        <v>CONCRETO FCK = 25MPA, TRAÇO 1:2,3:2,7 (EM MASSA SECA DE CIMENTO/ AREIA MÉDIA/ BRITA 1) - PREPARO MECÂNICO COM BETONEIRA 600 L. AF_05/2021</v>
      </c>
      <c r="D422" s="228" t="str">
        <f>VLOOKUP(A422,'[3]Planilha Orçamentária'!A:K,4,0)</f>
        <v>M3</v>
      </c>
      <c r="E422" s="227"/>
      <c r="F422" s="229"/>
      <c r="G422" s="229"/>
      <c r="H422" s="229"/>
      <c r="I422" s="229"/>
      <c r="J422" s="352">
        <f>ROUND(SUM(J423:J427),2)</f>
        <v>7.21</v>
      </c>
    </row>
    <row r="423" spans="1:10">
      <c r="A423" s="293"/>
      <c r="B423" s="294"/>
      <c r="C423" s="343" t="s">
        <v>2110</v>
      </c>
      <c r="D423" s="105"/>
      <c r="E423" s="241"/>
      <c r="F423" s="263"/>
      <c r="G423" s="263"/>
      <c r="H423" s="263"/>
      <c r="I423" s="241"/>
      <c r="J423" s="299"/>
    </row>
    <row r="424" spans="1:10" ht="28.5">
      <c r="A424" s="293"/>
      <c r="B424" s="294"/>
      <c r="C424" s="221" t="s">
        <v>2060</v>
      </c>
      <c r="D424" s="258"/>
      <c r="E424" s="258"/>
      <c r="F424" s="161"/>
      <c r="G424" s="161"/>
      <c r="H424" s="161"/>
      <c r="I424" s="279"/>
      <c r="J424" s="353"/>
    </row>
    <row r="425" spans="1:10" ht="14.25">
      <c r="A425" s="300"/>
      <c r="B425" s="301"/>
      <c r="C425" s="280" t="s">
        <v>2061</v>
      </c>
      <c r="D425" s="123"/>
      <c r="E425" s="123"/>
      <c r="F425" s="281">
        <f>F406</f>
        <v>56.51</v>
      </c>
      <c r="G425" s="282">
        <v>1</v>
      </c>
      <c r="H425" s="123">
        <v>0.15</v>
      </c>
      <c r="I425" s="281"/>
      <c r="J425" s="306">
        <f>ROUND(PRODUCT(E425:I425),2)</f>
        <v>8.48</v>
      </c>
    </row>
    <row r="426" spans="1:10" ht="28.5">
      <c r="A426" s="293"/>
      <c r="B426" s="294"/>
      <c r="C426" s="280" t="s">
        <v>2062</v>
      </c>
      <c r="D426" s="123"/>
      <c r="E426" s="123">
        <v>-1</v>
      </c>
      <c r="F426" s="283">
        <v>1.8800000000000001E-2</v>
      </c>
      <c r="G426" s="136">
        <f>F425</f>
        <v>56.51</v>
      </c>
      <c r="H426" s="136">
        <v>0.15</v>
      </c>
      <c r="I426" s="136">
        <v>8</v>
      </c>
      <c r="J426" s="306">
        <f>ROUND(PRODUCT(E426:I426),2)</f>
        <v>-1.27</v>
      </c>
    </row>
    <row r="427" spans="1:10">
      <c r="A427" s="538"/>
      <c r="B427" s="539"/>
      <c r="C427" s="539"/>
      <c r="D427" s="539"/>
      <c r="E427" s="539"/>
      <c r="F427" s="539"/>
      <c r="G427" s="539"/>
      <c r="H427" s="539"/>
      <c r="I427" s="539"/>
      <c r="J427" s="539"/>
    </row>
    <row r="428" spans="1:10" ht="38.25">
      <c r="A428" s="251" t="str">
        <f>'[3]Planilha Orçamentária'!A117</f>
        <v>1.2.6.6</v>
      </c>
      <c r="B428" s="252">
        <f>VLOOKUP(A428,'[3]Planilha Orçamentária'!A:K,2,0)</f>
        <v>94974</v>
      </c>
      <c r="C428" s="253" t="str">
        <f>VLOOKUP(A428,'[3]Planilha Orçamentária'!A:K,3,0)</f>
        <v>CONCRETO MAGRO PARA LASTRO, TRAÇO 1:4,5:4,5 (EM MASSA SECA DE CIMENTO/ AREIA MÉDIA/ BRITA 1) - PREPARO MANUAL. AF_05/2021</v>
      </c>
      <c r="D428" s="254" t="str">
        <f>VLOOKUP(A428,'[3]Planilha Orçamentária'!A:K,4,0)</f>
        <v>M3</v>
      </c>
      <c r="E428" s="255"/>
      <c r="F428" s="256"/>
      <c r="G428" s="256"/>
      <c r="H428" s="256"/>
      <c r="I428" s="256"/>
      <c r="J428" s="257">
        <f>ROUND(SUM(J429:J431),2)</f>
        <v>5.65</v>
      </c>
    </row>
    <row r="429" spans="1:10">
      <c r="A429" s="293"/>
      <c r="B429" s="293"/>
      <c r="C429" s="343" t="s">
        <v>2110</v>
      </c>
      <c r="D429" s="293"/>
      <c r="E429" s="293"/>
      <c r="F429" s="354" t="s">
        <v>1989</v>
      </c>
      <c r="G429" s="354" t="s">
        <v>1990</v>
      </c>
      <c r="H429" s="354" t="s">
        <v>2002</v>
      </c>
      <c r="I429" s="293"/>
      <c r="J429" s="293"/>
    </row>
    <row r="430" spans="1:10" ht="14.25">
      <c r="A430" s="293"/>
      <c r="B430" s="293"/>
      <c r="C430" s="284" t="s">
        <v>2063</v>
      </c>
      <c r="D430" s="123"/>
      <c r="E430" s="123"/>
      <c r="F430" s="285">
        <f>F406</f>
        <v>56.51</v>
      </c>
      <c r="G430" s="282">
        <v>1</v>
      </c>
      <c r="H430" s="123">
        <v>0.1</v>
      </c>
      <c r="I430" s="293"/>
      <c r="J430" s="306">
        <f>ROUND(PRODUCT(E430:I430),2)</f>
        <v>5.65</v>
      </c>
    </row>
    <row r="431" spans="1:10">
      <c r="A431" s="311"/>
      <c r="B431" s="312"/>
      <c r="C431" s="312"/>
      <c r="D431" s="312"/>
      <c r="E431" s="312"/>
      <c r="F431" s="312"/>
      <c r="G431" s="312"/>
      <c r="H431" s="312"/>
      <c r="I431" s="312"/>
      <c r="J431" s="312"/>
    </row>
    <row r="432" spans="1:10" ht="38.25">
      <c r="A432" s="251" t="str">
        <f>'[3]Planilha Orçamentária'!A118</f>
        <v>1.2.6.7</v>
      </c>
      <c r="B432" s="252">
        <f>VLOOKUP(A432,'[3]Planilha Orçamentária'!A:K,2,0)</f>
        <v>92771</v>
      </c>
      <c r="C432" s="253" t="str">
        <f>VLOOKUP(A432,'[3]Planilha Orçamentária'!A:K,3,0)</f>
        <v>ARMAÇÃO DE LAJE DE ESTRUTURA CONVENCIONAL DE CONCRETO ARMADO UTILIZANDO AÇO CA-50 DE 10,0 MM - MONTAGEM. AF_06/2022</v>
      </c>
      <c r="D432" s="254" t="str">
        <f>VLOOKUP(A432,'[3]Planilha Orçamentária'!A:K,4,0)</f>
        <v>KG</v>
      </c>
      <c r="E432" s="255"/>
      <c r="F432" s="256"/>
      <c r="G432" s="256"/>
      <c r="H432" s="256"/>
      <c r="I432" s="256"/>
      <c r="J432" s="257">
        <f>ROUND(SUM(J433:J435),2)</f>
        <v>468.47</v>
      </c>
    </row>
    <row r="433" spans="1:10">
      <c r="A433" s="293"/>
      <c r="B433" s="293"/>
      <c r="C433" s="343" t="s">
        <v>2110</v>
      </c>
      <c r="D433" s="293"/>
      <c r="E433" s="293"/>
      <c r="F433" s="263" t="s">
        <v>2064</v>
      </c>
      <c r="G433" s="263"/>
      <c r="H433" s="263"/>
      <c r="I433" s="279" t="s">
        <v>2065</v>
      </c>
      <c r="J433" s="293"/>
    </row>
    <row r="434" spans="1:10" ht="28.5">
      <c r="A434" s="293"/>
      <c r="B434" s="293"/>
      <c r="C434" s="221" t="s">
        <v>2066</v>
      </c>
      <c r="D434" s="105"/>
      <c r="E434" s="104"/>
      <c r="F434" s="278">
        <f>F406</f>
        <v>56.51</v>
      </c>
      <c r="G434" s="278"/>
      <c r="H434" s="278"/>
      <c r="I434" s="278">
        <v>8.2899999999999991</v>
      </c>
      <c r="J434" s="306">
        <f>ROUND(PRODUCT(E434:I434),2)</f>
        <v>468.47</v>
      </c>
    </row>
    <row r="435" spans="1:10">
      <c r="A435" s="311"/>
      <c r="B435" s="312"/>
      <c r="C435" s="312"/>
      <c r="D435" s="312"/>
      <c r="E435" s="312"/>
      <c r="F435" s="312"/>
      <c r="G435" s="312"/>
      <c r="H435" s="312"/>
      <c r="I435" s="312"/>
      <c r="J435" s="312"/>
    </row>
    <row r="436" spans="1:10" ht="51">
      <c r="A436" s="251" t="str">
        <f>'[3]Planilha Orçamentária'!A119</f>
        <v>1.2.6.8</v>
      </c>
      <c r="B436" s="252" t="str">
        <f>VLOOKUP(A436,'[3]Planilha Orçamentária'!A:K,2,0)</f>
        <v>CP-92268-29291149</v>
      </c>
      <c r="C436" s="253" t="str">
        <f>VLOOKUP(A436,'[3]Planilha Orçamentária'!A:K,3,0)</f>
        <v>FABRICAÇÃO DE FÔRMA PARA LAJES, EM CHAPA DE MADEIRA COMPENSADA PLASTIFICADA, E = 18 MM - EXCLUINDO O PAINEL DE MADEIRA COMPENSADA PLASTIFICADA DE 2200 x 1100 MM, E = *17* MM</v>
      </c>
      <c r="D436" s="254" t="str">
        <f>VLOOKUP(A436,'[3]Planilha Orçamentária'!A:K,4,0)</f>
        <v>M2</v>
      </c>
      <c r="E436" s="255"/>
      <c r="F436" s="256"/>
      <c r="G436" s="256"/>
      <c r="H436" s="256"/>
      <c r="I436" s="256"/>
      <c r="J436" s="257">
        <f>ROUND(SUM(J437:J439),2)</f>
        <v>33.909999999999997</v>
      </c>
    </row>
    <row r="437" spans="1:10">
      <c r="A437" s="293"/>
      <c r="B437" s="293"/>
      <c r="C437" s="343" t="s">
        <v>2110</v>
      </c>
      <c r="D437" s="174"/>
      <c r="E437" s="279"/>
      <c r="F437" s="174" t="s">
        <v>2067</v>
      </c>
      <c r="G437" s="174" t="s">
        <v>2002</v>
      </c>
      <c r="H437" s="174" t="s">
        <v>1989</v>
      </c>
      <c r="I437" s="293"/>
      <c r="J437" s="293"/>
    </row>
    <row r="438" spans="1:10" ht="28.5">
      <c r="A438" s="293"/>
      <c r="B438" s="293"/>
      <c r="C438" s="280" t="s">
        <v>2068</v>
      </c>
      <c r="D438" s="156"/>
      <c r="E438" s="157"/>
      <c r="F438" s="136">
        <f>1*4</f>
        <v>4</v>
      </c>
      <c r="G438" s="136">
        <v>0.15</v>
      </c>
      <c r="H438" s="136">
        <f>F434</f>
        <v>56.51</v>
      </c>
      <c r="I438" s="293"/>
      <c r="J438" s="306">
        <f>ROUND(PRODUCT(E438:I438),2)</f>
        <v>33.909999999999997</v>
      </c>
    </row>
    <row r="439" spans="1:10">
      <c r="A439" s="311"/>
      <c r="B439" s="312"/>
      <c r="C439" s="312"/>
      <c r="D439" s="312"/>
      <c r="E439" s="312"/>
      <c r="F439" s="312"/>
      <c r="G439" s="312"/>
      <c r="H439" s="312"/>
      <c r="I439" s="312"/>
      <c r="J439" s="312"/>
    </row>
    <row r="440" spans="1:10" ht="51">
      <c r="A440" s="251" t="str">
        <f>'[3]Planilha Orçamentária'!A120</f>
        <v>1.2.6.9</v>
      </c>
      <c r="B440" s="252">
        <f>VLOOKUP(A440,'[3]Planilha Orçamentária'!A:K,2,0)</f>
        <v>103320</v>
      </c>
      <c r="C440" s="253" t="str">
        <f>VLOOKUP(A440,'[3]Planilha Orçamentária'!A:K,3,0)</f>
        <v>ALVENARIA DE VEDAÇÃO DE BLOCOS VAZADOS DE CONCRETO DE 19X19X39 CM (ESPESSURA 19 CM) E ARGAMASSA DE ASSENTAMENTO COM PREPARO EM BETONEIRA. AF_12/2021</v>
      </c>
      <c r="D440" s="254" t="str">
        <f>VLOOKUP(A440,'[3]Planilha Orçamentária'!A:K,4,0)</f>
        <v>M2</v>
      </c>
      <c r="E440" s="255"/>
      <c r="F440" s="256"/>
      <c r="G440" s="256"/>
      <c r="H440" s="256"/>
      <c r="I440" s="256"/>
      <c r="J440" s="257">
        <f>ROUND(SUM(J441:J442),2)</f>
        <v>45.21</v>
      </c>
    </row>
    <row r="441" spans="1:10">
      <c r="A441" s="293"/>
      <c r="B441" s="293"/>
      <c r="C441" s="343" t="s">
        <v>2110</v>
      </c>
      <c r="D441" s="174"/>
      <c r="E441" s="279"/>
      <c r="F441" s="174" t="s">
        <v>1989</v>
      </c>
      <c r="G441" s="174"/>
      <c r="H441" s="174" t="s">
        <v>2069</v>
      </c>
      <c r="I441" s="174" t="s">
        <v>2070</v>
      </c>
      <c r="J441" s="293"/>
    </row>
    <row r="442" spans="1:10" ht="14.25">
      <c r="A442" s="293"/>
      <c r="B442" s="293"/>
      <c r="C442" s="280" t="s">
        <v>2071</v>
      </c>
      <c r="D442" s="156"/>
      <c r="E442" s="157"/>
      <c r="F442" s="136">
        <f>H438</f>
        <v>56.51</v>
      </c>
      <c r="G442" s="136"/>
      <c r="H442" s="136">
        <v>0.4</v>
      </c>
      <c r="I442" s="136">
        <v>2</v>
      </c>
      <c r="J442" s="306">
        <f>ROUND(PRODUCT(E442:I442),2)</f>
        <v>45.21</v>
      </c>
    </row>
    <row r="443" spans="1:10">
      <c r="A443" s="538"/>
      <c r="B443" s="539"/>
      <c r="C443" s="539"/>
      <c r="D443" s="539"/>
      <c r="E443" s="539"/>
      <c r="F443" s="539"/>
      <c r="G443" s="539"/>
      <c r="H443" s="539"/>
      <c r="I443" s="539"/>
      <c r="J443" s="539"/>
    </row>
    <row r="444" spans="1:10" ht="51">
      <c r="A444" s="251" t="str">
        <f>'[3]Planilha Orçamentária'!A121</f>
        <v>1.2.6.10</v>
      </c>
      <c r="B444" s="252">
        <f>VLOOKUP(A444,'[3]Planilha Orçamentária'!A:K,2,0)</f>
        <v>87879</v>
      </c>
      <c r="C444" s="253" t="str">
        <f>VLOOKUP(A444,'[3]Planilha Orçamentária'!A:K,3,0)</f>
        <v>CHAPISCO APLICADO EM ALVENARIAS E ESTRUTURAS DE CONCRETO INTERNAS, COM COLHER DE PEDREIRO.  ARGAMASSA TRAÇO 1:3 COM PREPARO EM BETONEIRA 400L. AF_06/2014</v>
      </c>
      <c r="D444" s="254" t="str">
        <f>VLOOKUP(A444,'[3]Planilha Orçamentária'!A:K,4,0)</f>
        <v>M2</v>
      </c>
      <c r="E444" s="255"/>
      <c r="F444" s="256"/>
      <c r="G444" s="256"/>
      <c r="H444" s="256"/>
      <c r="I444" s="256"/>
      <c r="J444" s="257">
        <f>ROUND(SUM(J445:J446),2)</f>
        <v>45.21</v>
      </c>
    </row>
    <row r="445" spans="1:10">
      <c r="A445" s="293"/>
      <c r="B445" s="293"/>
      <c r="C445" s="343" t="s">
        <v>2110</v>
      </c>
      <c r="D445" s="293"/>
      <c r="E445" s="293"/>
      <c r="F445" s="293"/>
      <c r="G445" s="293"/>
      <c r="H445" s="293"/>
      <c r="I445" s="293"/>
      <c r="J445" s="293"/>
    </row>
    <row r="446" spans="1:10">
      <c r="A446" s="293"/>
      <c r="B446" s="293"/>
      <c r="C446" s="355" t="s">
        <v>2072</v>
      </c>
      <c r="D446" s="293"/>
      <c r="E446" s="293"/>
      <c r="F446" s="293"/>
      <c r="G446" s="293"/>
      <c r="H446" s="293"/>
      <c r="I446" s="136">
        <f>J440</f>
        <v>45.21</v>
      </c>
      <c r="J446" s="306">
        <f>ROUND(PRODUCT(E446:I446),2)</f>
        <v>45.21</v>
      </c>
    </row>
    <row r="447" spans="1:10">
      <c r="A447" s="311"/>
      <c r="B447" s="312"/>
      <c r="C447" s="312"/>
      <c r="D447" s="312"/>
      <c r="E447" s="312"/>
      <c r="F447" s="312"/>
      <c r="G447" s="312"/>
      <c r="H447" s="312"/>
      <c r="I447" s="312"/>
      <c r="J447" s="312"/>
    </row>
    <row r="448" spans="1:10" ht="63.75">
      <c r="A448" s="251" t="str">
        <f>'[3]Planilha Orçamentária'!A122</f>
        <v>1.2.6.11</v>
      </c>
      <c r="B448" s="252">
        <f>VLOOKUP(A448,'[3]Planilha Orçamentária'!A:K,2,0)</f>
        <v>87547</v>
      </c>
      <c r="C448" s="253" t="str">
        <f>VLOOKUP(A448,'[3]Planilha Orçamentária'!A:K,3,0)</f>
        <v>MASSA ÚNICA, PARA RECEBIMENTO DE PINTURA, EM ARGAMASSA TRAÇO 1:2:8, PREPARO MECÂNICO COM BETONEIRA 400L, APLICADA MANUALMENTE EM FACES INTERNAS DE PAREDES, ESPESSURA DE 10MM, COM EXECUÇÃO DE TALISCAS. AF_06/2014</v>
      </c>
      <c r="D448" s="254" t="str">
        <f>VLOOKUP(A448,'[3]Planilha Orçamentária'!A:K,4,0)</f>
        <v>M2</v>
      </c>
      <c r="E448" s="255"/>
      <c r="F448" s="256"/>
      <c r="G448" s="256"/>
      <c r="H448" s="256"/>
      <c r="I448" s="256"/>
      <c r="J448" s="257">
        <f>ROUND(SUM(J449:J451),2)</f>
        <v>45.21</v>
      </c>
    </row>
    <row r="449" spans="1:10">
      <c r="A449" s="293"/>
      <c r="B449" s="293"/>
      <c r="C449" s="343" t="s">
        <v>2110</v>
      </c>
      <c r="D449" s="293"/>
      <c r="E449" s="293"/>
      <c r="F449" s="293"/>
      <c r="G449" s="293"/>
      <c r="H449" s="293"/>
      <c r="I449" s="293"/>
      <c r="J449" s="293"/>
    </row>
    <row r="450" spans="1:10">
      <c r="A450" s="293"/>
      <c r="B450" s="293"/>
      <c r="C450" s="355" t="s">
        <v>2072</v>
      </c>
      <c r="D450" s="293"/>
      <c r="E450" s="293"/>
      <c r="F450" s="293"/>
      <c r="G450" s="293"/>
      <c r="H450" s="293"/>
      <c r="I450" s="136">
        <f>J444</f>
        <v>45.21</v>
      </c>
      <c r="J450" s="306">
        <f>ROUND(PRODUCT(E450:I450),2)</f>
        <v>45.21</v>
      </c>
    </row>
    <row r="451" spans="1:10">
      <c r="A451" s="540"/>
      <c r="B451" s="541"/>
      <c r="C451" s="541"/>
      <c r="D451" s="541"/>
      <c r="E451" s="541"/>
      <c r="F451" s="541"/>
      <c r="G451" s="541"/>
      <c r="H451" s="541"/>
      <c r="I451" s="541"/>
      <c r="J451" s="541"/>
    </row>
    <row r="452" spans="1:10" ht="38.25">
      <c r="A452" s="251" t="str">
        <f>'[3]Planilha Orçamentária'!A123</f>
        <v>1.2.6.12</v>
      </c>
      <c r="B452" s="252">
        <f>VLOOKUP(A452,'[3]Planilha Orçamentária'!A:K,2,0)</f>
        <v>94975</v>
      </c>
      <c r="C452" s="253" t="str">
        <f>VLOOKUP(A452,'[3]Planilha Orçamentária'!A:K,3,0)</f>
        <v>CONCRETO FCK = 15MPA, TRAÇO 1:3,4:3,5 (EM MASSA SECA DE CIMENTO/ AREIA MÉDIA/ BRITA 1) - PREPARO MANUAL. AF_05/2021</v>
      </c>
      <c r="D452" s="254" t="str">
        <f>VLOOKUP(A452,'[3]Planilha Orçamentária'!A:K,4,0)</f>
        <v>M3</v>
      </c>
      <c r="E452" s="255"/>
      <c r="F452" s="256"/>
      <c r="G452" s="256"/>
      <c r="H452" s="256"/>
      <c r="I452" s="256"/>
      <c r="J452" s="257">
        <f>ROUND(SUM(J453:J455),2)</f>
        <v>4.8099999999999996</v>
      </c>
    </row>
    <row r="453" spans="1:10">
      <c r="A453" s="311"/>
      <c r="B453" s="312"/>
      <c r="C453" s="343" t="s">
        <v>2110</v>
      </c>
      <c r="D453" s="258"/>
      <c r="E453" s="258"/>
      <c r="F453" s="258" t="s">
        <v>1989</v>
      </c>
      <c r="G453" s="258"/>
      <c r="H453" s="136"/>
      <c r="I453" s="312"/>
      <c r="J453" s="312"/>
    </row>
    <row r="454" spans="1:10" ht="28.5">
      <c r="A454" s="293"/>
      <c r="B454" s="293"/>
      <c r="C454" s="221" t="s">
        <v>2048</v>
      </c>
      <c r="D454" s="289"/>
      <c r="E454" s="290" t="s">
        <v>2073</v>
      </c>
      <c r="F454" s="290" t="s">
        <v>2074</v>
      </c>
      <c r="G454" s="282"/>
      <c r="H454" s="290" t="s">
        <v>2075</v>
      </c>
      <c r="I454" s="293"/>
      <c r="J454" s="293"/>
    </row>
    <row r="455" spans="1:10" ht="28.5">
      <c r="A455" s="293"/>
      <c r="B455" s="293"/>
      <c r="C455" s="280" t="s">
        <v>2076</v>
      </c>
      <c r="D455" s="289"/>
      <c r="E455" s="291">
        <f>0.294*0.14*0.19</f>
        <v>7.8203999999999999E-3</v>
      </c>
      <c r="F455" s="282">
        <v>13.6</v>
      </c>
      <c r="G455" s="292"/>
      <c r="H455" s="136">
        <f>J440</f>
        <v>45.21</v>
      </c>
      <c r="I455" s="293"/>
      <c r="J455" s="128">
        <f>ROUND(PRODUCT(E455:I455),2)</f>
        <v>4.8099999999999996</v>
      </c>
    </row>
    <row r="456" spans="1:10">
      <c r="A456" s="311"/>
      <c r="B456" s="312"/>
      <c r="C456" s="312"/>
      <c r="D456" s="312"/>
      <c r="E456" s="312"/>
      <c r="F456" s="312"/>
      <c r="G456" s="312"/>
      <c r="H456" s="312"/>
      <c r="I456" s="312"/>
      <c r="J456" s="312"/>
    </row>
    <row r="457" spans="1:10" ht="25.5">
      <c r="A457" s="251" t="str">
        <f>'[3]Planilha Orçamentária'!A124</f>
        <v>1.2.6.13</v>
      </c>
      <c r="B457" s="252" t="str">
        <f>VLOOKUP(A457,'[3]Planilha Orçamentária'!A:K,2,0)</f>
        <v>CP-74157/004-48264518</v>
      </c>
      <c r="C457" s="253" t="str">
        <f>VLOOKUP(A457,'[3]Planilha Orçamentária'!A:K,3,0)</f>
        <v>LANCAMENTO/APLICACAO MANUAL DE CONCRETO EM FUNDACOES (concreto magro)</v>
      </c>
      <c r="D457" s="254" t="str">
        <f>VLOOKUP(A457,'[3]Planilha Orçamentária'!A:K,4,0)</f>
        <v>M3</v>
      </c>
      <c r="E457" s="255"/>
      <c r="F457" s="256"/>
      <c r="G457" s="256"/>
      <c r="H457" s="256"/>
      <c r="I457" s="256"/>
      <c r="J457" s="257">
        <f>ROUND(SUM(J458:J460),2)</f>
        <v>17.670000000000002</v>
      </c>
    </row>
    <row r="458" spans="1:10">
      <c r="A458" s="293"/>
      <c r="B458" s="293"/>
      <c r="C458" s="343" t="s">
        <v>2110</v>
      </c>
      <c r="D458" s="293"/>
      <c r="E458" s="293"/>
      <c r="F458" s="293"/>
      <c r="G458" s="293"/>
      <c r="H458" s="293"/>
      <c r="I458" s="293"/>
      <c r="J458" s="293"/>
    </row>
    <row r="459" spans="1:10">
      <c r="A459" s="293"/>
      <c r="B459" s="293"/>
      <c r="C459" s="355" t="s">
        <v>2114</v>
      </c>
      <c r="D459" s="293"/>
      <c r="E459" s="293"/>
      <c r="F459" s="293"/>
      <c r="G459" s="293"/>
      <c r="H459" s="293"/>
      <c r="I459" s="136">
        <f>J452+J428+J422</f>
        <v>17.670000000000002</v>
      </c>
      <c r="J459" s="128">
        <f>ROUND(PRODUCT(E459:I459),2)</f>
        <v>17.670000000000002</v>
      </c>
    </row>
    <row r="460" spans="1:10">
      <c r="A460" s="311"/>
      <c r="B460" s="312"/>
      <c r="C460" s="312"/>
      <c r="D460" s="312"/>
      <c r="E460" s="312"/>
      <c r="F460" s="312"/>
      <c r="G460" s="312"/>
      <c r="H460" s="312"/>
      <c r="I460" s="312"/>
      <c r="J460" s="312"/>
    </row>
    <row r="461" spans="1:10">
      <c r="A461" s="94" t="str">
        <f>'[3]Planilha Orçamentária'!A125</f>
        <v>1.2.7</v>
      </c>
      <c r="B461" s="95"/>
      <c r="C461" s="96" t="str">
        <f>VLOOKUP(A461,'[3]Planilha Orçamentária'!A:K,3,0)</f>
        <v>SINALIZAÇÃO</v>
      </c>
      <c r="D461" s="96"/>
      <c r="E461" s="129"/>
      <c r="F461" s="130"/>
      <c r="G461" s="130"/>
      <c r="H461" s="130"/>
      <c r="I461" s="130"/>
      <c r="J461" s="131"/>
    </row>
    <row r="462" spans="1:10" ht="25.5">
      <c r="A462" s="251" t="str">
        <f>'[3]Planilha Orçamentária'!A126</f>
        <v>1.2.7.1</v>
      </c>
      <c r="B462" s="252">
        <f>VLOOKUP(A462,'[3]Planilha Orçamentária'!A:K,2,0)</f>
        <v>5213421</v>
      </c>
      <c r="C462" s="253" t="str">
        <f>VLOOKUP(A462,'[3]Planilha Orçamentária'!A:K,3,0)</f>
        <v>Confecção de placa em aço nº 16 galvanizado, com película tipo I + IV</v>
      </c>
      <c r="D462" s="254" t="str">
        <f>VLOOKUP(A462,'[3]Planilha Orçamentária'!A:K,4,0)</f>
        <v xml:space="preserve">M2    </v>
      </c>
      <c r="E462" s="255"/>
      <c r="F462" s="256"/>
      <c r="G462" s="256"/>
      <c r="H462" s="256"/>
      <c r="I462" s="256"/>
      <c r="J462" s="257">
        <f>ROUND(SUM(J463:J466),2)</f>
        <v>0.99</v>
      </c>
    </row>
    <row r="463" spans="1:10">
      <c r="A463" s="293"/>
      <c r="B463" s="294"/>
      <c r="C463" s="165" t="s">
        <v>2115</v>
      </c>
      <c r="D463" s="105"/>
      <c r="E463" s="241"/>
      <c r="F463" s="105"/>
      <c r="G463" s="105"/>
      <c r="H463" s="241" t="s">
        <v>2003</v>
      </c>
      <c r="I463" s="241" t="s">
        <v>1446</v>
      </c>
      <c r="J463" s="299"/>
    </row>
    <row r="464" spans="1:10">
      <c r="A464" s="293"/>
      <c r="B464" s="294"/>
      <c r="C464" s="244" t="s">
        <v>2079</v>
      </c>
      <c r="D464" s="307"/>
      <c r="E464" s="116"/>
      <c r="F464" s="116"/>
      <c r="G464" s="116"/>
      <c r="H464" s="116">
        <v>0.2</v>
      </c>
      <c r="I464" s="157">
        <v>2</v>
      </c>
      <c r="J464" s="118">
        <f>ROUND(PRODUCT(E464:I464),2)</f>
        <v>0.4</v>
      </c>
    </row>
    <row r="465" spans="1:10" ht="14.25">
      <c r="A465" s="293"/>
      <c r="B465" s="294"/>
      <c r="C465" s="204" t="s">
        <v>2116</v>
      </c>
      <c r="D465" s="307"/>
      <c r="E465" s="116"/>
      <c r="F465" s="116"/>
      <c r="G465" s="116"/>
      <c r="H465" s="304">
        <f>3.14*0.25^2</f>
        <v>0.19625000000000001</v>
      </c>
      <c r="I465" s="308">
        <v>3</v>
      </c>
      <c r="J465" s="356">
        <f t="shared" ref="J465" si="25">ROUND(PRODUCT(E465:I465),2)</f>
        <v>0.59</v>
      </c>
    </row>
    <row r="466" spans="1:10">
      <c r="A466" s="538"/>
      <c r="B466" s="539"/>
      <c r="C466" s="539"/>
      <c r="D466" s="539"/>
      <c r="E466" s="539"/>
      <c r="F466" s="539"/>
      <c r="G466" s="539"/>
      <c r="H466" s="539"/>
      <c r="I466" s="539"/>
      <c r="J466" s="539"/>
    </row>
    <row r="467" spans="1:10" ht="38.25">
      <c r="A467" s="132" t="str">
        <f>'[3]Planilha Orçamentária'!A127</f>
        <v>1.2.7.2</v>
      </c>
      <c r="B467" s="103">
        <f>VLOOKUP(A467,'[3]Planilha Orçamentária'!A:K,2,0)</f>
        <v>5216111</v>
      </c>
      <c r="C467" s="276" t="str">
        <f>VLOOKUP(A467,'[3]Planilha Orçamentária'!A:K,3,0)</f>
        <v>FORNECIMENTO E IMPLANTAÇÃO DE SUPORTE E TRAVESSA PARA PLACA DE SINALIZAÇÃO EM MADEIRA DE LEI TRATADA 8 X 8 CM</v>
      </c>
      <c r="D467" s="105" t="str">
        <f>VLOOKUP(A467,'[3]Planilha Orçamentária'!A:K,4,0)</f>
        <v>UND</v>
      </c>
      <c r="E467" s="104"/>
      <c r="F467" s="111"/>
      <c r="G467" s="111"/>
      <c r="H467" s="111"/>
      <c r="I467" s="111"/>
      <c r="J467" s="107">
        <f>ROUND(SUM(J468:J469),2)</f>
        <v>4</v>
      </c>
    </row>
    <row r="468" spans="1:10">
      <c r="A468" s="138"/>
      <c r="B468" s="138"/>
      <c r="C468" s="165" t="s">
        <v>2115</v>
      </c>
      <c r="D468" s="105"/>
      <c r="E468" s="104"/>
      <c r="F468" s="111"/>
      <c r="G468" s="111"/>
      <c r="H468" s="111"/>
      <c r="I468" s="241" t="s">
        <v>1446</v>
      </c>
      <c r="J468" s="118"/>
    </row>
    <row r="469" spans="1:10">
      <c r="A469" s="314"/>
      <c r="B469" s="314"/>
      <c r="C469" s="244" t="s">
        <v>2046</v>
      </c>
      <c r="D469" s="307"/>
      <c r="E469" s="313"/>
      <c r="F469" s="116"/>
      <c r="G469" s="116"/>
      <c r="H469" s="157"/>
      <c r="I469" s="157">
        <v>4</v>
      </c>
      <c r="J469" s="118">
        <f>ROUND(PRODUCT(E469:I469),2)</f>
        <v>4</v>
      </c>
    </row>
    <row r="470" spans="1:10">
      <c r="A470" s="524"/>
      <c r="B470" s="524"/>
      <c r="C470" s="524"/>
      <c r="D470" s="524"/>
      <c r="E470" s="524"/>
      <c r="F470" s="524"/>
      <c r="G470" s="524"/>
      <c r="H470" s="524"/>
      <c r="I470" s="524"/>
      <c r="J470" s="525"/>
    </row>
    <row r="471" spans="1:10" ht="25.5">
      <c r="A471" s="132" t="str">
        <f>'[3]Planilha Orçamentária'!A128</f>
        <v>1.2.7.3</v>
      </c>
      <c r="B471" s="103" t="str">
        <f>VLOOKUP(A471,'[3]Planilha Orçamentária'!A:K,2,0)</f>
        <v>COMP-58084869</v>
      </c>
      <c r="C471" s="276" t="str">
        <f>VLOOKUP(A471,'[3]Planilha Orçamentária'!A:K,3,0)</f>
        <v>PLACA ESMALTADA PARA IDENTIFICAÇÃO NR DE RUA, DIMENSÕES 45X25CM</v>
      </c>
      <c r="D471" s="105" t="str">
        <f>VLOOKUP(A471,'[3]Planilha Orçamentária'!A:K,4,0)</f>
        <v>UND</v>
      </c>
      <c r="E471" s="104"/>
      <c r="F471" s="111"/>
      <c r="G471" s="111"/>
      <c r="H471" s="111"/>
      <c r="I471" s="111"/>
      <c r="J471" s="107">
        <f>ROUND(SUM(J473:J473),2)</f>
        <v>2</v>
      </c>
    </row>
    <row r="472" spans="1:10">
      <c r="A472" s="251"/>
      <c r="B472" s="252"/>
      <c r="C472" s="165" t="s">
        <v>2115</v>
      </c>
      <c r="D472" s="105"/>
      <c r="E472" s="104"/>
      <c r="F472" s="111"/>
      <c r="G472" s="111"/>
      <c r="H472" s="111"/>
      <c r="I472" s="241" t="s">
        <v>1446</v>
      </c>
      <c r="J472" s="257"/>
    </row>
    <row r="473" spans="1:10">
      <c r="A473" s="314"/>
      <c r="B473" s="314"/>
      <c r="C473" s="244" t="s">
        <v>2046</v>
      </c>
      <c r="D473" s="105"/>
      <c r="E473" s="104"/>
      <c r="F473" s="111"/>
      <c r="G473" s="111"/>
      <c r="H473" s="111"/>
      <c r="I473" s="157">
        <v>2</v>
      </c>
      <c r="J473" s="306">
        <f>ROUND(PRODUCT(E473:I473),2)</f>
        <v>2</v>
      </c>
    </row>
    <row r="474" spans="1:10">
      <c r="A474" s="523"/>
      <c r="B474" s="524"/>
      <c r="C474" s="524"/>
      <c r="D474" s="524"/>
      <c r="E474" s="524"/>
      <c r="F474" s="524"/>
      <c r="G474" s="524"/>
      <c r="H474" s="524"/>
      <c r="I474" s="524"/>
      <c r="J474" s="525"/>
    </row>
    <row r="475" spans="1:10" ht="51">
      <c r="A475" s="132" t="str">
        <f>'[3]Planilha Orçamentária'!A129</f>
        <v>1.2.7.4</v>
      </c>
      <c r="B475" s="103">
        <f>VLOOKUP(A475,'[3]Planilha Orçamentária'!A:K,2,0)</f>
        <v>102512</v>
      </c>
      <c r="C475" s="276" t="str">
        <f>VLOOKUP(A475,'[3]Planilha Orçamentária'!A:K,3,0)</f>
        <v>PINTURA DE EIXO VIÁRIO SOBRE ASFALTO COM TINTA RETRORREFLETIVA A BASE DE RESINA ACRÍLICA COM MICROESFERAS DE VIDRO, APLICAÇÃO MECÂNICA COM DEMARCADORA AUTOPROPELIDA. AF_05/2021</v>
      </c>
      <c r="D475" s="105" t="str">
        <f>VLOOKUP(A475,'[3]Planilha Orçamentária'!A:K,4,0)</f>
        <v>M</v>
      </c>
      <c r="E475" s="104"/>
      <c r="F475" s="111"/>
      <c r="G475" s="111"/>
      <c r="H475" s="111"/>
      <c r="I475" s="111"/>
      <c r="J475" s="107">
        <f>ROUND(SUM(J477:J477),2)</f>
        <v>128.68</v>
      </c>
    </row>
    <row r="476" spans="1:10">
      <c r="A476" s="251"/>
      <c r="B476" s="252"/>
      <c r="C476" s="165" t="s">
        <v>2115</v>
      </c>
      <c r="D476" s="148"/>
      <c r="E476" s="357"/>
      <c r="F476" s="161" t="s">
        <v>1989</v>
      </c>
      <c r="G476" s="160"/>
      <c r="H476" s="160"/>
      <c r="I476" s="357"/>
      <c r="J476" s="257"/>
    </row>
    <row r="477" spans="1:10">
      <c r="A477" s="314"/>
      <c r="B477" s="314"/>
      <c r="C477" s="244" t="s">
        <v>2046</v>
      </c>
      <c r="D477" s="262"/>
      <c r="E477" s="358"/>
      <c r="F477" s="157">
        <v>128.68</v>
      </c>
      <c r="G477" s="157"/>
      <c r="H477" s="157"/>
      <c r="I477" s="157"/>
      <c r="J477" s="306">
        <f>ROUND(PRODUCT(E477:I477),2)</f>
        <v>128.68</v>
      </c>
    </row>
    <row r="478" spans="1:10">
      <c r="A478" s="523"/>
      <c r="B478" s="524"/>
      <c r="C478" s="524"/>
      <c r="D478" s="524"/>
      <c r="E478" s="524"/>
      <c r="F478" s="524"/>
      <c r="G478" s="524"/>
      <c r="H478" s="524"/>
      <c r="I478" s="524"/>
      <c r="J478" s="525"/>
    </row>
    <row r="479" spans="1:10">
      <c r="A479" s="94" t="str">
        <f>'[3]Planilha Orçamentária'!A130</f>
        <v>1.2.8</v>
      </c>
      <c r="B479" s="95"/>
      <c r="C479" s="96" t="str">
        <f>VLOOKUP(A479,'[3]Planilha Orçamentária'!A:K,3,0)</f>
        <v>ACESSIBILIDADE</v>
      </c>
      <c r="D479" s="96"/>
      <c r="E479" s="129"/>
      <c r="F479" s="130"/>
      <c r="G479" s="130"/>
      <c r="H479" s="130"/>
      <c r="I479" s="130"/>
      <c r="J479" s="131"/>
    </row>
    <row r="480" spans="1:10" ht="51">
      <c r="A480" s="251" t="str">
        <f>'[3]Planilha Orçamentária'!A131</f>
        <v>1.2.8.1</v>
      </c>
      <c r="B480" s="252" t="str">
        <f>VLOOKUP(A480,'[3]Planilha Orçamentária'!A:K,2,0)</f>
        <v>CP-S12039-81921471</v>
      </c>
      <c r="C480" s="253" t="str">
        <f>VLOOKUP(A480,'[3]Planilha Orçamentária'!A:K,3,0)</f>
        <v>Piso tátil direcional e/ou alerta, de concreto, na cor natural, p/deficientes visuais, dimensões 40x40cm, aplicado com argamassa industrializada ac-ii, rejuntado, exclusive regularização de base</v>
      </c>
      <c r="D480" s="254" t="str">
        <f>VLOOKUP(A480,'[3]Planilha Orçamentária'!A:K,4,0)</f>
        <v>M2</v>
      </c>
      <c r="E480" s="255"/>
      <c r="F480" s="256"/>
      <c r="G480" s="256"/>
      <c r="H480" s="256"/>
      <c r="I480" s="256"/>
      <c r="J480" s="257">
        <f>ROUND(SUM(J481:J482),2)</f>
        <v>8.24</v>
      </c>
    </row>
    <row r="481" spans="1:10">
      <c r="A481" s="293"/>
      <c r="B481" s="294"/>
      <c r="C481" s="165" t="s">
        <v>2115</v>
      </c>
      <c r="D481" s="105"/>
      <c r="E481" s="241"/>
      <c r="F481" s="105"/>
      <c r="G481" s="105"/>
      <c r="H481" s="241"/>
      <c r="I481" s="241"/>
      <c r="J481" s="299"/>
    </row>
    <row r="482" spans="1:10">
      <c r="A482" s="300"/>
      <c r="B482" s="301"/>
      <c r="C482" s="302" t="s">
        <v>2046</v>
      </c>
      <c r="D482" s="254"/>
      <c r="E482" s="255"/>
      <c r="F482" s="359"/>
      <c r="G482" s="256"/>
      <c r="H482" s="256"/>
      <c r="I482" s="360">
        <f>7.2+1.04</f>
        <v>8.24</v>
      </c>
      <c r="J482" s="306">
        <f>ROUND(PRODUCT(E482:I482),2)</f>
        <v>8.24</v>
      </c>
    </row>
    <row r="483" spans="1:10">
      <c r="A483" s="558"/>
      <c r="B483" s="558"/>
      <c r="C483" s="558"/>
      <c r="D483" s="558"/>
      <c r="E483" s="558"/>
      <c r="F483" s="558"/>
      <c r="G483" s="558"/>
      <c r="H483" s="558"/>
      <c r="I483" s="558"/>
      <c r="J483" s="558"/>
    </row>
    <row r="484" spans="1:10">
      <c r="A484" s="94" t="str">
        <f>'[3]Planilha Orçamentária'!A132</f>
        <v>1.2.9</v>
      </c>
      <c r="B484" s="95"/>
      <c r="C484" s="96" t="str">
        <f>VLOOKUP(A484,'[3]Planilha Orçamentária'!A:K,3,0)</f>
        <v>MATERIAIS</v>
      </c>
      <c r="D484" s="96"/>
      <c r="E484" s="129"/>
      <c r="F484" s="130"/>
      <c r="G484" s="130"/>
      <c r="H484" s="130"/>
      <c r="I484" s="130"/>
      <c r="J484" s="131"/>
    </row>
    <row r="485" spans="1:10" ht="51">
      <c r="A485" s="145" t="str">
        <f>'[3]Planilha Orçamentária'!A133</f>
        <v>1.2.9.1</v>
      </c>
      <c r="B485" s="146">
        <f>VLOOKUP(A485,'[3]Planilha Orçamentária'!A:K,2,0)</f>
        <v>10775</v>
      </c>
      <c r="C485" s="147" t="str">
        <f>VLOOKUP(A485,'[3]Planilha Orçamentária'!A:K,3,0)</f>
        <v xml:space="preserve">LOCACAO DE CONTAINER 2,30 X 6,00 M, ALT. 2,50 M, COM 1 SANITARIO, PARA ESCRITORIO, COMPLETO, SEM DIVISORIAS INTERNAS (NAO INCLUI MOBILIZACAO/DESMOBILIZACAO)                                                                                                                                                                                                                                                                                                                                              </v>
      </c>
      <c r="D485" s="148" t="str">
        <f>VLOOKUP(A485,'[3]Planilha Orçamentária'!A:K,4,0)</f>
        <v xml:space="preserve">MES   </v>
      </c>
      <c r="E485" s="147"/>
      <c r="F485" s="160"/>
      <c r="G485" s="160"/>
      <c r="H485" s="160"/>
      <c r="I485" s="160"/>
      <c r="J485" s="218">
        <f>ROUND(SUM(J487:J487),2)</f>
        <v>1</v>
      </c>
    </row>
    <row r="486" spans="1:10" ht="25.5">
      <c r="A486" s="151"/>
      <c r="B486" s="152"/>
      <c r="C486" s="168"/>
      <c r="D486" s="166"/>
      <c r="E486" s="168"/>
      <c r="F486" s="320"/>
      <c r="G486" s="149"/>
      <c r="H486" s="149"/>
      <c r="I486" s="106" t="s">
        <v>1992</v>
      </c>
      <c r="J486" s="321"/>
    </row>
    <row r="487" spans="1:10">
      <c r="A487" s="123"/>
      <c r="B487" s="123"/>
      <c r="C487" s="155"/>
      <c r="D487" s="185"/>
      <c r="E487" s="116"/>
      <c r="F487" s="126"/>
      <c r="G487" s="116"/>
      <c r="H487" s="116"/>
      <c r="I487" s="116">
        <f>I293</f>
        <v>1</v>
      </c>
      <c r="J487" s="128">
        <f>ROUND(PRODUCT(E487:I487),2)</f>
        <v>1</v>
      </c>
    </row>
    <row r="488" spans="1:10">
      <c r="A488" s="531"/>
      <c r="B488" s="531"/>
      <c r="C488" s="531"/>
      <c r="D488" s="531"/>
      <c r="E488" s="531"/>
      <c r="F488" s="531"/>
      <c r="G488" s="531"/>
      <c r="H488" s="531"/>
      <c r="I488" s="531"/>
      <c r="J488" s="531"/>
    </row>
    <row r="489" spans="1:10" ht="38.25">
      <c r="A489" s="145" t="str">
        <f>'[3]Planilha Orçamentária'!A134</f>
        <v>1.2.9.2</v>
      </c>
      <c r="B489" s="146">
        <f>VLOOKUP(A489,'[3]Planilha Orçamentária'!A:K,2,0)</f>
        <v>10776</v>
      </c>
      <c r="C489" s="147" t="str">
        <f>VLOOKUP(A489,'[3]Planilha Orçamentária'!A:K,3,0)</f>
        <v xml:space="preserve">LOCACAO DE CONTAINER 2,30 X 6,00 M, ALT. 2,50 M, PARA ESCRITORIO, SEM DIVISORIAS INTERNAS E SEM SANITARIO (NAO INCLUI MOBILIZACAO/DESMOBILIZACAO)                                                                                                                                                                                                                                                                                                                                                         </v>
      </c>
      <c r="D489" s="148" t="str">
        <f>VLOOKUP(A489,'[3]Planilha Orçamentária'!A:K,4,0)</f>
        <v xml:space="preserve">MES   </v>
      </c>
      <c r="E489" s="147"/>
      <c r="F489" s="160"/>
      <c r="G489" s="160"/>
      <c r="H489" s="160"/>
      <c r="I489" s="160"/>
      <c r="J489" s="218">
        <f>ROUND(SUM(J491:J491),2)</f>
        <v>1</v>
      </c>
    </row>
    <row r="490" spans="1:10" ht="25.5">
      <c r="A490" s="151"/>
      <c r="B490" s="152"/>
      <c r="C490" s="168"/>
      <c r="D490" s="166"/>
      <c r="E490" s="168"/>
      <c r="F490" s="320"/>
      <c r="G490" s="149"/>
      <c r="H490" s="149"/>
      <c r="I490" s="106" t="s">
        <v>1992</v>
      </c>
      <c r="J490" s="321"/>
    </row>
    <row r="491" spans="1:10">
      <c r="A491" s="123"/>
      <c r="B491" s="123"/>
      <c r="C491" s="155"/>
      <c r="D491" s="185"/>
      <c r="E491" s="116"/>
      <c r="F491" s="126"/>
      <c r="G491" s="116"/>
      <c r="H491" s="116"/>
      <c r="I491" s="116">
        <f>I487</f>
        <v>1</v>
      </c>
      <c r="J491" s="128">
        <f>ROUND(PRODUCT(E491:I491),2)</f>
        <v>1</v>
      </c>
    </row>
    <row r="492" spans="1:10">
      <c r="A492" s="531"/>
      <c r="B492" s="531"/>
      <c r="C492" s="531"/>
      <c r="D492" s="531"/>
      <c r="E492" s="531"/>
      <c r="F492" s="531"/>
      <c r="G492" s="531"/>
      <c r="H492" s="531"/>
      <c r="I492" s="531"/>
      <c r="J492" s="531"/>
    </row>
    <row r="493" spans="1:10" ht="38.25">
      <c r="A493" s="132" t="str">
        <f>'[3]Planilha Orçamentária'!A135</f>
        <v>1.2.9.3</v>
      </c>
      <c r="B493" s="108">
        <f>VLOOKUP(A493,'[3]Planilha Orçamentária'!A:K,2,0)</f>
        <v>1518</v>
      </c>
      <c r="C493" s="104" t="str">
        <f>VLOOKUP(A493,'[3]Planilha Orçamentária'!A:K,3,0)</f>
        <v xml:space="preserve">CONCRETO BETUMINOSO USINADO A QUENTE (CBUQ) PARA PAVIMENTACAO ASFALTICA, PADRAO DNIT, FAIXA C, COM CAP 50/70 - AQUISICAO POSTO USINA                                                                                                                                                                                                                                                                                                                                                                      </v>
      </c>
      <c r="D493" s="105" t="str">
        <f>VLOOKUP(A493,'[3]Planilha Orçamentária'!A:K,4,0)</f>
        <v xml:space="preserve">T     </v>
      </c>
      <c r="E493" s="104"/>
      <c r="F493" s="111"/>
      <c r="G493" s="111"/>
      <c r="H493" s="111"/>
      <c r="I493" s="111"/>
      <c r="J493" s="122">
        <f>ROUND(SUM(J494:J495),2)</f>
        <v>14.84</v>
      </c>
    </row>
    <row r="494" spans="1:10" ht="14.25">
      <c r="A494" s="174"/>
      <c r="B494" s="174"/>
      <c r="C494" s="204" t="s">
        <v>2100</v>
      </c>
      <c r="D494" s="174"/>
      <c r="E494" s="174" t="s">
        <v>1193</v>
      </c>
      <c r="F494" s="174"/>
      <c r="G494" s="174"/>
      <c r="H494" s="174"/>
      <c r="I494" s="174" t="s">
        <v>2007</v>
      </c>
      <c r="J494" s="174"/>
    </row>
    <row r="495" spans="1:10">
      <c r="A495" s="174"/>
      <c r="B495" s="174"/>
      <c r="C495" s="322" t="s">
        <v>2083</v>
      </c>
      <c r="D495" s="174"/>
      <c r="E495" s="174">
        <v>2.5548000000000002</v>
      </c>
      <c r="F495" s="174"/>
      <c r="G495" s="174"/>
      <c r="H495" s="174"/>
      <c r="I495" s="286">
        <f>J371</f>
        <v>5.81</v>
      </c>
      <c r="J495" s="158">
        <f t="shared" ref="J495" si="26">ROUND(PRODUCT(E495:I495),2)</f>
        <v>14.84</v>
      </c>
    </row>
    <row r="496" spans="1:10">
      <c r="A496" s="219"/>
      <c r="B496" s="323"/>
      <c r="C496" s="323"/>
      <c r="D496" s="323"/>
      <c r="E496" s="323"/>
      <c r="F496" s="323"/>
      <c r="G496" s="323"/>
      <c r="H496" s="323"/>
      <c r="I496" s="323"/>
      <c r="J496" s="198"/>
    </row>
    <row r="497" spans="1:10">
      <c r="A497" s="132" t="str">
        <f>'[3]Planilha Orçamentária'!A136</f>
        <v>1.2.9.4</v>
      </c>
      <c r="B497" s="108" t="str">
        <f>VLOOKUP(A497,'[3]Planilha Orçamentária'!A:K,2,0)</f>
        <v>INS-185032</v>
      </c>
      <c r="C497" s="104" t="str">
        <f>VLOOKUP(A497,'[3]Planilha Orçamentária'!A:K,3,0)</f>
        <v>BRITA GRADUADA SIMPLES (BGS)</v>
      </c>
      <c r="D497" s="105" t="str">
        <f>VLOOKUP(A497,'[3]Planilha Orçamentária'!A:K,4,0)</f>
        <v>M3</v>
      </c>
      <c r="E497" s="104"/>
      <c r="F497" s="111"/>
      <c r="G497" s="111"/>
      <c r="H497" s="111"/>
      <c r="I497" s="111"/>
      <c r="J497" s="122">
        <f>ROUND(SUM(J499:J499),2)</f>
        <v>34.909999999999997</v>
      </c>
    </row>
    <row r="498" spans="1:10">
      <c r="A498" s="174"/>
      <c r="B498" s="174"/>
      <c r="C498" s="322" t="s">
        <v>2100</v>
      </c>
      <c r="D498" s="174"/>
      <c r="E498" s="174" t="s">
        <v>1193</v>
      </c>
      <c r="F498" s="174"/>
      <c r="G498" s="174"/>
      <c r="H498" s="174"/>
      <c r="I498" s="174" t="s">
        <v>2007</v>
      </c>
      <c r="J498" s="174"/>
    </row>
    <row r="499" spans="1:10">
      <c r="A499" s="174"/>
      <c r="B499" s="174"/>
      <c r="C499" s="324" t="s">
        <v>2084</v>
      </c>
      <c r="D499" s="137"/>
      <c r="E499" s="325">
        <v>1</v>
      </c>
      <c r="F499" s="174"/>
      <c r="G499" s="174"/>
      <c r="H499" s="174"/>
      <c r="I499" s="286">
        <f>J351</f>
        <v>34.909999999999997</v>
      </c>
      <c r="J499" s="158">
        <f t="shared" ref="J499" si="27">ROUND(PRODUCT(E499:I499),2)</f>
        <v>34.909999999999997</v>
      </c>
    </row>
    <row r="500" spans="1:10">
      <c r="A500" s="219"/>
      <c r="B500" s="323"/>
      <c r="C500" s="323"/>
      <c r="D500" s="323"/>
      <c r="E500" s="323"/>
      <c r="F500" s="323"/>
      <c r="G500" s="323"/>
      <c r="H500" s="323"/>
      <c r="I500" s="323"/>
      <c r="J500" s="197"/>
    </row>
    <row r="501" spans="1:10">
      <c r="A501" s="132" t="str">
        <f>'[3]Planilha Orçamentária'!A137</f>
        <v>1.2.9.5</v>
      </c>
      <c r="B501" s="108" t="str">
        <f>VLOOKUP(A501,'[3]Planilha Orçamentária'!A:K,2,0)</f>
        <v>INS-711371</v>
      </c>
      <c r="C501" s="104" t="str">
        <f>VLOOKUP(A501,'[3]Planilha Orçamentária'!A:K,3,0)</f>
        <v>ASFALTO DILUÍDO CM - 30</v>
      </c>
      <c r="D501" s="105" t="str">
        <f>VLOOKUP(A501,'[3]Planilha Orçamentária'!A:K,4,0)</f>
        <v>KG</v>
      </c>
      <c r="E501" s="104"/>
      <c r="F501" s="111"/>
      <c r="G501" s="111"/>
      <c r="H501" s="111"/>
      <c r="I501" s="111"/>
      <c r="J501" s="122">
        <f>ROUND(SUM(J503:J503),2)</f>
        <v>139.66</v>
      </c>
    </row>
    <row r="502" spans="1:10">
      <c r="A502" s="174"/>
      <c r="B502" s="174"/>
      <c r="C502" s="361"/>
      <c r="D502" s="180"/>
      <c r="E502" s="174" t="s">
        <v>2085</v>
      </c>
      <c r="F502" s="161"/>
      <c r="G502" s="161"/>
      <c r="H502" s="161"/>
      <c r="I502" s="210" t="s">
        <v>2003</v>
      </c>
      <c r="J502" s="174"/>
    </row>
    <row r="503" spans="1:10">
      <c r="A503" s="174"/>
      <c r="B503" s="174"/>
      <c r="C503" s="324" t="s">
        <v>2087</v>
      </c>
      <c r="D503" s="137"/>
      <c r="E503" s="325">
        <v>1.2</v>
      </c>
      <c r="F503" s="127"/>
      <c r="G503" s="161"/>
      <c r="H503" s="161"/>
      <c r="I503" s="212">
        <f>J364</f>
        <v>116.38</v>
      </c>
      <c r="J503" s="158">
        <f t="shared" ref="J503" si="28">ROUND(PRODUCT(E503:I503),2)</f>
        <v>139.66</v>
      </c>
    </row>
    <row r="504" spans="1:10">
      <c r="A504" s="219"/>
      <c r="B504" s="323"/>
      <c r="C504" s="323"/>
      <c r="D504" s="323"/>
      <c r="E504" s="323"/>
      <c r="F504" s="323"/>
      <c r="G504" s="323"/>
      <c r="H504" s="323"/>
      <c r="I504" s="323"/>
      <c r="J504" s="197"/>
    </row>
    <row r="505" spans="1:10" ht="38.25">
      <c r="A505" s="132" t="str">
        <f>'[3]Planilha Orçamentária'!A138</f>
        <v>1.2.9.6</v>
      </c>
      <c r="B505" s="108">
        <f>VLOOKUP(A505,'[3]Planilha Orçamentária'!A:K,2,0)</f>
        <v>34492</v>
      </c>
      <c r="C505" s="104" t="str">
        <f>VLOOKUP(A505,'[3]Planilha Orçamentária'!A:K,3,0)</f>
        <v xml:space="preserve">CONCRETO USINADO BOMBEAVEL, CLASSE DE RESISTENCIA C20, COM BRITA 0 E 1, SLUMP = 100 +/- 20 MM, EXCLUI SERVICO DE BOMBEAMENTO (NBR 8953)                                                                                                                                                                                                                                                                                                                                                                   </v>
      </c>
      <c r="D505" s="105" t="str">
        <f>VLOOKUP(A505,'[3]Planilha Orçamentária'!A:K,4,0)</f>
        <v xml:space="preserve">M3    </v>
      </c>
      <c r="E505" s="104"/>
      <c r="F505" s="111"/>
      <c r="G505" s="111"/>
      <c r="H505" s="111"/>
      <c r="I505" s="111"/>
      <c r="J505" s="122">
        <f>ROUND(SUM(J507:J507),2)</f>
        <v>9.75</v>
      </c>
    </row>
    <row r="506" spans="1:10">
      <c r="A506" s="174"/>
      <c r="B506" s="174"/>
      <c r="C506" s="159"/>
      <c r="D506" s="174"/>
      <c r="E506" s="137" t="s">
        <v>2085</v>
      </c>
      <c r="F506" s="174"/>
      <c r="G506" s="174"/>
      <c r="H506" s="174"/>
      <c r="I506" s="174" t="s">
        <v>2007</v>
      </c>
      <c r="J506" s="174"/>
    </row>
    <row r="507" spans="1:10">
      <c r="A507" s="174"/>
      <c r="B507" s="174"/>
      <c r="C507" s="324" t="s">
        <v>2088</v>
      </c>
      <c r="D507" s="137"/>
      <c r="E507" s="325">
        <v>1.2130000000000001</v>
      </c>
      <c r="F507" s="174"/>
      <c r="G507" s="174"/>
      <c r="H507" s="174"/>
      <c r="I507" s="286">
        <f>J389</f>
        <v>8.0399999999999991</v>
      </c>
      <c r="J507" s="158">
        <f t="shared" ref="J507" si="29">ROUND(PRODUCT(E507:I507),2)</f>
        <v>9.75</v>
      </c>
    </row>
    <row r="508" spans="1:10">
      <c r="A508" s="219"/>
      <c r="B508" s="323"/>
      <c r="C508" s="323"/>
      <c r="D508" s="323"/>
      <c r="E508" s="323"/>
      <c r="F508" s="323"/>
      <c r="G508" s="323"/>
      <c r="H508" s="323"/>
      <c r="I508" s="323"/>
      <c r="J508" s="197"/>
    </row>
    <row r="509" spans="1:10" ht="38.25">
      <c r="A509" s="132" t="str">
        <f>'[3]Planilha Orçamentária'!A139</f>
        <v>1.2.9.7</v>
      </c>
      <c r="B509" s="108">
        <f>VLOOKUP(A509,'[3]Planilha Orçamentária'!A:K,2,0)</f>
        <v>1345</v>
      </c>
      <c r="C509" s="104" t="str">
        <f>VLOOKUP(A509,'[3]Planilha Orçamentária'!A:K,3,0)</f>
        <v xml:space="preserve">CHAPA/PAINEL DE MADEIRA COMPENSADA PLASTIFICADA (MADEIRITE PLASTIFICADO) PARA FORMA DE CONCRETO, DE 2200 x 1100 MM, E = *17* MM                                                                                                                                                                                                                                                                                                                                                                           </v>
      </c>
      <c r="D509" s="105" t="str">
        <f>VLOOKUP(A509,'[3]Planilha Orçamentária'!A:K,4,0)</f>
        <v xml:space="preserve">M2    </v>
      </c>
      <c r="E509" s="104"/>
      <c r="F509" s="111"/>
      <c r="G509" s="111"/>
      <c r="H509" s="111"/>
      <c r="I509" s="111"/>
      <c r="J509" s="122">
        <f>ROUND(SUM(J511:J511),2)</f>
        <v>35.61</v>
      </c>
    </row>
    <row r="510" spans="1:10">
      <c r="A510" s="174"/>
      <c r="B510" s="174"/>
      <c r="C510" s="159"/>
      <c r="D510" s="174"/>
      <c r="E510" s="137" t="s">
        <v>2085</v>
      </c>
      <c r="F510" s="174"/>
      <c r="G510" s="174"/>
      <c r="H510" s="174"/>
      <c r="I510" s="174" t="s">
        <v>2003</v>
      </c>
      <c r="J510" s="174"/>
    </row>
    <row r="511" spans="1:10">
      <c r="A511" s="174"/>
      <c r="B511" s="174"/>
      <c r="C511" s="324" t="s">
        <v>2089</v>
      </c>
      <c r="D511" s="137"/>
      <c r="E511" s="325">
        <v>1.05</v>
      </c>
      <c r="F511" s="174"/>
      <c r="G511" s="174"/>
      <c r="H511" s="174"/>
      <c r="I511" s="286">
        <f>J436</f>
        <v>33.909999999999997</v>
      </c>
      <c r="J511" s="158">
        <f t="shared" ref="J511" si="30">ROUND(PRODUCT(E511:I511),2)</f>
        <v>35.61</v>
      </c>
    </row>
    <row r="512" spans="1:10">
      <c r="A512" s="219"/>
      <c r="B512" s="323"/>
      <c r="C512" s="323"/>
      <c r="D512" s="323"/>
      <c r="E512" s="323"/>
      <c r="F512" s="323"/>
      <c r="G512" s="323"/>
      <c r="H512" s="323"/>
      <c r="I512" s="323"/>
      <c r="J512" s="197"/>
    </row>
    <row r="513" spans="1:10">
      <c r="A513" s="93" t="str">
        <f>'[3]Planilha Orçamentária'!A140</f>
        <v>1.3</v>
      </c>
      <c r="B513" s="526" t="str">
        <f>VLOOKUP(A513,'[3]Planilha Orçamentária'!A:K,3,0)</f>
        <v>RUA VICÊNCIA - CAJUEIRO SECO</v>
      </c>
      <c r="C513" s="527"/>
      <c r="D513" s="527"/>
      <c r="E513" s="527"/>
      <c r="F513" s="527"/>
      <c r="G513" s="527"/>
      <c r="H513" s="527"/>
      <c r="I513" s="527"/>
      <c r="J513" s="527"/>
    </row>
    <row r="514" spans="1:10">
      <c r="A514" s="94" t="str">
        <f>'[3]Planilha Orçamentária'!A141</f>
        <v>1.3.1</v>
      </c>
      <c r="B514" s="95"/>
      <c r="C514" s="96" t="str">
        <f>VLOOKUP(A514,'[3]Planilha Orçamentária'!A:K,3,0)</f>
        <v>INSTALAÇÕES PROVISÓRIAS</v>
      </c>
      <c r="D514" s="97"/>
      <c r="E514" s="98"/>
      <c r="F514" s="99"/>
      <c r="G514" s="99"/>
      <c r="H514" s="99"/>
      <c r="I514" s="100"/>
      <c r="J514" s="101"/>
    </row>
    <row r="515" spans="1:10" ht="25.5">
      <c r="A515" s="102" t="str">
        <f>'[3]Planilha Orçamentária'!A142</f>
        <v>1.3.1.1</v>
      </c>
      <c r="B515" s="103" t="str">
        <f>VLOOKUP(A515,'[3]Planilha Orçamentária'!A:K,2,0)</f>
        <v>CP-74209/001-15055090</v>
      </c>
      <c r="C515" s="104" t="str">
        <f>VLOOKUP(A515,'[3]Planilha Orçamentária'!A:K,3,0)</f>
        <v>PLACA DE OBRA EM CHAPA DE ACO GALVANIZADO</v>
      </c>
      <c r="D515" s="105" t="str">
        <f>VLOOKUP(A515,'[3]Planilha Orçamentária'!A:K,4,0)</f>
        <v xml:space="preserve">M2    </v>
      </c>
      <c r="E515" s="104"/>
      <c r="F515" s="106" t="s">
        <v>1989</v>
      </c>
      <c r="G515" s="106" t="s">
        <v>1990</v>
      </c>
      <c r="H515" s="106"/>
      <c r="I515" s="106" t="s">
        <v>1991</v>
      </c>
      <c r="J515" s="107">
        <f>ROUND(SUM(J517:J517),2)</f>
        <v>8</v>
      </c>
    </row>
    <row r="516" spans="1:10">
      <c r="A516" s="102"/>
      <c r="B516" s="103"/>
      <c r="C516" s="110"/>
      <c r="D516" s="109"/>
      <c r="E516" s="110"/>
      <c r="F516" s="111"/>
      <c r="G516" s="111"/>
      <c r="H516" s="111"/>
      <c r="I516" s="111"/>
      <c r="J516" s="107"/>
    </row>
    <row r="517" spans="1:10">
      <c r="A517" s="102"/>
      <c r="B517" s="123"/>
      <c r="C517" s="328"/>
      <c r="D517" s="114"/>
      <c r="E517" s="115"/>
      <c r="F517" s="116">
        <v>2</v>
      </c>
      <c r="G517" s="116">
        <v>4</v>
      </c>
      <c r="H517" s="117"/>
      <c r="I517" s="116">
        <v>1</v>
      </c>
      <c r="J517" s="118">
        <f>ROUND(PRODUCT(E517:I517),2)</f>
        <v>8</v>
      </c>
    </row>
    <row r="518" spans="1:10">
      <c r="A518" s="553"/>
      <c r="B518" s="554"/>
      <c r="C518" s="554"/>
      <c r="D518" s="554"/>
      <c r="E518" s="554"/>
      <c r="F518" s="554"/>
      <c r="G518" s="554"/>
      <c r="H518" s="554"/>
      <c r="I518" s="554"/>
      <c r="J518" s="555"/>
    </row>
    <row r="519" spans="1:10" ht="25.5">
      <c r="A519" s="102" t="str">
        <f>'[3]Planilha Orçamentária'!A143</f>
        <v>1.3.1.2</v>
      </c>
      <c r="B519" s="108" t="str">
        <f>VLOOKUP(A519,'[3]Planilha Orçamentária'!A:K,2,0)</f>
        <v>COMP-07440249</v>
      </c>
      <c r="C519" s="104" t="str">
        <f>VLOOKUP(A519,'[3]Planilha Orçamentária'!A:K,3,0)</f>
        <v>BANHEIRO QUÍMICO, COM LOCAÇÃO, TRANSPORTE E LIMPEZA</v>
      </c>
      <c r="D519" s="105" t="str">
        <f>VLOOKUP(A519,'[3]Planilha Orçamentária'!A:K,4,0)</f>
        <v>MÊS</v>
      </c>
      <c r="E519" s="104"/>
      <c r="F519" s="111"/>
      <c r="G519" s="111"/>
      <c r="H519" s="111"/>
      <c r="I519" s="111"/>
      <c r="J519" s="122">
        <f>ROUND(SUM(J522:J522),2)</f>
        <v>1</v>
      </c>
    </row>
    <row r="520" spans="1:10" ht="25.5">
      <c r="A520" s="102"/>
      <c r="B520" s="108"/>
      <c r="C520" s="104"/>
      <c r="D520" s="105"/>
      <c r="E520" s="104"/>
      <c r="F520" s="111"/>
      <c r="G520" s="111"/>
      <c r="H520" s="111"/>
      <c r="I520" s="106" t="s">
        <v>1992</v>
      </c>
      <c r="J520" s="122"/>
    </row>
    <row r="521" spans="1:10">
      <c r="A521" s="102"/>
      <c r="B521" s="108"/>
      <c r="C521" s="104"/>
      <c r="D521" s="105"/>
      <c r="E521" s="104"/>
      <c r="F521" s="111"/>
      <c r="G521" s="111"/>
      <c r="H521" s="111"/>
      <c r="I521" s="106"/>
      <c r="J521" s="122"/>
    </row>
    <row r="522" spans="1:10">
      <c r="A522" s="102"/>
      <c r="B522" s="123"/>
      <c r="C522" s="124"/>
      <c r="D522" s="125"/>
      <c r="E522" s="126"/>
      <c r="F522" s="126"/>
      <c r="G522" s="117"/>
      <c r="H522" s="117"/>
      <c r="I522" s="127">
        <v>1</v>
      </c>
      <c r="J522" s="128">
        <f>ROUND(PRODUCT(E522:I522),2)</f>
        <v>1</v>
      </c>
    </row>
    <row r="523" spans="1:10">
      <c r="A523" s="102"/>
      <c r="B523" s="123"/>
      <c r="C523" s="124"/>
      <c r="D523" s="125"/>
      <c r="E523" s="126"/>
      <c r="F523" s="126"/>
      <c r="G523" s="117"/>
      <c r="H523" s="117"/>
      <c r="I523" s="127"/>
      <c r="J523" s="128"/>
    </row>
    <row r="524" spans="1:10">
      <c r="A524" s="94" t="str">
        <f>'[3]Planilha Orçamentária'!A144</f>
        <v>1.3.2</v>
      </c>
      <c r="B524" s="95"/>
      <c r="C524" s="96" t="str">
        <f>VLOOKUP(A524,'[3]Planilha Orçamentária'!A:K,3,0)</f>
        <v>ADMINISTRAÇÃO LOCAL</v>
      </c>
      <c r="D524" s="96"/>
      <c r="E524" s="129"/>
      <c r="F524" s="130"/>
      <c r="G524" s="130"/>
      <c r="H524" s="130"/>
      <c r="I524" s="130"/>
      <c r="J524" s="131"/>
    </row>
    <row r="525" spans="1:10" ht="25.5">
      <c r="A525" s="132" t="str">
        <f>'[3]Planilha Orçamentária'!A145</f>
        <v>1.3.2.1</v>
      </c>
      <c r="B525" s="103">
        <f>VLOOKUP(A525,'[3]Planilha Orçamentária'!A:K,2,0)</f>
        <v>93565</v>
      </c>
      <c r="C525" s="104" t="str">
        <f>VLOOKUP(A525,'[3]Planilha Orçamentária'!A:K,3,0)</f>
        <v>ENGENHEIRO CIVIL DE OBRA JUNIOR COM ENCARGOS COMPLEMENTARES</v>
      </c>
      <c r="D525" s="105" t="str">
        <f>VLOOKUP(A525,'[3]Planilha Orçamentária'!A:K,4,0)</f>
        <v>MES</v>
      </c>
      <c r="E525" s="133"/>
      <c r="F525" s="134"/>
      <c r="G525" s="134"/>
      <c r="H525" s="134"/>
      <c r="I525" s="134"/>
      <c r="J525" s="107">
        <f>ROUND(SUM(J527),2)</f>
        <v>0.13</v>
      </c>
    </row>
    <row r="526" spans="1:10" ht="14.25">
      <c r="A526" s="132"/>
      <c r="B526" s="103"/>
      <c r="C526" s="135" t="s">
        <v>2090</v>
      </c>
      <c r="D526" s="105"/>
      <c r="E526" s="133"/>
      <c r="F526" s="136"/>
      <c r="G526" s="136"/>
      <c r="H526" s="136"/>
      <c r="I526" s="136"/>
      <c r="J526" s="107"/>
    </row>
    <row r="527" spans="1:10" ht="14.25">
      <c r="A527" s="137"/>
      <c r="B527" s="138"/>
      <c r="C527" s="135" t="s">
        <v>2091</v>
      </c>
      <c r="D527" s="139"/>
      <c r="E527" s="136">
        <f>22/176</f>
        <v>0.125</v>
      </c>
      <c r="F527" s="136"/>
      <c r="G527" s="136"/>
      <c r="H527" s="136"/>
      <c r="I527" s="136">
        <f>I522</f>
        <v>1</v>
      </c>
      <c r="J527" s="118">
        <f>ROUND(PRODUCT(E527:I527),2)</f>
        <v>0.13</v>
      </c>
    </row>
    <row r="528" spans="1:10" ht="14.25">
      <c r="A528" s="137"/>
      <c r="B528" s="138"/>
      <c r="C528" s="135" t="s">
        <v>1994</v>
      </c>
      <c r="D528" s="139"/>
      <c r="E528" s="136"/>
      <c r="F528" s="136"/>
      <c r="G528" s="136"/>
      <c r="H528" s="136"/>
      <c r="I528" s="136"/>
      <c r="J528" s="140"/>
    </row>
    <row r="529" spans="1:10" ht="14.25">
      <c r="A529" s="137"/>
      <c r="B529" s="138"/>
      <c r="C529" s="135" t="s">
        <v>1995</v>
      </c>
      <c r="D529" s="141"/>
      <c r="E529" s="142"/>
      <c r="F529" s="127"/>
      <c r="G529" s="117"/>
      <c r="H529" s="117"/>
      <c r="I529" s="143"/>
      <c r="J529" s="144"/>
    </row>
    <row r="530" spans="1:10">
      <c r="A530" s="531"/>
      <c r="B530" s="531"/>
      <c r="C530" s="531"/>
      <c r="D530" s="531"/>
      <c r="E530" s="531"/>
      <c r="F530" s="531"/>
      <c r="G530" s="531"/>
      <c r="H530" s="531"/>
      <c r="I530" s="531"/>
      <c r="J530" s="531"/>
    </row>
    <row r="531" spans="1:10" ht="25.5">
      <c r="A531" s="132" t="str">
        <f>'[3]Planilha Orçamentária'!A146</f>
        <v>1.3.2.2</v>
      </c>
      <c r="B531" s="103">
        <f>VLOOKUP(A531,'[3]Planilha Orçamentária'!A:K,2,0)</f>
        <v>93572</v>
      </c>
      <c r="C531" s="104" t="str">
        <f>VLOOKUP(A531,'[3]Planilha Orçamentária'!A:K,3,0)</f>
        <v>ENCARREGADO GERAL DE OBRAS COM ENCARGOS COMPLEMENTARES</v>
      </c>
      <c r="D531" s="105" t="str">
        <f>VLOOKUP(A531,'[3]Planilha Orçamentária'!A:K,4,0)</f>
        <v>MES</v>
      </c>
      <c r="E531" s="133"/>
      <c r="F531" s="134"/>
      <c r="G531" s="134"/>
      <c r="H531" s="134"/>
      <c r="I531" s="134"/>
      <c r="J531" s="107">
        <f>ROUND(SUM(J533),2)</f>
        <v>0.5</v>
      </c>
    </row>
    <row r="532" spans="1:10" ht="14.25">
      <c r="A532" s="132"/>
      <c r="B532" s="103"/>
      <c r="C532" s="135" t="s">
        <v>2090</v>
      </c>
      <c r="D532" s="105"/>
      <c r="E532" s="133"/>
      <c r="F532" s="136"/>
      <c r="G532" s="136"/>
      <c r="H532" s="136"/>
      <c r="I532" s="136"/>
      <c r="J532" s="107"/>
    </row>
    <row r="533" spans="1:10" ht="14.25">
      <c r="A533" s="137"/>
      <c r="B533" s="138"/>
      <c r="C533" s="135" t="s">
        <v>2117</v>
      </c>
      <c r="D533" s="139"/>
      <c r="E533" s="136">
        <f>88/176</f>
        <v>0.5</v>
      </c>
      <c r="F533" s="136"/>
      <c r="G533" s="136"/>
      <c r="H533" s="136"/>
      <c r="I533" s="136">
        <f>I522</f>
        <v>1</v>
      </c>
      <c r="J533" s="118">
        <f>ROUND(PRODUCT(E533:I533),2)</f>
        <v>0.5</v>
      </c>
    </row>
    <row r="534" spans="1:10" ht="14.25">
      <c r="A534" s="137"/>
      <c r="B534" s="138"/>
      <c r="C534" s="135" t="s">
        <v>1997</v>
      </c>
      <c r="D534" s="139"/>
      <c r="E534" s="136"/>
      <c r="F534" s="136"/>
      <c r="G534" s="136"/>
      <c r="H534" s="136"/>
      <c r="I534" s="136"/>
      <c r="J534" s="140"/>
    </row>
    <row r="535" spans="1:10" ht="14.25">
      <c r="A535" s="137"/>
      <c r="B535" s="138"/>
      <c r="C535" s="135" t="s">
        <v>1995</v>
      </c>
      <c r="D535" s="141"/>
      <c r="E535" s="142"/>
      <c r="F535" s="127"/>
      <c r="G535" s="117"/>
      <c r="H535" s="117"/>
      <c r="I535" s="143"/>
      <c r="J535" s="144"/>
    </row>
    <row r="536" spans="1:10">
      <c r="A536" s="531"/>
      <c r="B536" s="531"/>
      <c r="C536" s="531"/>
      <c r="D536" s="531"/>
      <c r="E536" s="531"/>
      <c r="F536" s="531"/>
      <c r="G536" s="531"/>
      <c r="H536" s="531"/>
      <c r="I536" s="531"/>
      <c r="J536" s="531"/>
    </row>
    <row r="537" spans="1:10">
      <c r="A537" s="94" t="str">
        <f>'[3]Planilha Orçamentária'!A147</f>
        <v>1.3.3</v>
      </c>
      <c r="B537" s="95"/>
      <c r="C537" s="96" t="str">
        <f>VLOOKUP(A537,'[3]Planilha Orçamentária'!A:K,3,0)</f>
        <v>SERVIÇOS PRELIMINARES</v>
      </c>
      <c r="D537" s="97"/>
      <c r="E537" s="98"/>
      <c r="F537" s="99"/>
      <c r="G537" s="99"/>
      <c r="H537" s="99"/>
      <c r="I537" s="100"/>
      <c r="J537" s="101"/>
    </row>
    <row r="538" spans="1:10">
      <c r="A538" s="145" t="str">
        <f>'[3]Planilha Orçamentária'!A148</f>
        <v>1.3.3.1</v>
      </c>
      <c r="B538" s="146">
        <f>VLOOKUP(A538,'[3]Planilha Orçamentária'!A:K,2,0)</f>
        <v>99064</v>
      </c>
      <c r="C538" s="147" t="str">
        <f>VLOOKUP(A538,'[3]Planilha Orçamentária'!A:K,3,0)</f>
        <v>LOCAÇÃO DE PAVIMENTAÇÃO. AF_10/2018</v>
      </c>
      <c r="D538" s="148" t="str">
        <f>VLOOKUP(A538,'[3]Planilha Orçamentária'!A:K,4,0)</f>
        <v>M</v>
      </c>
      <c r="E538" s="147"/>
      <c r="F538" s="136"/>
      <c r="G538" s="149"/>
      <c r="H538" s="149"/>
      <c r="I538" s="149"/>
      <c r="J538" s="150">
        <f>ROUND(SUM(J540:J540),2)</f>
        <v>50.44</v>
      </c>
    </row>
    <row r="539" spans="1:10">
      <c r="A539" s="151"/>
      <c r="B539" s="152"/>
      <c r="C539" s="147"/>
      <c r="D539" s="148"/>
      <c r="E539" s="147"/>
      <c r="F539" s="106" t="s">
        <v>1989</v>
      </c>
      <c r="G539" s="149"/>
      <c r="H539" s="149"/>
      <c r="I539" s="149"/>
      <c r="J539" s="150"/>
    </row>
    <row r="540" spans="1:10">
      <c r="A540" s="153"/>
      <c r="B540" s="154"/>
      <c r="C540" s="200" t="s">
        <v>2118</v>
      </c>
      <c r="D540" s="156"/>
      <c r="E540" s="157"/>
      <c r="F540" s="157">
        <f>[3]PARÂMETROS!B296</f>
        <v>50.44</v>
      </c>
      <c r="G540" s="157"/>
      <c r="H540" s="157"/>
      <c r="I540" s="157"/>
      <c r="J540" s="158">
        <f>ROUND(PRODUCT(E540:I540),2)</f>
        <v>50.44</v>
      </c>
    </row>
    <row r="541" spans="1:10">
      <c r="A541" s="531"/>
      <c r="B541" s="531"/>
      <c r="C541" s="531"/>
      <c r="D541" s="531"/>
      <c r="E541" s="531"/>
      <c r="F541" s="531"/>
      <c r="G541" s="531"/>
      <c r="H541" s="531"/>
      <c r="I541" s="531"/>
      <c r="J541" s="531"/>
    </row>
    <row r="542" spans="1:10" ht="25.5">
      <c r="A542" s="145" t="str">
        <f>'[3]Planilha Orçamentária'!A149</f>
        <v>1.3.3.2</v>
      </c>
      <c r="B542" s="199" t="str">
        <f>VLOOKUP(A542,'[3]Planilha Orçamentária'!A:K,2,0)</f>
        <v>COMP-17562084</v>
      </c>
      <c r="C542" s="147" t="str">
        <f>VLOOKUP(A542,'[3]Planilha Orçamentária'!A:K,3,0)</f>
        <v>DEMOLIÇÃO MANUAL DE CONCRETO SIMPLES</v>
      </c>
      <c r="D542" s="148" t="str">
        <f>VLOOKUP(A542,'[3]Planilha Orçamentária'!A:K,4,0)</f>
        <v>M3</v>
      </c>
      <c r="E542" s="147"/>
      <c r="F542" s="160"/>
      <c r="G542" s="160"/>
      <c r="H542" s="160"/>
      <c r="I542" s="160"/>
      <c r="J542" s="150">
        <f>ROUND(SUM(J544),2)</f>
        <v>3.56</v>
      </c>
    </row>
    <row r="543" spans="1:10">
      <c r="A543" s="145"/>
      <c r="B543" s="199"/>
      <c r="C543" s="159" t="s">
        <v>2119</v>
      </c>
      <c r="D543" s="148"/>
      <c r="E543" s="147"/>
      <c r="F543" s="160"/>
      <c r="G543" s="160"/>
      <c r="H543" s="161" t="s">
        <v>2002</v>
      </c>
      <c r="I543" s="106" t="s">
        <v>2003</v>
      </c>
      <c r="J543" s="150"/>
    </row>
    <row r="544" spans="1:10" ht="25.5">
      <c r="A544" s="145"/>
      <c r="B544" s="199"/>
      <c r="C544" s="162" t="s">
        <v>2004</v>
      </c>
      <c r="D544" s="123"/>
      <c r="E544" s="123"/>
      <c r="F544" s="157"/>
      <c r="G544" s="157"/>
      <c r="H544" s="157">
        <v>7.0000000000000007E-2</v>
      </c>
      <c r="I544" s="157">
        <v>50.88</v>
      </c>
      <c r="J544" s="128">
        <f>ROUND(PRODUCT(E544:I544),2)</f>
        <v>3.56</v>
      </c>
    </row>
    <row r="545" spans="1:10">
      <c r="A545" s="561"/>
      <c r="B545" s="562"/>
      <c r="C545" s="562"/>
      <c r="D545" s="562"/>
      <c r="E545" s="562"/>
      <c r="F545" s="562"/>
      <c r="G545" s="562"/>
      <c r="H545" s="562"/>
      <c r="I545" s="562"/>
      <c r="J545" s="563"/>
    </row>
    <row r="546" spans="1:10" ht="51">
      <c r="A546" s="145" t="str">
        <f>'[3]Planilha Orçamentária'!A150</f>
        <v>1.3.3.3</v>
      </c>
      <c r="B546" s="199" t="str">
        <f>VLOOKUP(A546,'[3]Planilha Orçamentária'!A:K,2,0)</f>
        <v>COMP-35145154</v>
      </c>
      <c r="C546" s="147" t="str">
        <f>VLOOKUP(A546,'[3]Planilha Orçamentária'!A:K,3,0)</f>
        <v>CARGA E DESCARGA MECANICA DE SOLO UTILIZANDO CAMINHAO BASCULANTE 14,0M3/36T E PA CARREGADEIRA SOBRE PNEUS 128 HP, CAPACIDADE DA CAÇAMBA 1,7 A 2,8 M3, PESO OPERACIONAL 11632 KH</v>
      </c>
      <c r="D546" s="148" t="str">
        <f>VLOOKUP(A546,'[3]Planilha Orçamentária'!A:K,4,0)</f>
        <v>M3</v>
      </c>
      <c r="E546" s="147"/>
      <c r="F546" s="160"/>
      <c r="G546" s="160"/>
      <c r="H546" s="160"/>
      <c r="I546" s="160"/>
      <c r="J546" s="150">
        <f>ROUND(SUM(J548),2)</f>
        <v>4.45</v>
      </c>
    </row>
    <row r="547" spans="1:10">
      <c r="A547" s="145"/>
      <c r="B547" s="199"/>
      <c r="C547" s="165"/>
      <c r="D547" s="166"/>
      <c r="E547" s="162" t="s">
        <v>2006</v>
      </c>
      <c r="F547" s="149"/>
      <c r="G547" s="149"/>
      <c r="H547" s="149"/>
      <c r="I547" s="161" t="s">
        <v>2007</v>
      </c>
      <c r="J547" s="150"/>
    </row>
    <row r="548" spans="1:10">
      <c r="A548" s="145"/>
      <c r="B548" s="199"/>
      <c r="C548" s="165" t="s">
        <v>2008</v>
      </c>
      <c r="D548" s="166"/>
      <c r="E548" s="162">
        <v>1.25</v>
      </c>
      <c r="F548" s="149"/>
      <c r="G548" s="149"/>
      <c r="H548" s="149"/>
      <c r="I548" s="167">
        <f>J542</f>
        <v>3.56</v>
      </c>
      <c r="J548" s="128">
        <f>ROUND(PRODUCT(E548:I548),2)</f>
        <v>4.45</v>
      </c>
    </row>
    <row r="549" spans="1:10">
      <c r="A549" s="561"/>
      <c r="B549" s="562"/>
      <c r="C549" s="562"/>
      <c r="D549" s="562"/>
      <c r="E549" s="562"/>
      <c r="F549" s="562"/>
      <c r="G549" s="562"/>
      <c r="H549" s="562"/>
      <c r="I549" s="562"/>
      <c r="J549" s="563"/>
    </row>
    <row r="550" spans="1:10" ht="38.25">
      <c r="A550" s="145" t="str">
        <f>'[3]Planilha Orçamentária'!A151</f>
        <v>1.3.3.4</v>
      </c>
      <c r="B550" s="199">
        <f>VLOOKUP(A550,'[3]Planilha Orçamentária'!A:K,2,0)</f>
        <v>95876</v>
      </c>
      <c r="C550" s="147" t="str">
        <f>VLOOKUP(A550,'[3]Planilha Orçamentária'!A:K,3,0)</f>
        <v>TRANSPORTE COM CAMINHÃO BASCULANTE DE 14 M³, EM VIA URBANA PAVIMENTADA, DMT ATÉ 30 KM (UNIDADE: M3XKM). AF_07/2020</v>
      </c>
      <c r="D550" s="148" t="str">
        <f>VLOOKUP(A550,'[3]Planilha Orçamentária'!A:K,4,0)</f>
        <v>M3XKM</v>
      </c>
      <c r="E550" s="147"/>
      <c r="F550" s="160"/>
      <c r="G550" s="160"/>
      <c r="H550" s="160"/>
      <c r="I550" s="160"/>
      <c r="J550" s="150">
        <f>ROUND(SUM(J552),2)</f>
        <v>10.24</v>
      </c>
    </row>
    <row r="551" spans="1:10">
      <c r="A551" s="145"/>
      <c r="B551" s="199"/>
      <c r="C551" s="171" t="s">
        <v>2120</v>
      </c>
      <c r="D551" s="123"/>
      <c r="E551" s="123" t="s">
        <v>2011</v>
      </c>
      <c r="F551" s="123"/>
      <c r="G551" s="123"/>
      <c r="H551" s="123"/>
      <c r="I551" s="123" t="s">
        <v>2007</v>
      </c>
      <c r="J551" s="150"/>
    </row>
    <row r="552" spans="1:10">
      <c r="A552" s="145"/>
      <c r="B552" s="199"/>
      <c r="C552" s="155" t="s">
        <v>2121</v>
      </c>
      <c r="D552" s="123"/>
      <c r="E552" s="162">
        <v>2.2999999999999998</v>
      </c>
      <c r="F552" s="162"/>
      <c r="G552" s="162"/>
      <c r="H552" s="162"/>
      <c r="I552" s="172">
        <f>J546</f>
        <v>4.45</v>
      </c>
      <c r="J552" s="128">
        <f>ROUND(PRODUCT(E552:I552),2)</f>
        <v>10.24</v>
      </c>
    </row>
    <row r="553" spans="1:10">
      <c r="A553" s="561"/>
      <c r="B553" s="562"/>
      <c r="C553" s="562"/>
      <c r="D553" s="562"/>
      <c r="E553" s="562"/>
      <c r="F553" s="562"/>
      <c r="G553" s="562"/>
      <c r="H553" s="562"/>
      <c r="I553" s="562"/>
      <c r="J553" s="563"/>
    </row>
    <row r="554" spans="1:10">
      <c r="A554" s="94" t="str">
        <f>'[3]Planilha Orçamentária'!A152</f>
        <v>1.3.4</v>
      </c>
      <c r="B554" s="95"/>
      <c r="C554" s="96" t="str">
        <f>VLOOKUP(A554,'[3]Planilha Orçamentária'!A:K,3,0)</f>
        <v>TERRAPLANAGEM</v>
      </c>
      <c r="D554" s="97"/>
      <c r="E554" s="98"/>
      <c r="F554" s="99"/>
      <c r="G554" s="99"/>
      <c r="H554" s="99"/>
      <c r="I554" s="100"/>
      <c r="J554" s="173"/>
    </row>
    <row r="555" spans="1:10" ht="38.25">
      <c r="A555" s="132" t="str">
        <f>'[3]Planilha Orçamentária'!A153</f>
        <v>1.3.4.1</v>
      </c>
      <c r="B555" s="103" t="str">
        <f>VLOOKUP(A555,'[3]Planilha Orçamentária'!A:K,2,0)</f>
        <v>CP-74205/001-17324935</v>
      </c>
      <c r="C555" s="104" t="str">
        <f>VLOOKUP(A555,'[3]Planilha Orçamentária'!A:K,3,0)</f>
        <v>ESCAVAÇÃO MECÂNICA DE MATERIAL 1A. CATEGORIA, PROVENIENTE DE CORTE DE SUBLEITO (C/TRATOR ESTEIRAS  160HP)</v>
      </c>
      <c r="D555" s="105" t="str">
        <f>VLOOKUP(A555,'[3]Planilha Orçamentária'!A:K,4,0)</f>
        <v>M3</v>
      </c>
      <c r="E555" s="104"/>
      <c r="F555" s="111"/>
      <c r="G555" s="111"/>
      <c r="H555" s="111"/>
      <c r="I555" s="111"/>
      <c r="J555" s="107">
        <f>ROUND(SUM(J557:J557),2)</f>
        <v>201.3</v>
      </c>
    </row>
    <row r="556" spans="1:10">
      <c r="A556" s="132"/>
      <c r="B556" s="103"/>
      <c r="C556" s="165" t="s">
        <v>2122</v>
      </c>
      <c r="D556" s="105"/>
      <c r="E556" s="104"/>
      <c r="F556" s="111"/>
      <c r="G556" s="111"/>
      <c r="H556" s="111"/>
      <c r="I556" s="106" t="s">
        <v>2007</v>
      </c>
      <c r="J556" s="107"/>
    </row>
    <row r="557" spans="1:10">
      <c r="A557" s="174"/>
      <c r="B557" s="175"/>
      <c r="C557" s="155" t="s">
        <v>2097</v>
      </c>
      <c r="D557" s="156"/>
      <c r="E557" s="157"/>
      <c r="F557" s="157"/>
      <c r="G557" s="157"/>
      <c r="H557" s="157"/>
      <c r="I557" s="157">
        <f>[3]PARÂMETROS!G298</f>
        <v>201.3</v>
      </c>
      <c r="J557" s="176">
        <f>ROUND(PRODUCT(E557:I557),2)</f>
        <v>201.3</v>
      </c>
    </row>
    <row r="558" spans="1:10">
      <c r="A558" s="549"/>
      <c r="B558" s="549"/>
      <c r="C558" s="549"/>
      <c r="D558" s="549"/>
      <c r="E558" s="549"/>
      <c r="F558" s="549"/>
      <c r="G558" s="549"/>
      <c r="H558" s="549"/>
      <c r="I558" s="549"/>
      <c r="J558" s="549"/>
    </row>
    <row r="559" spans="1:10" ht="51">
      <c r="A559" s="177" t="str">
        <f>'[3]Planilha Orçamentária'!A154</f>
        <v>1.3.4.2</v>
      </c>
      <c r="B559" s="178" t="str">
        <f>VLOOKUP(A559,'[3]Planilha Orçamentária'!A:K,2,0)</f>
        <v>COMP-35145154</v>
      </c>
      <c r="C559" s="179" t="str">
        <f>VLOOKUP(A559,'[3]Planilha Orçamentária'!A:K,3,0)</f>
        <v>CARGA E DESCARGA MECANICA DE SOLO UTILIZANDO CAMINHAO BASCULANTE 14,0M3/36T E PA CARREGADEIRA SOBRE PNEUS 128 HP, CAPACIDADE DA CAÇAMBA 1,7 A 2,8 M3, PESO OPERACIONAL 11632 KH</v>
      </c>
      <c r="D559" s="180" t="str">
        <f>VLOOKUP(A559,'[3]Planilha Orçamentária'!A:K,4,0)</f>
        <v>M3</v>
      </c>
      <c r="E559" s="179"/>
      <c r="F559" s="181"/>
      <c r="G559" s="181"/>
      <c r="H559" s="181"/>
      <c r="I559" s="181"/>
      <c r="J559" s="107">
        <f>ROUND(SUM(J561:J561),2)</f>
        <v>251.63</v>
      </c>
    </row>
    <row r="560" spans="1:10">
      <c r="A560" s="177"/>
      <c r="B560" s="178"/>
      <c r="C560" s="155" t="s">
        <v>2015</v>
      </c>
      <c r="D560" s="180"/>
      <c r="E560" s="184" t="s">
        <v>2006</v>
      </c>
      <c r="F560" s="332"/>
      <c r="G560" s="332"/>
      <c r="H560" s="332"/>
      <c r="I560" s="332" t="s">
        <v>2007</v>
      </c>
      <c r="J560" s="182"/>
    </row>
    <row r="561" spans="1:10">
      <c r="A561" s="177"/>
      <c r="B561" s="178"/>
      <c r="C561" s="155" t="s">
        <v>2016</v>
      </c>
      <c r="D561" s="156"/>
      <c r="E561" s="157">
        <v>1.25</v>
      </c>
      <c r="F561" s="116"/>
      <c r="G561" s="116"/>
      <c r="H561" s="116"/>
      <c r="I561" s="116">
        <f>J555</f>
        <v>201.3</v>
      </c>
      <c r="J561" s="176">
        <f>ROUND(PRODUCT(E561:I561),2)</f>
        <v>251.63</v>
      </c>
    </row>
    <row r="562" spans="1:10">
      <c r="A562" s="549"/>
      <c r="B562" s="549"/>
      <c r="C562" s="549"/>
      <c r="D562" s="549"/>
      <c r="E562" s="549"/>
      <c r="F562" s="549"/>
      <c r="G562" s="549"/>
      <c r="H562" s="549"/>
      <c r="I562" s="549"/>
      <c r="J562" s="549"/>
    </row>
    <row r="563" spans="1:10" ht="38.25">
      <c r="A563" s="186" t="str">
        <f>'[3]Planilha Orçamentária'!A155</f>
        <v>1.3.4.3</v>
      </c>
      <c r="B563" s="187">
        <f>VLOOKUP(A563,'[3]Planilha Orçamentária'!A:K,2,0)</f>
        <v>95876</v>
      </c>
      <c r="C563" s="188" t="str">
        <f>VLOOKUP(A563,'[3]Planilha Orçamentária'!A:K,3,0)</f>
        <v>TRANSPORTE COM CAMINHÃO BASCULANTE DE 14 M³, EM VIA URBANA PAVIMENTADA, DMT ATÉ 30 KM (UNIDADE: M3XKM). AF_07/2020</v>
      </c>
      <c r="D563" s="189" t="str">
        <f>VLOOKUP(A563,'[3]Planilha Orçamentária'!A:K,4,0)</f>
        <v>M3XKM</v>
      </c>
      <c r="E563" s="188"/>
      <c r="F563" s="160"/>
      <c r="G563" s="160"/>
      <c r="H563" s="160"/>
      <c r="I563" s="160"/>
      <c r="J563" s="122">
        <f>ROUND(SUM(J565:J565),2)</f>
        <v>578.75</v>
      </c>
    </row>
    <row r="564" spans="1:10">
      <c r="A564" s="186"/>
      <c r="B564" s="187"/>
      <c r="C564" s="171" t="s">
        <v>2120</v>
      </c>
      <c r="D564" s="189"/>
      <c r="E564" s="208" t="s">
        <v>2011</v>
      </c>
      <c r="F564" s="160"/>
      <c r="G564" s="160"/>
      <c r="H564" s="161"/>
      <c r="I564" s="161" t="s">
        <v>2007</v>
      </c>
      <c r="J564" s="150"/>
    </row>
    <row r="565" spans="1:10">
      <c r="A565" s="186"/>
      <c r="B565" s="187"/>
      <c r="C565" s="155" t="s">
        <v>2121</v>
      </c>
      <c r="D565" s="156"/>
      <c r="E565" s="157">
        <v>2.2999999999999998</v>
      </c>
      <c r="F565" s="207"/>
      <c r="G565" s="207"/>
      <c r="H565" s="207"/>
      <c r="I565" s="195">
        <f>J559</f>
        <v>251.63</v>
      </c>
      <c r="J565" s="196">
        <f>ROUND(PRODUCT(E565:I565),2)</f>
        <v>578.75</v>
      </c>
    </row>
    <row r="566" spans="1:10">
      <c r="A566" s="532"/>
      <c r="B566" s="533"/>
      <c r="C566" s="533"/>
      <c r="D566" s="533"/>
      <c r="E566" s="533"/>
      <c r="F566" s="533"/>
      <c r="G566" s="533"/>
      <c r="H566" s="533"/>
      <c r="I566" s="533"/>
      <c r="J566" s="534"/>
    </row>
    <row r="567" spans="1:10">
      <c r="A567" s="94" t="str">
        <f>'[3]Planilha Orçamentária'!A156</f>
        <v>1.3.5</v>
      </c>
      <c r="B567" s="95"/>
      <c r="C567" s="96" t="str">
        <f>VLOOKUP(A567,'[3]Planilha Orçamentária'!A:K,3,0)</f>
        <v>PAVIMENTAÇÃO</v>
      </c>
      <c r="D567" s="97"/>
      <c r="E567" s="98"/>
      <c r="F567" s="99"/>
      <c r="G567" s="99"/>
      <c r="H567" s="99"/>
      <c r="I567" s="100"/>
      <c r="J567" s="131"/>
    </row>
    <row r="568" spans="1:10" ht="25.5">
      <c r="A568" s="145" t="str">
        <f>'[3]Planilha Orçamentária'!A157</f>
        <v>1.3.5.1</v>
      </c>
      <c r="B568" s="199">
        <f>VLOOKUP(A568,'[3]Planilha Orçamentária'!A:K,2,0)</f>
        <v>100576</v>
      </c>
      <c r="C568" s="147" t="str">
        <f>VLOOKUP(A568,'[3]Planilha Orçamentária'!A:K,3,0)</f>
        <v>REGULARIZAÇÃO E COMPACTAÇÃO DE SUBLEITO DE SOLO  PREDOMINANTEMENTE ARGILOSO. AF_11/2019</v>
      </c>
      <c r="D568" s="148" t="str">
        <f>VLOOKUP(A568,'[3]Planilha Orçamentária'!A:K,4,0)</f>
        <v>M2</v>
      </c>
      <c r="E568" s="147"/>
      <c r="F568" s="160"/>
      <c r="G568" s="160"/>
      <c r="H568" s="160"/>
      <c r="I568" s="160"/>
      <c r="J568" s="150">
        <f>ROUND(SUM(J570:J571),2)</f>
        <v>353.08</v>
      </c>
    </row>
    <row r="569" spans="1:10" ht="14.25">
      <c r="A569" s="145"/>
      <c r="B569" s="199"/>
      <c r="C569" s="204" t="s">
        <v>2123</v>
      </c>
      <c r="D569" s="148"/>
      <c r="E569" s="147"/>
      <c r="F569" s="161"/>
      <c r="G569" s="208"/>
      <c r="H569" s="160"/>
      <c r="I569" s="167"/>
      <c r="J569" s="150"/>
    </row>
    <row r="570" spans="1:10" ht="14.25">
      <c r="A570" s="145"/>
      <c r="B570" s="199"/>
      <c r="C570" s="204"/>
      <c r="D570" s="148"/>
      <c r="E570" s="147"/>
      <c r="F570" s="161" t="s">
        <v>1989</v>
      </c>
      <c r="G570" s="161" t="s">
        <v>1990</v>
      </c>
      <c r="H570" s="161"/>
      <c r="I570" s="243"/>
      <c r="J570" s="158"/>
    </row>
    <row r="571" spans="1:10" ht="25.5">
      <c r="A571" s="145"/>
      <c r="B571" s="199"/>
      <c r="C571" s="200" t="s">
        <v>2019</v>
      </c>
      <c r="D571" s="148"/>
      <c r="E571" s="147"/>
      <c r="F571" s="207">
        <f>(20-4.6)+(1*20)+(15.04)</f>
        <v>50.44</v>
      </c>
      <c r="G571" s="208">
        <f>6+1</f>
        <v>7</v>
      </c>
      <c r="H571" s="161"/>
      <c r="I571" s="243"/>
      <c r="J571" s="158">
        <f>ROUND(PRODUCT(E571:I571),2)</f>
        <v>353.08</v>
      </c>
    </row>
    <row r="572" spans="1:10" ht="15">
      <c r="A572" s="202"/>
      <c r="B572" s="333"/>
      <c r="C572" s="334"/>
      <c r="D572" s="335"/>
      <c r="E572" s="336"/>
      <c r="F572" s="337"/>
      <c r="G572" s="338"/>
      <c r="H572" s="339"/>
      <c r="I572" s="340"/>
      <c r="J572" s="341"/>
    </row>
    <row r="573" spans="1:10" ht="38.25">
      <c r="A573" s="186" t="str">
        <f>'[3]Planilha Orçamentária'!A158</f>
        <v>1.3.5.2</v>
      </c>
      <c r="B573" s="187" t="str">
        <f>VLOOKUP(A573,'[3]Planilha Orçamentária'!A:K,2,0)</f>
        <v>COMP-28881239</v>
      </c>
      <c r="C573" s="188" t="str">
        <f>VLOOKUP(A573,'[3]Planilha Orçamentária'!A:K,3,0)</f>
        <v>Base ou sub-base de macadame hidráulico com brita comercial - EXCLUSIVE MATERIAL, CARGA E TRANSPORTE - NÃO DESONERADO</v>
      </c>
      <c r="D573" s="189" t="str">
        <f>VLOOKUP(A573,'[3]Planilha Orçamentária'!A:K,4,0)</f>
        <v>M3</v>
      </c>
      <c r="E573" s="188"/>
      <c r="F573" s="190"/>
      <c r="G573" s="190"/>
      <c r="H573" s="190"/>
      <c r="I573" s="190"/>
      <c r="J573" s="150">
        <f>ROUND(SUM(J575:J576),2)</f>
        <v>52.96</v>
      </c>
    </row>
    <row r="574" spans="1:10" ht="14.25">
      <c r="A574" s="186"/>
      <c r="B574" s="187"/>
      <c r="C574" s="204" t="s">
        <v>2123</v>
      </c>
      <c r="D574" s="148"/>
      <c r="E574" s="147"/>
      <c r="F574" s="161"/>
      <c r="G574" s="208"/>
      <c r="H574" s="208"/>
      <c r="I574" s="167"/>
      <c r="J574" s="203"/>
    </row>
    <row r="575" spans="1:10" ht="14.25">
      <c r="A575" s="186"/>
      <c r="B575" s="187"/>
      <c r="C575" s="204"/>
      <c r="D575" s="148"/>
      <c r="E575" s="147"/>
      <c r="F575" s="161" t="s">
        <v>1989</v>
      </c>
      <c r="G575" s="161" t="s">
        <v>1990</v>
      </c>
      <c r="H575" s="161" t="s">
        <v>2002</v>
      </c>
      <c r="I575" s="243"/>
      <c r="J575" s="362">
        <f>ROUND(PRODUCT(E575:I575),2)</f>
        <v>0</v>
      </c>
    </row>
    <row r="576" spans="1:10" ht="28.5">
      <c r="A576" s="174"/>
      <c r="B576" s="363"/>
      <c r="C576" s="204" t="s">
        <v>2020</v>
      </c>
      <c r="D576" s="148"/>
      <c r="E576" s="147"/>
      <c r="F576" s="161">
        <f>F571</f>
        <v>50.44</v>
      </c>
      <c r="G576" s="161">
        <f>6+0.5+0.5</f>
        <v>7</v>
      </c>
      <c r="H576" s="161">
        <v>0.15</v>
      </c>
      <c r="I576" s="243"/>
      <c r="J576" s="158">
        <f>ROUND(PRODUCT(E576:I576),2)</f>
        <v>52.96</v>
      </c>
    </row>
    <row r="577" spans="1:10">
      <c r="A577" s="546"/>
      <c r="B577" s="547"/>
      <c r="C577" s="547"/>
      <c r="D577" s="547"/>
      <c r="E577" s="547"/>
      <c r="F577" s="547"/>
      <c r="G577" s="547"/>
      <c r="H577" s="547"/>
      <c r="I577" s="547"/>
      <c r="J577" s="548"/>
    </row>
    <row r="578" spans="1:10" ht="38.25">
      <c r="A578" s="186" t="str">
        <f>'[3]Planilha Orçamentária'!A159</f>
        <v>1.3.5.3</v>
      </c>
      <c r="B578" s="187" t="str">
        <f>VLOOKUP(A578,'[3]Planilha Orçamentária'!A:K,2,0)</f>
        <v>CP-96396-26507981</v>
      </c>
      <c r="C578" s="188" t="str">
        <f>VLOOKUP(A578,'[3]Planilha Orçamentária'!A:K,3,0)</f>
        <v>EXECUÇÃO E COMPACTAÇÃO DE BASE E OU SUB BASE PARA PAVIMENTAÇÃO DE BRITA GRADUADA SIMPLES - EXCLUSIVE MATERIAL, CARGA E TRANSPORTE</v>
      </c>
      <c r="D578" s="189" t="str">
        <f>VLOOKUP(A578,'[3]Planilha Orçamentária'!A:K,4,0)</f>
        <v>M3</v>
      </c>
      <c r="E578" s="188"/>
      <c r="F578" s="190"/>
      <c r="G578" s="190"/>
      <c r="H578" s="190"/>
      <c r="I578" s="190"/>
      <c r="J578" s="203">
        <f>ROUND(SUM(J580:J581),2)</f>
        <v>60.53</v>
      </c>
    </row>
    <row r="579" spans="1:10" ht="14.25">
      <c r="A579" s="364"/>
      <c r="B579" s="365"/>
      <c r="C579" s="204" t="s">
        <v>2123</v>
      </c>
      <c r="D579" s="366"/>
      <c r="E579" s="367"/>
      <c r="F579" s="191"/>
      <c r="G579" s="191"/>
      <c r="H579" s="191"/>
      <c r="I579" s="191"/>
      <c r="J579" s="192"/>
    </row>
    <row r="580" spans="1:10" ht="14.25">
      <c r="A580" s="145"/>
      <c r="B580" s="199"/>
      <c r="C580" s="204"/>
      <c r="D580" s="148"/>
      <c r="E580" s="147"/>
      <c r="F580" s="161" t="s">
        <v>1989</v>
      </c>
      <c r="G580" s="161" t="s">
        <v>1990</v>
      </c>
      <c r="H580" s="161" t="s">
        <v>2002</v>
      </c>
      <c r="I580" s="243"/>
      <c r="J580" s="158"/>
    </row>
    <row r="581" spans="1:10" ht="28.5">
      <c r="A581" s="174"/>
      <c r="B581" s="363"/>
      <c r="C581" s="204" t="s">
        <v>2021</v>
      </c>
      <c r="D581" s="148"/>
      <c r="E581" s="147"/>
      <c r="F581" s="161">
        <f>F576</f>
        <v>50.44</v>
      </c>
      <c r="G581" s="161">
        <v>6</v>
      </c>
      <c r="H581" s="161">
        <v>0.2</v>
      </c>
      <c r="I581" s="243"/>
      <c r="J581" s="158">
        <f>ROUND(PRODUCT(E581:I581),2)</f>
        <v>60.53</v>
      </c>
    </row>
    <row r="582" spans="1:10">
      <c r="A582" s="546"/>
      <c r="B582" s="547"/>
      <c r="C582" s="547"/>
      <c r="D582" s="547"/>
      <c r="E582" s="547"/>
      <c r="F582" s="547"/>
      <c r="G582" s="547"/>
      <c r="H582" s="547"/>
      <c r="I582" s="547"/>
      <c r="J582" s="548"/>
    </row>
    <row r="583" spans="1:10" ht="51">
      <c r="A583" s="132" t="str">
        <f>'[3]Planilha Orçamentária'!A160</f>
        <v>1.3.5.4</v>
      </c>
      <c r="B583" s="108" t="str">
        <f>VLOOKUP(A583,'[3]Planilha Orçamentária'!A:K,2,0)</f>
        <v>COMP-35145154</v>
      </c>
      <c r="C583" s="104" t="str">
        <f>VLOOKUP(A583,'[3]Planilha Orçamentária'!A:K,3,0)</f>
        <v>CARGA E DESCARGA MECANICA DE SOLO UTILIZANDO CAMINHAO BASCULANTE 14,0M3/36T E PA CARREGADEIRA SOBRE PNEUS 128 HP, CAPACIDADE DA CAÇAMBA 1,7 A 2,8 M3, PESO OPERACIONAL 11632 KH</v>
      </c>
      <c r="D583" s="105" t="str">
        <f>VLOOKUP(A583,'[3]Planilha Orçamentária'!A:K,4,0)</f>
        <v>M3</v>
      </c>
      <c r="E583" s="104"/>
      <c r="F583" s="111"/>
      <c r="G583" s="111"/>
      <c r="H583" s="111"/>
      <c r="I583" s="111"/>
      <c r="J583" s="122">
        <f>ROUND(SUM(J585:J585),2)</f>
        <v>141.86000000000001</v>
      </c>
    </row>
    <row r="584" spans="1:10" ht="25.5">
      <c r="A584" s="132"/>
      <c r="B584" s="108"/>
      <c r="C584" s="147"/>
      <c r="D584" s="148"/>
      <c r="E584" s="220" t="s">
        <v>2006</v>
      </c>
      <c r="F584" s="106"/>
      <c r="G584" s="111"/>
      <c r="H584" s="111"/>
      <c r="I584" s="143" t="s">
        <v>2022</v>
      </c>
      <c r="J584" s="122"/>
    </row>
    <row r="585" spans="1:10" ht="14.25">
      <c r="A585" s="132"/>
      <c r="B585" s="108"/>
      <c r="C585" s="221" t="s">
        <v>2023</v>
      </c>
      <c r="D585" s="156"/>
      <c r="E585" s="106">
        <v>1.25</v>
      </c>
      <c r="F585" s="238"/>
      <c r="G585" s="205"/>
      <c r="H585" s="205"/>
      <c r="I585" s="239">
        <f>J578+J573</f>
        <v>113.49000000000001</v>
      </c>
      <c r="J585" s="342">
        <f t="shared" ref="J585" si="31">ROUND(PRODUCT(E585:I585),2)</f>
        <v>141.86000000000001</v>
      </c>
    </row>
    <row r="586" spans="1:10">
      <c r="A586" s="549"/>
      <c r="B586" s="549"/>
      <c r="C586" s="549"/>
      <c r="D586" s="549"/>
      <c r="E586" s="549"/>
      <c r="F586" s="549"/>
      <c r="G586" s="549"/>
      <c r="H586" s="549"/>
      <c r="I586" s="549"/>
      <c r="J586" s="549"/>
    </row>
    <row r="587" spans="1:10" ht="25.5">
      <c r="A587" s="132" t="str">
        <f>'[3]Planilha Orçamentária'!A161</f>
        <v>1.3.5.5</v>
      </c>
      <c r="B587" s="108" t="str">
        <f>VLOOKUP(A587,'[3]Planilha Orçamentária'!A:K,2,0)</f>
        <v>COMP-83526730</v>
      </c>
      <c r="C587" s="104" t="str">
        <f>VLOOKUP(A587,'[3]Planilha Orçamentária'!A:K,3,0)</f>
        <v>TRANSPORTE COMERCIAL DE BRITA</v>
      </c>
      <c r="D587" s="105" t="str">
        <f>VLOOKUP(A587,'[3]Planilha Orçamentária'!A:K,4,0)</f>
        <v>M3XKM</v>
      </c>
      <c r="E587" s="104"/>
      <c r="F587" s="111"/>
      <c r="G587" s="111"/>
      <c r="H587" s="111"/>
      <c r="I587" s="111"/>
      <c r="J587" s="122">
        <f>ROUND(SUM(J589:J589),2)</f>
        <v>1021.39</v>
      </c>
    </row>
    <row r="588" spans="1:10">
      <c r="A588" s="132"/>
      <c r="B588" s="108"/>
      <c r="C588" s="159" t="s">
        <v>2124</v>
      </c>
      <c r="D588" s="105"/>
      <c r="E588" s="165" t="s">
        <v>2011</v>
      </c>
      <c r="F588" s="106"/>
      <c r="G588" s="106"/>
      <c r="H588" s="106"/>
      <c r="I588" s="106" t="s">
        <v>2007</v>
      </c>
      <c r="J588" s="122"/>
    </row>
    <row r="589" spans="1:10" ht="14.25">
      <c r="A589" s="132"/>
      <c r="B589" s="108"/>
      <c r="C589" s="204" t="s">
        <v>2125</v>
      </c>
      <c r="D589" s="174"/>
      <c r="E589" s="239">
        <v>7.2</v>
      </c>
      <c r="F589" s="223"/>
      <c r="G589" s="174"/>
      <c r="H589" s="174"/>
      <c r="I589" s="224">
        <f>J583</f>
        <v>141.86000000000001</v>
      </c>
      <c r="J589" s="342">
        <f t="shared" ref="J589" si="32">ROUND(PRODUCT(E589:I589),2)</f>
        <v>1021.39</v>
      </c>
    </row>
    <row r="590" spans="1:10">
      <c r="A590" s="549"/>
      <c r="B590" s="549"/>
      <c r="C590" s="549"/>
      <c r="D590" s="549"/>
      <c r="E590" s="549"/>
      <c r="F590" s="549"/>
      <c r="G590" s="549"/>
      <c r="H590" s="549"/>
      <c r="I590" s="549"/>
      <c r="J590" s="549"/>
    </row>
    <row r="591" spans="1:10" ht="25.5">
      <c r="A591" s="186" t="str">
        <f>'[3]Planilha Orçamentária'!A162</f>
        <v>1.3.5.6</v>
      </c>
      <c r="B591" s="187" t="str">
        <f>VLOOKUP(A591,'[3]Planilha Orçamentária'!A:K,2,0)</f>
        <v>CP-96401-52745838</v>
      </c>
      <c r="C591" s="188" t="str">
        <f>VLOOKUP(A591,'[3]Planilha Orçamentária'!A:K,3,0)</f>
        <v>EXECUÇÃO DE IMPRIMAÇÃO COM ASFALTO DILUÍDO CM-30, EXCLUSIVE MATERIAL.</v>
      </c>
      <c r="D591" s="189" t="str">
        <f>VLOOKUP(A591,'[3]Planilha Orçamentária'!A:K,4,0)</f>
        <v>M2</v>
      </c>
      <c r="E591" s="188"/>
      <c r="F591" s="190"/>
      <c r="G591" s="190"/>
      <c r="H591" s="190"/>
      <c r="I591" s="190"/>
      <c r="J591" s="150">
        <f>ROUND(SUM(J593:J594),2)</f>
        <v>280.07</v>
      </c>
    </row>
    <row r="592" spans="1:10" ht="14.25">
      <c r="A592" s="186"/>
      <c r="B592" s="187"/>
      <c r="C592" s="204" t="s">
        <v>2123</v>
      </c>
      <c r="D592" s="189"/>
      <c r="E592" s="188"/>
      <c r="F592" s="190"/>
      <c r="G592" s="190"/>
      <c r="H592" s="190"/>
      <c r="I592" s="368"/>
      <c r="J592" s="150"/>
    </row>
    <row r="593" spans="1:10" ht="28.5">
      <c r="A593" s="174"/>
      <c r="B593" s="174"/>
      <c r="C593" s="221" t="s">
        <v>2027</v>
      </c>
      <c r="D593" s="105"/>
      <c r="E593" s="104"/>
      <c r="F593" s="223"/>
      <c r="G593" s="111"/>
      <c r="H593" s="111"/>
      <c r="I593" s="143" t="s">
        <v>2003</v>
      </c>
      <c r="J593" s="158"/>
    </row>
    <row r="594" spans="1:10" ht="14.25">
      <c r="A594" s="174"/>
      <c r="B594" s="174"/>
      <c r="C594" s="221" t="s">
        <v>2104</v>
      </c>
      <c r="D594" s="105"/>
      <c r="E594" s="104"/>
      <c r="F594" s="223"/>
      <c r="G594" s="111"/>
      <c r="H594" s="111"/>
      <c r="I594" s="224">
        <f>[3]PARÂMETROS!F308</f>
        <v>280.07</v>
      </c>
      <c r="J594" s="158">
        <f>ROUND(PRODUCT(E594:I594),2)</f>
        <v>280.07</v>
      </c>
    </row>
    <row r="595" spans="1:10">
      <c r="A595" s="549"/>
      <c r="B595" s="549"/>
      <c r="C595" s="549"/>
      <c r="D595" s="549"/>
      <c r="E595" s="549"/>
      <c r="F595" s="549"/>
      <c r="G595" s="549"/>
      <c r="H595" s="549"/>
      <c r="I595" s="549"/>
      <c r="J595" s="549"/>
    </row>
    <row r="596" spans="1:10" ht="38.25">
      <c r="A596" s="132" t="str">
        <f>'[3]Planilha Orçamentária'!A163</f>
        <v>1.3.5.7</v>
      </c>
      <c r="B596" s="108" t="str">
        <f>VLOOKUP(A596,'[3]Planilha Orçamentária'!A:K,2,0)</f>
        <v>CP-95995-51339760</v>
      </c>
      <c r="C596" s="104" t="str">
        <f>VLOOKUP(A596,'[3]Planilha Orçamentária'!A:K,3,0)</f>
        <v>EXECUÇÃO DE PAVIMENTO COM APLICAÇÃO DE CONCRETO ASFÁLTICO, CAMADA DE ROLAMENTO - EXCLUSIVE CARGA E TRANSPORTE E CONCRETO BETUMINOSO</v>
      </c>
      <c r="D596" s="105" t="str">
        <f>VLOOKUP(A596,'[3]Planilha Orçamentária'!A:K,4,0)</f>
        <v>M3</v>
      </c>
      <c r="E596" s="104"/>
      <c r="F596" s="111"/>
      <c r="G596" s="111"/>
      <c r="H596" s="111"/>
      <c r="I596" s="111"/>
      <c r="J596" s="122">
        <f>ROUND(SUM(J598:J598),2)</f>
        <v>14</v>
      </c>
    </row>
    <row r="597" spans="1:10" ht="14.25">
      <c r="A597" s="132"/>
      <c r="B597" s="108"/>
      <c r="C597" s="204" t="s">
        <v>2123</v>
      </c>
      <c r="D597" s="105"/>
      <c r="E597" s="104"/>
      <c r="F597" s="111"/>
      <c r="G597" s="111"/>
      <c r="H597" s="161" t="s">
        <v>2002</v>
      </c>
      <c r="I597" s="143" t="s">
        <v>2003</v>
      </c>
      <c r="J597" s="122"/>
    </row>
    <row r="598" spans="1:10" ht="14.25">
      <c r="A598" s="177"/>
      <c r="B598" s="369"/>
      <c r="C598" s="221" t="s">
        <v>2029</v>
      </c>
      <c r="D598" s="174"/>
      <c r="E598" s="174"/>
      <c r="F598" s="223"/>
      <c r="G598" s="174"/>
      <c r="H598" s="224">
        <v>0.05</v>
      </c>
      <c r="I598" s="224">
        <f>J591</f>
        <v>280.07</v>
      </c>
      <c r="J598" s="370">
        <f>ROUND(PRODUCT(E598:I598),2)</f>
        <v>14</v>
      </c>
    </row>
    <row r="599" spans="1:10">
      <c r="A599" s="531"/>
      <c r="B599" s="531"/>
      <c r="C599" s="531"/>
      <c r="D599" s="531"/>
      <c r="E599" s="531"/>
      <c r="F599" s="531"/>
      <c r="G599" s="531"/>
      <c r="H599" s="531"/>
      <c r="I599" s="531"/>
      <c r="J599" s="531"/>
    </row>
    <row r="600" spans="1:10" ht="38.25">
      <c r="A600" s="132" t="str">
        <f>'[3]Planilha Orçamentária'!A164</f>
        <v>1.3.5.8</v>
      </c>
      <c r="B600" s="108" t="str">
        <f>VLOOKUP(A600,'[3]Planilha Orçamentária'!A:K,2,0)</f>
        <v>COMP-10034101</v>
      </c>
      <c r="C600" s="104" t="str">
        <f>VLOOKUP(A600,'[3]Planilha Orçamentária'!A:K,3,0)</f>
        <v>CARGA, MANOBRAS E DESCARGA DE MISTURA BETUMINOSA A QUENTE, COM CAMINHAO BASCULANTE 6 M3, DESCARGA EM VIBRO-ACABADORA</v>
      </c>
      <c r="D600" s="105" t="str">
        <f>VLOOKUP(A600,'[3]Planilha Orçamentária'!A:K,4,0)</f>
        <v>M3</v>
      </c>
      <c r="E600" s="104"/>
      <c r="F600" s="111"/>
      <c r="G600" s="111"/>
      <c r="H600" s="111"/>
      <c r="I600" s="111"/>
      <c r="J600" s="122">
        <f>ROUND(SUM(J602:J602),2)</f>
        <v>14</v>
      </c>
    </row>
    <row r="601" spans="1:10" ht="14.25">
      <c r="A601" s="132"/>
      <c r="B601" s="108"/>
      <c r="C601" s="204"/>
      <c r="D601" s="105"/>
      <c r="E601" s="104"/>
      <c r="F601" s="106"/>
      <c r="G601" s="111"/>
      <c r="H601" s="111"/>
      <c r="I601" s="143" t="s">
        <v>2007</v>
      </c>
      <c r="J601" s="122"/>
    </row>
    <row r="602" spans="1:10" ht="14.25">
      <c r="A602" s="132"/>
      <c r="B602" s="108"/>
      <c r="C602" s="221" t="s">
        <v>2030</v>
      </c>
      <c r="D602" s="174"/>
      <c r="E602" s="174"/>
      <c r="F602" s="238"/>
      <c r="G602" s="205"/>
      <c r="H602" s="205"/>
      <c r="I602" s="239">
        <f>J596</f>
        <v>14</v>
      </c>
      <c r="J602" s="128">
        <f t="shared" ref="J602" si="33">ROUND(PRODUCT(E602:I602),2)</f>
        <v>14</v>
      </c>
    </row>
    <row r="603" spans="1:10" ht="14.25">
      <c r="A603" s="213"/>
      <c r="B603" s="371"/>
      <c r="C603" s="372"/>
      <c r="D603" s="373"/>
      <c r="E603" s="374"/>
      <c r="F603" s="375"/>
      <c r="G603" s="376"/>
      <c r="H603" s="376"/>
      <c r="I603" s="376"/>
      <c r="J603" s="140"/>
    </row>
    <row r="604" spans="1:10" ht="25.5">
      <c r="A604" s="132" t="str">
        <f>'[3]Planilha Orçamentária'!A165</f>
        <v>1.3.5.9</v>
      </c>
      <c r="B604" s="108" t="str">
        <f>VLOOKUP(A604,'[3]Planilha Orçamentária'!A:K,2,0)</f>
        <v>CP-95303-56931542</v>
      </c>
      <c r="C604" s="104" t="str">
        <f>VLOOKUP(A604,'[3]Planilha Orçamentária'!A:K,3,0)</f>
        <v>TRANSPORTE COM CAMINHÃO BASCULANTE 10 M3 DE MASSA ASFALTICA PARA PAVIMENTAÇÃO URBANA</v>
      </c>
      <c r="D604" s="105" t="str">
        <f>VLOOKUP(A604,'[3]Planilha Orçamentária'!A:K,4,0)</f>
        <v>M3XKM</v>
      </c>
      <c r="E604" s="104"/>
      <c r="F604" s="111"/>
      <c r="G604" s="111"/>
      <c r="H604" s="111"/>
      <c r="I604" s="111"/>
      <c r="J604" s="122">
        <f>ROUND(SUM(J606:J607),2)</f>
        <v>228.2</v>
      </c>
    </row>
    <row r="605" spans="1:10" ht="14.25">
      <c r="A605" s="132"/>
      <c r="B605" s="108"/>
      <c r="C605" s="204" t="s">
        <v>2123</v>
      </c>
      <c r="D605" s="105"/>
      <c r="E605" s="104"/>
      <c r="F605" s="106"/>
      <c r="G605" s="111"/>
      <c r="H605" s="111"/>
      <c r="I605" s="111"/>
      <c r="J605" s="122"/>
    </row>
    <row r="606" spans="1:10">
      <c r="A606" s="132"/>
      <c r="B606" s="108"/>
      <c r="C606" s="159" t="s">
        <v>2126</v>
      </c>
      <c r="D606" s="105"/>
      <c r="E606" s="165" t="s">
        <v>2011</v>
      </c>
      <c r="F606" s="106"/>
      <c r="G606" s="106"/>
      <c r="H606" s="106"/>
      <c r="I606" s="106" t="s">
        <v>2007</v>
      </c>
      <c r="J606" s="342"/>
    </row>
    <row r="607" spans="1:10" ht="14.25">
      <c r="A607" s="225"/>
      <c r="B607" s="236"/>
      <c r="C607" s="204" t="s">
        <v>2127</v>
      </c>
      <c r="D607" s="174"/>
      <c r="E607" s="239">
        <v>16.3</v>
      </c>
      <c r="F607" s="223"/>
      <c r="G607" s="174"/>
      <c r="H607" s="174"/>
      <c r="I607" s="224">
        <f>J600</f>
        <v>14</v>
      </c>
      <c r="J607" s="342">
        <f t="shared" ref="J607" si="34">ROUND(PRODUCT(E607:I607),2)</f>
        <v>228.2</v>
      </c>
    </row>
    <row r="608" spans="1:10">
      <c r="A608" s="549"/>
      <c r="B608" s="549"/>
      <c r="C608" s="549"/>
      <c r="D608" s="549"/>
      <c r="E608" s="549"/>
      <c r="F608" s="549"/>
      <c r="G608" s="549"/>
      <c r="H608" s="549"/>
      <c r="I608" s="549"/>
      <c r="J608" s="549"/>
    </row>
    <row r="609" spans="1:10" ht="25.5">
      <c r="A609" s="132" t="str">
        <f>'[3]Planilha Orçamentária'!A166</f>
        <v>1.3.5.10</v>
      </c>
      <c r="B609" s="108" t="str">
        <f>VLOOKUP(A609,'[3]Planilha Orçamentária'!A:K,2,0)</f>
        <v>CP-97084-89637704</v>
      </c>
      <c r="C609" s="104" t="str">
        <f>VLOOKUP(A609,'[3]Planilha Orçamentária'!A:K,3,0)</f>
        <v>REGULARIZACAO E COMPACTAÇÃO MANUAL DE TERRENO COM PLACA VIBRATÓRIA</v>
      </c>
      <c r="D609" s="105" t="str">
        <f>VLOOKUP(A609,'[3]Planilha Orçamentária'!A:K,4,0)</f>
        <v>M2</v>
      </c>
      <c r="E609" s="104"/>
      <c r="F609" s="111"/>
      <c r="G609" s="111"/>
      <c r="H609" s="111"/>
      <c r="I609" s="111"/>
      <c r="J609" s="122">
        <f>ROUND(SUM(J611:J612),2)</f>
        <v>212.65</v>
      </c>
    </row>
    <row r="610" spans="1:10" ht="14.25">
      <c r="A610" s="123"/>
      <c r="B610" s="123"/>
      <c r="C610" s="204" t="s">
        <v>2123</v>
      </c>
      <c r="D610" s="123"/>
      <c r="E610" s="123"/>
      <c r="F610" s="123"/>
      <c r="G610" s="123"/>
      <c r="H610" s="123"/>
      <c r="I610" s="123" t="s">
        <v>2003</v>
      </c>
      <c r="J610" s="123"/>
    </row>
    <row r="611" spans="1:10">
      <c r="A611" s="123"/>
      <c r="B611" s="123"/>
      <c r="C611" s="244" t="s">
        <v>2033</v>
      </c>
      <c r="D611" s="174"/>
      <c r="E611" s="174"/>
      <c r="F611" s="223"/>
      <c r="G611" s="143"/>
      <c r="H611" s="143"/>
      <c r="I611" s="127">
        <f>[3]PARÂMETROS!F317</f>
        <v>212.65</v>
      </c>
      <c r="J611" s="342">
        <f t="shared" ref="J611" si="35">ROUND(PRODUCT(E611:I611),2)</f>
        <v>212.65</v>
      </c>
    </row>
    <row r="612" spans="1:10">
      <c r="A612" s="528"/>
      <c r="B612" s="529"/>
      <c r="C612" s="529"/>
      <c r="D612" s="529"/>
      <c r="E612" s="529"/>
      <c r="F612" s="529"/>
      <c r="G612" s="529"/>
      <c r="H612" s="529"/>
      <c r="I612" s="529"/>
      <c r="J612" s="530"/>
    </row>
    <row r="613" spans="1:10" ht="51">
      <c r="A613" s="132" t="str">
        <f>'[3]Planilha Orçamentária'!A167</f>
        <v>1.3.5.11</v>
      </c>
      <c r="B613" s="108" t="str">
        <f>VLOOKUP(A613,'[3]Planilha Orçamentária'!A:K,2,0)</f>
        <v>CP-94991-12549457</v>
      </c>
      <c r="C613" s="104" t="str">
        <f>VLOOKUP(A613,'[3]Planilha Orçamentária'!A:K,3,0)</f>
        <v>EXECUÇÃO DE PASSEIO (CALÇADA) OU PISO DE CONCRETO COM CONCRETO MOLDADO IN LOCO, USINADO, ACABAMENTO CONVENCIONAL, NÃO ARMADO - EXCLUINDO O CONCRETO USINADO 20MPA</v>
      </c>
      <c r="D613" s="105" t="str">
        <f>VLOOKUP(A613,'[3]Planilha Orçamentária'!A:K,4,0)</f>
        <v>M3</v>
      </c>
      <c r="E613" s="104"/>
      <c r="F613" s="111"/>
      <c r="G613" s="111"/>
      <c r="H613" s="111"/>
      <c r="I613" s="111"/>
      <c r="J613" s="122">
        <f>ROUND(SUM(J615:J616),2)</f>
        <v>14.38</v>
      </c>
    </row>
    <row r="614" spans="1:10" ht="14.25">
      <c r="A614" s="132"/>
      <c r="B614" s="108"/>
      <c r="C614" s="204" t="s">
        <v>2123</v>
      </c>
      <c r="D614" s="105"/>
      <c r="E614" s="104"/>
      <c r="F614" s="111"/>
      <c r="G614" s="111"/>
      <c r="H614" s="106" t="s">
        <v>2002</v>
      </c>
      <c r="I614" s="123" t="s">
        <v>2003</v>
      </c>
      <c r="J614" s="122"/>
    </row>
    <row r="615" spans="1:10" ht="25.5">
      <c r="A615" s="123"/>
      <c r="B615" s="123"/>
      <c r="C615" s="155" t="s">
        <v>2107</v>
      </c>
      <c r="D615" s="174"/>
      <c r="E615" s="174"/>
      <c r="F615" s="223"/>
      <c r="G615" s="143"/>
      <c r="H615" s="143">
        <v>7.0000000000000007E-2</v>
      </c>
      <c r="I615" s="127">
        <f>J609</f>
        <v>212.65</v>
      </c>
      <c r="J615" s="342">
        <f t="shared" ref="J615:J616" si="36">ROUND(PRODUCT(E615:I615),2)</f>
        <v>14.89</v>
      </c>
    </row>
    <row r="616" spans="1:10">
      <c r="A616" s="123"/>
      <c r="B616" s="123"/>
      <c r="C616" s="155" t="s">
        <v>2034</v>
      </c>
      <c r="D616" s="174"/>
      <c r="E616" s="174">
        <v>-1</v>
      </c>
      <c r="F616" s="223"/>
      <c r="G616" s="143"/>
      <c r="H616" s="143">
        <v>7.0000000000000007E-2</v>
      </c>
      <c r="I616" s="127">
        <f>J731</f>
        <v>7.23</v>
      </c>
      <c r="J616" s="342">
        <f t="shared" si="36"/>
        <v>-0.51</v>
      </c>
    </row>
    <row r="617" spans="1:10">
      <c r="A617" s="528"/>
      <c r="B617" s="529"/>
      <c r="C617" s="529"/>
      <c r="D617" s="529"/>
      <c r="E617" s="529"/>
      <c r="F617" s="529"/>
      <c r="G617" s="529"/>
      <c r="H617" s="529"/>
      <c r="I617" s="529"/>
      <c r="J617" s="530"/>
    </row>
    <row r="618" spans="1:10" ht="63.75">
      <c r="A618" s="132" t="str">
        <f>'[3]Planilha Orçamentária'!A168</f>
        <v>1.3.5.12</v>
      </c>
      <c r="B618" s="108">
        <f>VLOOKUP(A618,'[3]Planilha Orçamentária'!A:K,2,0)</f>
        <v>94273</v>
      </c>
      <c r="C618" s="104" t="str">
        <f>VLOOKUP(A618,'[3]Planilha Orçamentária'!A:K,3,0)</f>
        <v>ASSENTAMENTO DE GUIA (MEIO-FIO) EM TRECHO RETO, CONFECCIONADA EM CONCRETO PRÉ-FABRICADO, DIMENSÕES 100X15X13X30 CM (COMPRIMENTO X BASE INFERIOR X BASE SUPERIOR X ALTURA), PARA VIAS URBANAS (USO VIÁRIO). AF_06/2016</v>
      </c>
      <c r="D618" s="105" t="str">
        <f>VLOOKUP(A618,'[3]Planilha Orçamentária'!A:K,4,0)</f>
        <v>M</v>
      </c>
      <c r="E618" s="104"/>
      <c r="F618" s="111"/>
      <c r="G618" s="111"/>
      <c r="H618" s="111"/>
      <c r="I618" s="111"/>
      <c r="J618" s="122">
        <f>ROUND(SUM(J620:J620),2)</f>
        <v>99.93</v>
      </c>
    </row>
    <row r="619" spans="1:10" ht="14.25">
      <c r="A619" s="132"/>
      <c r="B619" s="108"/>
      <c r="C619" s="204" t="s">
        <v>2123</v>
      </c>
      <c r="D619" s="105"/>
      <c r="E619" s="104"/>
      <c r="F619" s="106" t="s">
        <v>1989</v>
      </c>
      <c r="G619" s="111"/>
      <c r="H619" s="111"/>
      <c r="I619" s="111"/>
      <c r="J619" s="122"/>
    </row>
    <row r="620" spans="1:10" ht="25.5">
      <c r="A620" s="132"/>
      <c r="B620" s="108"/>
      <c r="C620" s="245" t="s">
        <v>2035</v>
      </c>
      <c r="D620" s="228"/>
      <c r="E620" s="227"/>
      <c r="F620" s="246">
        <f>101.74-F624</f>
        <v>99.929999999999993</v>
      </c>
      <c r="G620" s="256"/>
      <c r="H620" s="256"/>
      <c r="I620" s="256"/>
      <c r="J620" s="342">
        <f t="shared" ref="J620" si="37">ROUND(PRODUCT(E620:I620),2)</f>
        <v>99.93</v>
      </c>
    </row>
    <row r="621" spans="1:10">
      <c r="A621" s="549"/>
      <c r="B621" s="549"/>
      <c r="C621" s="549"/>
      <c r="D621" s="549"/>
      <c r="E621" s="549"/>
      <c r="F621" s="549"/>
      <c r="G621" s="549"/>
      <c r="H621" s="549"/>
      <c r="I621" s="549"/>
      <c r="J621" s="549"/>
    </row>
    <row r="622" spans="1:10" ht="63.75">
      <c r="A622" s="132" t="str">
        <f>'[3]Planilha Orçamentária'!A169</f>
        <v>1.3.5.13</v>
      </c>
      <c r="B622" s="108">
        <f>VLOOKUP(A622,'[3]Planilha Orçamentária'!A:K,2,0)</f>
        <v>94274</v>
      </c>
      <c r="C622" s="104" t="str">
        <f>VLOOKUP(A622,'[3]Planilha Orçamentária'!A:K,3,0)</f>
        <v>ASSENTAMENTO DE GUIA (MEIO-FIO) EM TRECHO CURVO, CONFECCIONADA EM CONCRETO PRÉ-FABRICADO, DIMENSÕES 100X15X13X30 CM (COMPRIMENTO X BASE INFERIOR X BASE SUPERIOR X ALTURA), PARA VIAS URBANAS (USO VIÁRIO). AF_06/2016</v>
      </c>
      <c r="D622" s="105" t="str">
        <f>VLOOKUP(A622,'[3]Planilha Orçamentária'!A:K,4,0)</f>
        <v>M</v>
      </c>
      <c r="E622" s="104"/>
      <c r="F622" s="111"/>
      <c r="G622" s="111"/>
      <c r="H622" s="111"/>
      <c r="I622" s="111"/>
      <c r="J622" s="122">
        <f>ROUND(SUM(J624:J624),2)</f>
        <v>1.81</v>
      </c>
    </row>
    <row r="623" spans="1:10" ht="14.25">
      <c r="A623" s="132"/>
      <c r="B623" s="108"/>
      <c r="C623" s="204" t="s">
        <v>2123</v>
      </c>
      <c r="D623" s="105"/>
      <c r="E623" s="104"/>
      <c r="F623" s="106" t="s">
        <v>1989</v>
      </c>
      <c r="G623" s="111"/>
      <c r="H623" s="111"/>
      <c r="I623" s="111"/>
      <c r="J623" s="122"/>
    </row>
    <row r="624" spans="1:10">
      <c r="A624" s="132"/>
      <c r="B624" s="108"/>
      <c r="C624" s="245" t="s">
        <v>2128</v>
      </c>
      <c r="D624" s="228"/>
      <c r="E624" s="227"/>
      <c r="F624" s="246">
        <f>[3]PARÂMETROS!B313</f>
        <v>1.81</v>
      </c>
      <c r="G624" s="256"/>
      <c r="H624" s="256"/>
      <c r="I624" s="256"/>
      <c r="J624" s="342">
        <f t="shared" ref="J624" si="38">ROUND(PRODUCT(E624:I624),2)</f>
        <v>1.81</v>
      </c>
    </row>
    <row r="625" spans="1:10">
      <c r="A625" s="549"/>
      <c r="B625" s="549"/>
      <c r="C625" s="549"/>
      <c r="D625" s="549"/>
      <c r="E625" s="549"/>
      <c r="F625" s="549"/>
      <c r="G625" s="549"/>
      <c r="H625" s="549"/>
      <c r="I625" s="549"/>
      <c r="J625" s="549"/>
    </row>
    <row r="626" spans="1:10" ht="76.5">
      <c r="A626" s="132" t="str">
        <f>'[3]Planilha Orçamentária'!A170</f>
        <v>1.3.5.14</v>
      </c>
      <c r="B626" s="108">
        <f>VLOOKUP(A626,'[3]Planilha Orçamentária'!A:K,2,0)</f>
        <v>94275</v>
      </c>
      <c r="C626" s="104" t="str">
        <f>VLOOKUP(A626,'[3]Planilha Orçamentária'!A:K,3,0)</f>
        <v>ASSENTAMENTO DE GUIA (MEIO-FIO) EM TRECHO RETO, CONFECCIONADA EM CONCRETO PRÉ-FABRICADO, DIMENSÕES 100X15X13X20 CM (COMPRIMENTO X BASE INFERIOR X BASE SUPERIOR X ALTURA), PARA URBANIZAÇÃO INTERNA DE EMPREENDIMENTOS. AF_06/2016_P</v>
      </c>
      <c r="D626" s="105" t="str">
        <f>VLOOKUP(A626,'[3]Planilha Orçamentária'!A:K,4,0)</f>
        <v>M</v>
      </c>
      <c r="E626" s="104"/>
      <c r="F626" s="111"/>
      <c r="G626" s="111"/>
      <c r="H626" s="111"/>
      <c r="I626" s="111"/>
      <c r="J626" s="122">
        <f>ROUND(SUM(J628:J628),2)</f>
        <v>2.8</v>
      </c>
    </row>
    <row r="627" spans="1:10" ht="14.25">
      <c r="A627" s="132"/>
      <c r="B627" s="108"/>
      <c r="C627" s="204" t="s">
        <v>2123</v>
      </c>
      <c r="D627" s="105"/>
      <c r="E627" s="104"/>
      <c r="F627" s="106" t="s">
        <v>1989</v>
      </c>
      <c r="G627" s="111"/>
      <c r="H627" s="111"/>
      <c r="I627" s="111"/>
      <c r="J627" s="122"/>
    </row>
    <row r="628" spans="1:10" ht="25.5">
      <c r="A628" s="377"/>
      <c r="B628" s="132"/>
      <c r="C628" s="245" t="s">
        <v>2038</v>
      </c>
      <c r="D628" s="228"/>
      <c r="E628" s="227"/>
      <c r="F628" s="246">
        <f>[3]PARÂMETROS!B316</f>
        <v>2.8</v>
      </c>
      <c r="G628" s="256"/>
      <c r="H628" s="256"/>
      <c r="I628" s="256"/>
      <c r="J628" s="342">
        <f t="shared" ref="J628" si="39">ROUND(PRODUCT(E628:I628),2)</f>
        <v>2.8</v>
      </c>
    </row>
    <row r="629" spans="1:10">
      <c r="A629" s="549"/>
      <c r="B629" s="549"/>
      <c r="C629" s="549"/>
      <c r="D629" s="549"/>
      <c r="E629" s="549"/>
      <c r="F629" s="549"/>
      <c r="G629" s="549"/>
      <c r="H629" s="549"/>
      <c r="I629" s="549"/>
      <c r="J629" s="549"/>
    </row>
    <row r="630" spans="1:10" ht="38.25">
      <c r="A630" s="132" t="str">
        <f>'[3]Planilha Orçamentária'!A171</f>
        <v>1.3.5.15</v>
      </c>
      <c r="B630" s="108">
        <f>VLOOKUP(A630,'[3]Planilha Orçamentária'!A:K,2,0)</f>
        <v>94287</v>
      </c>
      <c r="C630" s="104" t="str">
        <f>VLOOKUP(A630,'[3]Planilha Orçamentária'!A:K,3,0)</f>
        <v>EXECUÇÃO DE SARJETA DE CONCRETO USINADO, MOLDADA  IN LOCO  EM TRECHO RETO, 30 CM BASE X 10 CM ALTURA. AF_06/2016</v>
      </c>
      <c r="D630" s="105" t="str">
        <f>VLOOKUP(A630,'[3]Planilha Orçamentária'!A:K,4,0)</f>
        <v>M</v>
      </c>
      <c r="E630" s="104"/>
      <c r="F630" s="111"/>
      <c r="G630" s="111"/>
      <c r="H630" s="111"/>
      <c r="I630" s="111"/>
      <c r="J630" s="122">
        <f>ROUND(SUM(J632:J632),2)</f>
        <v>99.93</v>
      </c>
    </row>
    <row r="631" spans="1:10" ht="14.25">
      <c r="A631" s="132"/>
      <c r="B631" s="108"/>
      <c r="C631" s="204" t="s">
        <v>2123</v>
      </c>
      <c r="D631" s="105"/>
      <c r="E631" s="104"/>
      <c r="F631" s="106" t="s">
        <v>1989</v>
      </c>
      <c r="G631" s="111"/>
      <c r="H631" s="111"/>
      <c r="I631" s="111"/>
      <c r="J631" s="122"/>
    </row>
    <row r="632" spans="1:10">
      <c r="A632" s="132"/>
      <c r="B632" s="108"/>
      <c r="C632" s="245" t="s">
        <v>2129</v>
      </c>
      <c r="D632" s="228"/>
      <c r="E632" s="227"/>
      <c r="F632" s="246">
        <f>J618</f>
        <v>99.93</v>
      </c>
      <c r="G632" s="256"/>
      <c r="H632" s="256"/>
      <c r="I632" s="256"/>
      <c r="J632" s="342">
        <f t="shared" ref="J632" si="40">ROUND(PRODUCT(E632:I632),2)</f>
        <v>99.93</v>
      </c>
    </row>
    <row r="633" spans="1:10">
      <c r="A633" s="549"/>
      <c r="B633" s="549"/>
      <c r="C633" s="549"/>
      <c r="D633" s="549"/>
      <c r="E633" s="549"/>
      <c r="F633" s="549"/>
      <c r="G633" s="549"/>
      <c r="H633" s="549"/>
      <c r="I633" s="549"/>
      <c r="J633" s="549"/>
    </row>
    <row r="634" spans="1:10" ht="38.25">
      <c r="A634" s="132" t="str">
        <f>'[3]Planilha Orçamentária'!A172</f>
        <v>1.3.5.16</v>
      </c>
      <c r="B634" s="108">
        <f>VLOOKUP(A634,'[3]Planilha Orçamentária'!A:K,2,0)</f>
        <v>94288</v>
      </c>
      <c r="C634" s="104" t="str">
        <f>VLOOKUP(A634,'[3]Planilha Orçamentária'!A:K,3,0)</f>
        <v>EXECUÇÃO DE SARJETA DE CONCRETO USINADO, MOLDADA  IN LOCO  EM TRECHO CURVO, 30 CM BASE X 10 CM ALTURA. AF_06/2016</v>
      </c>
      <c r="D634" s="105" t="str">
        <f>VLOOKUP(A634,'[3]Planilha Orçamentária'!A:K,4,0)</f>
        <v>M</v>
      </c>
      <c r="E634" s="104"/>
      <c r="F634" s="111"/>
      <c r="G634" s="111"/>
      <c r="H634" s="111"/>
      <c r="I634" s="111"/>
      <c r="J634" s="122">
        <f>ROUND(SUM(J636:J636),2)</f>
        <v>1.81</v>
      </c>
    </row>
    <row r="635" spans="1:10" ht="14.25">
      <c r="A635" s="132"/>
      <c r="B635" s="108"/>
      <c r="C635" s="204" t="s">
        <v>2123</v>
      </c>
      <c r="D635" s="105"/>
      <c r="E635" s="104"/>
      <c r="F635" s="106" t="s">
        <v>1989</v>
      </c>
      <c r="G635" s="111"/>
      <c r="H635" s="111"/>
      <c r="I635" s="111"/>
      <c r="J635" s="122"/>
    </row>
    <row r="636" spans="1:10">
      <c r="A636" s="132"/>
      <c r="B636" s="108"/>
      <c r="C636" s="245" t="s">
        <v>2130</v>
      </c>
      <c r="D636" s="228"/>
      <c r="E636" s="227"/>
      <c r="F636" s="246">
        <f>J622</f>
        <v>1.81</v>
      </c>
      <c r="G636" s="256"/>
      <c r="H636" s="256"/>
      <c r="I636" s="256"/>
      <c r="J636" s="342">
        <f t="shared" ref="J636" si="41">ROUND(PRODUCT(E636:I636),2)</f>
        <v>1.81</v>
      </c>
    </row>
    <row r="637" spans="1:10">
      <c r="A637" s="549"/>
      <c r="B637" s="549"/>
      <c r="C637" s="549"/>
      <c r="D637" s="549"/>
      <c r="E637" s="549"/>
      <c r="F637" s="549"/>
      <c r="G637" s="549"/>
      <c r="H637" s="549"/>
      <c r="I637" s="549"/>
      <c r="J637" s="549"/>
    </row>
    <row r="638" spans="1:10" ht="14.25" customHeight="1">
      <c r="A638" s="94" t="str">
        <f>'[3]Planilha Orçamentária'!A173</f>
        <v>1.3.6</v>
      </c>
      <c r="B638" s="95"/>
      <c r="C638" s="96" t="str">
        <f>VLOOKUP(A638,'[3]Planilha Orçamentária'!A:K,3,0)</f>
        <v>DRENAGEM</v>
      </c>
      <c r="D638" s="96"/>
      <c r="E638" s="129"/>
      <c r="F638" s="130"/>
      <c r="G638" s="130"/>
      <c r="H638" s="130"/>
      <c r="I638" s="130"/>
      <c r="J638" s="131"/>
    </row>
    <row r="639" spans="1:10" ht="63.75">
      <c r="A639" s="251" t="str">
        <f>'[3]Planilha Orçamentária'!A174</f>
        <v>1.3.6.1</v>
      </c>
      <c r="B639" s="252">
        <f>VLOOKUP(A639,'[3]Planilha Orçamentária'!A:K,2,0)</f>
        <v>90106</v>
      </c>
      <c r="C639" s="253" t="str">
        <f>VLOOKUP(A639,'[3]Planilha Orçamentária'!A:K,3,0)</f>
        <v>ESCAVAÇÃO MECANIZADA DE VALA COM PROFUNDIDADE ATÉ 1,5 M (MÉDIA MONTANTE E JUSANTE/UMA COMPOSIÇÃO POR TRECHO), RETROESCAV. (0,26 M3), LARGURA DE 0,8 M A 1,5 M, EM SOLO DE 1A CATEGORIA, LOCAIS COM BAIXO NÍVEL DE INTERFERÊNCIA. AF_02/2021</v>
      </c>
      <c r="D639" s="254" t="str">
        <f>VLOOKUP(A639,'[3]Planilha Orçamentária'!A:K,4,0)</f>
        <v>M3</v>
      </c>
      <c r="E639" s="255"/>
      <c r="F639" s="256"/>
      <c r="G639" s="256"/>
      <c r="H639" s="256"/>
      <c r="I639" s="256"/>
      <c r="J639" s="257">
        <f>ROUND(SUM(J640:J647),2)</f>
        <v>90.75</v>
      </c>
    </row>
    <row r="640" spans="1:10">
      <c r="A640" s="293"/>
      <c r="B640" s="294"/>
      <c r="C640" s="343" t="s">
        <v>2131</v>
      </c>
      <c r="D640" s="105"/>
      <c r="E640" s="241"/>
      <c r="F640" s="161"/>
      <c r="G640" s="161"/>
      <c r="H640" s="161"/>
      <c r="I640" s="241"/>
      <c r="J640" s="299"/>
    </row>
    <row r="641" spans="1:10">
      <c r="A641" s="300"/>
      <c r="B641" s="301"/>
      <c r="C641" s="267" t="s">
        <v>2132</v>
      </c>
      <c r="D641" s="105"/>
      <c r="E641" s="241"/>
      <c r="F641" s="161" t="s">
        <v>1989</v>
      </c>
      <c r="G641" s="161" t="s">
        <v>1990</v>
      </c>
      <c r="H641" s="161" t="s">
        <v>2049</v>
      </c>
      <c r="I641" s="161" t="s">
        <v>2133</v>
      </c>
      <c r="J641" s="353"/>
    </row>
    <row r="642" spans="1:10" ht="25.5">
      <c r="A642" s="293"/>
      <c r="B642" s="294"/>
      <c r="C642" s="268" t="s">
        <v>2134</v>
      </c>
      <c r="D642" s="156"/>
      <c r="E642" s="157"/>
      <c r="F642" s="263">
        <f>1.4+0.6</f>
        <v>2</v>
      </c>
      <c r="G642" s="263">
        <v>1.4</v>
      </c>
      <c r="H642" s="263">
        <v>1.4</v>
      </c>
      <c r="I642" s="157">
        <v>6</v>
      </c>
      <c r="J642" s="128">
        <f>ROUND(PRODUCT(E642:I642),2)</f>
        <v>23.52</v>
      </c>
    </row>
    <row r="643" spans="1:10" ht="25.5">
      <c r="A643" s="293"/>
      <c r="B643" s="294"/>
      <c r="C643" s="267" t="s">
        <v>2135</v>
      </c>
      <c r="D643" s="156"/>
      <c r="E643" s="157"/>
      <c r="F643" s="161" t="s">
        <v>1989</v>
      </c>
      <c r="G643" s="161" t="s">
        <v>2136</v>
      </c>
      <c r="H643" s="161" t="s">
        <v>2049</v>
      </c>
      <c r="I643" s="157"/>
      <c r="J643" s="128"/>
    </row>
    <row r="644" spans="1:10" ht="28.5">
      <c r="A644" s="293"/>
      <c r="B644" s="294"/>
      <c r="C644" s="260" t="s">
        <v>2137</v>
      </c>
      <c r="D644" s="156"/>
      <c r="E644" s="157"/>
      <c r="F644" s="263">
        <v>48.36</v>
      </c>
      <c r="G644" s="263">
        <f>0.6+0.3</f>
        <v>0.89999999999999991</v>
      </c>
      <c r="H644" s="263">
        <v>1.4</v>
      </c>
      <c r="I644" s="157"/>
      <c r="J644" s="128">
        <f>ROUND(PRODUCT(E644:I644),2)</f>
        <v>60.93</v>
      </c>
    </row>
    <row r="645" spans="1:10" ht="25.5">
      <c r="A645" s="293"/>
      <c r="B645" s="294"/>
      <c r="C645" s="261" t="s">
        <v>2138</v>
      </c>
      <c r="D645" s="258"/>
      <c r="E645" s="258"/>
      <c r="F645" s="161" t="s">
        <v>1989</v>
      </c>
      <c r="G645" s="161" t="s">
        <v>1990</v>
      </c>
      <c r="H645" s="161" t="s">
        <v>2049</v>
      </c>
      <c r="I645" s="161" t="s">
        <v>2139</v>
      </c>
      <c r="J645" s="128"/>
    </row>
    <row r="646" spans="1:10" ht="28.5">
      <c r="A646" s="293"/>
      <c r="B646" s="294"/>
      <c r="C646" s="280" t="s">
        <v>2140</v>
      </c>
      <c r="D646" s="258"/>
      <c r="E646" s="258"/>
      <c r="F646" s="263">
        <f>1.5+0.6</f>
        <v>2.1</v>
      </c>
      <c r="G646" s="263">
        <v>1.5</v>
      </c>
      <c r="H646" s="263">
        <f>0.9-0.4</f>
        <v>0.5</v>
      </c>
      <c r="I646" s="263">
        <v>4</v>
      </c>
      <c r="J646" s="128">
        <f>ROUND(PRODUCT(E646:I646),2)</f>
        <v>6.3</v>
      </c>
    </row>
    <row r="647" spans="1:10">
      <c r="A647" s="540"/>
      <c r="B647" s="541"/>
      <c r="C647" s="541"/>
      <c r="D647" s="541"/>
      <c r="E647" s="541"/>
      <c r="F647" s="541"/>
      <c r="G647" s="541"/>
      <c r="H647" s="541"/>
      <c r="I647" s="541"/>
      <c r="J647" s="542"/>
    </row>
    <row r="648" spans="1:10" ht="63.75">
      <c r="A648" s="251" t="str">
        <f>'[3]Planilha Orçamentária'!A175</f>
        <v>1.3.6.2</v>
      </c>
      <c r="B648" s="252">
        <f>VLOOKUP(A648,'[3]Planilha Orçamentária'!A:K,2,0)</f>
        <v>90105</v>
      </c>
      <c r="C648" s="253" t="str">
        <f>VLOOKUP(A648,'[3]Planilha Orçamentária'!A:K,3,0)</f>
        <v>ESCAVAÇÃO MECANIZADA DE VALA COM PROFUNDIDADE ATÉ 1,5 M (MÉDIA MONTANTE E JUSANTE/UMA COMPOSIÇÃO POR TRECHO), RETROESCAV. (0,26 M3), LARGURA MENOR QUE 0,8 M, EM SOLO DE 1A CATEGORIA, LOCAIS COM BAIXO NÍVEL DE INTERFERÊNCIA. AF_02/2021</v>
      </c>
      <c r="D648" s="254" t="str">
        <f>VLOOKUP(A648,'[3]Planilha Orçamentária'!A:K,4,0)</f>
        <v>M3</v>
      </c>
      <c r="E648" s="255"/>
      <c r="F648" s="256"/>
      <c r="G648" s="256"/>
      <c r="H648" s="256"/>
      <c r="I648" s="256"/>
      <c r="J648" s="257">
        <f>ROUND(SUM(J649:J652),2)</f>
        <v>15.4</v>
      </c>
    </row>
    <row r="649" spans="1:10">
      <c r="A649" s="293"/>
      <c r="B649" s="294"/>
      <c r="C649" s="343" t="s">
        <v>2131</v>
      </c>
      <c r="D649" s="105"/>
      <c r="E649" s="241"/>
      <c r="F649" s="161"/>
      <c r="G649" s="161"/>
      <c r="H649" s="161"/>
      <c r="I649" s="241"/>
      <c r="J649" s="299"/>
    </row>
    <row r="650" spans="1:10" ht="25.5">
      <c r="A650" s="300"/>
      <c r="B650" s="301"/>
      <c r="C650" s="267" t="s">
        <v>2141</v>
      </c>
      <c r="D650" s="378"/>
      <c r="E650" s="305"/>
      <c r="F650" s="169" t="s">
        <v>1989</v>
      </c>
      <c r="G650" s="169" t="s">
        <v>2136</v>
      </c>
      <c r="H650" s="169" t="s">
        <v>2049</v>
      </c>
      <c r="I650" s="161"/>
      <c r="J650" s="353"/>
    </row>
    <row r="651" spans="1:10" ht="28.5">
      <c r="A651" s="293"/>
      <c r="B651" s="294"/>
      <c r="C651" s="260" t="s">
        <v>2142</v>
      </c>
      <c r="D651" s="156"/>
      <c r="E651" s="157"/>
      <c r="F651" s="263">
        <v>14.67</v>
      </c>
      <c r="G651" s="263">
        <v>0.75</v>
      </c>
      <c r="H651" s="263">
        <v>1.4</v>
      </c>
      <c r="I651" s="305"/>
      <c r="J651" s="128">
        <f>ROUND(PRODUCT(E651:I651),2)</f>
        <v>15.4</v>
      </c>
    </row>
    <row r="652" spans="1:10">
      <c r="A652" s="540"/>
      <c r="B652" s="541"/>
      <c r="C652" s="541"/>
      <c r="D652" s="541"/>
      <c r="E652" s="541"/>
      <c r="F652" s="541"/>
      <c r="G652" s="541"/>
      <c r="H652" s="541"/>
      <c r="I652" s="541"/>
      <c r="J652" s="542"/>
    </row>
    <row r="653" spans="1:10" ht="63.75">
      <c r="A653" s="132" t="str">
        <f>'[3]Planilha Orçamentária'!A176</f>
        <v>1.3.6.3</v>
      </c>
      <c r="B653" s="108">
        <f>VLOOKUP(A653,'[3]Planilha Orçamentária'!A:K,2,0)</f>
        <v>93378</v>
      </c>
      <c r="C653" s="276" t="str">
        <f>VLOOKUP(A653,'[3]Planilha Orçamentária'!A:K,3,0)</f>
        <v>REATERRO MECANIZADO DE VALA COM RETROESCAVADEIRA (CAPACIDADE DA CAÇAMBA DA RETRO: 0,26 M³ / POTÊNCIA: 88 HP), LARGURA ATÉ 0,8 M, PROFUNDIDADE ATÉ 1,5 M, COM SOLO DE 1ª CATEGORIA EM LOCAIS COM BAIXO NÍVEL DE INTERFERÊNCIA. AF_04/2016</v>
      </c>
      <c r="D653" s="105" t="str">
        <f>VLOOKUP(A653,'[3]Planilha Orçamentária'!A:K,4,0)</f>
        <v>M3</v>
      </c>
      <c r="E653" s="104"/>
      <c r="F653" s="111"/>
      <c r="G653" s="111"/>
      <c r="H653" s="111"/>
      <c r="I653" s="111"/>
      <c r="J653" s="122">
        <f>ROUND(SUM(J654:J657),2)</f>
        <v>13.07</v>
      </c>
    </row>
    <row r="654" spans="1:10" ht="25.5">
      <c r="A654" s="293"/>
      <c r="B654" s="293"/>
      <c r="C654" s="155" t="s">
        <v>2143</v>
      </c>
      <c r="D654" s="156"/>
      <c r="E654" s="258"/>
      <c r="F654" s="285"/>
      <c r="G654" s="258"/>
      <c r="H654" s="258"/>
      <c r="I654" s="263"/>
      <c r="J654" s="293"/>
    </row>
    <row r="655" spans="1:10">
      <c r="A655" s="293"/>
      <c r="B655" s="293"/>
      <c r="C655" s="247" t="s">
        <v>2144</v>
      </c>
      <c r="D655" s="156"/>
      <c r="E655" s="258"/>
      <c r="F655" s="285"/>
      <c r="G655" s="379"/>
      <c r="H655" s="379"/>
      <c r="I655" s="263">
        <f>J648</f>
        <v>15.4</v>
      </c>
      <c r="J655" s="128">
        <f t="shared" ref="J655:J656" si="42">ROUND(PRODUCT(E655:I655),2)</f>
        <v>15.4</v>
      </c>
    </row>
    <row r="656" spans="1:10" ht="25.5">
      <c r="A656" s="293"/>
      <c r="B656" s="293"/>
      <c r="C656" s="247" t="s">
        <v>2145</v>
      </c>
      <c r="D656" s="156"/>
      <c r="E656" s="157">
        <v>-1</v>
      </c>
      <c r="F656" s="157">
        <f>F651</f>
        <v>14.67</v>
      </c>
      <c r="G656" s="157"/>
      <c r="H656" s="263"/>
      <c r="I656" s="263">
        <f>PI()*(0.225^2)</f>
        <v>0.15904312808798329</v>
      </c>
      <c r="J656" s="128">
        <f t="shared" si="42"/>
        <v>-2.33</v>
      </c>
    </row>
    <row r="657" spans="1:10">
      <c r="A657" s="538"/>
      <c r="B657" s="539"/>
      <c r="C657" s="539"/>
      <c r="D657" s="539"/>
      <c r="E657" s="539"/>
      <c r="F657" s="539"/>
      <c r="G657" s="539"/>
      <c r="H657" s="539"/>
      <c r="I657" s="539"/>
      <c r="J657" s="539"/>
    </row>
    <row r="658" spans="1:10" ht="63.75">
      <c r="A658" s="251" t="str">
        <f>'[3]Planilha Orçamentária'!A177</f>
        <v>1.3.6.4</v>
      </c>
      <c r="B658" s="252">
        <f>VLOOKUP(A658,'[3]Planilha Orçamentária'!A:K,2,0)</f>
        <v>93379</v>
      </c>
      <c r="C658" s="253" t="str">
        <f>VLOOKUP(A658,'[3]Planilha Orçamentária'!A:K,3,0)</f>
        <v>REATERRO MECANIZADO DE VALA COM RETROESCAVADEIRA (CAPACIDADE DA CAÇAMBA DA RETRO: 0,26 M³ / POTÊNCIA: 88 HP), LARGURA DE 0,8 A 1,5 M, PROFUNDIDADE ATÉ 1,5 M, COM SOLO DE 1ª CATEGORIA EM LOCAIS COM BAIXO NÍVEL DE INTERFERÊNCIA. AF_04/2016</v>
      </c>
      <c r="D658" s="254" t="str">
        <f>VLOOKUP(A658,'[3]Planilha Orçamentária'!A:K,4,0)</f>
        <v>M3</v>
      </c>
      <c r="E658" s="255"/>
      <c r="F658" s="256"/>
      <c r="G658" s="256"/>
      <c r="H658" s="256"/>
      <c r="I658" s="256"/>
      <c r="J658" s="257">
        <f>ROUND(SUM(J659:J669),2)</f>
        <v>56.12</v>
      </c>
    </row>
    <row r="659" spans="1:10">
      <c r="A659" s="293"/>
      <c r="B659" s="294"/>
      <c r="C659" s="324" t="s">
        <v>2146</v>
      </c>
      <c r="D659" s="156"/>
      <c r="E659" s="157"/>
      <c r="F659" s="157"/>
      <c r="G659" s="157"/>
      <c r="H659" s="263"/>
      <c r="I659" s="263"/>
      <c r="J659" s="299"/>
    </row>
    <row r="660" spans="1:10">
      <c r="A660" s="293"/>
      <c r="B660" s="294"/>
      <c r="C660" s="325" t="s">
        <v>2054</v>
      </c>
      <c r="D660" s="156"/>
      <c r="E660" s="157"/>
      <c r="F660" s="157"/>
      <c r="G660" s="157"/>
      <c r="H660" s="263"/>
      <c r="I660" s="263">
        <f>J642</f>
        <v>23.52</v>
      </c>
      <c r="J660" s="370">
        <f t="shared" ref="J660:J667" si="43">ROUND(PRODUCT(E660:I660),2)</f>
        <v>23.52</v>
      </c>
    </row>
    <row r="661" spans="1:10" ht="38.25">
      <c r="A661" s="300"/>
      <c r="B661" s="301"/>
      <c r="C661" s="380" t="s">
        <v>2147</v>
      </c>
      <c r="D661" s="378"/>
      <c r="E661" s="305">
        <v>-1</v>
      </c>
      <c r="F661" s="305">
        <v>1.4</v>
      </c>
      <c r="G661" s="305">
        <v>1.4</v>
      </c>
      <c r="H661" s="381">
        <v>1.4</v>
      </c>
      <c r="I661" s="381">
        <f>I642</f>
        <v>6</v>
      </c>
      <c r="J661" s="319">
        <f t="shared" si="43"/>
        <v>-16.46</v>
      </c>
    </row>
    <row r="662" spans="1:10" ht="25.5">
      <c r="A662" s="293"/>
      <c r="B662" s="294"/>
      <c r="C662" s="155" t="s">
        <v>2148</v>
      </c>
      <c r="D662" s="293"/>
      <c r="E662" s="293"/>
      <c r="F662" s="293"/>
      <c r="G662" s="293"/>
      <c r="H662" s="293"/>
      <c r="I662" s="293"/>
      <c r="J662" s="128"/>
    </row>
    <row r="663" spans="1:10">
      <c r="A663" s="293"/>
      <c r="B663" s="294"/>
      <c r="C663" s="247" t="s">
        <v>2144</v>
      </c>
      <c r="D663" s="293"/>
      <c r="E663" s="263"/>
      <c r="F663" s="263"/>
      <c r="G663" s="263"/>
      <c r="H663" s="263"/>
      <c r="I663" s="263">
        <f>J644</f>
        <v>60.93</v>
      </c>
      <c r="J663" s="128">
        <f t="shared" si="43"/>
        <v>60.93</v>
      </c>
    </row>
    <row r="664" spans="1:10" ht="25.5">
      <c r="A664" s="293"/>
      <c r="B664" s="294"/>
      <c r="C664" s="247" t="s">
        <v>2149</v>
      </c>
      <c r="D664" s="293"/>
      <c r="E664" s="157">
        <v>-1</v>
      </c>
      <c r="F664" s="157">
        <f>F644</f>
        <v>48.36</v>
      </c>
      <c r="G664" s="157"/>
      <c r="H664" s="263"/>
      <c r="I664" s="263">
        <f>PI()*(0.3^2)</f>
        <v>0.28274333882308139</v>
      </c>
      <c r="J664" s="128">
        <f t="shared" si="43"/>
        <v>-13.67</v>
      </c>
    </row>
    <row r="665" spans="1:10">
      <c r="A665" s="293"/>
      <c r="B665" s="294"/>
      <c r="C665" s="382" t="s">
        <v>2138</v>
      </c>
      <c r="D665" s="137"/>
      <c r="E665" s="137"/>
      <c r="F665" s="137"/>
      <c r="G665" s="137"/>
      <c r="H665" s="137"/>
      <c r="I665" s="137"/>
      <c r="J665" s="128"/>
    </row>
    <row r="666" spans="1:10">
      <c r="A666" s="293"/>
      <c r="B666" s="294"/>
      <c r="C666" s="383" t="s">
        <v>2054</v>
      </c>
      <c r="D666" s="137"/>
      <c r="E666" s="137"/>
      <c r="F666" s="137"/>
      <c r="G666" s="137"/>
      <c r="H666" s="137"/>
      <c r="I666" s="384">
        <f>J646</f>
        <v>6.3</v>
      </c>
      <c r="J666" s="128">
        <f t="shared" si="43"/>
        <v>6.3</v>
      </c>
    </row>
    <row r="667" spans="1:10" ht="25.5">
      <c r="A667" s="293"/>
      <c r="B667" s="294"/>
      <c r="C667" s="268" t="s">
        <v>2150</v>
      </c>
      <c r="D667" s="137"/>
      <c r="E667" s="137">
        <v>-1</v>
      </c>
      <c r="F667" s="137">
        <v>1.5</v>
      </c>
      <c r="G667" s="137">
        <v>1.5</v>
      </c>
      <c r="H667" s="384">
        <f>H646</f>
        <v>0.5</v>
      </c>
      <c r="I667" s="384">
        <f>I646</f>
        <v>4</v>
      </c>
      <c r="J667" s="128">
        <f t="shared" si="43"/>
        <v>-4.5</v>
      </c>
    </row>
    <row r="668" spans="1:10">
      <c r="A668" s="311"/>
      <c r="B668" s="345"/>
      <c r="C668" s="385"/>
      <c r="D668" s="312"/>
      <c r="E668" s="348"/>
      <c r="F668" s="348"/>
      <c r="G668" s="348"/>
      <c r="H668" s="347"/>
      <c r="I668" s="347"/>
      <c r="J668" s="386"/>
    </row>
    <row r="669" spans="1:10">
      <c r="A669" s="538"/>
      <c r="B669" s="539"/>
      <c r="C669" s="539"/>
      <c r="D669" s="539"/>
      <c r="E669" s="539"/>
      <c r="F669" s="539"/>
      <c r="G669" s="539"/>
      <c r="H669" s="539"/>
      <c r="I669" s="539"/>
      <c r="J669" s="539"/>
    </row>
    <row r="670" spans="1:10" ht="51">
      <c r="A670" s="251" t="str">
        <f>'[3]Planilha Orçamentária'!A178</f>
        <v>1.3.6.5</v>
      </c>
      <c r="B670" s="252" t="str">
        <f>VLOOKUP(A670,'[3]Planilha Orçamentária'!A:K,2,0)</f>
        <v>COMP-35145154</v>
      </c>
      <c r="C670" s="253" t="str">
        <f>VLOOKUP(A670,'[3]Planilha Orçamentária'!A:K,3,0)</f>
        <v>CARGA E DESCARGA MECANICA DE SOLO UTILIZANDO CAMINHAO BASCULANTE 14,0M3/36T E PA CARREGADEIRA SOBRE PNEUS 128 HP, CAPACIDADE DA CAÇAMBA 1,7 A 2,8 M3, PESO OPERACIONAL 11632 KH</v>
      </c>
      <c r="D670" s="254" t="str">
        <f>VLOOKUP(A670,'[3]Planilha Orçamentária'!A:K,4,0)</f>
        <v>M3</v>
      </c>
      <c r="E670" s="255"/>
      <c r="F670" s="256"/>
      <c r="G670" s="256"/>
      <c r="H670" s="256"/>
      <c r="I670" s="256"/>
      <c r="J670" s="257">
        <f>ROUND(SUM(J671:J673),2)</f>
        <v>46.2</v>
      </c>
    </row>
    <row r="671" spans="1:10" ht="25.5">
      <c r="A671" s="293"/>
      <c r="B671" s="294"/>
      <c r="C671" s="343"/>
      <c r="D671" s="105"/>
      <c r="E671" s="159" t="s">
        <v>2006</v>
      </c>
      <c r="F671" s="161"/>
      <c r="G671" s="161"/>
      <c r="H671" s="161"/>
      <c r="I671" s="161" t="s">
        <v>2056</v>
      </c>
      <c r="J671" s="299"/>
    </row>
    <row r="672" spans="1:10" ht="14.25">
      <c r="A672" s="293"/>
      <c r="B672" s="294"/>
      <c r="C672" s="273" t="s">
        <v>2057</v>
      </c>
      <c r="D672" s="156"/>
      <c r="E672" s="157">
        <v>1.25</v>
      </c>
      <c r="F672" s="263"/>
      <c r="G672" s="263"/>
      <c r="H672" s="263"/>
      <c r="I672" s="305">
        <f>(J639+J648)-(J653+J658)</f>
        <v>36.960000000000008</v>
      </c>
      <c r="J672" s="118">
        <f>ROUND(PRODUCT(E672:I672),2)</f>
        <v>46.2</v>
      </c>
    </row>
    <row r="673" spans="1:10">
      <c r="A673" s="538"/>
      <c r="B673" s="539"/>
      <c r="C673" s="539"/>
      <c r="D673" s="539"/>
      <c r="E673" s="539"/>
      <c r="F673" s="539"/>
      <c r="G673" s="539"/>
      <c r="H673" s="539"/>
      <c r="I673" s="539"/>
      <c r="J673" s="539"/>
    </row>
    <row r="674" spans="1:10" ht="38.25">
      <c r="A674" s="251" t="str">
        <f>'[3]Planilha Orçamentária'!A179</f>
        <v>1.3.6.6</v>
      </c>
      <c r="B674" s="252">
        <f>VLOOKUP(A674,'[3]Planilha Orçamentária'!A:K,2,0)</f>
        <v>95876</v>
      </c>
      <c r="C674" s="253" t="str">
        <f>VLOOKUP(A674,'[3]Planilha Orçamentária'!A:K,3,0)</f>
        <v>TRANSPORTE COM CAMINHÃO BASCULANTE DE 14 M³, EM VIA URBANA PAVIMENTADA, DMT ATÉ 30 KM (UNIDADE: M3XKM). AF_07/2020</v>
      </c>
      <c r="D674" s="254" t="str">
        <f>VLOOKUP(A674,'[3]Planilha Orçamentária'!A:K,4,0)</f>
        <v>M3XKM</v>
      </c>
      <c r="E674" s="255"/>
      <c r="F674" s="256"/>
      <c r="G674" s="256"/>
      <c r="H674" s="256"/>
      <c r="I674" s="256"/>
      <c r="J674" s="257">
        <f>ROUND(SUM(J675:J677),2)</f>
        <v>106.26</v>
      </c>
    </row>
    <row r="675" spans="1:10">
      <c r="A675" s="293"/>
      <c r="B675" s="294"/>
      <c r="C675" s="104"/>
      <c r="D675" s="105"/>
      <c r="E675" s="165" t="s">
        <v>2011</v>
      </c>
      <c r="F675" s="111"/>
      <c r="G675" s="111"/>
      <c r="H675" s="111"/>
      <c r="I675" s="106" t="s">
        <v>2151</v>
      </c>
      <c r="J675" s="299"/>
    </row>
    <row r="676" spans="1:10">
      <c r="A676" s="293"/>
      <c r="B676" s="294"/>
      <c r="C676" s="155" t="s">
        <v>2152</v>
      </c>
      <c r="D676" s="262"/>
      <c r="E676" s="358">
        <v>2.2999999999999998</v>
      </c>
      <c r="F676" s="116"/>
      <c r="G676" s="157"/>
      <c r="H676" s="157"/>
      <c r="I676" s="157">
        <f>J670</f>
        <v>46.2</v>
      </c>
      <c r="J676" s="118">
        <f>ROUND(PRODUCT(E676:I676),2)</f>
        <v>106.26</v>
      </c>
    </row>
    <row r="677" spans="1:10">
      <c r="A677" s="538"/>
      <c r="B677" s="539"/>
      <c r="C677" s="539"/>
      <c r="D677" s="539"/>
      <c r="E677" s="539"/>
      <c r="F677" s="539"/>
      <c r="G677" s="539"/>
      <c r="H677" s="539"/>
      <c r="I677" s="539"/>
      <c r="J677" s="539"/>
    </row>
    <row r="678" spans="1:10" ht="38.25">
      <c r="A678" s="251" t="str">
        <f>'[3]Planilha Orçamentária'!A180</f>
        <v>1.3.6.7</v>
      </c>
      <c r="B678" s="252">
        <f>VLOOKUP(A678,'[3]Planilha Orçamentária'!A:K,2,0)</f>
        <v>94974</v>
      </c>
      <c r="C678" s="253" t="str">
        <f>VLOOKUP(A678,'[3]Planilha Orçamentária'!A:K,3,0)</f>
        <v>CONCRETO MAGRO PARA LASTRO, TRAÇO 1:4,5:4,5 (EM MASSA SECA DE CIMENTO/ AREIA MÉDIA/ BRITA 1) - PREPARO MANUAL. AF_05/2021</v>
      </c>
      <c r="D678" s="254" t="str">
        <f>VLOOKUP(A678,'[3]Planilha Orçamentária'!A:K,4,0)</f>
        <v>M3</v>
      </c>
      <c r="E678" s="255"/>
      <c r="F678" s="256"/>
      <c r="G678" s="256"/>
      <c r="H678" s="256"/>
      <c r="I678" s="256"/>
      <c r="J678" s="257">
        <f>ROUND(SUM(J679:J682),2)</f>
        <v>3.51</v>
      </c>
    </row>
    <row r="679" spans="1:10">
      <c r="A679" s="293"/>
      <c r="B679" s="294"/>
      <c r="C679" s="343" t="s">
        <v>2131</v>
      </c>
      <c r="D679" s="105"/>
      <c r="E679" s="104"/>
      <c r="F679" s="161" t="s">
        <v>1989</v>
      </c>
      <c r="G679" s="161" t="s">
        <v>1990</v>
      </c>
      <c r="H679" s="161" t="s">
        <v>2002</v>
      </c>
      <c r="I679" s="241" t="s">
        <v>2045</v>
      </c>
      <c r="J679" s="299"/>
    </row>
    <row r="680" spans="1:10">
      <c r="A680" s="293"/>
      <c r="B680" s="294"/>
      <c r="C680" s="387" t="s">
        <v>2153</v>
      </c>
      <c r="D680" s="105"/>
      <c r="E680" s="104"/>
      <c r="F680" s="278">
        <v>1.4</v>
      </c>
      <c r="G680" s="278">
        <v>1.4</v>
      </c>
      <c r="H680" s="278">
        <v>0.2</v>
      </c>
      <c r="I680" s="278">
        <f>I642</f>
        <v>6</v>
      </c>
      <c r="J680" s="128">
        <f>ROUND(PRODUCT(E680:I680),2)</f>
        <v>2.35</v>
      </c>
    </row>
    <row r="681" spans="1:10">
      <c r="A681" s="293"/>
      <c r="B681" s="294"/>
      <c r="C681" s="388" t="s">
        <v>2154</v>
      </c>
      <c r="D681" s="387"/>
      <c r="E681" s="136"/>
      <c r="F681" s="136">
        <v>1.7</v>
      </c>
      <c r="G681" s="136">
        <v>1.7</v>
      </c>
      <c r="H681" s="136">
        <v>0.1</v>
      </c>
      <c r="I681" s="278">
        <f>I646</f>
        <v>4</v>
      </c>
      <c r="J681" s="128">
        <f>ROUND(PRODUCT(E681:I681),2)</f>
        <v>1.1599999999999999</v>
      </c>
    </row>
    <row r="682" spans="1:10">
      <c r="A682" s="538"/>
      <c r="B682" s="539"/>
      <c r="C682" s="539"/>
      <c r="D682" s="539"/>
      <c r="E682" s="539"/>
      <c r="F682" s="539"/>
      <c r="G682" s="539"/>
      <c r="H682" s="539"/>
      <c r="I682" s="539"/>
      <c r="J682" s="539"/>
    </row>
    <row r="683" spans="1:10" ht="25.5">
      <c r="A683" s="251" t="str">
        <f>'[3]Planilha Orçamentária'!A181</f>
        <v>1.3.6.8</v>
      </c>
      <c r="B683" s="252" t="str">
        <f>VLOOKUP(A683,'[3]Planilha Orçamentária'!A:K,2,0)</f>
        <v>COMP-47781585</v>
      </c>
      <c r="C683" s="253" t="str">
        <f>VLOOKUP(A683,'[3]Planilha Orçamentária'!A:K,3,0)</f>
        <v>BOCA DE LOBO SIMPLES COM CHAPÉU E TAMPA DE CONCRETO - BLS 01 (H=1,00m)</v>
      </c>
      <c r="D683" s="254" t="str">
        <f>VLOOKUP(A683,'[3]Planilha Orçamentária'!A:K,4,0)</f>
        <v>UND</v>
      </c>
      <c r="E683" s="255"/>
      <c r="F683" s="256"/>
      <c r="G683" s="256"/>
      <c r="H683" s="256"/>
      <c r="I683" s="256"/>
      <c r="J683" s="257">
        <f>ROUND(SUM(J684:J686),2)</f>
        <v>6</v>
      </c>
    </row>
    <row r="684" spans="1:10" ht="14.25">
      <c r="A684" s="293"/>
      <c r="B684" s="294"/>
      <c r="C684" s="343" t="s">
        <v>2131</v>
      </c>
      <c r="D684" s="289"/>
      <c r="E684" s="290"/>
      <c r="F684" s="290"/>
      <c r="G684" s="282"/>
      <c r="H684" s="290"/>
      <c r="I684" s="241" t="s">
        <v>2155</v>
      </c>
      <c r="J684" s="299"/>
    </row>
    <row r="685" spans="1:10">
      <c r="A685" s="293"/>
      <c r="B685" s="294"/>
      <c r="C685" s="389" t="s">
        <v>2156</v>
      </c>
      <c r="D685" s="102"/>
      <c r="E685" s="102"/>
      <c r="F685" s="102"/>
      <c r="G685" s="102"/>
      <c r="H685" s="102"/>
      <c r="I685" s="157">
        <f>I642</f>
        <v>6</v>
      </c>
      <c r="J685" s="118">
        <f>ROUND(PRODUCT(E685:I685),2)</f>
        <v>6</v>
      </c>
    </row>
    <row r="686" spans="1:10">
      <c r="A686" s="538"/>
      <c r="B686" s="539"/>
      <c r="C686" s="539"/>
      <c r="D686" s="539"/>
      <c r="E686" s="539"/>
      <c r="F686" s="539"/>
      <c r="G686" s="539"/>
      <c r="H686" s="539"/>
      <c r="I686" s="539"/>
      <c r="J686" s="539"/>
    </row>
    <row r="687" spans="1:10" ht="51">
      <c r="A687" s="251" t="str">
        <f>'[3]Planilha Orçamentária'!A182</f>
        <v>1.3.6.9</v>
      </c>
      <c r="B687" s="252">
        <f>VLOOKUP(A687,'[3]Planilha Orçamentária'!A:K,2,0)</f>
        <v>97994</v>
      </c>
      <c r="C687" s="253" t="str">
        <f>VLOOKUP(A687,'[3]Planilha Orçamentária'!A:K,3,0)</f>
        <v>BASE PARA POÇO DE VISITA RETANGULAR PARA  ESGOTO, EM ALVENARIA COM BLOCOS DE CONCRETO, DIMENSÕES INTERNAS = 1X1 M, PROFUNDIDADE = 1,40 M, EXCLUINDO TAMPÃO. AF_12/2020</v>
      </c>
      <c r="D687" s="254" t="str">
        <f>VLOOKUP(A687,'[3]Planilha Orçamentária'!A:K,4,0)</f>
        <v>UN</v>
      </c>
      <c r="E687" s="255"/>
      <c r="F687" s="256"/>
      <c r="G687" s="256"/>
      <c r="H687" s="256"/>
      <c r="I687" s="256"/>
      <c r="J687" s="257">
        <f>ROUND(SUM(J688:J690),2)</f>
        <v>4</v>
      </c>
    </row>
    <row r="688" spans="1:10" ht="14.25">
      <c r="A688" s="293"/>
      <c r="B688" s="294"/>
      <c r="C688" s="343" t="s">
        <v>2131</v>
      </c>
      <c r="D688" s="289"/>
      <c r="E688" s="290"/>
      <c r="F688" s="290"/>
      <c r="G688" s="282"/>
      <c r="H688" s="290"/>
      <c r="I688" s="241" t="s">
        <v>2157</v>
      </c>
      <c r="J688" s="299"/>
    </row>
    <row r="689" spans="1:10">
      <c r="A689" s="293"/>
      <c r="B689" s="294"/>
      <c r="C689" s="389"/>
      <c r="D689" s="102"/>
      <c r="E689" s="102"/>
      <c r="F689" s="102"/>
      <c r="G689" s="102"/>
      <c r="H689" s="102"/>
      <c r="I689" s="157">
        <f>I646</f>
        <v>4</v>
      </c>
      <c r="J689" s="118">
        <f>ROUND(PRODUCT(E689:I689),2)</f>
        <v>4</v>
      </c>
    </row>
    <row r="690" spans="1:10">
      <c r="A690" s="538"/>
      <c r="B690" s="539"/>
      <c r="C690" s="539"/>
      <c r="D690" s="539"/>
      <c r="E690" s="539"/>
      <c r="F690" s="539"/>
      <c r="G690" s="539"/>
      <c r="H690" s="539"/>
      <c r="I690" s="539"/>
      <c r="J690" s="539"/>
    </row>
    <row r="691" spans="1:10" ht="38.25">
      <c r="A691" s="251" t="str">
        <f>'[3]Planilha Orçamentária'!A183</f>
        <v>1.3.6.10</v>
      </c>
      <c r="B691" s="252">
        <f>VLOOKUP(A691,'[3]Planilha Orçamentária'!A:K,2,0)</f>
        <v>98115</v>
      </c>
      <c r="C691" s="253" t="str">
        <f>VLOOKUP(A691,'[3]Planilha Orçamentária'!A:K,3,0)</f>
        <v>TAMPA CIRCULAR PARA ESGOTO E DRENAGEM, EM CONCRETO PRÉ-MOLDADO, DIÂMETRO INTERNO = 0,60 M E ALTURA = 0,10 M. AF_12/2020</v>
      </c>
      <c r="D691" s="254" t="str">
        <f>VLOOKUP(A691,'[3]Planilha Orçamentária'!A:K,4,0)</f>
        <v>UN</v>
      </c>
      <c r="E691" s="255"/>
      <c r="F691" s="256"/>
      <c r="G691" s="256"/>
      <c r="H691" s="256"/>
      <c r="I691" s="256"/>
      <c r="J691" s="257">
        <f>ROUND(SUM(J692:J694),2)</f>
        <v>4</v>
      </c>
    </row>
    <row r="692" spans="1:10" ht="14.25">
      <c r="A692" s="293"/>
      <c r="B692" s="294"/>
      <c r="C692" s="343" t="s">
        <v>2131</v>
      </c>
      <c r="D692" s="289"/>
      <c r="E692" s="290"/>
      <c r="F692" s="290"/>
      <c r="G692" s="282"/>
      <c r="H692" s="290"/>
      <c r="I692" s="241" t="s">
        <v>2157</v>
      </c>
      <c r="J692" s="299"/>
    </row>
    <row r="693" spans="1:10">
      <c r="A693" s="293"/>
      <c r="B693" s="294"/>
      <c r="C693" s="389"/>
      <c r="D693" s="102"/>
      <c r="E693" s="102"/>
      <c r="F693" s="102"/>
      <c r="G693" s="102"/>
      <c r="H693" s="102"/>
      <c r="I693" s="157">
        <f>I689</f>
        <v>4</v>
      </c>
      <c r="J693" s="118">
        <f>ROUND(PRODUCT(E693:I693),2)</f>
        <v>4</v>
      </c>
    </row>
    <row r="694" spans="1:10">
      <c r="A694" s="538"/>
      <c r="B694" s="539"/>
      <c r="C694" s="539"/>
      <c r="D694" s="539"/>
      <c r="E694" s="539"/>
      <c r="F694" s="539"/>
      <c r="G694" s="539"/>
      <c r="H694" s="539"/>
      <c r="I694" s="539"/>
      <c r="J694" s="539"/>
    </row>
    <row r="695" spans="1:10" ht="25.5">
      <c r="A695" s="251" t="str">
        <f>'[3]Planilha Orçamentária'!A184</f>
        <v>1.3.6.11</v>
      </c>
      <c r="B695" s="252" t="str">
        <f>VLOOKUP(A695,'[3]Planilha Orçamentária'!A:K,2,0)</f>
        <v>CP-74157/004-48264518</v>
      </c>
      <c r="C695" s="253" t="str">
        <f>VLOOKUP(A695,'[3]Planilha Orçamentária'!A:K,3,0)</f>
        <v>LANCAMENTO/APLICACAO MANUAL DE CONCRETO EM FUNDACOES (concreto magro)</v>
      </c>
      <c r="D695" s="254" t="str">
        <f>VLOOKUP(A695,'[3]Planilha Orçamentária'!A:K,4,0)</f>
        <v>M3</v>
      </c>
      <c r="E695" s="255"/>
      <c r="F695" s="256"/>
      <c r="G695" s="256"/>
      <c r="H695" s="256"/>
      <c r="I695" s="256"/>
      <c r="J695" s="257">
        <f>ROUND(SUM(J696:J698),2)</f>
        <v>3.51</v>
      </c>
    </row>
    <row r="696" spans="1:10">
      <c r="A696" s="293"/>
      <c r="B696" s="294"/>
      <c r="C696" s="343" t="s">
        <v>2131</v>
      </c>
      <c r="D696" s="105"/>
      <c r="E696" s="241"/>
      <c r="F696" s="263"/>
      <c r="G696" s="263"/>
      <c r="H696" s="263"/>
      <c r="I696" s="241"/>
      <c r="J696" s="299"/>
    </row>
    <row r="697" spans="1:10" ht="14.25">
      <c r="A697" s="293"/>
      <c r="B697" s="294"/>
      <c r="C697" s="204" t="s">
        <v>2158</v>
      </c>
      <c r="D697" s="156"/>
      <c r="E697" s="157"/>
      <c r="F697" s="263"/>
      <c r="G697" s="263"/>
      <c r="H697" s="263"/>
      <c r="I697" s="305">
        <f>J678</f>
        <v>3.51</v>
      </c>
      <c r="J697" s="118">
        <f>ROUND(PRODUCT(E697:I697),2)</f>
        <v>3.51</v>
      </c>
    </row>
    <row r="698" spans="1:10">
      <c r="A698" s="538"/>
      <c r="B698" s="539"/>
      <c r="C698" s="539"/>
      <c r="D698" s="539"/>
      <c r="E698" s="539"/>
      <c r="F698" s="539"/>
      <c r="G698" s="539"/>
      <c r="H698" s="539"/>
      <c r="I698" s="539"/>
      <c r="J698" s="539"/>
    </row>
    <row r="699" spans="1:10" ht="51">
      <c r="A699" s="251" t="str">
        <f>'[3]Planilha Orçamentária'!A185</f>
        <v>1.3.6.12</v>
      </c>
      <c r="B699" s="252">
        <f>VLOOKUP(A699,'[3]Planilha Orçamentária'!A:K,2,0)</f>
        <v>90746</v>
      </c>
      <c r="C699" s="253" t="str">
        <f>VLOOKUP(A699,'[3]Planilha Orçamentária'!A:K,3,0)</f>
        <v>ASSENTAMENTO DE TUBO DE PEAD CORRUGADO DE DUPLA PAREDE PARA REDE COLETORA DE ESGOTO, DN 450 MM, JUNTA ELÁSTICA INTEGRADA (NÃO INCLUI FORNECIMENTO). AF_01/2021</v>
      </c>
      <c r="D699" s="254" t="str">
        <f>VLOOKUP(A699,'[3]Planilha Orçamentária'!A:K,4,0)</f>
        <v>M</v>
      </c>
      <c r="E699" s="255"/>
      <c r="F699" s="256"/>
      <c r="G699" s="256"/>
      <c r="H699" s="256"/>
      <c r="I699" s="256"/>
      <c r="J699" s="257">
        <f>ROUND(SUM(J700:J702),2)</f>
        <v>14.67</v>
      </c>
    </row>
    <row r="700" spans="1:10">
      <c r="A700" s="293"/>
      <c r="B700" s="294"/>
      <c r="C700" s="343" t="s">
        <v>2131</v>
      </c>
      <c r="D700" s="105"/>
      <c r="E700" s="241"/>
      <c r="F700" s="263" t="s">
        <v>1989</v>
      </c>
      <c r="G700" s="263"/>
      <c r="H700" s="263"/>
      <c r="I700" s="241"/>
      <c r="J700" s="299"/>
    </row>
    <row r="701" spans="1:10" ht="14.25">
      <c r="A701" s="293"/>
      <c r="B701" s="294"/>
      <c r="C701" s="204" t="s">
        <v>2159</v>
      </c>
      <c r="D701" s="156"/>
      <c r="E701" s="157"/>
      <c r="F701" s="263">
        <f>F651</f>
        <v>14.67</v>
      </c>
      <c r="G701" s="263"/>
      <c r="H701" s="263"/>
      <c r="I701" s="305"/>
      <c r="J701" s="118">
        <f>ROUND(PRODUCT(E701:I701),2)</f>
        <v>14.67</v>
      </c>
    </row>
    <row r="702" spans="1:10">
      <c r="A702" s="538"/>
      <c r="B702" s="539"/>
      <c r="C702" s="539"/>
      <c r="D702" s="539"/>
      <c r="E702" s="539"/>
      <c r="F702" s="539"/>
      <c r="G702" s="539"/>
      <c r="H702" s="539"/>
      <c r="I702" s="539"/>
      <c r="J702" s="539"/>
    </row>
    <row r="703" spans="1:10" ht="51">
      <c r="A703" s="251" t="str">
        <f>'[3]Planilha Orçamentária'!A186</f>
        <v>1.3.6.13</v>
      </c>
      <c r="B703" s="252">
        <f>VLOOKUP(A703,'[3]Planilha Orçamentária'!A:K,2,0)</f>
        <v>90747</v>
      </c>
      <c r="C703" s="253" t="str">
        <f>VLOOKUP(A703,'[3]Planilha Orçamentária'!A:K,3,0)</f>
        <v>ASSENTAMENTO DE TUBO DE PEAD CORRUGADO DE DUPLA PAREDE PARA REDE COLETORA DE ESGOTO, DN 600 MM, JUNTA ELÁSTICA INTEGRADA (NÃO INCLUI FORNECIMENTO). AF_01/2021</v>
      </c>
      <c r="D703" s="254" t="str">
        <f>VLOOKUP(A703,'[3]Planilha Orçamentária'!A:K,4,0)</f>
        <v>M</v>
      </c>
      <c r="E703" s="255"/>
      <c r="F703" s="256"/>
      <c r="G703" s="256"/>
      <c r="H703" s="256"/>
      <c r="I703" s="256"/>
      <c r="J703" s="257">
        <f>ROUND(SUM(J704:J706),2)</f>
        <v>48.36</v>
      </c>
    </row>
    <row r="704" spans="1:10">
      <c r="A704" s="293"/>
      <c r="B704" s="294"/>
      <c r="C704" s="343" t="s">
        <v>2131</v>
      </c>
      <c r="D704" s="105"/>
      <c r="E704" s="241"/>
      <c r="F704" s="263" t="s">
        <v>1989</v>
      </c>
      <c r="G704" s="263"/>
      <c r="H704" s="263"/>
      <c r="I704" s="241"/>
      <c r="J704" s="299"/>
    </row>
    <row r="705" spans="1:10" ht="14.25">
      <c r="A705" s="293"/>
      <c r="B705" s="294"/>
      <c r="C705" s="204" t="s">
        <v>2159</v>
      </c>
      <c r="D705" s="156"/>
      <c r="E705" s="157"/>
      <c r="F705" s="263">
        <f>F644</f>
        <v>48.36</v>
      </c>
      <c r="G705" s="263"/>
      <c r="H705" s="263"/>
      <c r="I705" s="305"/>
      <c r="J705" s="118">
        <f>ROUND(PRODUCT(E705:I705),2)</f>
        <v>48.36</v>
      </c>
    </row>
    <row r="706" spans="1:10">
      <c r="A706" s="538"/>
      <c r="B706" s="539"/>
      <c r="C706" s="539"/>
      <c r="D706" s="539"/>
      <c r="E706" s="539"/>
      <c r="F706" s="539"/>
      <c r="G706" s="539"/>
      <c r="H706" s="539"/>
      <c r="I706" s="539"/>
      <c r="J706" s="539"/>
    </row>
    <row r="707" spans="1:10">
      <c r="A707" s="94" t="str">
        <f>'[3]Planilha Orçamentária'!A187</f>
        <v>1.3.7</v>
      </c>
      <c r="B707" s="95"/>
      <c r="C707" s="96" t="str">
        <f>VLOOKUP(A707,'[3]Planilha Orçamentária'!A:K,3,0)</f>
        <v>SINALIZAÇÃO</v>
      </c>
      <c r="D707" s="96"/>
      <c r="E707" s="129"/>
      <c r="F707" s="130"/>
      <c r="G707" s="130"/>
      <c r="H707" s="130"/>
      <c r="I707" s="130"/>
      <c r="J707" s="131"/>
    </row>
    <row r="708" spans="1:10" ht="25.5">
      <c r="A708" s="251" t="str">
        <f>'[3]Planilha Orçamentária'!A188</f>
        <v>1.3.7.1</v>
      </c>
      <c r="B708" s="252">
        <f>VLOOKUP(A708,'[3]Planilha Orçamentária'!A:K,2,0)</f>
        <v>5213421</v>
      </c>
      <c r="C708" s="253" t="str">
        <f>VLOOKUP(A708,'[3]Planilha Orçamentária'!A:K,3,0)</f>
        <v>Confecção de placa em aço nº 16 galvanizado, com película tipo I + IV</v>
      </c>
      <c r="D708" s="254" t="str">
        <f>VLOOKUP(A708,'[3]Planilha Orçamentária'!A:K,4,0)</f>
        <v xml:space="preserve">M2    </v>
      </c>
      <c r="E708" s="255"/>
      <c r="F708" s="256"/>
      <c r="G708" s="256"/>
      <c r="H708" s="256"/>
      <c r="I708" s="256"/>
      <c r="J708" s="257">
        <f>ROUND(SUM(J709:J712),2)</f>
        <v>1.29</v>
      </c>
    </row>
    <row r="709" spans="1:10">
      <c r="A709" s="293"/>
      <c r="B709" s="294"/>
      <c r="C709" s="165" t="s">
        <v>2160</v>
      </c>
      <c r="D709" s="105"/>
      <c r="E709" s="241"/>
      <c r="F709" s="105"/>
      <c r="G709" s="105"/>
      <c r="H709" s="241" t="s">
        <v>2003</v>
      </c>
      <c r="I709" s="241" t="s">
        <v>1446</v>
      </c>
      <c r="J709" s="299"/>
    </row>
    <row r="710" spans="1:10">
      <c r="A710" s="293"/>
      <c r="B710" s="301"/>
      <c r="C710" s="302" t="s">
        <v>2079</v>
      </c>
      <c r="D710" s="303"/>
      <c r="E710" s="304"/>
      <c r="F710" s="304"/>
      <c r="G710" s="304"/>
      <c r="H710" s="304">
        <v>0.2</v>
      </c>
      <c r="I710" s="305">
        <v>2</v>
      </c>
      <c r="J710" s="128">
        <f>ROUND(PRODUCT(E710:I710),2)</f>
        <v>0.4</v>
      </c>
    </row>
    <row r="711" spans="1:10">
      <c r="A711" s="293"/>
      <c r="B711" s="294"/>
      <c r="C711" s="155" t="s">
        <v>2081</v>
      </c>
      <c r="D711" s="307"/>
      <c r="E711" s="116"/>
      <c r="F711" s="116"/>
      <c r="G711" s="116"/>
      <c r="H711" s="116">
        <f>0.5*0.5</f>
        <v>0.25</v>
      </c>
      <c r="I711" s="308">
        <v>2</v>
      </c>
      <c r="J711" s="128">
        <f>ROUND(PRODUCT(E711:I711),2)</f>
        <v>0.5</v>
      </c>
    </row>
    <row r="712" spans="1:10" ht="14.25">
      <c r="A712" s="293"/>
      <c r="B712" s="294"/>
      <c r="C712" s="390" t="s">
        <v>2116</v>
      </c>
      <c r="D712" s="391"/>
      <c r="E712" s="392"/>
      <c r="F712" s="393"/>
      <c r="G712" s="393"/>
      <c r="H712" s="304">
        <f>3.14*0.25^2</f>
        <v>0.19625000000000001</v>
      </c>
      <c r="I712" s="308">
        <v>2</v>
      </c>
      <c r="J712" s="128">
        <f>ROUND(PRODUCT(E712:I712),2)</f>
        <v>0.39</v>
      </c>
    </row>
    <row r="713" spans="1:10">
      <c r="A713" s="556"/>
      <c r="B713" s="557"/>
      <c r="C713" s="557"/>
      <c r="D713" s="557"/>
      <c r="E713" s="557"/>
      <c r="F713" s="557"/>
      <c r="G713" s="557"/>
      <c r="H713" s="557"/>
      <c r="I713" s="557"/>
      <c r="J713" s="557"/>
    </row>
    <row r="714" spans="1:10" ht="38.25">
      <c r="A714" s="251" t="str">
        <f>'[3]Planilha Orçamentária'!A189</f>
        <v>1.3.7.2</v>
      </c>
      <c r="B714" s="252">
        <f>VLOOKUP(A714,'[3]Planilha Orçamentária'!A:K,2,0)</f>
        <v>5216111</v>
      </c>
      <c r="C714" s="253" t="str">
        <f>VLOOKUP(A714,'[3]Planilha Orçamentária'!A:K,3,0)</f>
        <v>FORNECIMENTO E IMPLANTAÇÃO DE SUPORTE E TRAVESSA PARA PLACA DE SINALIZAÇÃO EM MADEIRA DE LEI TRATADA 8 X 8 CM</v>
      </c>
      <c r="D714" s="254" t="str">
        <f>VLOOKUP(A714,'[3]Planilha Orçamentária'!A:K,4,0)</f>
        <v>UND</v>
      </c>
      <c r="E714" s="255"/>
      <c r="F714" s="256"/>
      <c r="G714" s="256"/>
      <c r="H714" s="256"/>
      <c r="I714" s="256"/>
      <c r="J714" s="257">
        <f>ROUND(SUM(J715:J717),2)</f>
        <v>6</v>
      </c>
    </row>
    <row r="715" spans="1:10">
      <c r="A715" s="293"/>
      <c r="B715" s="294"/>
      <c r="C715" s="165" t="s">
        <v>2160</v>
      </c>
      <c r="D715" s="105"/>
      <c r="E715" s="241"/>
      <c r="F715" s="105"/>
      <c r="G715" s="105"/>
      <c r="H715" s="241"/>
      <c r="I715" s="241" t="s">
        <v>1446</v>
      </c>
      <c r="J715" s="299"/>
    </row>
    <row r="716" spans="1:10">
      <c r="A716" s="293"/>
      <c r="B716" s="294"/>
      <c r="C716" s="244" t="s">
        <v>2046</v>
      </c>
      <c r="D716" s="307"/>
      <c r="E716" s="116"/>
      <c r="F716" s="116"/>
      <c r="G716" s="116"/>
      <c r="H716" s="116"/>
      <c r="I716" s="157">
        <v>6</v>
      </c>
      <c r="J716" s="118">
        <f>ROUND(PRODUCT(E716:I716),2)</f>
        <v>6</v>
      </c>
    </row>
    <row r="717" spans="1:10">
      <c r="A717" s="538"/>
      <c r="B717" s="539"/>
      <c r="C717" s="539"/>
      <c r="D717" s="539"/>
      <c r="E717" s="539"/>
      <c r="F717" s="539"/>
      <c r="G717" s="539"/>
      <c r="H717" s="539"/>
      <c r="I717" s="539"/>
      <c r="J717" s="539"/>
    </row>
    <row r="718" spans="1:10" ht="25.5">
      <c r="A718" s="132" t="str">
        <f>'[3]Planilha Orçamentária'!A190</f>
        <v>1.3.7.3</v>
      </c>
      <c r="B718" s="103" t="str">
        <f>VLOOKUP(A718,'[3]Planilha Orçamentária'!A:K,2,0)</f>
        <v>COMP-58084869</v>
      </c>
      <c r="C718" s="276" t="str">
        <f>VLOOKUP(A718,'[3]Planilha Orçamentária'!A:K,3,0)</f>
        <v>PLACA ESMALTADA PARA IDENTIFICAÇÃO NR DE RUA, DIMENSÕES 45X25CM</v>
      </c>
      <c r="D718" s="105" t="str">
        <f>VLOOKUP(A718,'[3]Planilha Orçamentária'!A:K,4,0)</f>
        <v>UND</v>
      </c>
      <c r="E718" s="104"/>
      <c r="F718" s="111"/>
      <c r="G718" s="111"/>
      <c r="H718" s="111"/>
      <c r="I718" s="111"/>
      <c r="J718" s="107">
        <f>ROUND(SUM(J719:J720),2)</f>
        <v>2</v>
      </c>
    </row>
    <row r="719" spans="1:10">
      <c r="A719" s="138"/>
      <c r="B719" s="138"/>
      <c r="C719" s="165" t="s">
        <v>2160</v>
      </c>
      <c r="D719" s="105"/>
      <c r="E719" s="104"/>
      <c r="F719" s="111"/>
      <c r="G719" s="111"/>
      <c r="H719" s="111"/>
      <c r="I719" s="241" t="s">
        <v>1446</v>
      </c>
      <c r="J719" s="118"/>
    </row>
    <row r="720" spans="1:10">
      <c r="A720" s="314"/>
      <c r="B720" s="314"/>
      <c r="C720" s="244" t="s">
        <v>2046</v>
      </c>
      <c r="D720" s="307"/>
      <c r="E720" s="313"/>
      <c r="F720" s="116"/>
      <c r="G720" s="116"/>
      <c r="H720" s="157"/>
      <c r="I720" s="157">
        <v>2</v>
      </c>
      <c r="J720" s="118">
        <f>ROUND(PRODUCT(E720:I720),2)</f>
        <v>2</v>
      </c>
    </row>
    <row r="721" spans="1:10">
      <c r="A721" s="524"/>
      <c r="B721" s="524"/>
      <c r="C721" s="524"/>
      <c r="D721" s="524"/>
      <c r="E721" s="524"/>
      <c r="F721" s="524"/>
      <c r="G721" s="524"/>
      <c r="H721" s="524"/>
      <c r="I721" s="524"/>
      <c r="J721" s="525"/>
    </row>
    <row r="722" spans="1:10" ht="51">
      <c r="A722" s="132" t="str">
        <f>'[3]Planilha Orçamentária'!A191</f>
        <v>1.3.7.4</v>
      </c>
      <c r="B722" s="103">
        <f>VLOOKUP(A722,'[3]Planilha Orçamentária'!A:K,2,0)</f>
        <v>102512</v>
      </c>
      <c r="C722" s="276" t="str">
        <f>VLOOKUP(A722,'[3]Planilha Orçamentária'!A:K,3,0)</f>
        <v>PINTURA DE EIXO VIÁRIO SOBRE ASFALTO COM TINTA RETRORREFLETIVA A BASE DE RESINA ACRÍLICA COM MICROESFERAS DE VIDRO, APLICAÇÃO MECÂNICA COM DEMARCADORA AUTOPROPELIDA. AF_05/2021</v>
      </c>
      <c r="D722" s="105" t="str">
        <f>VLOOKUP(A722,'[3]Planilha Orçamentária'!A:K,4,0)</f>
        <v>M</v>
      </c>
      <c r="E722" s="104"/>
      <c r="F722" s="111"/>
      <c r="G722" s="111"/>
      <c r="H722" s="111"/>
      <c r="I722" s="111"/>
      <c r="J722" s="107">
        <f>ROUND(SUM(J724:J724),2)</f>
        <v>133.16999999999999</v>
      </c>
    </row>
    <row r="723" spans="1:10">
      <c r="A723" s="251"/>
      <c r="B723" s="252"/>
      <c r="C723" s="165" t="s">
        <v>2160</v>
      </c>
      <c r="D723" s="105"/>
      <c r="E723" s="104"/>
      <c r="F723" s="106" t="s">
        <v>1989</v>
      </c>
      <c r="G723" s="111"/>
      <c r="H723" s="111"/>
      <c r="I723" s="241"/>
      <c r="J723" s="257"/>
    </row>
    <row r="724" spans="1:10">
      <c r="A724" s="314"/>
      <c r="B724" s="314"/>
      <c r="C724" s="244" t="s">
        <v>2046</v>
      </c>
      <c r="D724" s="105"/>
      <c r="E724" s="104"/>
      <c r="F724" s="157">
        <v>133.16999999999999</v>
      </c>
      <c r="G724" s="111"/>
      <c r="H724" s="111"/>
      <c r="I724" s="157"/>
      <c r="J724" s="306">
        <f>ROUND(PRODUCT(E724:I724),2)</f>
        <v>133.16999999999999</v>
      </c>
    </row>
    <row r="725" spans="1:10">
      <c r="A725" s="523"/>
      <c r="B725" s="524"/>
      <c r="C725" s="524"/>
      <c r="D725" s="524"/>
      <c r="E725" s="524"/>
      <c r="F725" s="524"/>
      <c r="G725" s="524"/>
      <c r="H725" s="524"/>
      <c r="I725" s="524"/>
      <c r="J725" s="525"/>
    </row>
    <row r="726" spans="1:10" ht="51">
      <c r="A726" s="132" t="str">
        <f>'[3]Planilha Orçamentária'!A192</f>
        <v>1.3.7.5</v>
      </c>
      <c r="B726" s="103">
        <f>VLOOKUP(A726,'[3]Planilha Orçamentária'!A:K,2,0)</f>
        <v>102509</v>
      </c>
      <c r="C726" s="276" t="str">
        <f>VLOOKUP(A726,'[3]Planilha Orçamentária'!A:K,3,0)</f>
        <v>PINTURA DE FAIXA DE PEDESTRE OU ZEBRADA TINTA RETRORREFLETIVA A BASE DE RESINA ACRÍLICA COM MICROESFERAS DE VIDRO, E = 30 CM, APLICAÇÃO MANUAL. AF_05/2021</v>
      </c>
      <c r="D726" s="105" t="str">
        <f>VLOOKUP(A726,'[3]Planilha Orçamentária'!A:K,4,0)</f>
        <v>M2</v>
      </c>
      <c r="E726" s="104"/>
      <c r="F726" s="111"/>
      <c r="G726" s="111"/>
      <c r="H726" s="111"/>
      <c r="I726" s="111"/>
      <c r="J726" s="107">
        <f>ROUND(SUM(J728:J728),2)</f>
        <v>26.4</v>
      </c>
    </row>
    <row r="727" spans="1:10">
      <c r="A727" s="251"/>
      <c r="B727" s="252"/>
      <c r="C727" s="165" t="s">
        <v>2160</v>
      </c>
      <c r="D727" s="148"/>
      <c r="E727" s="357"/>
      <c r="F727" s="160"/>
      <c r="G727" s="160"/>
      <c r="H727" s="160"/>
      <c r="I727" s="357" t="s">
        <v>2003</v>
      </c>
      <c r="J727" s="257"/>
    </row>
    <row r="728" spans="1:10">
      <c r="A728" s="314"/>
      <c r="B728" s="314"/>
      <c r="C728" s="244" t="s">
        <v>2161</v>
      </c>
      <c r="D728" s="262"/>
      <c r="E728" s="157"/>
      <c r="F728" s="157"/>
      <c r="G728" s="157"/>
      <c r="H728" s="157"/>
      <c r="I728" s="157">
        <v>26.4</v>
      </c>
      <c r="J728" s="306">
        <f>ROUND(PRODUCT(E728:I728),2)</f>
        <v>26.4</v>
      </c>
    </row>
    <row r="729" spans="1:10">
      <c r="A729" s="523"/>
      <c r="B729" s="524"/>
      <c r="C729" s="524"/>
      <c r="D729" s="524"/>
      <c r="E729" s="524"/>
      <c r="F729" s="524"/>
      <c r="G729" s="524"/>
      <c r="H729" s="524"/>
      <c r="I729" s="524"/>
      <c r="J729" s="525"/>
    </row>
    <row r="730" spans="1:10">
      <c r="A730" s="94" t="str">
        <f>'[3]Planilha Orçamentária'!A193</f>
        <v>1.3.8</v>
      </c>
      <c r="B730" s="95"/>
      <c r="C730" s="96" t="str">
        <f>VLOOKUP(A730,'[3]Planilha Orçamentária'!A:K,3,0)</f>
        <v>ACESSIBILIDADE</v>
      </c>
      <c r="D730" s="96"/>
      <c r="E730" s="129"/>
      <c r="F730" s="130"/>
      <c r="G730" s="130"/>
      <c r="H730" s="130"/>
      <c r="I730" s="130"/>
      <c r="J730" s="131"/>
    </row>
    <row r="731" spans="1:10" ht="51">
      <c r="A731" s="132" t="str">
        <f>'[3]Planilha Orçamentária'!A194</f>
        <v>1.3.8.1</v>
      </c>
      <c r="B731" s="108" t="str">
        <f>VLOOKUP(A731,'[3]Planilha Orçamentária'!A:K,2,0)</f>
        <v>CP-S12039-81921471</v>
      </c>
      <c r="C731" s="276" t="str">
        <f>VLOOKUP(A731,'[3]Planilha Orçamentária'!A:K,3,0)</f>
        <v>Piso tátil direcional e/ou alerta, de concreto, na cor natural, p/deficientes visuais, dimensões 40x40cm, aplicado com argamassa industrializada ac-ii, rejuntado, exclusive regularização de base</v>
      </c>
      <c r="D731" s="105" t="str">
        <f>VLOOKUP(A731,'[3]Planilha Orçamentária'!A:K,4,0)</f>
        <v>M2</v>
      </c>
      <c r="E731" s="104"/>
      <c r="F731" s="111"/>
      <c r="G731" s="111"/>
      <c r="H731" s="111"/>
      <c r="I731" s="111"/>
      <c r="J731" s="122">
        <f>ROUND(SUM(J732:J734),2)</f>
        <v>7.23</v>
      </c>
    </row>
    <row r="732" spans="1:10">
      <c r="A732" s="138"/>
      <c r="B732" s="138"/>
      <c r="C732" s="165" t="s">
        <v>2160</v>
      </c>
      <c r="D732" s="137"/>
      <c r="E732" s="138"/>
      <c r="F732" s="325"/>
      <c r="G732" s="325"/>
      <c r="H732" s="325"/>
      <c r="I732" s="357" t="s">
        <v>2003</v>
      </c>
      <c r="J732" s="325"/>
    </row>
    <row r="733" spans="1:10">
      <c r="A733" s="138"/>
      <c r="B733" s="138"/>
      <c r="C733" s="244" t="s">
        <v>2161</v>
      </c>
      <c r="D733" s="137"/>
      <c r="E733" s="138"/>
      <c r="F733" s="325"/>
      <c r="G733" s="325"/>
      <c r="H733" s="325"/>
      <c r="I733" s="325">
        <v>6.82</v>
      </c>
      <c r="J733" s="128">
        <f>ROUND(PRODUCT(E733:I733),2)</f>
        <v>6.82</v>
      </c>
    </row>
    <row r="734" spans="1:10">
      <c r="A734" s="138"/>
      <c r="B734" s="138"/>
      <c r="C734" s="138"/>
      <c r="D734" s="138"/>
      <c r="E734" s="138"/>
      <c r="F734" s="138"/>
      <c r="G734" s="138"/>
      <c r="H734" s="138"/>
      <c r="I734" s="138">
        <v>0.41</v>
      </c>
      <c r="J734" s="128">
        <f>ROUND(PRODUCT(E734:I734),2)</f>
        <v>0.41</v>
      </c>
    </row>
    <row r="735" spans="1:10">
      <c r="A735" s="558"/>
      <c r="B735" s="558"/>
      <c r="C735" s="558"/>
      <c r="D735" s="558"/>
      <c r="E735" s="558"/>
      <c r="F735" s="558"/>
      <c r="G735" s="558"/>
      <c r="H735" s="558"/>
      <c r="I735" s="558"/>
      <c r="J735" s="558"/>
    </row>
    <row r="736" spans="1:10">
      <c r="A736" s="94" t="str">
        <f>'[3]Planilha Orçamentária'!A195</f>
        <v>1.3.9</v>
      </c>
      <c r="B736" s="95"/>
      <c r="C736" s="96" t="str">
        <f>VLOOKUP(A736,'[3]Planilha Orçamentária'!A:K,3,0)</f>
        <v>MATERIAIS</v>
      </c>
      <c r="D736" s="96"/>
      <c r="E736" s="129"/>
      <c r="F736" s="130"/>
      <c r="G736" s="130"/>
      <c r="H736" s="130"/>
      <c r="I736" s="130"/>
      <c r="J736" s="131"/>
    </row>
    <row r="737" spans="1:10" ht="51">
      <c r="A737" s="145" t="str">
        <f>'[3]Planilha Orçamentária'!A196</f>
        <v>1.3.9.1</v>
      </c>
      <c r="B737" s="146">
        <f>VLOOKUP(A737,'[3]Planilha Orçamentária'!A:K,2,0)</f>
        <v>10775</v>
      </c>
      <c r="C737" s="147" t="str">
        <f>VLOOKUP(A737,'[3]Planilha Orçamentária'!A:K,3,0)</f>
        <v xml:space="preserve">LOCACAO DE CONTAINER 2,30 X 6,00 M, ALT. 2,50 M, COM 1 SANITARIO, PARA ESCRITORIO, COMPLETO, SEM DIVISORIAS INTERNAS (NAO INCLUI MOBILIZACAO/DESMOBILIZACAO)                                                                                                                                                                                                                                                                                                                                              </v>
      </c>
      <c r="D737" s="148" t="str">
        <f>VLOOKUP(A737,'[3]Planilha Orçamentária'!A:K,4,0)</f>
        <v xml:space="preserve">MES   </v>
      </c>
      <c r="E737" s="147"/>
      <c r="F737" s="160"/>
      <c r="G737" s="160"/>
      <c r="H737" s="160"/>
      <c r="I737" s="160"/>
      <c r="J737" s="218">
        <f>ROUND(SUM(J739:J739),2)</f>
        <v>1</v>
      </c>
    </row>
    <row r="738" spans="1:10" ht="25.5">
      <c r="A738" s="151"/>
      <c r="B738" s="152"/>
      <c r="C738" s="168"/>
      <c r="D738" s="166"/>
      <c r="E738" s="168"/>
      <c r="F738" s="320"/>
      <c r="G738" s="149"/>
      <c r="H738" s="149"/>
      <c r="I738" s="106" t="s">
        <v>1992</v>
      </c>
      <c r="J738" s="321"/>
    </row>
    <row r="739" spans="1:10">
      <c r="A739" s="123"/>
      <c r="B739" s="123"/>
      <c r="C739" s="155"/>
      <c r="D739" s="185"/>
      <c r="E739" s="116"/>
      <c r="F739" s="126"/>
      <c r="G739" s="116"/>
      <c r="H739" s="116"/>
      <c r="I739" s="116">
        <f>I522</f>
        <v>1</v>
      </c>
      <c r="J739" s="128">
        <f>ROUND(PRODUCT(E739:I739),2)</f>
        <v>1</v>
      </c>
    </row>
    <row r="740" spans="1:10">
      <c r="A740" s="531"/>
      <c r="B740" s="531"/>
      <c r="C740" s="531"/>
      <c r="D740" s="531"/>
      <c r="E740" s="531"/>
      <c r="F740" s="531"/>
      <c r="G740" s="531"/>
      <c r="H740" s="531"/>
      <c r="I740" s="531"/>
      <c r="J740" s="531"/>
    </row>
    <row r="741" spans="1:10" ht="38.25">
      <c r="A741" s="145" t="str">
        <f>'[3]Planilha Orçamentária'!A197</f>
        <v>1.3.9.2</v>
      </c>
      <c r="B741" s="146">
        <f>VLOOKUP(A741,'[3]Planilha Orçamentária'!A:K,2,0)</f>
        <v>10776</v>
      </c>
      <c r="C741" s="147" t="str">
        <f>VLOOKUP(A741,'[3]Planilha Orçamentária'!A:K,3,0)</f>
        <v xml:space="preserve">LOCACAO DE CONTAINER 2,30 X 6,00 M, ALT. 2,50 M, PARA ESCRITORIO, SEM DIVISORIAS INTERNAS E SEM SANITARIO (NAO INCLUI MOBILIZACAO/DESMOBILIZACAO)                                                                                                                                                                                                                                                                                                                                                         </v>
      </c>
      <c r="D741" s="148" t="str">
        <f>VLOOKUP(A741,'[3]Planilha Orçamentária'!A:K,4,0)</f>
        <v xml:space="preserve">MES   </v>
      </c>
      <c r="E741" s="147"/>
      <c r="F741" s="160"/>
      <c r="G741" s="160"/>
      <c r="H741" s="160"/>
      <c r="I741" s="160"/>
      <c r="J741" s="218">
        <f>ROUND(SUM(J743:J743),2)</f>
        <v>1</v>
      </c>
    </row>
    <row r="742" spans="1:10" ht="25.5">
      <c r="A742" s="151"/>
      <c r="B742" s="152"/>
      <c r="C742" s="168"/>
      <c r="D742" s="166"/>
      <c r="E742" s="168"/>
      <c r="F742" s="320"/>
      <c r="G742" s="149"/>
      <c r="H742" s="149"/>
      <c r="I742" s="106" t="s">
        <v>1992</v>
      </c>
      <c r="J742" s="321"/>
    </row>
    <row r="743" spans="1:10">
      <c r="A743" s="123"/>
      <c r="B743" s="123"/>
      <c r="C743" s="155"/>
      <c r="D743" s="185"/>
      <c r="E743" s="116"/>
      <c r="F743" s="126"/>
      <c r="G743" s="116"/>
      <c r="H743" s="116"/>
      <c r="I743" s="116">
        <f>I739</f>
        <v>1</v>
      </c>
      <c r="J743" s="128">
        <f>ROUND(PRODUCT(E743:I743),2)</f>
        <v>1</v>
      </c>
    </row>
    <row r="744" spans="1:10">
      <c r="A744" s="531"/>
      <c r="B744" s="531"/>
      <c r="C744" s="531"/>
      <c r="D744" s="531"/>
      <c r="E744" s="531"/>
      <c r="F744" s="531"/>
      <c r="G744" s="531"/>
      <c r="H744" s="531"/>
      <c r="I744" s="531"/>
      <c r="J744" s="531"/>
    </row>
    <row r="745" spans="1:10" ht="38.25">
      <c r="A745" s="132" t="str">
        <f>'[3]Planilha Orçamentária'!A198</f>
        <v>1.3.9.3</v>
      </c>
      <c r="B745" s="108">
        <f>VLOOKUP(A745,'[3]Planilha Orçamentária'!A:K,2,0)</f>
        <v>1518</v>
      </c>
      <c r="C745" s="104" t="str">
        <f>VLOOKUP(A745,'[3]Planilha Orçamentária'!A:K,3,0)</f>
        <v xml:space="preserve">CONCRETO BETUMINOSO USINADO A QUENTE (CBUQ) PARA PAVIMENTACAO ASFALTICA, PADRAO DNIT, FAIXA C, COM CAP 50/70 - AQUISICAO POSTO USINA                                                                                                                                                                                                                                                                                                                                                                      </v>
      </c>
      <c r="D745" s="105" t="str">
        <f>VLOOKUP(A745,'[3]Planilha Orçamentária'!A:K,4,0)</f>
        <v xml:space="preserve">T     </v>
      </c>
      <c r="E745" s="104"/>
      <c r="F745" s="111"/>
      <c r="G745" s="111"/>
      <c r="H745" s="111"/>
      <c r="I745" s="111"/>
      <c r="J745" s="122">
        <f>ROUND(SUM(J746:J747),2)</f>
        <v>35.770000000000003</v>
      </c>
    </row>
    <row r="746" spans="1:10" ht="14.25">
      <c r="A746" s="174"/>
      <c r="B746" s="174"/>
      <c r="C746" s="204" t="s">
        <v>2123</v>
      </c>
      <c r="D746" s="174"/>
      <c r="E746" s="174" t="s">
        <v>1193</v>
      </c>
      <c r="F746" s="174"/>
      <c r="G746" s="174"/>
      <c r="H746" s="174"/>
      <c r="I746" s="174" t="s">
        <v>2007</v>
      </c>
      <c r="J746" s="174"/>
    </row>
    <row r="747" spans="1:10">
      <c r="A747" s="174"/>
      <c r="B747" s="174"/>
      <c r="C747" s="322" t="s">
        <v>2083</v>
      </c>
      <c r="D747" s="174"/>
      <c r="E747" s="174">
        <v>2.5548000000000002</v>
      </c>
      <c r="F747" s="174"/>
      <c r="G747" s="174"/>
      <c r="H747" s="174"/>
      <c r="I747" s="286">
        <f>J596</f>
        <v>14</v>
      </c>
      <c r="J747" s="158">
        <f t="shared" ref="J747" si="44">ROUND(PRODUCT(E747:I747),2)</f>
        <v>35.770000000000003</v>
      </c>
    </row>
    <row r="748" spans="1:10">
      <c r="A748" s="219"/>
      <c r="B748" s="323"/>
      <c r="C748" s="323"/>
      <c r="D748" s="323"/>
      <c r="E748" s="323"/>
      <c r="F748" s="323"/>
      <c r="G748" s="323"/>
      <c r="H748" s="323"/>
      <c r="I748" s="323"/>
      <c r="J748" s="198"/>
    </row>
    <row r="749" spans="1:10" ht="25.5">
      <c r="A749" s="251" t="str">
        <f>'[3]Planilha Orçamentária'!A199</f>
        <v>1.3.9.4</v>
      </c>
      <c r="B749" s="252" t="str">
        <f>VLOOKUP(A749,'[3]Planilha Orçamentária'!A:K,2,0)</f>
        <v>M0132</v>
      </c>
      <c r="C749" s="253" t="str">
        <f>VLOOKUP(A749,'[3]Planilha Orçamentária'!A:K,3,0)</f>
        <v xml:space="preserve">	Tubo PEAD corrugado com paredes estruturadas para drenagem - D = 450 mm</v>
      </c>
      <c r="D749" s="254" t="str">
        <f>VLOOKUP(A749,'[3]Planilha Orçamentária'!A:K,4,0)</f>
        <v>M</v>
      </c>
      <c r="E749" s="255"/>
      <c r="F749" s="256"/>
      <c r="G749" s="256"/>
      <c r="H749" s="256"/>
      <c r="I749" s="256"/>
      <c r="J749" s="257">
        <f>ROUND(SUM(J750:J752),2)</f>
        <v>14.67</v>
      </c>
    </row>
    <row r="750" spans="1:10">
      <c r="A750" s="293"/>
      <c r="B750" s="294"/>
      <c r="C750" s="343" t="s">
        <v>2131</v>
      </c>
      <c r="D750" s="105"/>
      <c r="E750" s="241"/>
      <c r="F750" s="263" t="s">
        <v>1989</v>
      </c>
      <c r="G750" s="263"/>
      <c r="H750" s="263"/>
      <c r="I750" s="241"/>
      <c r="J750" s="299"/>
    </row>
    <row r="751" spans="1:10" ht="14.25">
      <c r="A751" s="293"/>
      <c r="B751" s="294"/>
      <c r="C751" s="204" t="s">
        <v>2159</v>
      </c>
      <c r="D751" s="156"/>
      <c r="E751" s="157"/>
      <c r="F751" s="263">
        <f>F701</f>
        <v>14.67</v>
      </c>
      <c r="G751" s="263"/>
      <c r="H751" s="263"/>
      <c r="I751" s="305"/>
      <c r="J751" s="118">
        <f>ROUND(PRODUCT(E751:I751),2)</f>
        <v>14.67</v>
      </c>
    </row>
    <row r="752" spans="1:10">
      <c r="A752" s="538"/>
      <c r="B752" s="539"/>
      <c r="C752" s="539"/>
      <c r="D752" s="539"/>
      <c r="E752" s="539"/>
      <c r="F752" s="539"/>
      <c r="G752" s="539"/>
      <c r="H752" s="539"/>
      <c r="I752" s="539"/>
      <c r="J752" s="539"/>
    </row>
    <row r="753" spans="1:10" ht="25.5">
      <c r="A753" s="251" t="str">
        <f>'[3]Planilha Orçamentária'!A200</f>
        <v>1.3.9.5</v>
      </c>
      <c r="B753" s="252" t="str">
        <f>VLOOKUP(A753,'[3]Planilha Orçamentária'!A:K,2,0)</f>
        <v>M0134</v>
      </c>
      <c r="C753" s="253" t="str">
        <f>VLOOKUP(A753,'[3]Planilha Orçamentária'!A:K,3,0)</f>
        <v>Tubo PEAD corrugado com paredes estruturadas para drenagem - D = 600 mm</v>
      </c>
      <c r="D753" s="254" t="str">
        <f>VLOOKUP(A753,'[3]Planilha Orçamentária'!A:K,4,0)</f>
        <v>M</v>
      </c>
      <c r="E753" s="255"/>
      <c r="F753" s="256"/>
      <c r="G753" s="256"/>
      <c r="H753" s="256"/>
      <c r="I753" s="256"/>
      <c r="J753" s="257">
        <f>ROUND(SUM(J754:J756),2)</f>
        <v>48.36</v>
      </c>
    </row>
    <row r="754" spans="1:10">
      <c r="A754" s="293"/>
      <c r="B754" s="294"/>
      <c r="C754" s="343" t="s">
        <v>2131</v>
      </c>
      <c r="D754" s="105"/>
      <c r="E754" s="241"/>
      <c r="F754" s="263" t="s">
        <v>1989</v>
      </c>
      <c r="G754" s="263"/>
      <c r="H754" s="263"/>
      <c r="I754" s="241"/>
      <c r="J754" s="299"/>
    </row>
    <row r="755" spans="1:10" ht="14.25">
      <c r="A755" s="293"/>
      <c r="B755" s="294"/>
      <c r="C755" s="204" t="s">
        <v>2159</v>
      </c>
      <c r="D755" s="156"/>
      <c r="E755" s="157"/>
      <c r="F755" s="263">
        <f>F705</f>
        <v>48.36</v>
      </c>
      <c r="G755" s="263"/>
      <c r="H755" s="263"/>
      <c r="I755" s="305"/>
      <c r="J755" s="118">
        <f>ROUND(PRODUCT(E755:I755),2)</f>
        <v>48.36</v>
      </c>
    </row>
    <row r="756" spans="1:10">
      <c r="A756" s="538"/>
      <c r="B756" s="539"/>
      <c r="C756" s="539"/>
      <c r="D756" s="539"/>
      <c r="E756" s="539"/>
      <c r="F756" s="539"/>
      <c r="G756" s="539"/>
      <c r="H756" s="539"/>
      <c r="I756" s="539"/>
      <c r="J756" s="539"/>
    </row>
    <row r="757" spans="1:10">
      <c r="A757" s="132" t="str">
        <f>'[3]Planilha Orçamentária'!A201</f>
        <v>1.3.9.6</v>
      </c>
      <c r="B757" s="108" t="str">
        <f>VLOOKUP(A757,'[3]Planilha Orçamentária'!A:K,2,0)</f>
        <v>INS-185032</v>
      </c>
      <c r="C757" s="276" t="str">
        <f>VLOOKUP(A757,'[3]Planilha Orçamentária'!A:K,3,0)</f>
        <v>BRITA GRADUADA SIMPLES (BGS)</v>
      </c>
      <c r="D757" s="105" t="str">
        <f>VLOOKUP(A757,'[3]Planilha Orçamentária'!A:K,4,0)</f>
        <v>M3</v>
      </c>
      <c r="E757" s="104"/>
      <c r="F757" s="111"/>
      <c r="G757" s="111"/>
      <c r="H757" s="111"/>
      <c r="I757" s="111"/>
      <c r="J757" s="122">
        <f>ROUND(SUM(J758:J760),2)</f>
        <v>60.53</v>
      </c>
    </row>
    <row r="758" spans="1:10">
      <c r="A758" s="293"/>
      <c r="B758" s="293"/>
      <c r="C758" s="394" t="s">
        <v>2123</v>
      </c>
      <c r="D758" s="354"/>
      <c r="E758" s="354"/>
      <c r="F758" s="354"/>
      <c r="G758" s="354"/>
      <c r="H758" s="354"/>
      <c r="I758" s="174" t="s">
        <v>2007</v>
      </c>
      <c r="J758" s="293"/>
    </row>
    <row r="759" spans="1:10">
      <c r="A759" s="293"/>
      <c r="B759" s="293"/>
      <c r="C759" s="324" t="s">
        <v>2084</v>
      </c>
      <c r="D759" s="137"/>
      <c r="E759" s="325">
        <v>1</v>
      </c>
      <c r="F759" s="354"/>
      <c r="G759" s="354"/>
      <c r="H759" s="354"/>
      <c r="I759" s="286">
        <f>J578</f>
        <v>60.53</v>
      </c>
      <c r="J759" s="128">
        <f>ROUND(PRODUCT(E759:I759),2)</f>
        <v>60.53</v>
      </c>
    </row>
    <row r="760" spans="1:10">
      <c r="A760" s="311"/>
      <c r="B760" s="312"/>
      <c r="C760" s="312"/>
      <c r="D760" s="312"/>
      <c r="E760" s="312"/>
      <c r="F760" s="312"/>
      <c r="G760" s="312"/>
      <c r="H760" s="312"/>
      <c r="I760" s="312"/>
      <c r="J760" s="312"/>
    </row>
    <row r="761" spans="1:10">
      <c r="A761" s="132" t="str">
        <f>'[3]Planilha Orçamentária'!A202</f>
        <v>1.3.9.7</v>
      </c>
      <c r="B761" s="108" t="str">
        <f>VLOOKUP(A761,'[3]Planilha Orçamentária'!A:K,2,0)</f>
        <v>M0808</v>
      </c>
      <c r="C761" s="276" t="str">
        <f>VLOOKUP(A761,'[3]Planilha Orçamentária'!A:K,3,0)</f>
        <v>Brita 4</v>
      </c>
      <c r="D761" s="105" t="str">
        <f>VLOOKUP(A761,'[3]Planilha Orçamentária'!A:K,4,0)</f>
        <v>M3</v>
      </c>
      <c r="E761" s="104"/>
      <c r="F761" s="111"/>
      <c r="G761" s="111"/>
      <c r="H761" s="111"/>
      <c r="I761" s="111"/>
      <c r="J761" s="122">
        <f>ROUND(SUM(J762:J764),2)</f>
        <v>66.73</v>
      </c>
    </row>
    <row r="762" spans="1:10">
      <c r="A762" s="293"/>
      <c r="B762" s="293"/>
      <c r="C762" s="326"/>
      <c r="D762" s="137"/>
      <c r="E762" s="137" t="s">
        <v>2085</v>
      </c>
      <c r="F762" s="174"/>
      <c r="G762" s="174"/>
      <c r="H762" s="174"/>
      <c r="I762" s="174" t="s">
        <v>2007</v>
      </c>
      <c r="J762" s="293"/>
    </row>
    <row r="763" spans="1:10" ht="15">
      <c r="A763" s="293"/>
      <c r="B763" s="293"/>
      <c r="C763" s="200" t="s">
        <v>2086</v>
      </c>
      <c r="D763" s="137"/>
      <c r="E763" s="327">
        <v>1.26</v>
      </c>
      <c r="F763" s="174"/>
      <c r="G763" s="174"/>
      <c r="H763" s="174"/>
      <c r="I763" s="286">
        <f>J573</f>
        <v>52.96</v>
      </c>
      <c r="J763" s="128">
        <f>ROUND(PRODUCT(E763:I763),2)</f>
        <v>66.73</v>
      </c>
    </row>
    <row r="764" spans="1:10">
      <c r="A764" s="311"/>
      <c r="B764" s="312"/>
      <c r="C764" s="312"/>
      <c r="D764" s="312"/>
      <c r="E764" s="312"/>
      <c r="F764" s="312"/>
      <c r="G764" s="312"/>
      <c r="H764" s="312"/>
      <c r="I764" s="312"/>
      <c r="J764" s="312"/>
    </row>
    <row r="765" spans="1:10">
      <c r="A765" s="132" t="str">
        <f>'[3]Planilha Orçamentária'!A203</f>
        <v>1.3.9.8</v>
      </c>
      <c r="B765" s="108" t="str">
        <f>VLOOKUP(A765,'[3]Planilha Orçamentária'!A:K,2,0)</f>
        <v>M1135</v>
      </c>
      <c r="C765" s="276" t="str">
        <f>VLOOKUP(A765,'[3]Planilha Orçamentária'!A:K,3,0)</f>
        <v>Pó de pedra</v>
      </c>
      <c r="D765" s="105" t="str">
        <f>VLOOKUP(A765,'[3]Planilha Orçamentária'!A:K,4,0)</f>
        <v>M3</v>
      </c>
      <c r="E765" s="104"/>
      <c r="F765" s="111"/>
      <c r="G765" s="111"/>
      <c r="H765" s="111"/>
      <c r="I765" s="111"/>
      <c r="J765" s="122">
        <f>ROUND(SUM(J766:J768),2)</f>
        <v>7.41</v>
      </c>
    </row>
    <row r="766" spans="1:10">
      <c r="A766" s="293"/>
      <c r="B766" s="293"/>
      <c r="C766" s="326"/>
      <c r="D766" s="137"/>
      <c r="E766" s="137" t="s">
        <v>2085</v>
      </c>
      <c r="F766" s="174"/>
      <c r="G766" s="174"/>
      <c r="H766" s="174"/>
      <c r="I766" s="174" t="s">
        <v>2007</v>
      </c>
      <c r="J766" s="293"/>
    </row>
    <row r="767" spans="1:10" ht="15">
      <c r="A767" s="293"/>
      <c r="B767" s="293"/>
      <c r="C767" s="200" t="s">
        <v>2086</v>
      </c>
      <c r="D767" s="137"/>
      <c r="E767" s="327">
        <v>0.14000000000000001</v>
      </c>
      <c r="F767" s="174"/>
      <c r="G767" s="174"/>
      <c r="H767" s="174"/>
      <c r="I767" s="286">
        <f>I763</f>
        <v>52.96</v>
      </c>
      <c r="J767" s="128">
        <f>ROUND(PRODUCT(E767:I767),2)</f>
        <v>7.41</v>
      </c>
    </row>
    <row r="768" spans="1:10">
      <c r="A768" s="311"/>
      <c r="B768" s="312"/>
      <c r="C768" s="312"/>
      <c r="D768" s="312"/>
      <c r="E768" s="312"/>
      <c r="F768" s="312"/>
      <c r="G768" s="312"/>
      <c r="H768" s="312"/>
      <c r="I768" s="312"/>
      <c r="J768" s="312"/>
    </row>
    <row r="769" spans="1:10">
      <c r="A769" s="132" t="str">
        <f>'[3]Planilha Orçamentária'!A204</f>
        <v>1.3.9.9</v>
      </c>
      <c r="B769" s="108" t="str">
        <f>VLOOKUP(A769,'[3]Planilha Orçamentária'!A:K,2,0)</f>
        <v>INS-711371</v>
      </c>
      <c r="C769" s="276" t="str">
        <f>VLOOKUP(A769,'[3]Planilha Orçamentária'!A:K,3,0)</f>
        <v>ASFALTO DILUÍDO CM - 30</v>
      </c>
      <c r="D769" s="105" t="str">
        <f>VLOOKUP(A769,'[3]Planilha Orçamentária'!A:K,4,0)</f>
        <v>KG</v>
      </c>
      <c r="E769" s="104"/>
      <c r="F769" s="111"/>
      <c r="G769" s="111"/>
      <c r="H769" s="111"/>
      <c r="I769" s="111"/>
      <c r="J769" s="122">
        <f>ROUND(SUM(J770:J772),2)</f>
        <v>336.08</v>
      </c>
    </row>
    <row r="770" spans="1:10">
      <c r="A770" s="293"/>
      <c r="B770" s="293"/>
      <c r="C770" s="361"/>
      <c r="D770" s="180"/>
      <c r="E770" s="174" t="s">
        <v>2085</v>
      </c>
      <c r="F770" s="161"/>
      <c r="G770" s="161"/>
      <c r="H770" s="161"/>
      <c r="I770" s="210" t="s">
        <v>2003</v>
      </c>
      <c r="J770" s="293"/>
    </row>
    <row r="771" spans="1:10">
      <c r="A771" s="293"/>
      <c r="B771" s="293"/>
      <c r="C771" s="324" t="s">
        <v>2087</v>
      </c>
      <c r="D771" s="137"/>
      <c r="E771" s="325">
        <v>1.2</v>
      </c>
      <c r="F771" s="127"/>
      <c r="G771" s="161"/>
      <c r="H771" s="161"/>
      <c r="I771" s="212">
        <f>J591</f>
        <v>280.07</v>
      </c>
      <c r="J771" s="128">
        <f>ROUND(PRODUCT(E771:I771),2)</f>
        <v>336.08</v>
      </c>
    </row>
    <row r="772" spans="1:10">
      <c r="A772" s="311"/>
      <c r="B772" s="312"/>
      <c r="C772" s="312"/>
      <c r="D772" s="312"/>
      <c r="E772" s="312"/>
      <c r="F772" s="312"/>
      <c r="G772" s="312"/>
      <c r="H772" s="312"/>
      <c r="I772" s="312"/>
      <c r="J772" s="312"/>
    </row>
    <row r="773" spans="1:10" ht="38.25">
      <c r="A773" s="132" t="str">
        <f>'[3]Planilha Orçamentária'!A205</f>
        <v>1.3.9.10</v>
      </c>
      <c r="B773" s="108">
        <f>VLOOKUP(A773,'[3]Planilha Orçamentária'!A:K,2,0)</f>
        <v>34492</v>
      </c>
      <c r="C773" s="276" t="str">
        <f>VLOOKUP(A773,'[3]Planilha Orçamentária'!A:K,3,0)</f>
        <v xml:space="preserve">CONCRETO USINADO BOMBEAVEL, CLASSE DE RESISTENCIA C20, COM BRITA 0 E 1, SLUMP = 100 +/- 20 MM, EXCLUI SERVICO DE BOMBEAMENTO (NBR 8953)                                                                                                                                                                                                                                                                                                                                                                   </v>
      </c>
      <c r="D773" s="105" t="str">
        <f>VLOOKUP(A773,'[3]Planilha Orçamentária'!A:K,4,0)</f>
        <v xml:space="preserve">M3    </v>
      </c>
      <c r="E773" s="104"/>
      <c r="F773" s="111"/>
      <c r="G773" s="111"/>
      <c r="H773" s="111"/>
      <c r="I773" s="111"/>
      <c r="J773" s="122">
        <f>ROUND(SUM(J774:J776),2)</f>
        <v>17.440000000000001</v>
      </c>
    </row>
    <row r="774" spans="1:10">
      <c r="A774" s="293"/>
      <c r="B774" s="293"/>
      <c r="C774" s="159"/>
      <c r="D774" s="174"/>
      <c r="E774" s="137" t="s">
        <v>2085</v>
      </c>
      <c r="F774" s="174"/>
      <c r="G774" s="174"/>
      <c r="H774" s="174"/>
      <c r="I774" s="174" t="s">
        <v>2007</v>
      </c>
      <c r="J774" s="293"/>
    </row>
    <row r="775" spans="1:10">
      <c r="A775" s="293"/>
      <c r="B775" s="293"/>
      <c r="C775" s="324" t="s">
        <v>2088</v>
      </c>
      <c r="D775" s="137"/>
      <c r="E775" s="325">
        <v>1.2130000000000001</v>
      </c>
      <c r="F775" s="174"/>
      <c r="G775" s="174"/>
      <c r="H775" s="174"/>
      <c r="I775" s="286">
        <f>J613</f>
        <v>14.38</v>
      </c>
      <c r="J775" s="128">
        <f>ROUND(PRODUCT(E775:I775),2)</f>
        <v>17.440000000000001</v>
      </c>
    </row>
    <row r="776" spans="1:10">
      <c r="A776" s="311"/>
      <c r="B776" s="312"/>
      <c r="C776" s="312"/>
      <c r="D776" s="312"/>
      <c r="E776" s="312"/>
      <c r="F776" s="312"/>
      <c r="G776" s="312"/>
      <c r="H776" s="312"/>
      <c r="I776" s="312"/>
      <c r="J776" s="312"/>
    </row>
    <row r="777" spans="1:10">
      <c r="A777" s="93" t="str">
        <f>'[3]Planilha Orçamentária'!A206</f>
        <v>1.4</v>
      </c>
      <c r="B777" s="526" t="str">
        <f>VLOOKUP(A777,'[3]Planilha Orçamentária'!A:K,3,0)</f>
        <v>RUA LUÍS GONZAGA - BARRA DE JANGADA</v>
      </c>
      <c r="C777" s="527"/>
      <c r="D777" s="527"/>
      <c r="E777" s="527"/>
      <c r="F777" s="527"/>
      <c r="G777" s="527"/>
      <c r="H777" s="527"/>
      <c r="I777" s="527"/>
      <c r="J777" s="527"/>
    </row>
    <row r="778" spans="1:10">
      <c r="A778" s="94" t="str">
        <f>'[3]Planilha Orçamentária'!A207</f>
        <v>1.4.1</v>
      </c>
      <c r="B778" s="95"/>
      <c r="C778" s="96" t="str">
        <f>VLOOKUP(A778,'[3]Planilha Orçamentária'!A:K,3,0)</f>
        <v>INSTALAÇÕES PROVISÓRIAS</v>
      </c>
      <c r="D778" s="97"/>
      <c r="E778" s="98"/>
      <c r="F778" s="99"/>
      <c r="G778" s="99"/>
      <c r="H778" s="99"/>
      <c r="I778" s="100"/>
      <c r="J778" s="101"/>
    </row>
    <row r="779" spans="1:10" ht="25.5">
      <c r="A779" s="102" t="str">
        <f>'[3]Planilha Orçamentária'!A208</f>
        <v>1.4.1.1</v>
      </c>
      <c r="B779" s="103" t="str">
        <f>VLOOKUP(A779,'[3]Planilha Orçamentária'!A:K,2,0)</f>
        <v>CP-74209/001-15055090</v>
      </c>
      <c r="C779" s="104" t="str">
        <f>VLOOKUP(A779,'[3]Planilha Orçamentária'!A:K,3,0)</f>
        <v>PLACA DE OBRA EM CHAPA DE ACO GALVANIZADO</v>
      </c>
      <c r="D779" s="105" t="str">
        <f>VLOOKUP(A779,'[3]Planilha Orçamentária'!A:K,4,0)</f>
        <v xml:space="preserve">M2    </v>
      </c>
      <c r="E779" s="104"/>
      <c r="F779" s="106" t="s">
        <v>1989</v>
      </c>
      <c r="G779" s="106" t="s">
        <v>1990</v>
      </c>
      <c r="H779" s="106"/>
      <c r="I779" s="106" t="s">
        <v>1991</v>
      </c>
      <c r="J779" s="107">
        <f>ROUND(SUM(J781:J781),2)</f>
        <v>8</v>
      </c>
    </row>
    <row r="780" spans="1:10">
      <c r="A780" s="102"/>
      <c r="B780" s="103"/>
      <c r="C780" s="110"/>
      <c r="D780" s="109"/>
      <c r="E780" s="110"/>
      <c r="F780" s="111"/>
      <c r="G780" s="111"/>
      <c r="H780" s="111"/>
      <c r="I780" s="111"/>
      <c r="J780" s="107"/>
    </row>
    <row r="781" spans="1:10">
      <c r="A781" s="102"/>
      <c r="B781" s="123"/>
      <c r="C781" s="328"/>
      <c r="D781" s="114"/>
      <c r="E781" s="115"/>
      <c r="F781" s="116">
        <v>2</v>
      </c>
      <c r="G781" s="116">
        <v>4</v>
      </c>
      <c r="H781" s="117"/>
      <c r="I781" s="116">
        <v>1</v>
      </c>
      <c r="J781" s="118">
        <f>ROUND(PRODUCT(E781:I781),2)</f>
        <v>8</v>
      </c>
    </row>
    <row r="782" spans="1:10">
      <c r="A782" s="553"/>
      <c r="B782" s="554"/>
      <c r="C782" s="554"/>
      <c r="D782" s="554"/>
      <c r="E782" s="554"/>
      <c r="F782" s="554"/>
      <c r="G782" s="554"/>
      <c r="H782" s="554"/>
      <c r="I782" s="554"/>
      <c r="J782" s="555"/>
    </row>
    <row r="783" spans="1:10" ht="25.5">
      <c r="A783" s="102" t="str">
        <f>'[3]Planilha Orçamentária'!A209</f>
        <v>1.4.1.2</v>
      </c>
      <c r="B783" s="108" t="str">
        <f>VLOOKUP(A783,'[3]Planilha Orçamentária'!A:K,2,0)</f>
        <v>COMP-07440249</v>
      </c>
      <c r="C783" s="104" t="str">
        <f>VLOOKUP(A783,'[3]Planilha Orçamentária'!A:K,3,0)</f>
        <v>BANHEIRO QUÍMICO, COM LOCAÇÃO, TRANSPORTE E LIMPEZA</v>
      </c>
      <c r="D783" s="105" t="str">
        <f>VLOOKUP(A783,'[3]Planilha Orçamentária'!A:K,4,0)</f>
        <v>MÊS</v>
      </c>
      <c r="E783" s="104"/>
      <c r="F783" s="111"/>
      <c r="G783" s="111"/>
      <c r="H783" s="111"/>
      <c r="I783" s="111"/>
      <c r="J783" s="122">
        <f>ROUND(SUM(J786:J786),2)</f>
        <v>1</v>
      </c>
    </row>
    <row r="784" spans="1:10" ht="25.5">
      <c r="A784" s="102"/>
      <c r="B784" s="108"/>
      <c r="C784" s="104"/>
      <c r="D784" s="105"/>
      <c r="E784" s="104"/>
      <c r="F784" s="111"/>
      <c r="G784" s="111"/>
      <c r="H784" s="111"/>
      <c r="I784" s="106" t="s">
        <v>1992</v>
      </c>
      <c r="J784" s="122"/>
    </row>
    <row r="785" spans="1:10">
      <c r="A785" s="102"/>
      <c r="B785" s="108"/>
      <c r="C785" s="104"/>
      <c r="D785" s="105"/>
      <c r="E785" s="104"/>
      <c r="F785" s="111"/>
      <c r="G785" s="111"/>
      <c r="H785" s="111"/>
      <c r="I785" s="106"/>
      <c r="J785" s="122"/>
    </row>
    <row r="786" spans="1:10">
      <c r="A786" s="102"/>
      <c r="B786" s="123"/>
      <c r="C786" s="124"/>
      <c r="D786" s="125"/>
      <c r="E786" s="126"/>
      <c r="F786" s="126"/>
      <c r="G786" s="117"/>
      <c r="H786" s="117"/>
      <c r="I786" s="127">
        <v>1</v>
      </c>
      <c r="J786" s="128">
        <f>ROUND(PRODUCT(E786:I786),2)</f>
        <v>1</v>
      </c>
    </row>
    <row r="787" spans="1:10">
      <c r="A787" s="102"/>
      <c r="B787" s="123"/>
      <c r="C787" s="124"/>
      <c r="D787" s="125"/>
      <c r="E787" s="126"/>
      <c r="F787" s="126"/>
      <c r="G787" s="117"/>
      <c r="H787" s="117"/>
      <c r="I787" s="127"/>
      <c r="J787" s="128"/>
    </row>
    <row r="788" spans="1:10">
      <c r="A788" s="94" t="str">
        <f>'[3]Planilha Orçamentária'!A210</f>
        <v>1.4.2</v>
      </c>
      <c r="B788" s="95"/>
      <c r="C788" s="96" t="str">
        <f>VLOOKUP(A788,'[3]Planilha Orçamentária'!A:K,3,0)</f>
        <v>ADMINISTRAÇÃO LOCAL</v>
      </c>
      <c r="D788" s="96"/>
      <c r="E788" s="129"/>
      <c r="F788" s="130"/>
      <c r="G788" s="130"/>
      <c r="H788" s="130"/>
      <c r="I788" s="130"/>
      <c r="J788" s="131"/>
    </row>
    <row r="789" spans="1:10" ht="25.5">
      <c r="A789" s="132" t="str">
        <f>'[3]Planilha Orçamentária'!A211</f>
        <v>1.4.2.1</v>
      </c>
      <c r="B789" s="103">
        <f>VLOOKUP(A789,'[3]Planilha Orçamentária'!A:K,2,0)</f>
        <v>93565</v>
      </c>
      <c r="C789" s="104" t="str">
        <f>VLOOKUP(A789,'[3]Planilha Orçamentária'!A:K,3,0)</f>
        <v>ENGENHEIRO CIVIL DE OBRA JUNIOR COM ENCARGOS COMPLEMENTARES</v>
      </c>
      <c r="D789" s="105" t="str">
        <f>VLOOKUP(A789,'[3]Planilha Orçamentária'!A:K,4,0)</f>
        <v>MES</v>
      </c>
      <c r="E789" s="133"/>
      <c r="F789" s="134"/>
      <c r="G789" s="134"/>
      <c r="H789" s="134"/>
      <c r="I789" s="134"/>
      <c r="J789" s="107">
        <f>ROUND(SUM(J791),2)</f>
        <v>0.13</v>
      </c>
    </row>
    <row r="790" spans="1:10" ht="14.25">
      <c r="A790" s="132"/>
      <c r="B790" s="103"/>
      <c r="C790" s="135" t="s">
        <v>2162</v>
      </c>
      <c r="D790" s="105"/>
      <c r="E790" s="133"/>
      <c r="F790" s="136"/>
      <c r="G790" s="136"/>
      <c r="H790" s="136"/>
      <c r="I790" s="136"/>
      <c r="J790" s="107"/>
    </row>
    <row r="791" spans="1:10" ht="14.25">
      <c r="A791" s="137"/>
      <c r="B791" s="138"/>
      <c r="C791" s="135" t="s">
        <v>2091</v>
      </c>
      <c r="D791" s="139"/>
      <c r="E791" s="136">
        <f>22/176</f>
        <v>0.125</v>
      </c>
      <c r="F791" s="136"/>
      <c r="G791" s="136"/>
      <c r="H791" s="136"/>
      <c r="I791" s="136">
        <f>I786</f>
        <v>1</v>
      </c>
      <c r="J791" s="118">
        <f>ROUND(PRODUCT(E791:I791),2)</f>
        <v>0.13</v>
      </c>
    </row>
    <row r="792" spans="1:10" ht="14.25">
      <c r="A792" s="137"/>
      <c r="B792" s="138"/>
      <c r="C792" s="135" t="s">
        <v>1994</v>
      </c>
      <c r="D792" s="139"/>
      <c r="E792" s="136"/>
      <c r="F792" s="136"/>
      <c r="G792" s="136"/>
      <c r="H792" s="136"/>
      <c r="I792" s="136"/>
      <c r="J792" s="140"/>
    </row>
    <row r="793" spans="1:10" ht="14.25">
      <c r="A793" s="137"/>
      <c r="B793" s="138"/>
      <c r="C793" s="135" t="s">
        <v>1995</v>
      </c>
      <c r="D793" s="141"/>
      <c r="E793" s="142"/>
      <c r="F793" s="127"/>
      <c r="G793" s="117"/>
      <c r="H793" s="117"/>
      <c r="I793" s="143"/>
      <c r="J793" s="144"/>
    </row>
    <row r="794" spans="1:10">
      <c r="A794" s="531"/>
      <c r="B794" s="531"/>
      <c r="C794" s="531"/>
      <c r="D794" s="531"/>
      <c r="E794" s="531"/>
      <c r="F794" s="531"/>
      <c r="G794" s="531"/>
      <c r="H794" s="531"/>
      <c r="I794" s="531"/>
      <c r="J794" s="531"/>
    </row>
    <row r="795" spans="1:10" ht="25.5">
      <c r="A795" s="132" t="str">
        <f>'[3]Planilha Orçamentária'!A212</f>
        <v>1.4.2.2</v>
      </c>
      <c r="B795" s="103">
        <f>VLOOKUP(A795,'[3]Planilha Orçamentária'!A:K,2,0)</f>
        <v>93572</v>
      </c>
      <c r="C795" s="104" t="str">
        <f>VLOOKUP(A795,'[3]Planilha Orçamentária'!A:K,3,0)</f>
        <v>ENCARREGADO GERAL DE OBRAS COM ENCARGOS COMPLEMENTARES</v>
      </c>
      <c r="D795" s="105" t="str">
        <f>VLOOKUP(A795,'[3]Planilha Orçamentária'!A:K,4,0)</f>
        <v>MES</v>
      </c>
      <c r="E795" s="133"/>
      <c r="F795" s="134"/>
      <c r="G795" s="134"/>
      <c r="H795" s="134"/>
      <c r="I795" s="134"/>
      <c r="J795" s="107">
        <f>ROUND(SUM(J797),2)</f>
        <v>0.25</v>
      </c>
    </row>
    <row r="796" spans="1:10" ht="14.25">
      <c r="A796" s="132"/>
      <c r="B796" s="103"/>
      <c r="C796" s="135" t="s">
        <v>2162</v>
      </c>
      <c r="D796" s="105"/>
      <c r="E796" s="133"/>
      <c r="F796" s="136"/>
      <c r="G796" s="136"/>
      <c r="H796" s="136"/>
      <c r="I796" s="136"/>
      <c r="J796" s="107"/>
    </row>
    <row r="797" spans="1:10" ht="14.25">
      <c r="A797" s="137"/>
      <c r="B797" s="138"/>
      <c r="C797" s="135" t="s">
        <v>2163</v>
      </c>
      <c r="D797" s="139"/>
      <c r="E797" s="136">
        <f>44/176</f>
        <v>0.25</v>
      </c>
      <c r="F797" s="136"/>
      <c r="G797" s="136"/>
      <c r="H797" s="136"/>
      <c r="I797" s="136">
        <f>I786</f>
        <v>1</v>
      </c>
      <c r="J797" s="118">
        <f>ROUND(PRODUCT(E797:I797),2)</f>
        <v>0.25</v>
      </c>
    </row>
    <row r="798" spans="1:10" ht="14.25">
      <c r="A798" s="137"/>
      <c r="B798" s="138"/>
      <c r="C798" s="135" t="s">
        <v>2164</v>
      </c>
      <c r="D798" s="139"/>
      <c r="E798" s="136"/>
      <c r="F798" s="136"/>
      <c r="G798" s="136"/>
      <c r="H798" s="136"/>
      <c r="I798" s="136"/>
      <c r="J798" s="140"/>
    </row>
    <row r="799" spans="1:10" ht="14.25">
      <c r="A799" s="137"/>
      <c r="B799" s="138"/>
      <c r="C799" s="135" t="s">
        <v>1995</v>
      </c>
      <c r="D799" s="141"/>
      <c r="E799" s="142"/>
      <c r="F799" s="127"/>
      <c r="G799" s="117"/>
      <c r="H799" s="117"/>
      <c r="I799" s="143"/>
      <c r="J799" s="144"/>
    </row>
    <row r="800" spans="1:10">
      <c r="A800" s="531"/>
      <c r="B800" s="531"/>
      <c r="C800" s="531"/>
      <c r="D800" s="531"/>
      <c r="E800" s="531"/>
      <c r="F800" s="531"/>
      <c r="G800" s="531"/>
      <c r="H800" s="531"/>
      <c r="I800" s="531"/>
      <c r="J800" s="531"/>
    </row>
    <row r="801" spans="1:10">
      <c r="A801" s="94" t="str">
        <f>'[3]Planilha Orçamentária'!A213</f>
        <v>1.4.3</v>
      </c>
      <c r="B801" s="95"/>
      <c r="C801" s="96" t="str">
        <f>VLOOKUP(A801,'[3]Planilha Orçamentária'!A:K,3,0)</f>
        <v>SERVIÇOS PRELIMINARES</v>
      </c>
      <c r="D801" s="97"/>
      <c r="E801" s="98"/>
      <c r="F801" s="99"/>
      <c r="G801" s="99"/>
      <c r="H801" s="99"/>
      <c r="I801" s="100"/>
      <c r="J801" s="101"/>
    </row>
    <row r="802" spans="1:10">
      <c r="A802" s="145" t="str">
        <f>'[3]Planilha Orçamentária'!A214</f>
        <v>1.4.3.1</v>
      </c>
      <c r="B802" s="146">
        <f>VLOOKUP(A802,'[3]Planilha Orçamentária'!A:K,2,0)</f>
        <v>99064</v>
      </c>
      <c r="C802" s="147" t="str">
        <f>VLOOKUP(A802,'[3]Planilha Orçamentária'!A:K,3,0)</f>
        <v>LOCAÇÃO DE PAVIMENTAÇÃO. AF_10/2018</v>
      </c>
      <c r="D802" s="148" t="str">
        <f>VLOOKUP(A802,'[3]Planilha Orçamentária'!A:K,4,0)</f>
        <v>M</v>
      </c>
      <c r="E802" s="147"/>
      <c r="F802" s="136"/>
      <c r="G802" s="149"/>
      <c r="H802" s="149"/>
      <c r="I802" s="149"/>
      <c r="J802" s="150">
        <f>ROUND(SUM(J804:J804),2)</f>
        <v>53.88</v>
      </c>
    </row>
    <row r="803" spans="1:10">
      <c r="A803" s="151"/>
      <c r="B803" s="152"/>
      <c r="C803" s="147"/>
      <c r="D803" s="148"/>
      <c r="E803" s="147"/>
      <c r="F803" s="106" t="s">
        <v>1989</v>
      </c>
      <c r="G803" s="149"/>
      <c r="H803" s="149"/>
      <c r="I803" s="149"/>
      <c r="J803" s="150"/>
    </row>
    <row r="804" spans="1:10">
      <c r="A804" s="153"/>
      <c r="B804" s="154"/>
      <c r="C804" s="200" t="s">
        <v>2165</v>
      </c>
      <c r="D804" s="156"/>
      <c r="E804" s="157"/>
      <c r="F804" s="157">
        <f>[3]PARÂMETROS!B351</f>
        <v>53.879999999999995</v>
      </c>
      <c r="G804" s="157"/>
      <c r="H804" s="157"/>
      <c r="I804" s="157"/>
      <c r="J804" s="158">
        <f>ROUND(PRODUCT(E804:I804),2)</f>
        <v>53.88</v>
      </c>
    </row>
    <row r="805" spans="1:10">
      <c r="A805" s="531"/>
      <c r="B805" s="531"/>
      <c r="C805" s="531"/>
      <c r="D805" s="531"/>
      <c r="E805" s="531"/>
      <c r="F805" s="531"/>
      <c r="G805" s="531"/>
      <c r="H805" s="531"/>
      <c r="I805" s="531"/>
      <c r="J805" s="531"/>
    </row>
    <row r="806" spans="1:10" ht="25.5">
      <c r="A806" s="145" t="str">
        <f>'[3]Planilha Orçamentária'!A215</f>
        <v>1.4.3.2</v>
      </c>
      <c r="B806" s="199" t="str">
        <f>VLOOKUP(A806,'[3]Planilha Orçamentária'!A:K,2,0)</f>
        <v>COMP-01471766</v>
      </c>
      <c r="C806" s="147" t="str">
        <f>VLOOKUP(A806,'[3]Planilha Orçamentária'!A:K,3,0)</f>
        <v>DEMOLIÇÃO DE MEIO-FIO</v>
      </c>
      <c r="D806" s="148" t="str">
        <f>VLOOKUP(A806,'[3]Planilha Orçamentária'!A:K,4,0)</f>
        <v>M</v>
      </c>
      <c r="E806" s="147"/>
      <c r="F806" s="160"/>
      <c r="G806" s="160"/>
      <c r="H806" s="160"/>
      <c r="I806" s="160"/>
      <c r="J806" s="150">
        <f>ROUND(SUM(J808),2)</f>
        <v>4.66</v>
      </c>
    </row>
    <row r="807" spans="1:10">
      <c r="A807" s="145"/>
      <c r="B807" s="199"/>
      <c r="C807" s="159" t="s">
        <v>2166</v>
      </c>
      <c r="D807" s="148"/>
      <c r="E807" s="147"/>
      <c r="F807" s="161" t="s">
        <v>1989</v>
      </c>
      <c r="G807" s="160"/>
      <c r="H807" s="161"/>
      <c r="I807" s="106"/>
      <c r="J807" s="150"/>
    </row>
    <row r="808" spans="1:10" ht="25.5">
      <c r="A808" s="145"/>
      <c r="B808" s="199"/>
      <c r="C808" s="162" t="s">
        <v>2167</v>
      </c>
      <c r="D808" s="123"/>
      <c r="E808" s="123"/>
      <c r="F808" s="157">
        <v>4.66</v>
      </c>
      <c r="G808" s="157"/>
      <c r="H808" s="157"/>
      <c r="I808" s="157"/>
      <c r="J808" s="128">
        <f>ROUND(PRODUCT(E808:I808),2)</f>
        <v>4.66</v>
      </c>
    </row>
    <row r="809" spans="1:10">
      <c r="A809" s="561"/>
      <c r="B809" s="562"/>
      <c r="C809" s="562"/>
      <c r="D809" s="562"/>
      <c r="E809" s="562"/>
      <c r="F809" s="562"/>
      <c r="G809" s="562"/>
      <c r="H809" s="562"/>
      <c r="I809" s="562"/>
      <c r="J809" s="563"/>
    </row>
    <row r="810" spans="1:10" ht="25.5">
      <c r="A810" s="145" t="str">
        <f>'[3]Planilha Orçamentária'!A216</f>
        <v>1.4.3.3</v>
      </c>
      <c r="B810" s="199" t="str">
        <f>VLOOKUP(A810,'[3]Planilha Orçamentária'!A:K,2,0)</f>
        <v>COMP-17562084</v>
      </c>
      <c r="C810" s="147" t="str">
        <f>VLOOKUP(A810,'[3]Planilha Orçamentária'!A:K,3,0)</f>
        <v>DEMOLIÇÃO MANUAL DE CONCRETO SIMPLES</v>
      </c>
      <c r="D810" s="148" t="str">
        <f>VLOOKUP(A810,'[3]Planilha Orçamentária'!A:K,4,0)</f>
        <v>M3</v>
      </c>
      <c r="E810" s="147"/>
      <c r="F810" s="160"/>
      <c r="G810" s="160"/>
      <c r="H810" s="160"/>
      <c r="I810" s="160"/>
      <c r="J810" s="150">
        <f>ROUND(SUM(J812),2)</f>
        <v>2.12</v>
      </c>
    </row>
    <row r="811" spans="1:10">
      <c r="A811" s="123"/>
      <c r="B811" s="123"/>
      <c r="C811" s="159" t="s">
        <v>2166</v>
      </c>
      <c r="D811" s="123"/>
      <c r="E811" s="123"/>
      <c r="F811" s="123"/>
      <c r="G811" s="123"/>
      <c r="H811" s="123" t="s">
        <v>2002</v>
      </c>
      <c r="I811" s="123" t="s">
        <v>2003</v>
      </c>
      <c r="J811" s="123"/>
    </row>
    <row r="812" spans="1:10" ht="25.5">
      <c r="A812" s="123"/>
      <c r="B812" s="123"/>
      <c r="C812" s="162" t="s">
        <v>2004</v>
      </c>
      <c r="D812" s="123"/>
      <c r="E812" s="123"/>
      <c r="F812" s="123"/>
      <c r="G812" s="123"/>
      <c r="H812" s="123">
        <v>7.0000000000000007E-2</v>
      </c>
      <c r="I812" s="123">
        <v>30.32</v>
      </c>
      <c r="J812" s="128">
        <f>ROUND(PRODUCT(E812:I812),2)</f>
        <v>2.12</v>
      </c>
    </row>
    <row r="813" spans="1:10">
      <c r="A813" s="329"/>
      <c r="B813" s="330"/>
      <c r="C813" s="330"/>
      <c r="D813" s="330"/>
      <c r="E813" s="330"/>
      <c r="F813" s="330"/>
      <c r="G813" s="330"/>
      <c r="H813" s="330"/>
      <c r="I813" s="330"/>
      <c r="J813" s="331"/>
    </row>
    <row r="814" spans="1:10" ht="51">
      <c r="A814" s="145" t="str">
        <f>'[3]Planilha Orçamentária'!A217</f>
        <v>1.4.3.4</v>
      </c>
      <c r="B814" s="199" t="str">
        <f>VLOOKUP(A814,'[3]Planilha Orçamentária'!A:K,2,0)</f>
        <v>COMP-35145154</v>
      </c>
      <c r="C814" s="147" t="str">
        <f>VLOOKUP(A814,'[3]Planilha Orçamentária'!A:K,3,0)</f>
        <v>CARGA E DESCARGA MECANICA DE SOLO UTILIZANDO CAMINHAO BASCULANTE 14,0M3/36T E PA CARREGADEIRA SOBRE PNEUS 128 HP, CAPACIDADE DA CAÇAMBA 1,7 A 2,8 M3, PESO OPERACIONAL 11632 KH</v>
      </c>
      <c r="D814" s="148" t="str">
        <f>VLOOKUP(A814,'[3]Planilha Orçamentária'!A:K,4,0)</f>
        <v>M3</v>
      </c>
      <c r="E814" s="147"/>
      <c r="F814" s="160"/>
      <c r="G814" s="160"/>
      <c r="H814" s="160"/>
      <c r="I814" s="160"/>
      <c r="J814" s="150">
        <f>ROUND(SUM(J816:J818),2)</f>
        <v>2.91</v>
      </c>
    </row>
    <row r="815" spans="1:10">
      <c r="A815" s="145"/>
      <c r="B815" s="199"/>
      <c r="C815" s="147"/>
      <c r="D815" s="166"/>
      <c r="E815" s="162" t="s">
        <v>2006</v>
      </c>
      <c r="F815" s="149"/>
      <c r="G815" s="149"/>
      <c r="H815" s="149"/>
      <c r="I815" s="161" t="s">
        <v>2007</v>
      </c>
      <c r="J815" s="150"/>
    </row>
    <row r="816" spans="1:10">
      <c r="A816" s="145"/>
      <c r="B816" s="199"/>
      <c r="C816" s="165" t="s">
        <v>2008</v>
      </c>
      <c r="D816" s="166"/>
      <c r="E816" s="162">
        <v>1.25</v>
      </c>
      <c r="F816" s="149"/>
      <c r="G816" s="149"/>
      <c r="H816" s="149"/>
      <c r="I816" s="167">
        <f>J810</f>
        <v>2.12</v>
      </c>
      <c r="J816" s="128">
        <f>ROUND(PRODUCT(E816:I816),2)</f>
        <v>2.65</v>
      </c>
    </row>
    <row r="817" spans="1:10">
      <c r="A817" s="145"/>
      <c r="B817" s="199"/>
      <c r="C817" s="165"/>
      <c r="D817" s="166"/>
      <c r="E817" s="162" t="s">
        <v>2006</v>
      </c>
      <c r="F817" s="169" t="s">
        <v>1989</v>
      </c>
      <c r="G817" s="169" t="s">
        <v>1990</v>
      </c>
      <c r="H817" s="169" t="s">
        <v>2069</v>
      </c>
      <c r="I817" s="161"/>
      <c r="J817" s="150"/>
    </row>
    <row r="818" spans="1:10">
      <c r="A818" s="145"/>
      <c r="B818" s="199"/>
      <c r="C818" s="165" t="s">
        <v>2168</v>
      </c>
      <c r="D818" s="166"/>
      <c r="E818" s="162">
        <v>1.25</v>
      </c>
      <c r="F818" s="157">
        <f>J806</f>
        <v>4.66</v>
      </c>
      <c r="G818" s="157">
        <v>0.15</v>
      </c>
      <c r="H818" s="157">
        <v>0.3</v>
      </c>
      <c r="I818" s="167"/>
      <c r="J818" s="128">
        <f>ROUND(PRODUCT(E818:I818),2)</f>
        <v>0.26</v>
      </c>
    </row>
    <row r="819" spans="1:10">
      <c r="A819" s="561"/>
      <c r="B819" s="562"/>
      <c r="C819" s="562"/>
      <c r="D819" s="562"/>
      <c r="E819" s="562"/>
      <c r="F819" s="562"/>
      <c r="G819" s="562"/>
      <c r="H819" s="562"/>
      <c r="I819" s="562"/>
      <c r="J819" s="563"/>
    </row>
    <row r="820" spans="1:10" ht="38.25">
      <c r="A820" s="145" t="str">
        <f>'[3]Planilha Orçamentária'!A218</f>
        <v>1.4.3.5</v>
      </c>
      <c r="B820" s="199">
        <f>VLOOKUP(A820,'[3]Planilha Orçamentária'!A:K,2,0)</f>
        <v>95876</v>
      </c>
      <c r="C820" s="147" t="str">
        <f>VLOOKUP(A820,'[3]Planilha Orçamentária'!A:K,3,0)</f>
        <v>TRANSPORTE COM CAMINHÃO BASCULANTE DE 14 M³, EM VIA URBANA PAVIMENTADA, DMT ATÉ 30 KM (UNIDADE: M3XKM). AF_07/2020</v>
      </c>
      <c r="D820" s="148" t="str">
        <f>VLOOKUP(A820,'[3]Planilha Orçamentária'!A:K,4,0)</f>
        <v>M3XKM</v>
      </c>
      <c r="E820" s="147"/>
      <c r="F820" s="160"/>
      <c r="G820" s="160"/>
      <c r="H820" s="160"/>
      <c r="I820" s="160"/>
      <c r="J820" s="150">
        <f>ROUND(SUM(J822),2)</f>
        <v>26.48</v>
      </c>
    </row>
    <row r="821" spans="1:10">
      <c r="A821" s="145"/>
      <c r="B821" s="199"/>
      <c r="C821" s="171" t="s">
        <v>2169</v>
      </c>
      <c r="D821" s="123"/>
      <c r="E821" s="123" t="s">
        <v>2011</v>
      </c>
      <c r="F821" s="123"/>
      <c r="G821" s="123"/>
      <c r="H821" s="123"/>
      <c r="I821" s="123" t="s">
        <v>2007</v>
      </c>
      <c r="J821" s="150"/>
    </row>
    <row r="822" spans="1:10">
      <c r="A822" s="145"/>
      <c r="B822" s="199"/>
      <c r="C822" s="155" t="s">
        <v>2170</v>
      </c>
      <c r="D822" s="123"/>
      <c r="E822" s="162">
        <v>9.1</v>
      </c>
      <c r="F822" s="162"/>
      <c r="G822" s="162"/>
      <c r="H822" s="162"/>
      <c r="I822" s="172">
        <f>J814</f>
        <v>2.91</v>
      </c>
      <c r="J822" s="128">
        <f>ROUND(PRODUCT(E822:I822),2)</f>
        <v>26.48</v>
      </c>
    </row>
    <row r="823" spans="1:10">
      <c r="A823" s="561"/>
      <c r="B823" s="562"/>
      <c r="C823" s="562"/>
      <c r="D823" s="562"/>
      <c r="E823" s="562"/>
      <c r="F823" s="562"/>
      <c r="G823" s="562"/>
      <c r="H823" s="562"/>
      <c r="I823" s="562"/>
      <c r="J823" s="563"/>
    </row>
    <row r="824" spans="1:10">
      <c r="A824" s="94" t="str">
        <f>'[3]Planilha Orçamentária'!A219</f>
        <v>1.4.4</v>
      </c>
      <c r="B824" s="95"/>
      <c r="C824" s="96" t="str">
        <f>VLOOKUP(A824,'[3]Planilha Orçamentária'!A:K,3,0)</f>
        <v>TERRAPLANAGEM</v>
      </c>
      <c r="D824" s="97"/>
      <c r="E824" s="98"/>
      <c r="F824" s="99"/>
      <c r="G824" s="99"/>
      <c r="H824" s="99"/>
      <c r="I824" s="100"/>
      <c r="J824" s="173"/>
    </row>
    <row r="825" spans="1:10" ht="38.25">
      <c r="A825" s="132" t="str">
        <f>'[3]Planilha Orçamentária'!A220</f>
        <v>1.4.4.1</v>
      </c>
      <c r="B825" s="103" t="str">
        <f>VLOOKUP(A825,'[3]Planilha Orçamentária'!A:K,2,0)</f>
        <v>CP-74205/001-17324935</v>
      </c>
      <c r="C825" s="104" t="str">
        <f>VLOOKUP(A825,'[3]Planilha Orçamentária'!A:K,3,0)</f>
        <v>ESCAVAÇÃO MECÂNICA DE MATERIAL 1A. CATEGORIA, PROVENIENTE DE CORTE DE SUBLEITO (C/TRATOR ESTEIRAS  160HP)</v>
      </c>
      <c r="D825" s="105" t="str">
        <f>VLOOKUP(A825,'[3]Planilha Orçamentária'!A:K,4,0)</f>
        <v>M3</v>
      </c>
      <c r="E825" s="104"/>
      <c r="F825" s="111"/>
      <c r="G825" s="111"/>
      <c r="H825" s="111"/>
      <c r="I825" s="111"/>
      <c r="J825" s="107">
        <f>ROUND(SUM(J827:J827),2)</f>
        <v>137.07</v>
      </c>
    </row>
    <row r="826" spans="1:10">
      <c r="A826" s="132"/>
      <c r="B826" s="103"/>
      <c r="C826" s="165" t="s">
        <v>2171</v>
      </c>
      <c r="D826" s="105"/>
      <c r="E826" s="104"/>
      <c r="F826" s="111"/>
      <c r="G826" s="111"/>
      <c r="H826" s="111"/>
      <c r="I826" s="106" t="s">
        <v>2007</v>
      </c>
      <c r="J826" s="107"/>
    </row>
    <row r="827" spans="1:10">
      <c r="A827" s="174"/>
      <c r="B827" s="175"/>
      <c r="C827" s="155" t="s">
        <v>2097</v>
      </c>
      <c r="D827" s="156"/>
      <c r="E827" s="157"/>
      <c r="F827" s="157"/>
      <c r="G827" s="157"/>
      <c r="H827" s="157"/>
      <c r="I827" s="157">
        <f>[3]PARÂMETROS!G353</f>
        <v>137.07</v>
      </c>
      <c r="J827" s="176">
        <f>ROUND(PRODUCT(E827:I827),2)</f>
        <v>137.07</v>
      </c>
    </row>
    <row r="828" spans="1:10">
      <c r="A828" s="549"/>
      <c r="B828" s="549"/>
      <c r="C828" s="549"/>
      <c r="D828" s="549"/>
      <c r="E828" s="549"/>
      <c r="F828" s="549"/>
      <c r="G828" s="549"/>
      <c r="H828" s="549"/>
      <c r="I828" s="549"/>
      <c r="J828" s="549"/>
    </row>
    <row r="829" spans="1:10" ht="51">
      <c r="A829" s="177" t="str">
        <f>'[3]Planilha Orçamentária'!A221</f>
        <v>1.4.4.2</v>
      </c>
      <c r="B829" s="178" t="str">
        <f>VLOOKUP(A829,'[3]Planilha Orçamentária'!A:K,2,0)</f>
        <v>COMP-35145154</v>
      </c>
      <c r="C829" s="179" t="str">
        <f>VLOOKUP(A829,'[3]Planilha Orçamentária'!A:K,3,0)</f>
        <v>CARGA E DESCARGA MECANICA DE SOLO UTILIZANDO CAMINHAO BASCULANTE 14,0M3/36T E PA CARREGADEIRA SOBRE PNEUS 128 HP, CAPACIDADE DA CAÇAMBA 1,7 A 2,8 M3, PESO OPERACIONAL 11632 KH</v>
      </c>
      <c r="D829" s="180" t="str">
        <f>VLOOKUP(A829,'[3]Planilha Orçamentária'!A:K,4,0)</f>
        <v>M3</v>
      </c>
      <c r="E829" s="179"/>
      <c r="F829" s="181"/>
      <c r="G829" s="181"/>
      <c r="H829" s="181"/>
      <c r="I829" s="181"/>
      <c r="J829" s="107">
        <f>ROUND(SUM(J831:J831),2)</f>
        <v>171.34</v>
      </c>
    </row>
    <row r="830" spans="1:10">
      <c r="A830" s="177"/>
      <c r="B830" s="178"/>
      <c r="C830" s="155" t="s">
        <v>2015</v>
      </c>
      <c r="D830" s="180"/>
      <c r="E830" s="184" t="s">
        <v>2006</v>
      </c>
      <c r="F830" s="332"/>
      <c r="G830" s="332"/>
      <c r="H830" s="332"/>
      <c r="I830" s="332" t="s">
        <v>2007</v>
      </c>
      <c r="J830" s="182"/>
    </row>
    <row r="831" spans="1:10">
      <c r="A831" s="177"/>
      <c r="B831" s="178"/>
      <c r="C831" s="155" t="s">
        <v>2016</v>
      </c>
      <c r="D831" s="156"/>
      <c r="E831" s="157">
        <v>1.25</v>
      </c>
      <c r="F831" s="116"/>
      <c r="G831" s="116"/>
      <c r="H831" s="116"/>
      <c r="I831" s="116">
        <f>J825</f>
        <v>137.07</v>
      </c>
      <c r="J831" s="176">
        <f>ROUND(PRODUCT(E831:I831),2)</f>
        <v>171.34</v>
      </c>
    </row>
    <row r="832" spans="1:10">
      <c r="A832" s="549"/>
      <c r="B832" s="549"/>
      <c r="C832" s="549"/>
      <c r="D832" s="549"/>
      <c r="E832" s="549"/>
      <c r="F832" s="549"/>
      <c r="G832" s="549"/>
      <c r="H832" s="549"/>
      <c r="I832" s="549"/>
      <c r="J832" s="549"/>
    </row>
    <row r="833" spans="1:10" ht="38.25">
      <c r="A833" s="186" t="str">
        <f>'[3]Planilha Orçamentária'!A222</f>
        <v>1.4.4.3</v>
      </c>
      <c r="B833" s="187">
        <f>VLOOKUP(A833,'[3]Planilha Orçamentária'!A:K,2,0)</f>
        <v>95876</v>
      </c>
      <c r="C833" s="188" t="str">
        <f>VLOOKUP(A833,'[3]Planilha Orçamentária'!A:K,3,0)</f>
        <v>TRANSPORTE COM CAMINHÃO BASCULANTE DE 14 M³, EM VIA URBANA PAVIMENTADA, DMT ATÉ 30 KM (UNIDADE: M3XKM). AF_07/2020</v>
      </c>
      <c r="D833" s="189" t="str">
        <f>VLOOKUP(A833,'[3]Planilha Orçamentária'!A:K,4,0)</f>
        <v>M3XKM</v>
      </c>
      <c r="E833" s="188"/>
      <c r="F833" s="160"/>
      <c r="G833" s="160"/>
      <c r="H833" s="160"/>
      <c r="I833" s="160"/>
      <c r="J833" s="122">
        <f>ROUND(SUM(J835:J835),2)</f>
        <v>1559.19</v>
      </c>
    </row>
    <row r="834" spans="1:10">
      <c r="A834" s="186"/>
      <c r="B834" s="187"/>
      <c r="C834" s="171" t="s">
        <v>2172</v>
      </c>
      <c r="D834" s="189"/>
      <c r="E834" s="208" t="s">
        <v>2011</v>
      </c>
      <c r="F834" s="160"/>
      <c r="G834" s="160"/>
      <c r="H834" s="161"/>
      <c r="I834" s="161" t="s">
        <v>2007</v>
      </c>
      <c r="J834" s="150"/>
    </row>
    <row r="835" spans="1:10">
      <c r="A835" s="186"/>
      <c r="B835" s="187"/>
      <c r="C835" s="155" t="s">
        <v>2170</v>
      </c>
      <c r="D835" s="156"/>
      <c r="E835" s="162">
        <v>9.1</v>
      </c>
      <c r="F835" s="207"/>
      <c r="G835" s="207"/>
      <c r="H835" s="207"/>
      <c r="I835" s="195">
        <f>J829</f>
        <v>171.34</v>
      </c>
      <c r="J835" s="196">
        <f>ROUND(PRODUCT(E835:I835),2)</f>
        <v>1559.19</v>
      </c>
    </row>
    <row r="836" spans="1:10">
      <c r="A836" s="532"/>
      <c r="B836" s="533"/>
      <c r="C836" s="533"/>
      <c r="D836" s="533"/>
      <c r="E836" s="533"/>
      <c r="F836" s="533"/>
      <c r="G836" s="533"/>
      <c r="H836" s="533"/>
      <c r="I836" s="533"/>
      <c r="J836" s="534"/>
    </row>
    <row r="837" spans="1:10">
      <c r="A837" s="94" t="str">
        <f>'[3]Planilha Orçamentária'!A223</f>
        <v>1.4.5</v>
      </c>
      <c r="B837" s="95"/>
      <c r="C837" s="96" t="str">
        <f>VLOOKUP(A837,'[3]Planilha Orçamentária'!A:K,3,0)</f>
        <v>PAVIMENTAÇÃO</v>
      </c>
      <c r="D837" s="97"/>
      <c r="E837" s="98"/>
      <c r="F837" s="99"/>
      <c r="G837" s="99"/>
      <c r="H837" s="99"/>
      <c r="I837" s="100"/>
      <c r="J837" s="173"/>
    </row>
    <row r="838" spans="1:10" ht="25.5">
      <c r="A838" s="132" t="str">
        <f>'[3]Planilha Orçamentária'!A224</f>
        <v>1.4.5.1</v>
      </c>
      <c r="B838" s="103">
        <f>VLOOKUP(A838,'[3]Planilha Orçamentária'!A:K,2,0)</f>
        <v>100576</v>
      </c>
      <c r="C838" s="104" t="str">
        <f>VLOOKUP(A838,'[3]Planilha Orçamentária'!A:K,3,0)</f>
        <v>REGULARIZAÇÃO E COMPACTAÇÃO DE SUBLEITO DE SOLO  PREDOMINANTEMENTE ARGILOSO. AF_11/2019</v>
      </c>
      <c r="D838" s="105" t="str">
        <f>VLOOKUP(A838,'[3]Planilha Orçamentária'!A:K,4,0)</f>
        <v>M2</v>
      </c>
      <c r="E838" s="104"/>
      <c r="F838" s="111"/>
      <c r="G838" s="111"/>
      <c r="H838" s="111"/>
      <c r="I838" s="111"/>
      <c r="J838" s="107">
        <f>ROUND(SUM(J840:J841),2)</f>
        <v>323.27999999999997</v>
      </c>
    </row>
    <row r="839" spans="1:10">
      <c r="A839" s="132"/>
      <c r="B839" s="103"/>
      <c r="C839" s="165" t="s">
        <v>2173</v>
      </c>
      <c r="D839" s="105"/>
      <c r="E839" s="104"/>
      <c r="F839" s="111"/>
      <c r="G839" s="111"/>
      <c r="H839" s="111"/>
      <c r="I839" s="106"/>
      <c r="J839" s="107"/>
    </row>
    <row r="840" spans="1:10" ht="14.25">
      <c r="A840" s="132"/>
      <c r="B840" s="103"/>
      <c r="C840" s="204"/>
      <c r="D840" s="148"/>
      <c r="E840" s="147"/>
      <c r="F840" s="161" t="s">
        <v>1989</v>
      </c>
      <c r="G840" s="161" t="s">
        <v>1990</v>
      </c>
      <c r="H840" s="111"/>
      <c r="I840" s="106"/>
      <c r="J840" s="176">
        <f>ROUND(PRODUCT(E840:I840),2)</f>
        <v>0</v>
      </c>
    </row>
    <row r="841" spans="1:10" ht="25.5">
      <c r="A841" s="174"/>
      <c r="B841" s="175"/>
      <c r="C841" s="200" t="s">
        <v>2019</v>
      </c>
      <c r="D841" s="148"/>
      <c r="E841" s="147"/>
      <c r="F841" s="207">
        <f>(20-3.53)+(1*20)+(17.41)</f>
        <v>53.879999999999995</v>
      </c>
      <c r="G841" s="208">
        <f>5+1</f>
        <v>6</v>
      </c>
      <c r="H841" s="157"/>
      <c r="I841" s="157"/>
      <c r="J841" s="176">
        <f>ROUND(PRODUCT(E841:I841),2)</f>
        <v>323.27999999999997</v>
      </c>
    </row>
    <row r="842" spans="1:10">
      <c r="A842" s="549"/>
      <c r="B842" s="549"/>
      <c r="C842" s="549"/>
      <c r="D842" s="549"/>
      <c r="E842" s="549"/>
      <c r="F842" s="549"/>
      <c r="G842" s="549"/>
      <c r="H842" s="549"/>
      <c r="I842" s="549"/>
      <c r="J842" s="549"/>
    </row>
    <row r="843" spans="1:10" ht="25.5">
      <c r="A843" s="251" t="str">
        <f>'[3]Planilha Orçamentária'!A225</f>
        <v>1.4.5.2</v>
      </c>
      <c r="B843" s="252" t="str">
        <f>VLOOKUP(A843,'[3]Planilha Orçamentária'!A:K,2,0)</f>
        <v>COMP-47176600</v>
      </c>
      <c r="C843" s="255" t="str">
        <f>VLOOKUP(A843,'[3]Planilha Orçamentária'!A:K,3,0)</f>
        <v xml:space="preserve">EXEC. DE ATERRO COM AREIA COM ADENSAMENTO HIDRAULICO </v>
      </c>
      <c r="D843" s="254" t="str">
        <f>VLOOKUP(A843,'[3]Planilha Orçamentária'!A:K,4,0)</f>
        <v xml:space="preserve">M3    </v>
      </c>
      <c r="E843" s="255"/>
      <c r="F843" s="256"/>
      <c r="G843" s="256"/>
      <c r="H843" s="256"/>
      <c r="I843" s="256"/>
      <c r="J843" s="257">
        <f>ROUND(SUM(J845:J846),2)</f>
        <v>40.409999999999997</v>
      </c>
    </row>
    <row r="844" spans="1:10">
      <c r="A844" s="123"/>
      <c r="B844" s="123"/>
      <c r="C844" s="165" t="s">
        <v>2173</v>
      </c>
      <c r="D844" s="123"/>
      <c r="E844" s="123"/>
      <c r="F844" s="161" t="s">
        <v>1989</v>
      </c>
      <c r="G844" s="161" t="s">
        <v>1990</v>
      </c>
      <c r="H844" s="161" t="s">
        <v>2002</v>
      </c>
      <c r="I844" s="123"/>
      <c r="J844" s="123"/>
    </row>
    <row r="845" spans="1:10" ht="28.5">
      <c r="A845" s="123"/>
      <c r="B845" s="123"/>
      <c r="C845" s="204" t="s">
        <v>2020</v>
      </c>
      <c r="D845" s="123"/>
      <c r="E845" s="123"/>
      <c r="F845" s="272">
        <f>F841</f>
        <v>53.879999999999995</v>
      </c>
      <c r="G845" s="208">
        <f>5+1-1</f>
        <v>5</v>
      </c>
      <c r="H845" s="123">
        <v>0.15</v>
      </c>
      <c r="I845" s="123"/>
      <c r="J845" s="176">
        <f>ROUND(PRODUCT(E845:I845),2)</f>
        <v>40.409999999999997</v>
      </c>
    </row>
    <row r="846" spans="1:10">
      <c r="A846" s="123"/>
      <c r="B846" s="123"/>
      <c r="C846" s="123"/>
      <c r="D846" s="123"/>
      <c r="E846" s="123"/>
      <c r="F846" s="123"/>
      <c r="G846" s="123"/>
      <c r="H846" s="123"/>
      <c r="I846" s="123"/>
      <c r="J846" s="123"/>
    </row>
    <row r="847" spans="1:10">
      <c r="A847" s="561"/>
      <c r="B847" s="562"/>
      <c r="C847" s="562"/>
      <c r="D847" s="562"/>
      <c r="E847" s="562"/>
      <c r="F847" s="562"/>
      <c r="G847" s="562"/>
      <c r="H847" s="562"/>
      <c r="I847" s="562"/>
      <c r="J847" s="562"/>
    </row>
    <row r="848" spans="1:10" ht="38.25">
      <c r="A848" s="132" t="str">
        <f>'[3]Planilha Orçamentária'!A226</f>
        <v>1.4.5.3</v>
      </c>
      <c r="B848" s="103" t="str">
        <f>VLOOKUP(A848,'[3]Planilha Orçamentária'!A:K,2,0)</f>
        <v>COMP-28881239</v>
      </c>
      <c r="C848" s="104" t="str">
        <f>VLOOKUP(A848,'[3]Planilha Orçamentária'!A:K,3,0)</f>
        <v>Base ou sub-base de macadame hidráulico com brita comercial - EXCLUSIVE MATERIAL, CARGA E TRANSPORTE - NÃO DESONERADO</v>
      </c>
      <c r="D848" s="105" t="str">
        <f>VLOOKUP(A848,'[3]Planilha Orçamentária'!A:K,4,0)</f>
        <v>M3</v>
      </c>
      <c r="E848" s="104"/>
      <c r="F848" s="111"/>
      <c r="G848" s="111"/>
      <c r="H848" s="111"/>
      <c r="I848" s="111"/>
      <c r="J848" s="107">
        <f>ROUND(SUM(J851:J851),2)</f>
        <v>40.409999999999997</v>
      </c>
    </row>
    <row r="849" spans="1:10">
      <c r="A849" s="132"/>
      <c r="B849" s="103"/>
      <c r="C849" s="165" t="s">
        <v>2173</v>
      </c>
      <c r="D849" s="105"/>
      <c r="E849" s="104"/>
      <c r="F849" s="111"/>
      <c r="G849" s="111"/>
      <c r="H849" s="111"/>
      <c r="I849" s="106"/>
      <c r="J849" s="107"/>
    </row>
    <row r="850" spans="1:10" ht="14.25">
      <c r="A850" s="132"/>
      <c r="B850" s="103"/>
      <c r="C850" s="204"/>
      <c r="D850" s="148"/>
      <c r="E850" s="147"/>
      <c r="F850" s="161" t="s">
        <v>1989</v>
      </c>
      <c r="G850" s="161" t="s">
        <v>1990</v>
      </c>
      <c r="H850" s="161" t="s">
        <v>2002</v>
      </c>
      <c r="I850" s="106"/>
      <c r="J850" s="107"/>
    </row>
    <row r="851" spans="1:10" ht="28.5">
      <c r="A851" s="174"/>
      <c r="B851" s="175"/>
      <c r="C851" s="204" t="s">
        <v>2020</v>
      </c>
      <c r="D851" s="148"/>
      <c r="E851" s="147"/>
      <c r="F851" s="161">
        <f>F841</f>
        <v>53.879999999999995</v>
      </c>
      <c r="G851" s="208">
        <f>5+1-1</f>
        <v>5</v>
      </c>
      <c r="H851" s="161">
        <v>0.15</v>
      </c>
      <c r="I851" s="157"/>
      <c r="J851" s="176">
        <f>ROUND(PRODUCT(E851:I851),2)</f>
        <v>40.409999999999997</v>
      </c>
    </row>
    <row r="852" spans="1:10">
      <c r="A852" s="549"/>
      <c r="B852" s="549"/>
      <c r="C852" s="549"/>
      <c r="D852" s="549"/>
      <c r="E852" s="549"/>
      <c r="F852" s="549"/>
      <c r="G852" s="549"/>
      <c r="H852" s="549"/>
      <c r="I852" s="549"/>
      <c r="J852" s="549"/>
    </row>
    <row r="853" spans="1:10" ht="38.25">
      <c r="A853" s="132" t="str">
        <f>'[3]Planilha Orçamentária'!A227</f>
        <v>1.4.5.4</v>
      </c>
      <c r="B853" s="103" t="str">
        <f>VLOOKUP(A853,'[3]Planilha Orçamentária'!A:K,2,0)</f>
        <v>CP-96396-26507981</v>
      </c>
      <c r="C853" s="104" t="str">
        <f>VLOOKUP(A853,'[3]Planilha Orçamentária'!A:K,3,0)</f>
        <v>EXECUÇÃO E COMPACTAÇÃO DE BASE E OU SUB BASE PARA PAVIMENTAÇÃO DE BRITA GRADUADA SIMPLES - EXCLUSIVE MATERIAL, CARGA E TRANSPORTE</v>
      </c>
      <c r="D853" s="105" t="str">
        <f>VLOOKUP(A853,'[3]Planilha Orçamentária'!A:K,4,0)</f>
        <v>M3</v>
      </c>
      <c r="E853" s="104"/>
      <c r="F853" s="111"/>
      <c r="G853" s="111"/>
      <c r="H853" s="111"/>
      <c r="I853" s="111"/>
      <c r="J853" s="107">
        <f>ROUND(SUM(J856:J856),2)</f>
        <v>43.1</v>
      </c>
    </row>
    <row r="854" spans="1:10">
      <c r="A854" s="132"/>
      <c r="B854" s="103"/>
      <c r="C854" s="165" t="s">
        <v>2173</v>
      </c>
      <c r="D854" s="105"/>
      <c r="E854" s="104"/>
      <c r="F854" s="111"/>
      <c r="G854" s="111"/>
      <c r="H854" s="111"/>
      <c r="I854" s="106"/>
      <c r="J854" s="107"/>
    </row>
    <row r="855" spans="1:10" ht="14.25">
      <c r="A855" s="132"/>
      <c r="B855" s="103"/>
      <c r="C855" s="204"/>
      <c r="D855" s="148"/>
      <c r="E855" s="147"/>
      <c r="F855" s="161" t="s">
        <v>1989</v>
      </c>
      <c r="G855" s="161" t="s">
        <v>1990</v>
      </c>
      <c r="H855" s="161" t="s">
        <v>2002</v>
      </c>
      <c r="I855" s="106"/>
      <c r="J855" s="107"/>
    </row>
    <row r="856" spans="1:10" ht="28.5">
      <c r="A856" s="174"/>
      <c r="B856" s="175"/>
      <c r="C856" s="204" t="s">
        <v>2021</v>
      </c>
      <c r="D856" s="148"/>
      <c r="E856" s="147"/>
      <c r="F856" s="161">
        <f>F851</f>
        <v>53.879999999999995</v>
      </c>
      <c r="G856" s="161">
        <f>5-1</f>
        <v>4</v>
      </c>
      <c r="H856" s="161">
        <v>0.2</v>
      </c>
      <c r="I856" s="157"/>
      <c r="J856" s="176">
        <f>ROUND(PRODUCT(E856:I856),2)</f>
        <v>43.1</v>
      </c>
    </row>
    <row r="857" spans="1:10">
      <c r="A857" s="549"/>
      <c r="B857" s="549"/>
      <c r="C857" s="549"/>
      <c r="D857" s="549"/>
      <c r="E857" s="549"/>
      <c r="F857" s="549"/>
      <c r="G857" s="549"/>
      <c r="H857" s="549"/>
      <c r="I857" s="549"/>
      <c r="J857" s="549"/>
    </row>
    <row r="858" spans="1:10" ht="51" customHeight="1">
      <c r="A858" s="132" t="str">
        <f>'[3]Planilha Orçamentária'!A228</f>
        <v>1.4.5.5</v>
      </c>
      <c r="B858" s="108" t="str">
        <f>VLOOKUP(A858,'[3]Planilha Orçamentária'!A:K,2,0)</f>
        <v>COMP-35145154</v>
      </c>
      <c r="C858" s="104" t="str">
        <f>VLOOKUP(A858,'[3]Planilha Orçamentária'!A:K,3,0)</f>
        <v>CARGA E DESCARGA MECANICA DE SOLO UTILIZANDO CAMINHAO BASCULANTE 14,0M3/36T E PA CARREGADEIRA SOBRE PNEUS 128 HP, CAPACIDADE DA CAÇAMBA 1,7 A 2,8 M3, PESO OPERACIONAL 11632 KH</v>
      </c>
      <c r="D858" s="105" t="str">
        <f>VLOOKUP(A858,'[3]Planilha Orçamentária'!A:K,4,0)</f>
        <v>M3</v>
      </c>
      <c r="E858" s="104"/>
      <c r="F858" s="111"/>
      <c r="G858" s="111"/>
      <c r="H858" s="111"/>
      <c r="I858" s="111"/>
      <c r="J858" s="122">
        <f>ROUND(SUM(J860:J860),2)</f>
        <v>104.39</v>
      </c>
    </row>
    <row r="859" spans="1:10" ht="25.5">
      <c r="A859" s="132"/>
      <c r="B859" s="108"/>
      <c r="C859" s="147"/>
      <c r="D859" s="148"/>
      <c r="E859" s="220" t="s">
        <v>2006</v>
      </c>
      <c r="F859" s="106"/>
      <c r="G859" s="111"/>
      <c r="H859" s="111"/>
      <c r="I859" s="143" t="s">
        <v>2022</v>
      </c>
      <c r="J859" s="122"/>
    </row>
    <row r="860" spans="1:10" ht="14.25">
      <c r="A860" s="132"/>
      <c r="B860" s="108"/>
      <c r="C860" s="221" t="s">
        <v>2023</v>
      </c>
      <c r="D860" s="156"/>
      <c r="E860" s="106">
        <v>1.25</v>
      </c>
      <c r="F860" s="238"/>
      <c r="G860" s="205"/>
      <c r="H860" s="205"/>
      <c r="I860" s="239">
        <f>J853+J848</f>
        <v>83.509999999999991</v>
      </c>
      <c r="J860" s="342">
        <f t="shared" ref="J860" si="45">ROUND(PRODUCT(E860:I860),2)</f>
        <v>104.39</v>
      </c>
    </row>
    <row r="861" spans="1:10">
      <c r="A861" s="549"/>
      <c r="B861" s="549"/>
      <c r="C861" s="549"/>
      <c r="D861" s="549"/>
      <c r="E861" s="549"/>
      <c r="F861" s="549"/>
      <c r="G861" s="549"/>
      <c r="H861" s="549"/>
      <c r="I861" s="549"/>
      <c r="J861" s="549"/>
    </row>
    <row r="862" spans="1:10" ht="25.5">
      <c r="A862" s="132" t="str">
        <f>'[3]Planilha Orçamentária'!A229</f>
        <v>1.4.5.6</v>
      </c>
      <c r="B862" s="108" t="str">
        <f>VLOOKUP(A862,'[3]Planilha Orçamentária'!A:K,2,0)</f>
        <v>COMP-83526730</v>
      </c>
      <c r="C862" s="104" t="str">
        <f>VLOOKUP(A862,'[3]Planilha Orçamentária'!A:K,3,0)</f>
        <v>TRANSPORTE COMERCIAL DE BRITA</v>
      </c>
      <c r="D862" s="105" t="str">
        <f>VLOOKUP(A862,'[3]Planilha Orçamentária'!A:K,4,0)</f>
        <v>M3XKM</v>
      </c>
      <c r="E862" s="104"/>
      <c r="F862" s="111"/>
      <c r="G862" s="111"/>
      <c r="H862" s="111"/>
      <c r="I862" s="111"/>
      <c r="J862" s="122">
        <f>ROUND(SUM(J864:J864),2)</f>
        <v>1503.22</v>
      </c>
    </row>
    <row r="863" spans="1:10">
      <c r="A863" s="132"/>
      <c r="B863" s="108"/>
      <c r="C863" s="159" t="s">
        <v>2174</v>
      </c>
      <c r="D863" s="105"/>
      <c r="E863" s="165" t="s">
        <v>2011</v>
      </c>
      <c r="F863" s="106"/>
      <c r="G863" s="106"/>
      <c r="H863" s="106"/>
      <c r="I863" s="106" t="s">
        <v>2007</v>
      </c>
      <c r="J863" s="122"/>
    </row>
    <row r="864" spans="1:10" ht="25.5" customHeight="1">
      <c r="A864" s="132"/>
      <c r="B864" s="108"/>
      <c r="C864" s="204" t="s">
        <v>2175</v>
      </c>
      <c r="D864" s="174"/>
      <c r="E864" s="239">
        <v>14.4</v>
      </c>
      <c r="F864" s="223"/>
      <c r="G864" s="174"/>
      <c r="H864" s="174"/>
      <c r="I864" s="224">
        <f>J858</f>
        <v>104.39</v>
      </c>
      <c r="J864" s="342">
        <f t="shared" ref="J864" si="46">ROUND(PRODUCT(E864:I864),2)</f>
        <v>1503.22</v>
      </c>
    </row>
    <row r="865" spans="1:10">
      <c r="A865" s="549"/>
      <c r="B865" s="549"/>
      <c r="C865" s="549"/>
      <c r="D865" s="549"/>
      <c r="E865" s="549"/>
      <c r="F865" s="549"/>
      <c r="G865" s="549"/>
      <c r="H865" s="549"/>
      <c r="I865" s="549"/>
      <c r="J865" s="549"/>
    </row>
    <row r="866" spans="1:10" ht="25.5">
      <c r="A866" s="132" t="str">
        <f>'[3]Planilha Orçamentária'!A230</f>
        <v>1.4.5.7</v>
      </c>
      <c r="B866" s="103" t="str">
        <f>VLOOKUP(A866,'[3]Planilha Orçamentária'!A:K,2,0)</f>
        <v>CP-96401-52745838</v>
      </c>
      <c r="C866" s="104" t="str">
        <f>VLOOKUP(A866,'[3]Planilha Orçamentária'!A:K,3,0)</f>
        <v>EXECUÇÃO DE IMPRIMAÇÃO COM ASFALTO DILUÍDO CM-30, EXCLUSIVE MATERIAL.</v>
      </c>
      <c r="D866" s="105" t="str">
        <f>VLOOKUP(A866,'[3]Planilha Orçamentária'!A:K,4,0)</f>
        <v>M2</v>
      </c>
      <c r="E866" s="104"/>
      <c r="F866" s="111"/>
      <c r="G866" s="111"/>
      <c r="H866" s="111"/>
      <c r="I866" s="111"/>
      <c r="J866" s="107">
        <f>ROUND(SUM(J869:J871),2)</f>
        <v>184.36</v>
      </c>
    </row>
    <row r="867" spans="1:10">
      <c r="A867" s="132"/>
      <c r="B867" s="103"/>
      <c r="C867" s="165" t="s">
        <v>2173</v>
      </c>
      <c r="D867" s="105"/>
      <c r="E867" s="104"/>
      <c r="F867" s="111"/>
      <c r="G867" s="111"/>
      <c r="H867" s="111"/>
      <c r="I867" s="111"/>
      <c r="J867" s="107"/>
    </row>
    <row r="868" spans="1:10" ht="28.5">
      <c r="A868" s="132"/>
      <c r="B868" s="103"/>
      <c r="C868" s="221" t="s">
        <v>2027</v>
      </c>
      <c r="D868" s="105"/>
      <c r="E868" s="104"/>
      <c r="F868" s="223"/>
      <c r="G868" s="111"/>
      <c r="H868" s="111"/>
      <c r="I868" s="143" t="s">
        <v>2003</v>
      </c>
      <c r="J868" s="107"/>
    </row>
    <row r="869" spans="1:10" ht="14.25">
      <c r="A869" s="174"/>
      <c r="B869" s="175"/>
      <c r="C869" s="221" t="s">
        <v>2104</v>
      </c>
      <c r="D869" s="105"/>
      <c r="E869" s="104"/>
      <c r="F869" s="223"/>
      <c r="G869" s="111"/>
      <c r="H869" s="111"/>
      <c r="I869" s="224">
        <f>[3]PARÂMETROS!F363</f>
        <v>238.17</v>
      </c>
      <c r="J869" s="176">
        <f>ROUND(PRODUCT(E869:I869),2)</f>
        <v>238.17</v>
      </c>
    </row>
    <row r="870" spans="1:10" ht="14.25">
      <c r="A870" s="174"/>
      <c r="B870" s="175"/>
      <c r="C870" s="221"/>
      <c r="D870" s="105"/>
      <c r="E870" s="104"/>
      <c r="F870" s="161" t="s">
        <v>1989</v>
      </c>
      <c r="G870" s="161" t="s">
        <v>1990</v>
      </c>
      <c r="H870" s="111"/>
      <c r="I870" s="224"/>
      <c r="J870" s="395"/>
    </row>
    <row r="871" spans="1:10" ht="14.25">
      <c r="A871" s="174"/>
      <c r="B871" s="175"/>
      <c r="C871" s="221" t="s">
        <v>2028</v>
      </c>
      <c r="D871" s="105"/>
      <c r="E871" s="223">
        <v>-1</v>
      </c>
      <c r="F871" s="223">
        <v>53.81</v>
      </c>
      <c r="G871" s="223">
        <v>1</v>
      </c>
      <c r="H871" s="111"/>
      <c r="I871" s="224"/>
      <c r="J871" s="176">
        <f>ROUND(PRODUCT(E871:I871),2)</f>
        <v>-53.81</v>
      </c>
    </row>
    <row r="872" spans="1:10">
      <c r="A872" s="549"/>
      <c r="B872" s="549"/>
      <c r="C872" s="549"/>
      <c r="D872" s="549"/>
      <c r="E872" s="549"/>
      <c r="F872" s="549"/>
      <c r="G872" s="549"/>
      <c r="H872" s="549"/>
      <c r="I872" s="549"/>
      <c r="J872" s="549"/>
    </row>
    <row r="873" spans="1:10" ht="38.25">
      <c r="A873" s="132" t="str">
        <f>'[3]Planilha Orçamentária'!A231</f>
        <v>1.4.5.8</v>
      </c>
      <c r="B873" s="103" t="str">
        <f>VLOOKUP(A873,'[3]Planilha Orçamentária'!A:K,2,0)</f>
        <v>CP-95995-51339760</v>
      </c>
      <c r="C873" s="104" t="str">
        <f>VLOOKUP(A873,'[3]Planilha Orçamentária'!A:K,3,0)</f>
        <v>EXECUÇÃO DE PAVIMENTO COM APLICAÇÃO DE CONCRETO ASFÁLTICO, CAMADA DE ROLAMENTO - EXCLUSIVE CARGA E TRANSPORTE E CONCRETO BETUMINOSO</v>
      </c>
      <c r="D873" s="105" t="str">
        <f>VLOOKUP(A873,'[3]Planilha Orçamentária'!A:K,4,0)</f>
        <v>M3</v>
      </c>
      <c r="E873" s="104"/>
      <c r="F873" s="111"/>
      <c r="G873" s="111"/>
      <c r="H873" s="111"/>
      <c r="I873" s="111"/>
      <c r="J873" s="107">
        <f>ROUND(SUM(J875:J877),2)</f>
        <v>9.2200000000000006</v>
      </c>
    </row>
    <row r="874" spans="1:10">
      <c r="A874" s="132"/>
      <c r="B874" s="103"/>
      <c r="C874" s="165" t="s">
        <v>2173</v>
      </c>
      <c r="D874" s="105"/>
      <c r="E874" s="104"/>
      <c r="F874" s="111"/>
      <c r="G874" s="111"/>
      <c r="H874" s="106" t="s">
        <v>2002</v>
      </c>
      <c r="I874" s="143" t="s">
        <v>2003</v>
      </c>
      <c r="J874" s="107"/>
    </row>
    <row r="875" spans="1:10" ht="14.25">
      <c r="A875" s="174"/>
      <c r="B875" s="175"/>
      <c r="C875" s="221" t="s">
        <v>2029</v>
      </c>
      <c r="D875" s="174"/>
      <c r="E875" s="174"/>
      <c r="F875" s="223"/>
      <c r="G875" s="174"/>
      <c r="H875" s="224">
        <v>0.05</v>
      </c>
      <c r="I875" s="224">
        <f>J869</f>
        <v>238.17</v>
      </c>
      <c r="J875" s="176">
        <f>ROUND(PRODUCT(E875:I875),2)</f>
        <v>11.91</v>
      </c>
    </row>
    <row r="876" spans="1:10" ht="14.25">
      <c r="A876" s="174"/>
      <c r="B876" s="175"/>
      <c r="C876" s="221"/>
      <c r="D876" s="105"/>
      <c r="E876" s="104"/>
      <c r="F876" s="161" t="s">
        <v>1989</v>
      </c>
      <c r="G876" s="161" t="s">
        <v>1990</v>
      </c>
      <c r="H876" s="106" t="s">
        <v>2002</v>
      </c>
      <c r="I876" s="224"/>
      <c r="J876" s="395"/>
    </row>
    <row r="877" spans="1:10" ht="14.25">
      <c r="A877" s="174"/>
      <c r="B877" s="175"/>
      <c r="C877" s="221" t="s">
        <v>2028</v>
      </c>
      <c r="D877" s="105"/>
      <c r="E877" s="223">
        <v>-1</v>
      </c>
      <c r="F877" s="223">
        <f>F871</f>
        <v>53.81</v>
      </c>
      <c r="G877" s="223">
        <v>1</v>
      </c>
      <c r="H877" s="224">
        <v>0.05</v>
      </c>
      <c r="I877" s="224"/>
      <c r="J877" s="176">
        <f>ROUND(PRODUCT(E877:I877),2)</f>
        <v>-2.69</v>
      </c>
    </row>
    <row r="878" spans="1:10">
      <c r="A878" s="549"/>
      <c r="B878" s="549"/>
      <c r="C878" s="549"/>
      <c r="D878" s="549"/>
      <c r="E878" s="549"/>
      <c r="F878" s="549"/>
      <c r="G878" s="549"/>
      <c r="H878" s="549"/>
      <c r="I878" s="549"/>
      <c r="J878" s="549"/>
    </row>
    <row r="879" spans="1:10" ht="38.25">
      <c r="A879" s="132" t="str">
        <f>'[3]Planilha Orçamentária'!A232</f>
        <v>1.4.5.9</v>
      </c>
      <c r="B879" s="103" t="str">
        <f>VLOOKUP(A879,'[3]Planilha Orçamentária'!A:K,2,0)</f>
        <v>COMP-10034101</v>
      </c>
      <c r="C879" s="104" t="str">
        <f>VLOOKUP(A879,'[3]Planilha Orçamentária'!A:K,3,0)</f>
        <v>CARGA, MANOBRAS E DESCARGA DE MISTURA BETUMINOSA A QUENTE, COM CAMINHAO BASCULANTE 6 M3, DESCARGA EM VIBRO-ACABADORA</v>
      </c>
      <c r="D879" s="105" t="str">
        <f>VLOOKUP(A879,'[3]Planilha Orçamentária'!A:K,4,0)</f>
        <v>M3</v>
      </c>
      <c r="E879" s="104"/>
      <c r="F879" s="111"/>
      <c r="G879" s="111"/>
      <c r="H879" s="111"/>
      <c r="I879" s="111"/>
      <c r="J879" s="107">
        <f>ROUND(SUM(J881:J881),2)</f>
        <v>9.2200000000000006</v>
      </c>
    </row>
    <row r="880" spans="1:10" ht="14.25">
      <c r="A880" s="132"/>
      <c r="B880" s="103"/>
      <c r="C880" s="204"/>
      <c r="D880" s="105"/>
      <c r="E880" s="104"/>
      <c r="F880" s="106"/>
      <c r="G880" s="111"/>
      <c r="H880" s="111"/>
      <c r="I880" s="143" t="s">
        <v>2007</v>
      </c>
      <c r="J880" s="107"/>
    </row>
    <row r="881" spans="1:10" ht="14.25">
      <c r="A881" s="174"/>
      <c r="B881" s="175"/>
      <c r="C881" s="221" t="s">
        <v>2030</v>
      </c>
      <c r="D881" s="174"/>
      <c r="E881" s="174"/>
      <c r="F881" s="238"/>
      <c r="G881" s="205"/>
      <c r="H881" s="205"/>
      <c r="I881" s="239">
        <f>J873</f>
        <v>9.2200000000000006</v>
      </c>
      <c r="J881" s="176">
        <f>ROUND(PRODUCT(E881:I881),2)</f>
        <v>9.2200000000000006</v>
      </c>
    </row>
    <row r="882" spans="1:10">
      <c r="A882" s="549"/>
      <c r="B882" s="549"/>
      <c r="C882" s="549"/>
      <c r="D882" s="549"/>
      <c r="E882" s="549"/>
      <c r="F882" s="549"/>
      <c r="G882" s="549"/>
      <c r="H882" s="549"/>
      <c r="I882" s="549"/>
      <c r="J882" s="549"/>
    </row>
    <row r="883" spans="1:10" ht="25.5">
      <c r="A883" s="132" t="str">
        <f>'[3]Planilha Orçamentária'!A233</f>
        <v>1.4.5.10</v>
      </c>
      <c r="B883" s="103" t="str">
        <f>VLOOKUP(A883,'[3]Planilha Orçamentária'!A:K,2,0)</f>
        <v>CP-95303-56931542</v>
      </c>
      <c r="C883" s="104" t="str">
        <f>VLOOKUP(A883,'[3]Planilha Orçamentária'!A:K,3,0)</f>
        <v>TRANSPORTE COM CAMINHÃO BASCULANTE 10 M3 DE MASSA ASFALTICA PARA PAVIMENTAÇÃO URBANA</v>
      </c>
      <c r="D883" s="105" t="str">
        <f>VLOOKUP(A883,'[3]Planilha Orçamentária'!A:K,4,0)</f>
        <v>M3XKM</v>
      </c>
      <c r="E883" s="104"/>
      <c r="F883" s="111"/>
      <c r="G883" s="111"/>
      <c r="H883" s="111"/>
      <c r="I883" s="111"/>
      <c r="J883" s="107">
        <f>ROUND(SUM(J885:J885),2)</f>
        <v>203.76</v>
      </c>
    </row>
    <row r="884" spans="1:10">
      <c r="A884" s="132"/>
      <c r="B884" s="103"/>
      <c r="C884" s="159" t="s">
        <v>2176</v>
      </c>
      <c r="D884" s="105"/>
      <c r="E884" s="165" t="s">
        <v>2011</v>
      </c>
      <c r="F884" s="106"/>
      <c r="G884" s="106"/>
      <c r="H884" s="106"/>
      <c r="I884" s="106" t="s">
        <v>2007</v>
      </c>
      <c r="J884" s="107"/>
    </row>
    <row r="885" spans="1:10" ht="14.25">
      <c r="A885" s="174"/>
      <c r="B885" s="175"/>
      <c r="C885" s="204" t="s">
        <v>2177</v>
      </c>
      <c r="D885" s="174"/>
      <c r="E885" s="239">
        <v>22.1</v>
      </c>
      <c r="F885" s="223"/>
      <c r="G885" s="174"/>
      <c r="H885" s="174"/>
      <c r="I885" s="224">
        <f>J879</f>
        <v>9.2200000000000006</v>
      </c>
      <c r="J885" s="176">
        <f>ROUND(PRODUCT(E885:I885),2)</f>
        <v>203.76</v>
      </c>
    </row>
    <row r="886" spans="1:10">
      <c r="A886" s="549"/>
      <c r="B886" s="549"/>
      <c r="C886" s="549"/>
      <c r="D886" s="549"/>
      <c r="E886" s="549"/>
      <c r="F886" s="549"/>
      <c r="G886" s="549"/>
      <c r="H886" s="549"/>
      <c r="I886" s="549"/>
      <c r="J886" s="549"/>
    </row>
    <row r="887" spans="1:10" ht="25.5">
      <c r="A887" s="132" t="str">
        <f>'[3]Planilha Orçamentária'!A234</f>
        <v>1.4.5.11</v>
      </c>
      <c r="B887" s="103" t="str">
        <f>VLOOKUP(A887,'[3]Planilha Orçamentária'!A:K,2,0)</f>
        <v>CP-97084-89637704</v>
      </c>
      <c r="C887" s="104" t="str">
        <f>VLOOKUP(A887,'[3]Planilha Orçamentária'!A:K,3,0)</f>
        <v>REGULARIZACAO E COMPACTAÇÃO MANUAL DE TERRENO COM PLACA VIBRATÓRIA</v>
      </c>
      <c r="D887" s="105" t="str">
        <f>VLOOKUP(A887,'[3]Planilha Orçamentária'!A:K,4,0)</f>
        <v>M2</v>
      </c>
      <c r="E887" s="104"/>
      <c r="F887" s="111"/>
      <c r="G887" s="111"/>
      <c r="H887" s="111"/>
      <c r="I887" s="111"/>
      <c r="J887" s="107">
        <f>ROUND(SUM(J889:J889),2)</f>
        <v>179.25</v>
      </c>
    </row>
    <row r="888" spans="1:10">
      <c r="A888" s="132"/>
      <c r="B888" s="103"/>
      <c r="C888" s="165" t="s">
        <v>2173</v>
      </c>
      <c r="D888" s="105"/>
      <c r="E888" s="104"/>
      <c r="F888" s="111"/>
      <c r="G888" s="111"/>
      <c r="H888" s="111"/>
      <c r="I888" s="143" t="s">
        <v>2003</v>
      </c>
      <c r="J888" s="107"/>
    </row>
    <row r="889" spans="1:10">
      <c r="A889" s="174"/>
      <c r="B889" s="175"/>
      <c r="C889" s="244" t="s">
        <v>2033</v>
      </c>
      <c r="D889" s="174"/>
      <c r="E889" s="174"/>
      <c r="F889" s="223"/>
      <c r="G889" s="143"/>
      <c r="H889" s="143"/>
      <c r="I889" s="127">
        <f>[3]PARÂMETROS!F372</f>
        <v>179.25</v>
      </c>
      <c r="J889" s="176">
        <f>ROUND(PRODUCT(E889:I889),2)</f>
        <v>179.25</v>
      </c>
    </row>
    <row r="890" spans="1:10">
      <c r="A890" s="549"/>
      <c r="B890" s="549"/>
      <c r="C890" s="549"/>
      <c r="D890" s="549"/>
      <c r="E890" s="549"/>
      <c r="F890" s="549"/>
      <c r="G890" s="549"/>
      <c r="H890" s="549"/>
      <c r="I890" s="549"/>
      <c r="J890" s="549"/>
    </row>
    <row r="891" spans="1:10" ht="51">
      <c r="A891" s="132" t="str">
        <f>'[3]Planilha Orçamentária'!A235</f>
        <v>1.4.5.12</v>
      </c>
      <c r="B891" s="103" t="str">
        <f>VLOOKUP(A891,'[3]Planilha Orçamentária'!A:K,2,0)</f>
        <v>CP-94991-12549457</v>
      </c>
      <c r="C891" s="104" t="str">
        <f>VLOOKUP(A891,'[3]Planilha Orçamentária'!A:K,3,0)</f>
        <v>EXECUÇÃO DE PASSEIO (CALÇADA) OU PISO DE CONCRETO COM CONCRETO MOLDADO IN LOCO, USINADO, ACABAMENTO CONVENCIONAL, NÃO ARMADO - EXCLUINDO O CONCRETO USINADO 20MPA</v>
      </c>
      <c r="D891" s="105" t="str">
        <f>VLOOKUP(A891,'[3]Planilha Orçamentária'!A:K,4,0)</f>
        <v>M3</v>
      </c>
      <c r="E891" s="104"/>
      <c r="F891" s="111"/>
      <c r="G891" s="111"/>
      <c r="H891" s="111"/>
      <c r="I891" s="111"/>
      <c r="J891" s="107">
        <f>ROUND(SUM(J893:J894),2)</f>
        <v>11.9</v>
      </c>
    </row>
    <row r="892" spans="1:10">
      <c r="A892" s="132"/>
      <c r="B892" s="103"/>
      <c r="C892" s="165" t="s">
        <v>2173</v>
      </c>
      <c r="D892" s="105"/>
      <c r="E892" s="104"/>
      <c r="F892" s="111"/>
      <c r="G892" s="111"/>
      <c r="H892" s="111"/>
      <c r="I892" s="111"/>
      <c r="J892" s="107"/>
    </row>
    <row r="893" spans="1:10" ht="25.5">
      <c r="A893" s="132"/>
      <c r="B893" s="103"/>
      <c r="C893" s="155" t="s">
        <v>2107</v>
      </c>
      <c r="D893" s="174"/>
      <c r="E893" s="174"/>
      <c r="F893" s="223"/>
      <c r="G893" s="143"/>
      <c r="H893" s="143">
        <v>7.0000000000000007E-2</v>
      </c>
      <c r="I893" s="127">
        <f>J887</f>
        <v>179.25</v>
      </c>
      <c r="J893" s="176">
        <f>ROUND(PRODUCT(E893:I893),2)</f>
        <v>12.55</v>
      </c>
    </row>
    <row r="894" spans="1:10">
      <c r="A894" s="174"/>
      <c r="B894" s="175"/>
      <c r="C894" s="155" t="s">
        <v>2034</v>
      </c>
      <c r="D894" s="174"/>
      <c r="E894" s="174">
        <v>-1</v>
      </c>
      <c r="F894" s="223"/>
      <c r="G894" s="143"/>
      <c r="H894" s="143">
        <v>7.0000000000000007E-2</v>
      </c>
      <c r="I894" s="127">
        <f>J968</f>
        <v>9.25</v>
      </c>
      <c r="J894" s="176">
        <f>ROUND(PRODUCT(E894:I894),2)</f>
        <v>-0.65</v>
      </c>
    </row>
    <row r="895" spans="1:10">
      <c r="A895" s="549"/>
      <c r="B895" s="549"/>
      <c r="C895" s="549"/>
      <c r="D895" s="549"/>
      <c r="E895" s="549"/>
      <c r="F895" s="549"/>
      <c r="G895" s="549"/>
      <c r="H895" s="549"/>
      <c r="I895" s="549"/>
      <c r="J895" s="549"/>
    </row>
    <row r="896" spans="1:10" ht="63.75">
      <c r="A896" s="132" t="str">
        <f>'[3]Planilha Orçamentária'!A236</f>
        <v>1.4.5.13</v>
      </c>
      <c r="B896" s="103">
        <f>VLOOKUP(A896,'[3]Planilha Orçamentária'!A:K,2,0)</f>
        <v>94273</v>
      </c>
      <c r="C896" s="104" t="str">
        <f>VLOOKUP(A896,'[3]Planilha Orçamentária'!A:K,3,0)</f>
        <v>ASSENTAMENTO DE GUIA (MEIO-FIO) EM TRECHO RETO, CONFECCIONADA EM CONCRETO PRÉ-FABRICADO, DIMENSÕES 100X15X13X30 CM (COMPRIMENTO X BASE INFERIOR X BASE SUPERIOR X ALTURA), PARA VIAS URBANAS (USO VIÁRIO). AF_06/2016</v>
      </c>
      <c r="D896" s="105" t="str">
        <f>VLOOKUP(A896,'[3]Planilha Orçamentária'!A:K,4,0)</f>
        <v>M</v>
      </c>
      <c r="E896" s="104"/>
      <c r="F896" s="111"/>
      <c r="G896" s="111"/>
      <c r="H896" s="111"/>
      <c r="I896" s="111"/>
      <c r="J896" s="107">
        <f>ROUND(SUM(J898:J899),2)</f>
        <v>121.48</v>
      </c>
    </row>
    <row r="897" spans="1:11">
      <c r="A897" s="132"/>
      <c r="B897" s="103"/>
      <c r="C897" s="165" t="s">
        <v>2173</v>
      </c>
      <c r="D897" s="105"/>
      <c r="E897" s="104"/>
      <c r="F897" s="106" t="s">
        <v>1989</v>
      </c>
      <c r="G897" s="111"/>
      <c r="H897" s="111"/>
      <c r="I897" s="106"/>
      <c r="J897" s="107"/>
    </row>
    <row r="898" spans="1:11" ht="25.5">
      <c r="A898" s="132"/>
      <c r="B898" s="103"/>
      <c r="C898" s="247" t="s">
        <v>2178</v>
      </c>
      <c r="D898" s="105"/>
      <c r="E898" s="104"/>
      <c r="F898" s="143">
        <f>109.76-F903</f>
        <v>104.28</v>
      </c>
      <c r="G898" s="111"/>
      <c r="H898" s="111"/>
      <c r="I898" s="106"/>
      <c r="J898" s="176">
        <f>ROUND(PRODUCT(E898:I898),2)</f>
        <v>104.28</v>
      </c>
    </row>
    <row r="899" spans="1:11">
      <c r="A899" s="174"/>
      <c r="B899" s="175"/>
      <c r="C899" s="245" t="s">
        <v>2179</v>
      </c>
      <c r="D899" s="156"/>
      <c r="E899" s="157"/>
      <c r="F899" s="157">
        <f>[3]PARÂMETROS!B367</f>
        <v>17.2</v>
      </c>
      <c r="G899" s="157"/>
      <c r="H899" s="157"/>
      <c r="I899" s="157"/>
      <c r="J899" s="176">
        <f>ROUND(PRODUCT(E899:I899),2)</f>
        <v>17.2</v>
      </c>
    </row>
    <row r="900" spans="1:11">
      <c r="A900" s="549"/>
      <c r="B900" s="549"/>
      <c r="C900" s="549"/>
      <c r="D900" s="549"/>
      <c r="E900" s="549"/>
      <c r="F900" s="549"/>
      <c r="G900" s="549"/>
      <c r="H900" s="549"/>
      <c r="I900" s="549"/>
      <c r="J900" s="549"/>
    </row>
    <row r="901" spans="1:11" ht="63.75">
      <c r="A901" s="132" t="str">
        <f>'[3]Planilha Orçamentária'!A237</f>
        <v>1.4.5.14</v>
      </c>
      <c r="B901" s="103">
        <f>VLOOKUP(A901,'[3]Planilha Orçamentária'!A:K,2,0)</f>
        <v>94274</v>
      </c>
      <c r="C901" s="104" t="str">
        <f>VLOOKUP(A901,'[3]Planilha Orçamentária'!A:K,3,0)</f>
        <v>ASSENTAMENTO DE GUIA (MEIO-FIO) EM TRECHO CURVO, CONFECCIONADA EM CONCRETO PRÉ-FABRICADO, DIMENSÕES 100X15X13X30 CM (COMPRIMENTO X BASE INFERIOR X BASE SUPERIOR X ALTURA), PARA VIAS URBANAS (USO VIÁRIO). AF_06/2016</v>
      </c>
      <c r="D901" s="105" t="str">
        <f>VLOOKUP(A901,'[3]Planilha Orçamentária'!A:K,4,0)</f>
        <v>M</v>
      </c>
      <c r="E901" s="104"/>
      <c r="F901" s="111"/>
      <c r="G901" s="111"/>
      <c r="H901" s="111"/>
      <c r="I901" s="111"/>
      <c r="J901" s="107">
        <f>ROUND(SUM(J903:J903),2)</f>
        <v>5.48</v>
      </c>
    </row>
    <row r="902" spans="1:11">
      <c r="A902" s="132"/>
      <c r="B902" s="103"/>
      <c r="C902" s="165" t="s">
        <v>2173</v>
      </c>
      <c r="D902" s="105"/>
      <c r="E902" s="104"/>
      <c r="F902" s="106" t="s">
        <v>1989</v>
      </c>
      <c r="G902" s="111"/>
      <c r="H902" s="111"/>
      <c r="I902" s="106"/>
      <c r="J902" s="107"/>
    </row>
    <row r="903" spans="1:11">
      <c r="A903" s="174"/>
      <c r="B903" s="175"/>
      <c r="C903" s="247" t="s">
        <v>2128</v>
      </c>
      <c r="D903" s="156"/>
      <c r="E903" s="157"/>
      <c r="F903" s="157">
        <f>[3]PARÂMETROS!B368</f>
        <v>5.48</v>
      </c>
      <c r="G903" s="157"/>
      <c r="H903" s="157"/>
      <c r="I903" s="157"/>
      <c r="J903" s="176">
        <f>ROUND(PRODUCT(E903:I903),2)</f>
        <v>5.48</v>
      </c>
    </row>
    <row r="904" spans="1:11">
      <c r="A904" s="549"/>
      <c r="B904" s="549"/>
      <c r="C904" s="549"/>
      <c r="D904" s="549"/>
      <c r="E904" s="549"/>
      <c r="F904" s="549"/>
      <c r="G904" s="549"/>
      <c r="H904" s="549"/>
      <c r="I904" s="549"/>
      <c r="J904" s="549"/>
    </row>
    <row r="905" spans="1:11">
      <c r="A905" s="94" t="str">
        <f>'[3]Planilha Orçamentária'!A238</f>
        <v>1.4.6</v>
      </c>
      <c r="B905" s="95"/>
      <c r="C905" s="96" t="str">
        <f>VLOOKUP(A905,'[3]Planilha Orçamentária'!A:K,3,0)</f>
        <v>DRENAGEM</v>
      </c>
      <c r="D905" s="96"/>
      <c r="E905" s="129"/>
      <c r="F905" s="130"/>
      <c r="G905" s="130"/>
      <c r="H905" s="130"/>
      <c r="I905" s="130"/>
      <c r="J905" s="131"/>
      <c r="K905" s="82" t="s">
        <v>2180</v>
      </c>
    </row>
    <row r="906" spans="1:11" ht="38.25">
      <c r="A906" s="251" t="str">
        <f>'[3]Planilha Orçamentária'!A239</f>
        <v>1.4.6.1</v>
      </c>
      <c r="B906" s="252">
        <f>VLOOKUP(A906,'[3]Planilha Orçamentária'!A:K,2,0)</f>
        <v>94971</v>
      </c>
      <c r="C906" s="253" t="str">
        <f>VLOOKUP(A906,'[3]Planilha Orçamentária'!A:K,3,0)</f>
        <v>CONCRETO FCK = 25MPA, TRAÇO 1:2,3:2,7 (EM MASSA SECA DE CIMENTO/ AREIA MÉDIA/ BRITA 1) - PREPARO MECÂNICO COM BETONEIRA 600 L. AF_05/2021</v>
      </c>
      <c r="D906" s="254" t="str">
        <f>VLOOKUP(A906,'[3]Planilha Orçamentária'!A:K,4,0)</f>
        <v>M3</v>
      </c>
      <c r="E906" s="255"/>
      <c r="F906" s="256"/>
      <c r="G906" s="256"/>
      <c r="H906" s="256"/>
      <c r="I906" s="256"/>
      <c r="J906" s="257">
        <f>ROUND(SUM(J907:J909),2)</f>
        <v>6.86</v>
      </c>
    </row>
    <row r="907" spans="1:11" ht="28.5">
      <c r="A907" s="258"/>
      <c r="B907" s="258"/>
      <c r="C907" s="221" t="s">
        <v>2060</v>
      </c>
      <c r="D907" s="258"/>
      <c r="E907" s="258"/>
      <c r="F907" s="161"/>
      <c r="G907" s="161"/>
      <c r="H907" s="161"/>
      <c r="I907" s="279"/>
      <c r="J907" s="258"/>
    </row>
    <row r="908" spans="1:11" ht="14.25">
      <c r="A908" s="258"/>
      <c r="B908" s="258"/>
      <c r="C908" s="280" t="s">
        <v>2061</v>
      </c>
      <c r="D908" s="123"/>
      <c r="E908" s="123"/>
      <c r="F908" s="281">
        <v>53.81</v>
      </c>
      <c r="G908" s="282">
        <v>1</v>
      </c>
      <c r="H908" s="123">
        <v>0.15</v>
      </c>
      <c r="I908" s="281"/>
      <c r="J908" s="158">
        <f>ROUND(PRODUCT(E908:I908),2)</f>
        <v>8.07</v>
      </c>
    </row>
    <row r="909" spans="1:11" ht="28.5">
      <c r="A909" s="265"/>
      <c r="B909" s="266"/>
      <c r="C909" s="280" t="s">
        <v>2062</v>
      </c>
      <c r="D909" s="123"/>
      <c r="E909" s="123">
        <v>-1</v>
      </c>
      <c r="F909" s="283">
        <v>1.8800000000000001E-2</v>
      </c>
      <c r="G909" s="136">
        <f>F908</f>
        <v>53.81</v>
      </c>
      <c r="H909" s="136">
        <v>0.15</v>
      </c>
      <c r="I909" s="136">
        <v>8</v>
      </c>
      <c r="J909" s="158">
        <f>ROUND(PRODUCT(E909:I909),2)</f>
        <v>-1.21</v>
      </c>
    </row>
    <row r="910" spans="1:11">
      <c r="A910" s="535"/>
      <c r="B910" s="536"/>
      <c r="C910" s="536"/>
      <c r="D910" s="536"/>
      <c r="E910" s="536"/>
      <c r="F910" s="536"/>
      <c r="G910" s="536"/>
      <c r="H910" s="536"/>
      <c r="I910" s="536"/>
      <c r="J910" s="537"/>
    </row>
    <row r="911" spans="1:11" ht="38.25">
      <c r="A911" s="251" t="str">
        <f>'[3]Planilha Orçamentária'!A240</f>
        <v>1.4.6.2</v>
      </c>
      <c r="B911" s="252">
        <f>VLOOKUP(A911,'[3]Planilha Orçamentária'!A:K,2,0)</f>
        <v>94974</v>
      </c>
      <c r="C911" s="253" t="str">
        <f>VLOOKUP(A911,'[3]Planilha Orçamentária'!A:K,3,0)</f>
        <v>CONCRETO MAGRO PARA LASTRO, TRAÇO 1:4,5:4,5 (EM MASSA SECA DE CIMENTO/ AREIA MÉDIA/ BRITA 1) - PREPARO MANUAL. AF_05/2021</v>
      </c>
      <c r="D911" s="254" t="str">
        <f>VLOOKUP(A911,'[3]Planilha Orçamentária'!A:K,4,0)</f>
        <v>M3</v>
      </c>
      <c r="E911" s="255"/>
      <c r="F911" s="256"/>
      <c r="G911" s="256"/>
      <c r="H911" s="256"/>
      <c r="I911" s="279"/>
      <c r="J911" s="257">
        <f>ROUND(SUM(J912:J913),2)</f>
        <v>5.38</v>
      </c>
    </row>
    <row r="912" spans="1:11">
      <c r="A912" s="258"/>
      <c r="B912" s="258"/>
      <c r="C912" s="259" t="s">
        <v>2181</v>
      </c>
      <c r="D912" s="258"/>
      <c r="E912" s="258"/>
      <c r="F912" s="263" t="s">
        <v>1989</v>
      </c>
      <c r="G912" s="263" t="s">
        <v>1990</v>
      </c>
      <c r="H912" s="263" t="s">
        <v>2002</v>
      </c>
      <c r="I912" s="279"/>
      <c r="J912" s="258"/>
    </row>
    <row r="913" spans="1:10" ht="14.25">
      <c r="A913" s="258"/>
      <c r="B913" s="258"/>
      <c r="C913" s="284" t="s">
        <v>2063</v>
      </c>
      <c r="D913" s="123"/>
      <c r="E913" s="123"/>
      <c r="F913" s="285">
        <f>F908</f>
        <v>53.81</v>
      </c>
      <c r="G913" s="282">
        <v>1</v>
      </c>
      <c r="H913" s="123">
        <v>0.1</v>
      </c>
      <c r="I913" s="278"/>
      <c r="J913" s="158">
        <f>ROUND(PRODUCT(E913:I913),2)</f>
        <v>5.38</v>
      </c>
    </row>
    <row r="914" spans="1:10">
      <c r="A914" s="535"/>
      <c r="B914" s="536"/>
      <c r="C914" s="536"/>
      <c r="D914" s="536"/>
      <c r="E914" s="536"/>
      <c r="F914" s="536"/>
      <c r="G914" s="536"/>
      <c r="H914" s="536"/>
      <c r="I914" s="536"/>
      <c r="J914" s="537"/>
    </row>
    <row r="915" spans="1:10" ht="38.25">
      <c r="A915" s="251" t="str">
        <f>'[3]Planilha Orçamentária'!A241</f>
        <v>1.4.6.3</v>
      </c>
      <c r="B915" s="252">
        <f>VLOOKUP(A915,'[3]Planilha Orçamentária'!A:K,2,0)</f>
        <v>92771</v>
      </c>
      <c r="C915" s="253" t="str">
        <f>VLOOKUP(A915,'[3]Planilha Orçamentária'!A:K,3,0)</f>
        <v>ARMAÇÃO DE LAJE DE ESTRUTURA CONVENCIONAL DE CONCRETO ARMADO UTILIZANDO AÇO CA-50 DE 10,0 MM - MONTAGEM. AF_06/2022</v>
      </c>
      <c r="D915" s="254" t="str">
        <f>VLOOKUP(A915,'[3]Planilha Orçamentária'!A:K,4,0)</f>
        <v>KG</v>
      </c>
      <c r="E915" s="255"/>
      <c r="F915" s="256"/>
      <c r="G915" s="256"/>
      <c r="H915" s="256"/>
      <c r="I915" s="256"/>
      <c r="J915" s="257">
        <f>ROUND(SUM(J916:J917),2)</f>
        <v>446.08</v>
      </c>
    </row>
    <row r="916" spans="1:10">
      <c r="A916" s="258"/>
      <c r="B916" s="258"/>
      <c r="C916" s="259" t="s">
        <v>2181</v>
      </c>
      <c r="D916" s="258"/>
      <c r="E916" s="279"/>
      <c r="F916" s="263" t="s">
        <v>2064</v>
      </c>
      <c r="G916" s="263"/>
      <c r="H916" s="263"/>
      <c r="I916" s="279" t="s">
        <v>2065</v>
      </c>
      <c r="J916" s="258"/>
    </row>
    <row r="917" spans="1:10" ht="28.5">
      <c r="A917" s="258"/>
      <c r="B917" s="258"/>
      <c r="C917" s="221" t="s">
        <v>2066</v>
      </c>
      <c r="D917" s="105"/>
      <c r="E917" s="104"/>
      <c r="F917" s="278">
        <f>F913</f>
        <v>53.81</v>
      </c>
      <c r="G917" s="278"/>
      <c r="H917" s="278"/>
      <c r="I917" s="278">
        <v>8.2899999999999991</v>
      </c>
      <c r="J917" s="158">
        <f>ROUND(PRODUCT(E917:I917),2)</f>
        <v>446.08</v>
      </c>
    </row>
    <row r="918" spans="1:10">
      <c r="A918" s="535"/>
      <c r="B918" s="536"/>
      <c r="C918" s="536"/>
      <c r="D918" s="536"/>
      <c r="E918" s="536"/>
      <c r="F918" s="536"/>
      <c r="G918" s="536"/>
      <c r="H918" s="536"/>
      <c r="I918" s="536"/>
      <c r="J918" s="537"/>
    </row>
    <row r="919" spans="1:10" ht="38.25">
      <c r="A919" s="251" t="str">
        <f>'[3]Planilha Orçamentária'!A242</f>
        <v>1.4.6.4</v>
      </c>
      <c r="B919" s="252">
        <f>VLOOKUP(A919,'[3]Planilha Orçamentária'!A:K,2,0)</f>
        <v>92268</v>
      </c>
      <c r="C919" s="253" t="str">
        <f>VLOOKUP(A919,'[3]Planilha Orçamentária'!A:K,3,0)</f>
        <v>FABRICAÇÃO DE FÔRMA PARA LAJES, EM CHAPA DE MADEIRA COMPENSADA PLASTIFICADA, E = 18 MM. AF_09/2020</v>
      </c>
      <c r="D919" s="254" t="str">
        <f>VLOOKUP(A919,'[3]Planilha Orçamentária'!A:K,4,0)</f>
        <v>M2</v>
      </c>
      <c r="E919" s="255"/>
      <c r="F919" s="256"/>
      <c r="G919" s="256"/>
      <c r="H919" s="256"/>
      <c r="I919" s="256"/>
      <c r="J919" s="257">
        <f>ROUND(SUM(J920:J921),2)</f>
        <v>32.29</v>
      </c>
    </row>
    <row r="920" spans="1:10">
      <c r="A920" s="258"/>
      <c r="B920" s="258"/>
      <c r="C920" s="259" t="s">
        <v>2181</v>
      </c>
      <c r="D920" s="174"/>
      <c r="E920" s="279"/>
      <c r="F920" s="174" t="s">
        <v>2067</v>
      </c>
      <c r="G920" s="174" t="s">
        <v>2002</v>
      </c>
      <c r="H920" s="174" t="s">
        <v>1989</v>
      </c>
      <c r="I920" s="174"/>
      <c r="J920" s="258"/>
    </row>
    <row r="921" spans="1:10" ht="28.5">
      <c r="A921" s="258"/>
      <c r="B921" s="258"/>
      <c r="C921" s="280" t="s">
        <v>2068</v>
      </c>
      <c r="D921" s="156"/>
      <c r="E921" s="157"/>
      <c r="F921" s="136">
        <f>1*4</f>
        <v>4</v>
      </c>
      <c r="G921" s="136">
        <v>0.15</v>
      </c>
      <c r="H921" s="136">
        <f>F917</f>
        <v>53.81</v>
      </c>
      <c r="I921" s="286"/>
      <c r="J921" s="158">
        <f>ROUND(PRODUCT(E921:I921),2)</f>
        <v>32.29</v>
      </c>
    </row>
    <row r="922" spans="1:10">
      <c r="A922" s="535"/>
      <c r="B922" s="536"/>
      <c r="C922" s="536"/>
      <c r="D922" s="536"/>
      <c r="E922" s="536"/>
      <c r="F922" s="536"/>
      <c r="G922" s="536"/>
      <c r="H922" s="536"/>
      <c r="I922" s="536"/>
      <c r="J922" s="537"/>
    </row>
    <row r="923" spans="1:10" ht="51">
      <c r="A923" s="251" t="str">
        <f>'[3]Planilha Orçamentária'!A243</f>
        <v>1.4.6.5</v>
      </c>
      <c r="B923" s="252">
        <f>VLOOKUP(A923,'[3]Planilha Orçamentária'!A:K,2,0)</f>
        <v>103320</v>
      </c>
      <c r="C923" s="253" t="str">
        <f>VLOOKUP(A923,'[3]Planilha Orçamentária'!A:K,3,0)</f>
        <v>ALVENARIA DE VEDAÇÃO DE BLOCOS VAZADOS DE CONCRETO DE 19X19X39 CM (ESPESSURA 19 CM) E ARGAMASSA DE ASSENTAMENTO COM PREPARO EM BETONEIRA. AF_12/2021</v>
      </c>
      <c r="D923" s="254" t="str">
        <f>VLOOKUP(A923,'[3]Planilha Orçamentária'!A:K,4,0)</f>
        <v>M2</v>
      </c>
      <c r="E923" s="255"/>
      <c r="F923" s="256"/>
      <c r="G923" s="256"/>
      <c r="H923" s="256"/>
      <c r="I923" s="256"/>
      <c r="J923" s="257">
        <f>ROUND(SUM(J924:J925),2)</f>
        <v>43.05</v>
      </c>
    </row>
    <row r="924" spans="1:10">
      <c r="A924" s="258"/>
      <c r="B924" s="258"/>
      <c r="C924" s="259" t="s">
        <v>2181</v>
      </c>
      <c r="D924" s="174"/>
      <c r="E924" s="279"/>
      <c r="F924" s="174" t="s">
        <v>1989</v>
      </c>
      <c r="G924" s="174"/>
      <c r="H924" s="174" t="s">
        <v>2069</v>
      </c>
      <c r="I924" s="174" t="s">
        <v>2070</v>
      </c>
      <c r="J924" s="258"/>
    </row>
    <row r="925" spans="1:10" ht="14.25">
      <c r="A925" s="258"/>
      <c r="B925" s="258"/>
      <c r="C925" s="280" t="s">
        <v>2071</v>
      </c>
      <c r="D925" s="156"/>
      <c r="E925" s="157"/>
      <c r="F925" s="136">
        <f>H921</f>
        <v>53.81</v>
      </c>
      <c r="G925" s="136"/>
      <c r="H925" s="136">
        <v>0.4</v>
      </c>
      <c r="I925" s="136">
        <v>2</v>
      </c>
      <c r="J925" s="158">
        <f>ROUND(PRODUCT(E925:I925),2)</f>
        <v>43.05</v>
      </c>
    </row>
    <row r="926" spans="1:10">
      <c r="A926" s="535"/>
      <c r="B926" s="536"/>
      <c r="C926" s="536"/>
      <c r="D926" s="536"/>
      <c r="E926" s="536"/>
      <c r="F926" s="536"/>
      <c r="G926" s="536"/>
      <c r="H926" s="536"/>
      <c r="I926" s="536"/>
      <c r="J926" s="537"/>
    </row>
    <row r="927" spans="1:10" ht="51">
      <c r="A927" s="251" t="str">
        <f>'[3]Planilha Orçamentária'!A244</f>
        <v>1.4.6.6</v>
      </c>
      <c r="B927" s="252">
        <f>VLOOKUP(A927,'[3]Planilha Orçamentária'!A:K,2,0)</f>
        <v>87879</v>
      </c>
      <c r="C927" s="253" t="str">
        <f>VLOOKUP(A927,'[3]Planilha Orçamentária'!A:K,3,0)</f>
        <v>CHAPISCO APLICADO EM ALVENARIAS E ESTRUTURAS DE CONCRETO INTERNAS, COM COLHER DE PEDREIRO.  ARGAMASSA TRAÇO 1:3 COM PREPARO EM BETONEIRA 400L. AF_06/2014</v>
      </c>
      <c r="D927" s="254" t="str">
        <f>VLOOKUP(A927,'[3]Planilha Orçamentária'!A:K,4,0)</f>
        <v>M2</v>
      </c>
      <c r="E927" s="255"/>
      <c r="F927" s="256"/>
      <c r="G927" s="256"/>
      <c r="H927" s="256"/>
      <c r="I927" s="256"/>
      <c r="J927" s="257">
        <f>ROUND(SUM(J928:J929),2)</f>
        <v>43.05</v>
      </c>
    </row>
    <row r="928" spans="1:10">
      <c r="A928" s="258"/>
      <c r="B928" s="258"/>
      <c r="C928" s="259" t="s">
        <v>2181</v>
      </c>
      <c r="D928" s="258"/>
      <c r="E928" s="258"/>
      <c r="F928" s="258"/>
      <c r="G928" s="258"/>
      <c r="H928" s="136"/>
      <c r="I928" s="287"/>
      <c r="J928" s="258"/>
    </row>
    <row r="929" spans="1:10" ht="14.25">
      <c r="A929" s="258"/>
      <c r="B929" s="258"/>
      <c r="C929" s="280" t="s">
        <v>2072</v>
      </c>
      <c r="D929" s="156"/>
      <c r="E929" s="157"/>
      <c r="F929" s="136"/>
      <c r="G929" s="136"/>
      <c r="H929" s="136"/>
      <c r="I929" s="288">
        <f>J923</f>
        <v>43.05</v>
      </c>
      <c r="J929" s="158">
        <f>ROUND(PRODUCT(E929:I929),2)</f>
        <v>43.05</v>
      </c>
    </row>
    <row r="930" spans="1:10">
      <c r="A930" s="535"/>
      <c r="B930" s="536"/>
      <c r="C930" s="536"/>
      <c r="D930" s="536"/>
      <c r="E930" s="536"/>
      <c r="F930" s="536"/>
      <c r="G930" s="536"/>
      <c r="H930" s="536"/>
      <c r="I930" s="536"/>
      <c r="J930" s="537"/>
    </row>
    <row r="931" spans="1:10" ht="63.75">
      <c r="A931" s="251" t="str">
        <f>'[3]Planilha Orçamentária'!A245</f>
        <v>1.4.6.7</v>
      </c>
      <c r="B931" s="252">
        <f>VLOOKUP(A931,'[3]Planilha Orçamentária'!A:K,2,0)</f>
        <v>87547</v>
      </c>
      <c r="C931" s="253" t="str">
        <f>VLOOKUP(A931,'[3]Planilha Orçamentária'!A:K,3,0)</f>
        <v>MASSA ÚNICA, PARA RECEBIMENTO DE PINTURA, EM ARGAMASSA TRAÇO 1:2:8, PREPARO MECÂNICO COM BETONEIRA 400L, APLICADA MANUALMENTE EM FACES INTERNAS DE PAREDES, ESPESSURA DE 10MM, COM EXECUÇÃO DE TALISCAS. AF_06/2014</v>
      </c>
      <c r="D931" s="254" t="str">
        <f>VLOOKUP(A931,'[3]Planilha Orçamentária'!A:K,4,0)</f>
        <v>M2</v>
      </c>
      <c r="E931" s="255"/>
      <c r="F931" s="256"/>
      <c r="G931" s="256"/>
      <c r="H931" s="256"/>
      <c r="I931" s="256"/>
      <c r="J931" s="257">
        <f>ROUND(SUM(J932:J933),2)</f>
        <v>43.05</v>
      </c>
    </row>
    <row r="932" spans="1:10">
      <c r="A932" s="258"/>
      <c r="B932" s="258"/>
      <c r="C932" s="259" t="s">
        <v>2181</v>
      </c>
      <c r="D932" s="258"/>
      <c r="E932" s="258"/>
      <c r="F932" s="258"/>
      <c r="G932" s="258"/>
      <c r="H932" s="136"/>
      <c r="I932" s="287"/>
      <c r="J932" s="258"/>
    </row>
    <row r="933" spans="1:10" ht="14.25">
      <c r="A933" s="258"/>
      <c r="B933" s="258"/>
      <c r="C933" s="280" t="s">
        <v>2072</v>
      </c>
      <c r="D933" s="156"/>
      <c r="E933" s="157"/>
      <c r="F933" s="136"/>
      <c r="G933" s="136"/>
      <c r="H933" s="136"/>
      <c r="I933" s="288">
        <f>J927</f>
        <v>43.05</v>
      </c>
      <c r="J933" s="158">
        <f>ROUND(PRODUCT(E933:I933),2)</f>
        <v>43.05</v>
      </c>
    </row>
    <row r="934" spans="1:10">
      <c r="A934" s="535"/>
      <c r="B934" s="536"/>
      <c r="C934" s="536"/>
      <c r="D934" s="536"/>
      <c r="E934" s="536"/>
      <c r="F934" s="536"/>
      <c r="G934" s="536"/>
      <c r="H934" s="536"/>
      <c r="I934" s="536"/>
      <c r="J934" s="537"/>
    </row>
    <row r="935" spans="1:10" ht="38.25">
      <c r="A935" s="251" t="str">
        <f>'[3]Planilha Orçamentária'!A246</f>
        <v>1.4.6.8</v>
      </c>
      <c r="B935" s="252">
        <f>VLOOKUP(A935,'[3]Planilha Orçamentária'!A:K,2,0)</f>
        <v>94975</v>
      </c>
      <c r="C935" s="253" t="str">
        <f>VLOOKUP(A935,'[3]Planilha Orçamentária'!A:K,3,0)</f>
        <v>CONCRETO FCK = 15MPA, TRAÇO 1:3,4:3,5 (EM MASSA SECA DE CIMENTO/ AREIA MÉDIA/ BRITA 1) - PREPARO MANUAL. AF_05/2021</v>
      </c>
      <c r="D935" s="254" t="str">
        <f>VLOOKUP(A935,'[3]Planilha Orçamentária'!A:K,4,0)</f>
        <v>M3</v>
      </c>
      <c r="E935" s="255"/>
      <c r="F935" s="256"/>
      <c r="G935" s="256"/>
      <c r="H935" s="256"/>
      <c r="I935" s="256"/>
      <c r="J935" s="257">
        <f>ROUND(SUM(J936:J938),2)</f>
        <v>4.58</v>
      </c>
    </row>
    <row r="936" spans="1:10">
      <c r="A936" s="258"/>
      <c r="B936" s="258"/>
      <c r="C936" s="259" t="s">
        <v>2181</v>
      </c>
      <c r="D936" s="258"/>
      <c r="E936" s="258"/>
      <c r="F936" s="258" t="s">
        <v>1989</v>
      </c>
      <c r="G936" s="258"/>
      <c r="H936" s="136"/>
      <c r="I936" s="287"/>
      <c r="J936" s="258"/>
    </row>
    <row r="937" spans="1:10" ht="28.5">
      <c r="A937" s="258"/>
      <c r="B937" s="258"/>
      <c r="C937" s="221" t="s">
        <v>2048</v>
      </c>
      <c r="D937" s="289"/>
      <c r="E937" s="290" t="s">
        <v>2073</v>
      </c>
      <c r="F937" s="290" t="s">
        <v>2074</v>
      </c>
      <c r="G937" s="282"/>
      <c r="H937" s="290" t="s">
        <v>2075</v>
      </c>
      <c r="I937" s="287"/>
      <c r="J937" s="258"/>
    </row>
    <row r="938" spans="1:10" ht="28.5">
      <c r="A938" s="258"/>
      <c r="B938" s="258"/>
      <c r="C938" s="280" t="s">
        <v>2076</v>
      </c>
      <c r="D938" s="289"/>
      <c r="E938" s="291">
        <f>0.294*0.14*0.19</f>
        <v>7.8203999999999999E-3</v>
      </c>
      <c r="F938" s="282">
        <v>13.6</v>
      </c>
      <c r="G938" s="292"/>
      <c r="H938" s="136">
        <f>J923</f>
        <v>43.05</v>
      </c>
      <c r="I938" s="287"/>
      <c r="J938" s="158">
        <f>ROUND(PRODUCT(E938:I938),2)</f>
        <v>4.58</v>
      </c>
    </row>
    <row r="939" spans="1:10">
      <c r="A939" s="535"/>
      <c r="B939" s="536"/>
      <c r="C939" s="536"/>
      <c r="D939" s="536"/>
      <c r="E939" s="536"/>
      <c r="F939" s="536"/>
      <c r="G939" s="536"/>
      <c r="H939" s="536"/>
      <c r="I939" s="536"/>
      <c r="J939" s="537"/>
    </row>
    <row r="940" spans="1:10" ht="25.5">
      <c r="A940" s="251" t="str">
        <f>'[3]Planilha Orçamentária'!A247</f>
        <v>1.4.6.9</v>
      </c>
      <c r="B940" s="252" t="str">
        <f>VLOOKUP(A940,'[3]Planilha Orçamentária'!A:K,2,0)</f>
        <v>CP-74157/004-48264518</v>
      </c>
      <c r="C940" s="253" t="str">
        <f>VLOOKUP(A940,'[3]Planilha Orçamentária'!A:K,3,0)</f>
        <v>LANCAMENTO/APLICACAO MANUAL DE CONCRETO EM FUNDACOES (concreto magro)</v>
      </c>
      <c r="D940" s="254" t="str">
        <f>VLOOKUP(A940,'[3]Planilha Orçamentária'!A:K,4,0)</f>
        <v>M3</v>
      </c>
      <c r="E940" s="255"/>
      <c r="F940" s="256"/>
      <c r="G940" s="256"/>
      <c r="H940" s="256"/>
      <c r="I940" s="256"/>
      <c r="J940" s="257">
        <f>ROUND(SUM(J941:J942),2)</f>
        <v>16.82</v>
      </c>
    </row>
    <row r="941" spans="1:10">
      <c r="A941" s="258"/>
      <c r="B941" s="258"/>
      <c r="C941" s="259" t="s">
        <v>2181</v>
      </c>
      <c r="D941" s="258"/>
      <c r="E941" s="258"/>
      <c r="F941" s="258"/>
      <c r="G941" s="258"/>
      <c r="H941" s="136"/>
      <c r="I941" s="287"/>
      <c r="J941" s="258"/>
    </row>
    <row r="942" spans="1:10" ht="14.25">
      <c r="A942" s="258"/>
      <c r="B942" s="258"/>
      <c r="C942" s="280" t="s">
        <v>2182</v>
      </c>
      <c r="D942" s="156"/>
      <c r="E942" s="157"/>
      <c r="F942" s="136"/>
      <c r="G942" s="136"/>
      <c r="H942" s="136"/>
      <c r="I942" s="136">
        <f>J935+J911+J906</f>
        <v>16.82</v>
      </c>
      <c r="J942" s="158">
        <f>ROUND(PRODUCT(E942:I942),2)</f>
        <v>16.82</v>
      </c>
    </row>
    <row r="943" spans="1:10">
      <c r="A943" s="535"/>
      <c r="B943" s="536"/>
      <c r="C943" s="536"/>
      <c r="D943" s="536"/>
      <c r="E943" s="536"/>
      <c r="F943" s="536"/>
      <c r="G943" s="536"/>
      <c r="H943" s="536"/>
      <c r="I943" s="536"/>
      <c r="J943" s="537"/>
    </row>
    <row r="944" spans="1:10">
      <c r="A944" s="94" t="str">
        <f>'[3]Planilha Orçamentária'!A248</f>
        <v>1.4.7</v>
      </c>
      <c r="B944" s="95"/>
      <c r="C944" s="96" t="str">
        <f>VLOOKUP(A944,'[3]Planilha Orçamentária'!A:K,3,0)</f>
        <v>SINALIZAÇÃO</v>
      </c>
      <c r="D944" s="96"/>
      <c r="E944" s="129"/>
      <c r="F944" s="130"/>
      <c r="G944" s="130"/>
      <c r="H944" s="130"/>
      <c r="I944" s="130"/>
      <c r="J944" s="131"/>
    </row>
    <row r="945" spans="1:10" ht="25.5">
      <c r="A945" s="251" t="str">
        <f>'[3]Planilha Orçamentária'!A249</f>
        <v>1.4.7.1</v>
      </c>
      <c r="B945" s="252">
        <f>VLOOKUP(A945,'[3]Planilha Orçamentária'!A:K,2,0)</f>
        <v>5213421</v>
      </c>
      <c r="C945" s="253" t="str">
        <f>VLOOKUP(A945,'[3]Planilha Orçamentária'!A:K,3,0)</f>
        <v>Confecção de placa em aço nº 16 galvanizado, com película tipo I + IV</v>
      </c>
      <c r="D945" s="254" t="str">
        <f>VLOOKUP(A945,'[3]Planilha Orçamentária'!A:K,4,0)</f>
        <v xml:space="preserve">M2    </v>
      </c>
      <c r="E945" s="255"/>
      <c r="F945" s="256"/>
      <c r="G945" s="256"/>
      <c r="H945" s="256"/>
      <c r="I945" s="256"/>
      <c r="J945" s="257">
        <f>ROUND(SUM(J946:J949),2)</f>
        <v>1.29</v>
      </c>
    </row>
    <row r="946" spans="1:10">
      <c r="A946" s="293"/>
      <c r="B946" s="294"/>
      <c r="C946" s="165" t="s">
        <v>2183</v>
      </c>
      <c r="D946" s="105"/>
      <c r="E946" s="241"/>
      <c r="F946" s="105"/>
      <c r="G946" s="105"/>
      <c r="H946" s="241" t="s">
        <v>2003</v>
      </c>
      <c r="I946" s="241" t="s">
        <v>1446</v>
      </c>
      <c r="J946" s="299"/>
    </row>
    <row r="947" spans="1:10">
      <c r="A947" s="293"/>
      <c r="B947" s="301"/>
      <c r="C947" s="302" t="s">
        <v>2079</v>
      </c>
      <c r="D947" s="303"/>
      <c r="E947" s="304"/>
      <c r="F947" s="304"/>
      <c r="G947" s="304"/>
      <c r="H947" s="304">
        <v>0.2</v>
      </c>
      <c r="I947" s="305">
        <v>2</v>
      </c>
      <c r="J947" s="128">
        <f>ROUND(PRODUCT(E947:I947),2)</f>
        <v>0.4</v>
      </c>
    </row>
    <row r="948" spans="1:10">
      <c r="A948" s="293"/>
      <c r="B948" s="294"/>
      <c r="C948" s="155" t="s">
        <v>2081</v>
      </c>
      <c r="D948" s="307"/>
      <c r="E948" s="116"/>
      <c r="F948" s="116"/>
      <c r="G948" s="116"/>
      <c r="H948" s="116">
        <f>0.5*0.5</f>
        <v>0.25</v>
      </c>
      <c r="I948" s="308">
        <v>2</v>
      </c>
      <c r="J948" s="128">
        <f>ROUND(PRODUCT(E948:I948),2)</f>
        <v>0.5</v>
      </c>
    </row>
    <row r="949" spans="1:10" ht="14.25">
      <c r="A949" s="293"/>
      <c r="B949" s="294"/>
      <c r="C949" s="204" t="s">
        <v>2116</v>
      </c>
      <c r="D949" s="309"/>
      <c r="E949" s="310"/>
      <c r="F949" s="282"/>
      <c r="G949" s="282"/>
      <c r="H949" s="116">
        <f>3.14*0.25^2</f>
        <v>0.19625000000000001</v>
      </c>
      <c r="I949" s="308">
        <v>2</v>
      </c>
      <c r="J949" s="128">
        <f>ROUND(PRODUCT(E949:I949),2)</f>
        <v>0.39</v>
      </c>
    </row>
    <row r="950" spans="1:10">
      <c r="A950" s="556"/>
      <c r="B950" s="557"/>
      <c r="C950" s="557"/>
      <c r="D950" s="557"/>
      <c r="E950" s="557"/>
      <c r="F950" s="557"/>
      <c r="G950" s="557"/>
      <c r="H950" s="557"/>
      <c r="I950" s="557"/>
      <c r="J950" s="557"/>
    </row>
    <row r="951" spans="1:10" ht="38.25">
      <c r="A951" s="251" t="str">
        <f>'[3]Planilha Orçamentária'!A250</f>
        <v>1.4.7.2</v>
      </c>
      <c r="B951" s="252">
        <f>VLOOKUP(A951,'[3]Planilha Orçamentária'!A:K,2,0)</f>
        <v>5216111</v>
      </c>
      <c r="C951" s="253" t="str">
        <f>VLOOKUP(A951,'[3]Planilha Orçamentária'!A:K,3,0)</f>
        <v>FORNECIMENTO E IMPLANTAÇÃO DE SUPORTE E TRAVESSA PARA PLACA DE SINALIZAÇÃO EM MADEIRA DE LEI TRATADA 8 X 8 CM</v>
      </c>
      <c r="D951" s="254" t="str">
        <f>VLOOKUP(A951,'[3]Planilha Orçamentária'!A:K,4,0)</f>
        <v>UND</v>
      </c>
      <c r="E951" s="255"/>
      <c r="F951" s="256"/>
      <c r="G951" s="256"/>
      <c r="H951" s="256"/>
      <c r="I951" s="256"/>
      <c r="J951" s="257">
        <f>ROUND(SUM(J952:J954),2)</f>
        <v>4</v>
      </c>
    </row>
    <row r="952" spans="1:10">
      <c r="A952" s="293"/>
      <c r="B952" s="294"/>
      <c r="C952" s="165" t="s">
        <v>2183</v>
      </c>
      <c r="D952" s="105"/>
      <c r="E952" s="241"/>
      <c r="F952" s="105"/>
      <c r="G952" s="105"/>
      <c r="H952" s="241"/>
      <c r="I952" s="241" t="s">
        <v>1446</v>
      </c>
      <c r="J952" s="299"/>
    </row>
    <row r="953" spans="1:10">
      <c r="A953" s="293"/>
      <c r="B953" s="294"/>
      <c r="C953" s="244" t="s">
        <v>2046</v>
      </c>
      <c r="D953" s="307"/>
      <c r="E953" s="116"/>
      <c r="F953" s="116"/>
      <c r="G953" s="116"/>
      <c r="H953" s="116"/>
      <c r="I953" s="157">
        <v>4</v>
      </c>
      <c r="J953" s="118">
        <f>ROUND(PRODUCT(E953:I953),2)</f>
        <v>4</v>
      </c>
    </row>
    <row r="954" spans="1:10">
      <c r="A954" s="538"/>
      <c r="B954" s="539"/>
      <c r="C954" s="539"/>
      <c r="D954" s="539"/>
      <c r="E954" s="539"/>
      <c r="F954" s="539"/>
      <c r="G954" s="539"/>
      <c r="H954" s="539"/>
      <c r="I954" s="539"/>
      <c r="J954" s="539"/>
    </row>
    <row r="955" spans="1:10" ht="25.5">
      <c r="A955" s="132" t="str">
        <f>'[3]Planilha Orçamentária'!A251</f>
        <v>1.4.7.3</v>
      </c>
      <c r="B955" s="103" t="str">
        <f>VLOOKUP(A955,'[3]Planilha Orçamentária'!A:K,2,0)</f>
        <v>COMP-58084869</v>
      </c>
      <c r="C955" s="276" t="str">
        <f>VLOOKUP(A955,'[3]Planilha Orçamentária'!A:K,3,0)</f>
        <v>PLACA ESMALTADA PARA IDENTIFICAÇÃO NR DE RUA, DIMENSÕES 45X25CM</v>
      </c>
      <c r="D955" s="105" t="str">
        <f>VLOOKUP(A955,'[3]Planilha Orçamentária'!A:K,4,0)</f>
        <v>UND</v>
      </c>
      <c r="E955" s="104"/>
      <c r="F955" s="111"/>
      <c r="G955" s="111"/>
      <c r="H955" s="111"/>
      <c r="I955" s="111"/>
      <c r="J955" s="107">
        <f>ROUND(SUM(J956:J957),2)</f>
        <v>2</v>
      </c>
    </row>
    <row r="956" spans="1:10">
      <c r="A956" s="138"/>
      <c r="B956" s="138"/>
      <c r="C956" s="165" t="s">
        <v>2183</v>
      </c>
      <c r="D956" s="105"/>
      <c r="E956" s="104"/>
      <c r="F956" s="111"/>
      <c r="G956" s="111"/>
      <c r="H956" s="111"/>
      <c r="I956" s="241" t="s">
        <v>1446</v>
      </c>
      <c r="J956" s="118"/>
    </row>
    <row r="957" spans="1:10">
      <c r="A957" s="314"/>
      <c r="B957" s="314"/>
      <c r="C957" s="244" t="s">
        <v>2046</v>
      </c>
      <c r="D957" s="307"/>
      <c r="E957" s="313"/>
      <c r="F957" s="116"/>
      <c r="G957" s="116"/>
      <c r="H957" s="157"/>
      <c r="I957" s="157">
        <v>2</v>
      </c>
      <c r="J957" s="118">
        <f>ROUND(PRODUCT(E957:I957),2)</f>
        <v>2</v>
      </c>
    </row>
    <row r="958" spans="1:10">
      <c r="A958" s="524"/>
      <c r="B958" s="524"/>
      <c r="C958" s="524"/>
      <c r="D958" s="524"/>
      <c r="E958" s="524"/>
      <c r="F958" s="524"/>
      <c r="G958" s="524"/>
      <c r="H958" s="524"/>
      <c r="I958" s="524"/>
      <c r="J958" s="525"/>
    </row>
    <row r="959" spans="1:10" ht="51">
      <c r="A959" s="132" t="str">
        <f>'[3]Planilha Orçamentária'!A252</f>
        <v>1.4.7.4</v>
      </c>
      <c r="B959" s="103">
        <f>VLOOKUP(A959,'[3]Planilha Orçamentária'!A:K,2,0)</f>
        <v>102512</v>
      </c>
      <c r="C959" s="276" t="str">
        <f>VLOOKUP(A959,'[3]Planilha Orçamentária'!A:K,3,0)</f>
        <v>PINTURA DE EIXO VIÁRIO SOBRE ASFALTO COM TINTA RETRORREFLETIVA A BASE DE RESINA ACRÍLICA COM MICROESFERAS DE VIDRO, APLICAÇÃO MECÂNICA COM DEMARCADORA AUTOPROPELIDA. AF_05/2021</v>
      </c>
      <c r="D959" s="105" t="str">
        <f>VLOOKUP(A959,'[3]Planilha Orçamentária'!A:K,4,0)</f>
        <v>M</v>
      </c>
      <c r="E959" s="104"/>
      <c r="F959" s="111"/>
      <c r="G959" s="111"/>
      <c r="H959" s="111"/>
      <c r="I959" s="111"/>
      <c r="J959" s="107">
        <f>ROUND(SUM(J961:J961),2)</f>
        <v>147.44</v>
      </c>
    </row>
    <row r="960" spans="1:10">
      <c r="A960" s="251"/>
      <c r="B960" s="252"/>
      <c r="C960" s="165" t="s">
        <v>2183</v>
      </c>
      <c r="D960" s="105"/>
      <c r="E960" s="104"/>
      <c r="F960" s="106" t="s">
        <v>1989</v>
      </c>
      <c r="G960" s="111"/>
      <c r="H960" s="111"/>
      <c r="I960" s="241"/>
      <c r="J960" s="257"/>
    </row>
    <row r="961" spans="1:10">
      <c r="A961" s="314"/>
      <c r="B961" s="314"/>
      <c r="C961" s="244" t="s">
        <v>2046</v>
      </c>
      <c r="D961" s="105"/>
      <c r="E961" s="104"/>
      <c r="F961" s="157">
        <v>147.44</v>
      </c>
      <c r="G961" s="111"/>
      <c r="H961" s="111"/>
      <c r="I961" s="157"/>
      <c r="J961" s="306">
        <f>ROUND(PRODUCT(E961:I961),2)</f>
        <v>147.44</v>
      </c>
    </row>
    <row r="962" spans="1:10">
      <c r="A962" s="523"/>
      <c r="B962" s="524"/>
      <c r="C962" s="524"/>
      <c r="D962" s="524"/>
      <c r="E962" s="524"/>
      <c r="F962" s="524"/>
      <c r="G962" s="524"/>
      <c r="H962" s="524"/>
      <c r="I962" s="524"/>
      <c r="J962" s="525"/>
    </row>
    <row r="963" spans="1:10" ht="51">
      <c r="A963" s="132" t="str">
        <f>'[3]Planilha Orçamentária'!A253</f>
        <v>1.4.7.5</v>
      </c>
      <c r="B963" s="103">
        <f>VLOOKUP(A963,'[3]Planilha Orçamentária'!A:K,2,0)</f>
        <v>102509</v>
      </c>
      <c r="C963" s="276" t="str">
        <f>VLOOKUP(A963,'[3]Planilha Orçamentária'!A:K,3,0)</f>
        <v>PINTURA DE FAIXA DE PEDESTRE OU ZEBRADA TINTA RETRORREFLETIVA A BASE DE RESINA ACRÍLICA COM MICROESFERAS DE VIDRO, E = 30 CM, APLICAÇÃO MANUAL. AF_05/2021</v>
      </c>
      <c r="D963" s="105" t="str">
        <f>VLOOKUP(A963,'[3]Planilha Orçamentária'!A:K,4,0)</f>
        <v>M2</v>
      </c>
      <c r="E963" s="104"/>
      <c r="F963" s="111"/>
      <c r="G963" s="111"/>
      <c r="H963" s="111"/>
      <c r="I963" s="111"/>
      <c r="J963" s="107">
        <f>ROUND(SUM(J965:J965),2)</f>
        <v>21.2</v>
      </c>
    </row>
    <row r="964" spans="1:10">
      <c r="A964" s="251"/>
      <c r="B964" s="252"/>
      <c r="C964" s="165" t="s">
        <v>2183</v>
      </c>
      <c r="D964" s="148"/>
      <c r="E964" s="357"/>
      <c r="F964" s="160"/>
      <c r="G964" s="160"/>
      <c r="H964" s="160"/>
      <c r="I964" s="357" t="s">
        <v>2003</v>
      </c>
      <c r="J964" s="257"/>
    </row>
    <row r="965" spans="1:10">
      <c r="A965" s="314"/>
      <c r="B965" s="314"/>
      <c r="C965" s="244" t="s">
        <v>2161</v>
      </c>
      <c r="D965" s="262"/>
      <c r="E965" s="157"/>
      <c r="F965" s="157"/>
      <c r="G965" s="157"/>
      <c r="H965" s="157"/>
      <c r="I965" s="157">
        <v>21.2</v>
      </c>
      <c r="J965" s="306">
        <f>ROUND(PRODUCT(E965:I965),2)</f>
        <v>21.2</v>
      </c>
    </row>
    <row r="966" spans="1:10">
      <c r="A966" s="523"/>
      <c r="B966" s="524"/>
      <c r="C966" s="524"/>
      <c r="D966" s="524"/>
      <c r="E966" s="524"/>
      <c r="F966" s="524"/>
      <c r="G966" s="524"/>
      <c r="H966" s="524"/>
      <c r="I966" s="524"/>
      <c r="J966" s="525"/>
    </row>
    <row r="967" spans="1:10">
      <c r="A967" s="94" t="str">
        <f>'[3]Planilha Orçamentária'!A254</f>
        <v>1.4.8</v>
      </c>
      <c r="B967" s="95"/>
      <c r="C967" s="96" t="str">
        <f>VLOOKUP(A967,'[3]Planilha Orçamentária'!A:K,3,0)</f>
        <v>ACESSIBILIDADE</v>
      </c>
      <c r="D967" s="96"/>
      <c r="E967" s="129"/>
      <c r="F967" s="130"/>
      <c r="G967" s="130"/>
      <c r="H967" s="130"/>
      <c r="I967" s="130"/>
      <c r="J967" s="131"/>
    </row>
    <row r="968" spans="1:10" ht="51">
      <c r="A968" s="132" t="str">
        <f>'[3]Planilha Orçamentária'!A255</f>
        <v>1.4.8.1</v>
      </c>
      <c r="B968" s="108" t="str">
        <f>VLOOKUP(A968,'[3]Planilha Orçamentária'!A:K,2,0)</f>
        <v>CP-S12039-81921471</v>
      </c>
      <c r="C968" s="276" t="str">
        <f>VLOOKUP(A968,'[3]Planilha Orçamentária'!A:K,3,0)</f>
        <v>Piso tátil direcional e/ou alerta, de concreto, na cor natural, p/deficientes visuais, dimensões 40x40cm, aplicado com argamassa industrializada ac-ii, rejuntado, exclusive regularização de base</v>
      </c>
      <c r="D968" s="105" t="str">
        <f>VLOOKUP(A968,'[3]Planilha Orçamentária'!A:K,4,0)</f>
        <v>M2</v>
      </c>
      <c r="E968" s="104"/>
      <c r="F968" s="111"/>
      <c r="G968" s="111"/>
      <c r="H968" s="111"/>
      <c r="I968" s="111"/>
      <c r="J968" s="122">
        <f>ROUND(SUM(J969:J971),2)</f>
        <v>9.25</v>
      </c>
    </row>
    <row r="969" spans="1:10">
      <c r="A969" s="138"/>
      <c r="B969" s="138"/>
      <c r="C969" s="165" t="s">
        <v>2183</v>
      </c>
      <c r="D969" s="137"/>
      <c r="E969" s="138"/>
      <c r="F969" s="325"/>
      <c r="G969" s="325"/>
      <c r="H969" s="325"/>
      <c r="I969" s="357" t="s">
        <v>2003</v>
      </c>
      <c r="J969" s="325"/>
    </row>
    <row r="970" spans="1:10">
      <c r="A970" s="138"/>
      <c r="B970" s="138"/>
      <c r="C970" s="244" t="s">
        <v>2161</v>
      </c>
      <c r="D970" s="137"/>
      <c r="E970" s="138"/>
      <c r="F970" s="325"/>
      <c r="G970" s="325"/>
      <c r="H970" s="325"/>
      <c r="I970" s="325">
        <v>7.88</v>
      </c>
      <c r="J970" s="128">
        <f>ROUND(PRODUCT(E970:I970),2)</f>
        <v>7.88</v>
      </c>
    </row>
    <row r="971" spans="1:10">
      <c r="A971" s="138"/>
      <c r="B971" s="138"/>
      <c r="C971" s="244"/>
      <c r="D971" s="137"/>
      <c r="E971" s="138"/>
      <c r="F971" s="325"/>
      <c r="G971" s="325"/>
      <c r="H971" s="325"/>
      <c r="I971" s="325">
        <v>1.37</v>
      </c>
      <c r="J971" s="128">
        <f>ROUND(PRODUCT(E971:I971),2)</f>
        <v>1.37</v>
      </c>
    </row>
    <row r="972" spans="1:10">
      <c r="A972" s="558"/>
      <c r="B972" s="558"/>
      <c r="C972" s="558"/>
      <c r="D972" s="558"/>
      <c r="E972" s="558"/>
      <c r="F972" s="558"/>
      <c r="G972" s="558"/>
      <c r="H972" s="558"/>
      <c r="I972" s="558"/>
      <c r="J972" s="558"/>
    </row>
    <row r="973" spans="1:10">
      <c r="A973" s="94" t="str">
        <f>'[3]Planilha Orçamentária'!A256</f>
        <v>1.4.9</v>
      </c>
      <c r="B973" s="95"/>
      <c r="C973" s="96" t="str">
        <f>VLOOKUP(A973,'[3]Planilha Orçamentária'!A:K,3,0)</f>
        <v>MATERIAIS</v>
      </c>
      <c r="D973" s="96"/>
      <c r="E973" s="129"/>
      <c r="F973" s="130"/>
      <c r="G973" s="130"/>
      <c r="H973" s="130"/>
      <c r="I973" s="130"/>
      <c r="J973" s="131"/>
    </row>
    <row r="974" spans="1:10" ht="51">
      <c r="A974" s="145" t="str">
        <f>'[3]Planilha Orçamentária'!A257</f>
        <v>1.4.9.1</v>
      </c>
      <c r="B974" s="146">
        <f>VLOOKUP(A974,'[3]Planilha Orçamentária'!A:K,2,0)</f>
        <v>10775</v>
      </c>
      <c r="C974" s="147" t="str">
        <f>VLOOKUP(A974,'[3]Planilha Orçamentária'!A:K,3,0)</f>
        <v xml:space="preserve">LOCACAO DE CONTAINER 2,30 X 6,00 M, ALT. 2,50 M, COM 1 SANITARIO, PARA ESCRITORIO, COMPLETO, SEM DIVISORIAS INTERNAS (NAO INCLUI MOBILIZACAO/DESMOBILIZACAO)                                                                                                                                                                                                                                                                                                                                              </v>
      </c>
      <c r="D974" s="148" t="str">
        <f>VLOOKUP(A974,'[3]Planilha Orçamentária'!A:K,4,0)</f>
        <v xml:space="preserve">MES   </v>
      </c>
      <c r="E974" s="147"/>
      <c r="F974" s="160"/>
      <c r="G974" s="160"/>
      <c r="H974" s="160"/>
      <c r="I974" s="160"/>
      <c r="J974" s="218">
        <f>ROUND(SUM(J976:J976),2)</f>
        <v>1</v>
      </c>
    </row>
    <row r="975" spans="1:10" ht="25.5">
      <c r="A975" s="151"/>
      <c r="B975" s="152"/>
      <c r="C975" s="168"/>
      <c r="D975" s="166"/>
      <c r="E975" s="168"/>
      <c r="F975" s="320"/>
      <c r="G975" s="149"/>
      <c r="H975" s="149"/>
      <c r="I975" s="106" t="s">
        <v>1992</v>
      </c>
      <c r="J975" s="321"/>
    </row>
    <row r="976" spans="1:10">
      <c r="A976" s="123"/>
      <c r="B976" s="123"/>
      <c r="C976" s="155"/>
      <c r="D976" s="185"/>
      <c r="E976" s="116"/>
      <c r="F976" s="126"/>
      <c r="G976" s="116"/>
      <c r="H976" s="116"/>
      <c r="I976" s="116">
        <f>I786</f>
        <v>1</v>
      </c>
      <c r="J976" s="128">
        <f>ROUND(PRODUCT(E976:I976),2)</f>
        <v>1</v>
      </c>
    </row>
    <row r="977" spans="1:10">
      <c r="A977" s="531"/>
      <c r="B977" s="531"/>
      <c r="C977" s="531"/>
      <c r="D977" s="531"/>
      <c r="E977" s="531"/>
      <c r="F977" s="531"/>
      <c r="G977" s="531"/>
      <c r="H977" s="531"/>
      <c r="I977" s="531"/>
      <c r="J977" s="531"/>
    </row>
    <row r="978" spans="1:10" ht="38.25">
      <c r="A978" s="145" t="str">
        <f>'[3]Planilha Orçamentária'!A258</f>
        <v>1.4.9.2</v>
      </c>
      <c r="B978" s="146">
        <f>VLOOKUP(A978,'[3]Planilha Orçamentária'!A:K,2,0)</f>
        <v>10776</v>
      </c>
      <c r="C978" s="147" t="str">
        <f>VLOOKUP(A978,'[3]Planilha Orçamentária'!A:K,3,0)</f>
        <v xml:space="preserve">LOCACAO DE CONTAINER 2,30 X 6,00 M, ALT. 2,50 M, PARA ESCRITORIO, SEM DIVISORIAS INTERNAS E SEM SANITARIO (NAO INCLUI MOBILIZACAO/DESMOBILIZACAO)                                                                                                                                                                                                                                                                                                                                                         </v>
      </c>
      <c r="D978" s="148" t="str">
        <f>VLOOKUP(A978,'[3]Planilha Orçamentária'!A:K,4,0)</f>
        <v xml:space="preserve">MES   </v>
      </c>
      <c r="E978" s="147"/>
      <c r="F978" s="160"/>
      <c r="G978" s="160"/>
      <c r="H978" s="160"/>
      <c r="I978" s="160"/>
      <c r="J978" s="218">
        <f>ROUND(SUM(J980:J980),2)</f>
        <v>1</v>
      </c>
    </row>
    <row r="979" spans="1:10" ht="25.5">
      <c r="A979" s="151"/>
      <c r="B979" s="152"/>
      <c r="C979" s="168"/>
      <c r="D979" s="166"/>
      <c r="E979" s="168"/>
      <c r="F979" s="320"/>
      <c r="G979" s="149"/>
      <c r="H979" s="149"/>
      <c r="I979" s="106" t="s">
        <v>1992</v>
      </c>
      <c r="J979" s="321"/>
    </row>
    <row r="980" spans="1:10">
      <c r="A980" s="123"/>
      <c r="B980" s="123"/>
      <c r="C980" s="155"/>
      <c r="D980" s="185"/>
      <c r="E980" s="116"/>
      <c r="F980" s="126"/>
      <c r="G980" s="116"/>
      <c r="H980" s="116"/>
      <c r="I980" s="116">
        <f>I976</f>
        <v>1</v>
      </c>
      <c r="J980" s="128">
        <f>ROUND(PRODUCT(E980:I980),2)</f>
        <v>1</v>
      </c>
    </row>
    <row r="981" spans="1:10">
      <c r="A981" s="531"/>
      <c r="B981" s="531"/>
      <c r="C981" s="531"/>
      <c r="D981" s="531"/>
      <c r="E981" s="531"/>
      <c r="F981" s="531"/>
      <c r="G981" s="531"/>
      <c r="H981" s="531"/>
      <c r="I981" s="531"/>
      <c r="J981" s="531"/>
    </row>
    <row r="982" spans="1:10" ht="38.25">
      <c r="A982" s="132" t="str">
        <f>'[3]Planilha Orçamentária'!A259</f>
        <v>1.4.9.3</v>
      </c>
      <c r="B982" s="108">
        <f>VLOOKUP(A982,'[3]Planilha Orçamentária'!A:K,2,0)</f>
        <v>1518</v>
      </c>
      <c r="C982" s="104" t="str">
        <f>VLOOKUP(A982,'[3]Planilha Orçamentária'!A:K,3,0)</f>
        <v xml:space="preserve">CONCRETO BETUMINOSO USINADO A QUENTE (CBUQ) PARA PAVIMENTACAO ASFALTICA, PADRAO DNIT, FAIXA C, COM CAP 50/70 - AQUISICAO POSTO USINA                                                                                                                                                                                                                                                                                                                                                                      </v>
      </c>
      <c r="D982" s="105" t="str">
        <f>VLOOKUP(A982,'[3]Planilha Orçamentária'!A:K,4,0)</f>
        <v xml:space="preserve">T     </v>
      </c>
      <c r="E982" s="104"/>
      <c r="F982" s="111"/>
      <c r="G982" s="111"/>
      <c r="H982" s="111"/>
      <c r="I982" s="111"/>
      <c r="J982" s="122">
        <f>ROUND(SUM(J983:J984),2)</f>
        <v>23.56</v>
      </c>
    </row>
    <row r="983" spans="1:10">
      <c r="A983" s="174"/>
      <c r="B983" s="174"/>
      <c r="C983" s="165" t="s">
        <v>2173</v>
      </c>
      <c r="D983" s="174"/>
      <c r="E983" s="174" t="s">
        <v>1193</v>
      </c>
      <c r="F983" s="174"/>
      <c r="G983" s="174"/>
      <c r="H983" s="174"/>
      <c r="I983" s="174" t="s">
        <v>2007</v>
      </c>
      <c r="J983" s="174"/>
    </row>
    <row r="984" spans="1:10">
      <c r="A984" s="174"/>
      <c r="B984" s="174"/>
      <c r="C984" s="322" t="s">
        <v>2083</v>
      </c>
      <c r="D984" s="174"/>
      <c r="E984" s="174">
        <v>2.5548000000000002</v>
      </c>
      <c r="F984" s="174"/>
      <c r="G984" s="174"/>
      <c r="H984" s="174"/>
      <c r="I984" s="286">
        <f>J873</f>
        <v>9.2200000000000006</v>
      </c>
      <c r="J984" s="158">
        <f t="shared" ref="J984" si="47">ROUND(PRODUCT(E984:I984),2)</f>
        <v>23.56</v>
      </c>
    </row>
    <row r="985" spans="1:10">
      <c r="A985" s="219"/>
      <c r="B985" s="323"/>
      <c r="C985" s="323"/>
      <c r="D985" s="323"/>
      <c r="E985" s="323"/>
      <c r="F985" s="323"/>
      <c r="G985" s="323"/>
      <c r="H985" s="323"/>
      <c r="I985" s="323"/>
      <c r="J985" s="198"/>
    </row>
    <row r="986" spans="1:10">
      <c r="A986" s="132" t="str">
        <f>'[3]Planilha Orçamentária'!A260</f>
        <v>1.4.9.4</v>
      </c>
      <c r="B986" s="108" t="str">
        <f>VLOOKUP(A986,'[3]Planilha Orçamentária'!A:K,2,0)</f>
        <v>INS-185032</v>
      </c>
      <c r="C986" s="104" t="str">
        <f>VLOOKUP(A986,'[3]Planilha Orçamentária'!A:K,3,0)</f>
        <v>BRITA GRADUADA SIMPLES (BGS)</v>
      </c>
      <c r="D986" s="105" t="str">
        <f>VLOOKUP(A986,'[3]Planilha Orçamentária'!A:K,4,0)</f>
        <v>M3</v>
      </c>
      <c r="E986" s="104"/>
      <c r="F986" s="111"/>
      <c r="G986" s="111"/>
      <c r="H986" s="111"/>
      <c r="I986" s="111"/>
      <c r="J986" s="122">
        <f>ROUND(SUM(J987:J988),2)</f>
        <v>43.1</v>
      </c>
    </row>
    <row r="987" spans="1:10">
      <c r="A987" s="174"/>
      <c r="B987" s="174"/>
      <c r="C987" s="165" t="s">
        <v>2173</v>
      </c>
      <c r="D987" s="174"/>
      <c r="E987" s="174" t="s">
        <v>1193</v>
      </c>
      <c r="F987" s="174"/>
      <c r="G987" s="174"/>
      <c r="H987" s="174"/>
      <c r="I987" s="174" t="s">
        <v>2007</v>
      </c>
      <c r="J987" s="174"/>
    </row>
    <row r="988" spans="1:10">
      <c r="A988" s="174"/>
      <c r="B988" s="174"/>
      <c r="C988" s="324" t="s">
        <v>2084</v>
      </c>
      <c r="D988" s="137"/>
      <c r="E988" s="325">
        <v>1</v>
      </c>
      <c r="F988" s="174"/>
      <c r="G988" s="174"/>
      <c r="H988" s="174"/>
      <c r="I988" s="286">
        <f>J853</f>
        <v>43.1</v>
      </c>
      <c r="J988" s="158">
        <f t="shared" ref="J988" si="48">ROUND(PRODUCT(E988:I988),2)</f>
        <v>43.1</v>
      </c>
    </row>
    <row r="989" spans="1:10">
      <c r="A989" s="219"/>
      <c r="B989" s="323"/>
      <c r="C989" s="323"/>
      <c r="D989" s="323"/>
      <c r="E989" s="323"/>
      <c r="F989" s="323"/>
      <c r="G989" s="323"/>
      <c r="H989" s="323"/>
      <c r="I989" s="323"/>
      <c r="J989" s="197"/>
    </row>
    <row r="990" spans="1:10">
      <c r="A990" s="132" t="str">
        <f>'[3]Planilha Orçamentária'!A261</f>
        <v>1.4.9.5</v>
      </c>
      <c r="B990" s="108" t="str">
        <f>VLOOKUP(A990,'[3]Planilha Orçamentária'!A:K,2,0)</f>
        <v>M0808</v>
      </c>
      <c r="C990" s="104" t="str">
        <f>VLOOKUP(A990,'[3]Planilha Orçamentária'!A:K,3,0)</f>
        <v>Brita 4</v>
      </c>
      <c r="D990" s="105" t="str">
        <f>VLOOKUP(A990,'[3]Planilha Orçamentária'!A:K,4,0)</f>
        <v>M3</v>
      </c>
      <c r="E990" s="104"/>
      <c r="F990" s="111"/>
      <c r="G990" s="111"/>
      <c r="H990" s="111"/>
      <c r="I990" s="111"/>
      <c r="J990" s="122">
        <f>ROUND(SUM(J991:J992),2)</f>
        <v>50.92</v>
      </c>
    </row>
    <row r="991" spans="1:10">
      <c r="A991" s="174"/>
      <c r="B991" s="174"/>
      <c r="C991" s="326"/>
      <c r="D991" s="137"/>
      <c r="E991" s="137" t="s">
        <v>2085</v>
      </c>
      <c r="F991" s="174"/>
      <c r="G991" s="174"/>
      <c r="H991" s="174"/>
      <c r="I991" s="174" t="s">
        <v>2007</v>
      </c>
      <c r="J991" s="174"/>
    </row>
    <row r="992" spans="1:10" ht="15">
      <c r="A992" s="174"/>
      <c r="B992" s="174"/>
      <c r="C992" s="200" t="s">
        <v>2086</v>
      </c>
      <c r="D992" s="137"/>
      <c r="E992" s="327">
        <v>1.26</v>
      </c>
      <c r="F992" s="174"/>
      <c r="G992" s="174"/>
      <c r="H992" s="174"/>
      <c r="I992" s="286">
        <f>J848</f>
        <v>40.409999999999997</v>
      </c>
      <c r="J992" s="158">
        <f t="shared" ref="J992" si="49">ROUND(PRODUCT(E992:I992),2)</f>
        <v>50.92</v>
      </c>
    </row>
    <row r="993" spans="1:10">
      <c r="A993" s="219"/>
      <c r="B993" s="323"/>
      <c r="C993" s="323"/>
      <c r="D993" s="323"/>
      <c r="E993" s="323"/>
      <c r="F993" s="323"/>
      <c r="G993" s="323"/>
      <c r="H993" s="323"/>
      <c r="I993" s="323"/>
      <c r="J993" s="197"/>
    </row>
    <row r="994" spans="1:10">
      <c r="A994" s="132" t="str">
        <f>'[3]Planilha Orçamentária'!A262</f>
        <v>1.4.9.6</v>
      </c>
      <c r="B994" s="108" t="str">
        <f>VLOOKUP(A994,'[3]Planilha Orçamentária'!A:K,2,0)</f>
        <v>M1135</v>
      </c>
      <c r="C994" s="104" t="str">
        <f>VLOOKUP(A994,'[3]Planilha Orçamentária'!A:K,3,0)</f>
        <v>Pó de pedra</v>
      </c>
      <c r="D994" s="105" t="str">
        <f>VLOOKUP(A994,'[3]Planilha Orçamentária'!A:K,4,0)</f>
        <v>M3</v>
      </c>
      <c r="E994" s="104"/>
      <c r="F994" s="111"/>
      <c r="G994" s="111"/>
      <c r="H994" s="111"/>
      <c r="I994" s="111"/>
      <c r="J994" s="122">
        <f>ROUND(SUM(J995:J996),2)</f>
        <v>5.66</v>
      </c>
    </row>
    <row r="995" spans="1:10">
      <c r="A995" s="174"/>
      <c r="B995" s="174"/>
      <c r="C995" s="326"/>
      <c r="D995" s="137"/>
      <c r="E995" s="137" t="s">
        <v>2085</v>
      </c>
      <c r="F995" s="174"/>
      <c r="G995" s="174"/>
      <c r="H995" s="174"/>
      <c r="I995" s="174" t="s">
        <v>2007</v>
      </c>
      <c r="J995" s="174"/>
    </row>
    <row r="996" spans="1:10" ht="15">
      <c r="A996" s="174"/>
      <c r="B996" s="174"/>
      <c r="C996" s="200" t="s">
        <v>2086</v>
      </c>
      <c r="D996" s="137"/>
      <c r="E996" s="327">
        <v>0.14000000000000001</v>
      </c>
      <c r="F996" s="174"/>
      <c r="G996" s="174"/>
      <c r="H996" s="174"/>
      <c r="I996" s="286">
        <f>I992</f>
        <v>40.409999999999997</v>
      </c>
      <c r="J996" s="158">
        <f t="shared" ref="J996" si="50">ROUND(PRODUCT(E996:I996),2)</f>
        <v>5.66</v>
      </c>
    </row>
    <row r="997" spans="1:10">
      <c r="A997" s="219"/>
      <c r="B997" s="323"/>
      <c r="C997" s="323"/>
      <c r="D997" s="323"/>
      <c r="E997" s="323"/>
      <c r="F997" s="323"/>
      <c r="G997" s="323"/>
      <c r="H997" s="323"/>
      <c r="I997" s="323"/>
      <c r="J997" s="197"/>
    </row>
    <row r="998" spans="1:10">
      <c r="A998" s="132" t="str">
        <f>'[3]Planilha Orçamentária'!A263</f>
        <v>1.4.9.7</v>
      </c>
      <c r="B998" s="108" t="str">
        <f>VLOOKUP(A998,'[3]Planilha Orçamentária'!A:K,2,0)</f>
        <v>INS-711371</v>
      </c>
      <c r="C998" s="104" t="str">
        <f>VLOOKUP(A998,'[3]Planilha Orçamentária'!A:K,3,0)</f>
        <v>ASFALTO DILUÍDO CM - 30</v>
      </c>
      <c r="D998" s="105" t="str">
        <f>VLOOKUP(A998,'[3]Planilha Orçamentária'!A:K,4,0)</f>
        <v>KG</v>
      </c>
      <c r="E998" s="104"/>
      <c r="F998" s="111"/>
      <c r="G998" s="111"/>
      <c r="H998" s="111"/>
      <c r="I998" s="111"/>
      <c r="J998" s="122">
        <f>ROUND(SUM(J999:J1000),2)</f>
        <v>221.23</v>
      </c>
    </row>
    <row r="999" spans="1:10">
      <c r="A999" s="174"/>
      <c r="B999" s="174"/>
      <c r="C999" s="361"/>
      <c r="D999" s="180"/>
      <c r="E999" s="174" t="s">
        <v>2085</v>
      </c>
      <c r="F999" s="161"/>
      <c r="G999" s="161"/>
      <c r="H999" s="161"/>
      <c r="I999" s="210" t="s">
        <v>2003</v>
      </c>
      <c r="J999" s="174"/>
    </row>
    <row r="1000" spans="1:10">
      <c r="A1000" s="174"/>
      <c r="B1000" s="174"/>
      <c r="C1000" s="324" t="s">
        <v>2087</v>
      </c>
      <c r="D1000" s="137"/>
      <c r="E1000" s="325">
        <v>1.2</v>
      </c>
      <c r="F1000" s="127"/>
      <c r="G1000" s="161"/>
      <c r="H1000" s="161"/>
      <c r="I1000" s="212">
        <f>J866</f>
        <v>184.36</v>
      </c>
      <c r="J1000" s="158">
        <f t="shared" ref="J1000" si="51">ROUND(PRODUCT(E1000:I1000),2)</f>
        <v>221.23</v>
      </c>
    </row>
    <row r="1001" spans="1:10">
      <c r="A1001" s="219"/>
      <c r="B1001" s="323"/>
      <c r="C1001" s="323"/>
      <c r="D1001" s="323"/>
      <c r="E1001" s="323"/>
      <c r="F1001" s="323"/>
      <c r="G1001" s="323"/>
      <c r="H1001" s="323"/>
      <c r="I1001" s="323"/>
      <c r="J1001" s="197"/>
    </row>
    <row r="1002" spans="1:10" ht="38.25">
      <c r="A1002" s="132" t="str">
        <f>'[3]Planilha Orçamentária'!A264</f>
        <v>1.4.9.8</v>
      </c>
      <c r="B1002" s="108">
        <f>VLOOKUP(A1002,'[3]Planilha Orçamentária'!A:K,2,0)</f>
        <v>34492</v>
      </c>
      <c r="C1002" s="104" t="str">
        <f>VLOOKUP(A1002,'[3]Planilha Orçamentária'!A:K,3,0)</f>
        <v xml:space="preserve">CONCRETO USINADO BOMBEAVEL, CLASSE DE RESISTENCIA C20, COM BRITA 0 E 1, SLUMP = 100 +/- 20 MM, EXCLUI SERVICO DE BOMBEAMENTO (NBR 8953)                                                                                                                                                                                                                                                                                                                                                                   </v>
      </c>
      <c r="D1002" s="105" t="str">
        <f>VLOOKUP(A1002,'[3]Planilha Orçamentária'!A:K,4,0)</f>
        <v xml:space="preserve">M3    </v>
      </c>
      <c r="E1002" s="104"/>
      <c r="F1002" s="111"/>
      <c r="G1002" s="111"/>
      <c r="H1002" s="111"/>
      <c r="I1002" s="111"/>
      <c r="J1002" s="122">
        <f>ROUND(SUM(J1003:J1004),2)</f>
        <v>14.43</v>
      </c>
    </row>
    <row r="1003" spans="1:10">
      <c r="A1003" s="174"/>
      <c r="B1003" s="174"/>
      <c r="C1003" s="159"/>
      <c r="D1003" s="174"/>
      <c r="E1003" s="137" t="s">
        <v>2085</v>
      </c>
      <c r="F1003" s="174"/>
      <c r="G1003" s="174"/>
      <c r="H1003" s="174"/>
      <c r="I1003" s="174" t="s">
        <v>2007</v>
      </c>
      <c r="J1003" s="174"/>
    </row>
    <row r="1004" spans="1:10">
      <c r="A1004" s="174"/>
      <c r="B1004" s="174"/>
      <c r="C1004" s="324" t="s">
        <v>2088</v>
      </c>
      <c r="D1004" s="137"/>
      <c r="E1004" s="325">
        <v>1.2130000000000001</v>
      </c>
      <c r="F1004" s="174"/>
      <c r="G1004" s="174"/>
      <c r="H1004" s="174"/>
      <c r="I1004" s="286">
        <f>J891</f>
        <v>11.9</v>
      </c>
      <c r="J1004" s="158">
        <f t="shared" ref="J1004" si="52">ROUND(PRODUCT(E1004:I1004),2)</f>
        <v>14.43</v>
      </c>
    </row>
    <row r="1005" spans="1:10">
      <c r="A1005" s="219"/>
      <c r="B1005" s="323"/>
      <c r="C1005" s="323"/>
      <c r="D1005" s="323"/>
      <c r="E1005" s="323"/>
      <c r="F1005" s="323"/>
      <c r="G1005" s="323"/>
      <c r="H1005" s="323"/>
      <c r="I1005" s="323"/>
      <c r="J1005" s="197"/>
    </row>
    <row r="1006" spans="1:10" ht="38.25">
      <c r="A1006" s="132" t="str">
        <f>'[3]Planilha Orçamentária'!A265</f>
        <v>1.4.9.9</v>
      </c>
      <c r="B1006" s="108">
        <f>VLOOKUP(A1006,'[3]Planilha Orçamentária'!A:K,2,0)</f>
        <v>1345</v>
      </c>
      <c r="C1006" s="104" t="str">
        <f>VLOOKUP(A1006,'[3]Planilha Orçamentária'!A:K,3,0)</f>
        <v xml:space="preserve">CHAPA/PAINEL DE MADEIRA COMPENSADA PLASTIFICADA (MADEIRITE PLASTIFICADO) PARA FORMA DE CONCRETO, DE 2200 x 1100 MM, E = *17* MM                                                                                                                                                                                                                                                                                                                                                                           </v>
      </c>
      <c r="D1006" s="105" t="str">
        <f>VLOOKUP(A1006,'[3]Planilha Orçamentária'!A:K,4,0)</f>
        <v xml:space="preserve">M2    </v>
      </c>
      <c r="E1006" s="104"/>
      <c r="F1006" s="111"/>
      <c r="G1006" s="111"/>
      <c r="H1006" s="111"/>
      <c r="I1006" s="111"/>
      <c r="J1006" s="122">
        <f>ROUND(SUM(J1007:J1008),2)</f>
        <v>33.9</v>
      </c>
    </row>
    <row r="1007" spans="1:10">
      <c r="A1007" s="174"/>
      <c r="B1007" s="174"/>
      <c r="C1007" s="159"/>
      <c r="D1007" s="174"/>
      <c r="E1007" s="137" t="s">
        <v>2085</v>
      </c>
      <c r="F1007" s="174"/>
      <c r="G1007" s="174"/>
      <c r="H1007" s="174"/>
      <c r="I1007" s="174" t="s">
        <v>2003</v>
      </c>
      <c r="J1007" s="174"/>
    </row>
    <row r="1008" spans="1:10">
      <c r="A1008" s="174"/>
      <c r="B1008" s="174"/>
      <c r="C1008" s="324" t="s">
        <v>2089</v>
      </c>
      <c r="D1008" s="137"/>
      <c r="E1008" s="325">
        <v>1.05</v>
      </c>
      <c r="F1008" s="174"/>
      <c r="G1008" s="174"/>
      <c r="H1008" s="174"/>
      <c r="I1008" s="286">
        <f>J919</f>
        <v>32.29</v>
      </c>
      <c r="J1008" s="158">
        <f t="shared" ref="J1008" si="53">ROUND(PRODUCT(E1008:I1008),2)</f>
        <v>33.9</v>
      </c>
    </row>
    <row r="1009" spans="1:10">
      <c r="A1009" s="219"/>
      <c r="B1009" s="323"/>
      <c r="C1009" s="323"/>
      <c r="D1009" s="323"/>
      <c r="E1009" s="323"/>
      <c r="F1009" s="323"/>
      <c r="G1009" s="323"/>
      <c r="H1009" s="323"/>
      <c r="I1009" s="323"/>
      <c r="J1009" s="197"/>
    </row>
    <row r="1010" spans="1:10">
      <c r="A1010" s="93" t="str">
        <f>'[3]Planilha Orçamentária'!A266</f>
        <v>1.5</v>
      </c>
      <c r="B1010" s="526" t="str">
        <f>VLOOKUP(A1010,'[3]Planilha Orçamentária'!A:K,3,0)</f>
        <v>RUA PLANALTINA - PIEDADE</v>
      </c>
      <c r="C1010" s="527"/>
      <c r="D1010" s="527"/>
      <c r="E1010" s="527"/>
      <c r="F1010" s="527"/>
      <c r="G1010" s="527"/>
      <c r="H1010" s="527"/>
      <c r="I1010" s="527"/>
      <c r="J1010" s="527"/>
    </row>
    <row r="1011" spans="1:10">
      <c r="A1011" s="94" t="str">
        <f>'[3]Planilha Orçamentária'!A267</f>
        <v>1.5.1</v>
      </c>
      <c r="B1011" s="95"/>
      <c r="C1011" s="96" t="str">
        <f>VLOOKUP(A1011,'[3]Planilha Orçamentária'!A:K,3,0)</f>
        <v>INSTALAÇÕES PROVISÓRIAS</v>
      </c>
      <c r="D1011" s="97"/>
      <c r="E1011" s="98"/>
      <c r="F1011" s="99"/>
      <c r="G1011" s="99"/>
      <c r="H1011" s="99"/>
      <c r="I1011" s="100"/>
      <c r="J1011" s="101"/>
    </row>
    <row r="1012" spans="1:10" ht="25.5">
      <c r="A1012" s="102" t="str">
        <f>'[3]Planilha Orçamentária'!A268</f>
        <v>1.5.1.1</v>
      </c>
      <c r="B1012" s="103" t="str">
        <f>VLOOKUP(A1012,'[3]Planilha Orçamentária'!A:K,2,0)</f>
        <v>CP-74209/001-15055090</v>
      </c>
      <c r="C1012" s="104" t="str">
        <f>VLOOKUP(A1012,'[3]Planilha Orçamentária'!A:K,3,0)</f>
        <v>PLACA DE OBRA EM CHAPA DE ACO GALVANIZADO</v>
      </c>
      <c r="D1012" s="105" t="str">
        <f>VLOOKUP(A1012,'[3]Planilha Orçamentária'!A:K,4,0)</f>
        <v xml:space="preserve">M2    </v>
      </c>
      <c r="E1012" s="104"/>
      <c r="F1012" s="106" t="s">
        <v>1989</v>
      </c>
      <c r="G1012" s="106" t="s">
        <v>1990</v>
      </c>
      <c r="H1012" s="106"/>
      <c r="I1012" s="106" t="s">
        <v>1991</v>
      </c>
      <c r="J1012" s="107">
        <f>ROUND(SUM(J1014:J1014),2)</f>
        <v>8</v>
      </c>
    </row>
    <row r="1013" spans="1:10">
      <c r="A1013" s="102"/>
      <c r="B1013" s="103"/>
      <c r="C1013" s="110"/>
      <c r="D1013" s="109"/>
      <c r="E1013" s="110"/>
      <c r="F1013" s="111"/>
      <c r="G1013" s="111"/>
      <c r="H1013" s="111"/>
      <c r="I1013" s="111"/>
      <c r="J1013" s="107"/>
    </row>
    <row r="1014" spans="1:10">
      <c r="A1014" s="102"/>
      <c r="B1014" s="123"/>
      <c r="C1014" s="328"/>
      <c r="D1014" s="114"/>
      <c r="E1014" s="115"/>
      <c r="F1014" s="116">
        <v>2</v>
      </c>
      <c r="G1014" s="116">
        <v>4</v>
      </c>
      <c r="H1014" s="117"/>
      <c r="I1014" s="116">
        <v>1</v>
      </c>
      <c r="J1014" s="118">
        <f>ROUND(PRODUCT(E1014:I1014),2)</f>
        <v>8</v>
      </c>
    </row>
    <row r="1015" spans="1:10">
      <c r="A1015" s="553"/>
      <c r="B1015" s="554"/>
      <c r="C1015" s="554"/>
      <c r="D1015" s="554"/>
      <c r="E1015" s="554"/>
      <c r="F1015" s="554"/>
      <c r="G1015" s="554"/>
      <c r="H1015" s="554"/>
      <c r="I1015" s="554"/>
      <c r="J1015" s="555"/>
    </row>
    <row r="1016" spans="1:10" ht="25.5">
      <c r="A1016" s="102" t="str">
        <f>'[3]Planilha Orçamentária'!A269</f>
        <v>1.5.1.2</v>
      </c>
      <c r="B1016" s="108" t="str">
        <f>VLOOKUP(A1016,'[3]Planilha Orçamentária'!A:K,2,0)</f>
        <v>COMP-07440249</v>
      </c>
      <c r="C1016" s="104" t="str">
        <f>VLOOKUP(A1016,'[3]Planilha Orçamentária'!A:K,3,0)</f>
        <v>BANHEIRO QUÍMICO, COM LOCAÇÃO, TRANSPORTE E LIMPEZA</v>
      </c>
      <c r="D1016" s="105" t="str">
        <f>VLOOKUP(A1016,'[3]Planilha Orçamentária'!A:K,4,0)</f>
        <v>MÊS</v>
      </c>
      <c r="E1016" s="104"/>
      <c r="F1016" s="111"/>
      <c r="G1016" s="111"/>
      <c r="H1016" s="111"/>
      <c r="I1016" s="111"/>
      <c r="J1016" s="122">
        <f>ROUND(SUM(J1019:J1019),2)</f>
        <v>3</v>
      </c>
    </row>
    <row r="1017" spans="1:10" ht="25.5">
      <c r="A1017" s="102"/>
      <c r="B1017" s="108"/>
      <c r="C1017" s="104"/>
      <c r="D1017" s="105"/>
      <c r="E1017" s="104"/>
      <c r="F1017" s="111"/>
      <c r="G1017" s="111"/>
      <c r="H1017" s="111"/>
      <c r="I1017" s="106" t="s">
        <v>1992</v>
      </c>
      <c r="J1017" s="122"/>
    </row>
    <row r="1018" spans="1:10">
      <c r="A1018" s="102"/>
      <c r="B1018" s="108"/>
      <c r="C1018" s="104"/>
      <c r="D1018" s="105"/>
      <c r="E1018" s="104"/>
      <c r="F1018" s="111"/>
      <c r="G1018" s="111"/>
      <c r="H1018" s="111"/>
      <c r="I1018" s="106"/>
      <c r="J1018" s="122"/>
    </row>
    <row r="1019" spans="1:10">
      <c r="A1019" s="102"/>
      <c r="B1019" s="123"/>
      <c r="C1019" s="124"/>
      <c r="D1019" s="125"/>
      <c r="E1019" s="126"/>
      <c r="F1019" s="126"/>
      <c r="G1019" s="117"/>
      <c r="H1019" s="117"/>
      <c r="I1019" s="127">
        <v>3</v>
      </c>
      <c r="J1019" s="128">
        <f>ROUND(PRODUCT(E1019:I1019),2)</f>
        <v>3</v>
      </c>
    </row>
    <row r="1020" spans="1:10">
      <c r="A1020" s="102"/>
      <c r="B1020" s="123"/>
      <c r="C1020" s="124"/>
      <c r="D1020" s="125"/>
      <c r="E1020" s="126"/>
      <c r="F1020" s="126"/>
      <c r="G1020" s="117"/>
      <c r="H1020" s="117"/>
      <c r="I1020" s="127"/>
      <c r="J1020" s="128"/>
    </row>
    <row r="1021" spans="1:10">
      <c r="A1021" s="94" t="str">
        <f>'[3]Planilha Orçamentária'!A270</f>
        <v>1.5.2</v>
      </c>
      <c r="B1021" s="95"/>
      <c r="C1021" s="96" t="str">
        <f>VLOOKUP(A1021,'[3]Planilha Orçamentária'!A:K,3,0)</f>
        <v>ADMINISTRAÇÃO LOCAL</v>
      </c>
      <c r="D1021" s="96"/>
      <c r="E1021" s="129"/>
      <c r="F1021" s="130"/>
      <c r="G1021" s="130"/>
      <c r="H1021" s="130"/>
      <c r="I1021" s="130"/>
      <c r="J1021" s="131"/>
    </row>
    <row r="1022" spans="1:10" ht="25.5">
      <c r="A1022" s="132" t="str">
        <f>'[3]Planilha Orçamentária'!A271</f>
        <v>1.5.2.1</v>
      </c>
      <c r="B1022" s="103">
        <f>VLOOKUP(A1022,'[3]Planilha Orçamentária'!A:K,2,0)</f>
        <v>93565</v>
      </c>
      <c r="C1022" s="104" t="str">
        <f>VLOOKUP(A1022,'[3]Planilha Orçamentária'!A:K,3,0)</f>
        <v>ENGENHEIRO CIVIL DE OBRA JUNIOR COM ENCARGOS COMPLEMENTARES</v>
      </c>
      <c r="D1022" s="105" t="str">
        <f>VLOOKUP(A1022,'[3]Planilha Orçamentária'!A:K,4,0)</f>
        <v>MES</v>
      </c>
      <c r="E1022" s="133"/>
      <c r="F1022" s="134"/>
      <c r="G1022" s="134"/>
      <c r="H1022" s="134"/>
      <c r="I1022" s="134"/>
      <c r="J1022" s="107">
        <f>ROUND(SUM(J1024),2)</f>
        <v>0.38</v>
      </c>
    </row>
    <row r="1023" spans="1:10" ht="14.25">
      <c r="A1023" s="132"/>
      <c r="B1023" s="103"/>
      <c r="C1023" s="135" t="s">
        <v>2184</v>
      </c>
      <c r="D1023" s="105"/>
      <c r="E1023" s="133"/>
      <c r="F1023" s="136"/>
      <c r="G1023" s="136"/>
      <c r="H1023" s="136"/>
      <c r="I1023" s="136"/>
      <c r="J1023" s="107"/>
    </row>
    <row r="1024" spans="1:10" ht="14.25">
      <c r="A1024" s="137"/>
      <c r="B1024" s="138"/>
      <c r="C1024" s="135" t="s">
        <v>2185</v>
      </c>
      <c r="D1024" s="139"/>
      <c r="E1024" s="136">
        <f>22/176</f>
        <v>0.125</v>
      </c>
      <c r="F1024" s="136"/>
      <c r="G1024" s="136"/>
      <c r="H1024" s="136"/>
      <c r="I1024" s="136">
        <f>I1019</f>
        <v>3</v>
      </c>
      <c r="J1024" s="118">
        <f>ROUND(PRODUCT(E1024:I1024),2)</f>
        <v>0.38</v>
      </c>
    </row>
    <row r="1025" spans="1:10" ht="14.25">
      <c r="A1025" s="137"/>
      <c r="B1025" s="138"/>
      <c r="C1025" s="135" t="s">
        <v>1994</v>
      </c>
      <c r="D1025" s="139"/>
      <c r="E1025" s="136"/>
      <c r="F1025" s="136"/>
      <c r="G1025" s="136"/>
      <c r="H1025" s="136"/>
      <c r="I1025" s="136"/>
      <c r="J1025" s="140"/>
    </row>
    <row r="1026" spans="1:10" ht="14.25">
      <c r="A1026" s="137"/>
      <c r="B1026" s="138"/>
      <c r="C1026" s="135" t="s">
        <v>1995</v>
      </c>
      <c r="D1026" s="141"/>
      <c r="E1026" s="142"/>
      <c r="F1026" s="127"/>
      <c r="G1026" s="117"/>
      <c r="H1026" s="117"/>
      <c r="I1026" s="143"/>
      <c r="J1026" s="144"/>
    </row>
    <row r="1027" spans="1:10">
      <c r="A1027" s="531"/>
      <c r="B1027" s="531"/>
      <c r="C1027" s="531"/>
      <c r="D1027" s="531"/>
      <c r="E1027" s="531"/>
      <c r="F1027" s="531"/>
      <c r="G1027" s="531"/>
      <c r="H1027" s="531"/>
      <c r="I1027" s="531"/>
      <c r="J1027" s="531"/>
    </row>
    <row r="1028" spans="1:10" ht="25.5">
      <c r="A1028" s="132" t="str">
        <f>'[3]Planilha Orçamentária'!A272</f>
        <v>1.5.2.2</v>
      </c>
      <c r="B1028" s="103">
        <f>VLOOKUP(A1028,'[3]Planilha Orçamentária'!A:K,2,0)</f>
        <v>93572</v>
      </c>
      <c r="C1028" s="104" t="str">
        <f>VLOOKUP(A1028,'[3]Planilha Orçamentária'!A:K,3,0)</f>
        <v>ENCARREGADO GERAL DE OBRAS COM ENCARGOS COMPLEMENTARES</v>
      </c>
      <c r="D1028" s="105" t="str">
        <f>VLOOKUP(A1028,'[3]Planilha Orçamentária'!A:K,4,0)</f>
        <v>MES</v>
      </c>
      <c r="E1028" s="133"/>
      <c r="F1028" s="134"/>
      <c r="G1028" s="134"/>
      <c r="H1028" s="134"/>
      <c r="I1028" s="134"/>
      <c r="J1028" s="107">
        <f>ROUND(SUM(J1030),2)</f>
        <v>1.5</v>
      </c>
    </row>
    <row r="1029" spans="1:10" ht="14.25">
      <c r="A1029" s="132"/>
      <c r="B1029" s="103"/>
      <c r="C1029" s="135" t="s">
        <v>2184</v>
      </c>
      <c r="D1029" s="105"/>
      <c r="E1029" s="133"/>
      <c r="F1029" s="136"/>
      <c r="G1029" s="136"/>
      <c r="H1029" s="136"/>
      <c r="I1029" s="136"/>
      <c r="J1029" s="107"/>
    </row>
    <row r="1030" spans="1:10" ht="14.25">
      <c r="A1030" s="137"/>
      <c r="B1030" s="138"/>
      <c r="C1030" s="135" t="s">
        <v>2186</v>
      </c>
      <c r="D1030" s="139"/>
      <c r="E1030" s="136">
        <f>88/176</f>
        <v>0.5</v>
      </c>
      <c r="F1030" s="136"/>
      <c r="G1030" s="136"/>
      <c r="H1030" s="136"/>
      <c r="I1030" s="136">
        <f>I1019</f>
        <v>3</v>
      </c>
      <c r="J1030" s="118">
        <f>ROUND(PRODUCT(E1030:I1030),2)</f>
        <v>1.5</v>
      </c>
    </row>
    <row r="1031" spans="1:10" ht="14.25">
      <c r="A1031" s="137"/>
      <c r="B1031" s="138"/>
      <c r="C1031" s="135" t="s">
        <v>1997</v>
      </c>
      <c r="D1031" s="139"/>
      <c r="E1031" s="136"/>
      <c r="F1031" s="136"/>
      <c r="G1031" s="136"/>
      <c r="H1031" s="136"/>
      <c r="I1031" s="136"/>
      <c r="J1031" s="140"/>
    </row>
    <row r="1032" spans="1:10" ht="14.25">
      <c r="A1032" s="137"/>
      <c r="B1032" s="138"/>
      <c r="C1032" s="135" t="s">
        <v>1995</v>
      </c>
      <c r="D1032" s="141"/>
      <c r="E1032" s="142"/>
      <c r="F1032" s="127"/>
      <c r="G1032" s="117"/>
      <c r="H1032" s="117"/>
      <c r="I1032" s="143"/>
      <c r="J1032" s="144"/>
    </row>
    <row r="1033" spans="1:10">
      <c r="A1033" s="531"/>
      <c r="B1033" s="531"/>
      <c r="C1033" s="531"/>
      <c r="D1033" s="531"/>
      <c r="E1033" s="531"/>
      <c r="F1033" s="531"/>
      <c r="G1033" s="531"/>
      <c r="H1033" s="531"/>
      <c r="I1033" s="531"/>
      <c r="J1033" s="531"/>
    </row>
    <row r="1034" spans="1:10">
      <c r="A1034" s="94" t="str">
        <f>'[3]Planilha Orçamentária'!A273</f>
        <v>1.5.3</v>
      </c>
      <c r="B1034" s="95"/>
      <c r="C1034" s="96" t="str">
        <f>VLOOKUP(A1034,'[3]Planilha Orçamentária'!A:K,3,0)</f>
        <v>SERVIÇOS PRELIMINARES</v>
      </c>
      <c r="D1034" s="97"/>
      <c r="E1034" s="98"/>
      <c r="F1034" s="99"/>
      <c r="G1034" s="99"/>
      <c r="H1034" s="99"/>
      <c r="I1034" s="100"/>
      <c r="J1034" s="101"/>
    </row>
    <row r="1035" spans="1:10">
      <c r="A1035" s="145" t="str">
        <f>'[3]Planilha Orçamentária'!A274</f>
        <v>1.5.3.1</v>
      </c>
      <c r="B1035" s="146">
        <f>VLOOKUP(A1035,'[3]Planilha Orçamentária'!A:K,2,0)</f>
        <v>99064</v>
      </c>
      <c r="C1035" s="147" t="str">
        <f>VLOOKUP(A1035,'[3]Planilha Orçamentária'!A:K,3,0)</f>
        <v>LOCAÇÃO DE PAVIMENTAÇÃO. AF_10/2018</v>
      </c>
      <c r="D1035" s="148" t="str">
        <f>VLOOKUP(A1035,'[3]Planilha Orçamentária'!A:K,4,0)</f>
        <v>M</v>
      </c>
      <c r="E1035" s="147"/>
      <c r="F1035" s="136"/>
      <c r="G1035" s="149"/>
      <c r="H1035" s="149"/>
      <c r="I1035" s="149"/>
      <c r="J1035" s="150">
        <f>ROUND(SUM(J1037:J1040),2)</f>
        <v>269.74</v>
      </c>
    </row>
    <row r="1036" spans="1:10">
      <c r="A1036" s="151"/>
      <c r="B1036" s="152"/>
      <c r="C1036" s="147"/>
      <c r="D1036" s="148"/>
      <c r="E1036" s="147"/>
      <c r="F1036" s="106" t="s">
        <v>1989</v>
      </c>
      <c r="G1036" s="149"/>
      <c r="H1036" s="149"/>
      <c r="I1036" s="149"/>
      <c r="J1036" s="150"/>
    </row>
    <row r="1037" spans="1:10">
      <c r="A1037" s="153"/>
      <c r="B1037" s="154"/>
      <c r="C1037" s="200" t="s">
        <v>2187</v>
      </c>
      <c r="D1037" s="156"/>
      <c r="E1037" s="157"/>
      <c r="F1037" s="157">
        <f>(3*20)+(2.33)</f>
        <v>62.33</v>
      </c>
      <c r="G1037" s="157"/>
      <c r="H1037" s="157"/>
      <c r="I1037" s="157"/>
      <c r="J1037" s="158">
        <f>ROUND(PRODUCT(E1037:I1037),2)</f>
        <v>62.33</v>
      </c>
    </row>
    <row r="1038" spans="1:10">
      <c r="A1038" s="153"/>
      <c r="B1038" s="154"/>
      <c r="C1038" s="200" t="s">
        <v>2188</v>
      </c>
      <c r="D1038" s="156"/>
      <c r="E1038" s="157"/>
      <c r="F1038" s="157">
        <f>(20-11.83)+(2*20)+(18.02)</f>
        <v>66.19</v>
      </c>
      <c r="G1038" s="157"/>
      <c r="H1038" s="157"/>
      <c r="I1038" s="157"/>
      <c r="J1038" s="158">
        <f t="shared" ref="J1038:J1040" si="54">ROUND(PRODUCT(E1038:I1038),2)</f>
        <v>66.19</v>
      </c>
    </row>
    <row r="1039" spans="1:10">
      <c r="A1039" s="153"/>
      <c r="B1039" s="154"/>
      <c r="C1039" s="200" t="s">
        <v>2189</v>
      </c>
      <c r="D1039" s="156"/>
      <c r="E1039" s="157"/>
      <c r="F1039" s="157">
        <f>(20-6.22)+(3*20)+(7.44)</f>
        <v>81.22</v>
      </c>
      <c r="G1039" s="157"/>
      <c r="H1039" s="157"/>
      <c r="I1039" s="157"/>
      <c r="J1039" s="158">
        <f t="shared" si="54"/>
        <v>81.22</v>
      </c>
    </row>
    <row r="1040" spans="1:10">
      <c r="A1040" s="153"/>
      <c r="B1040" s="154"/>
      <c r="C1040" s="200" t="s">
        <v>2190</v>
      </c>
      <c r="D1040" s="156"/>
      <c r="E1040" s="157"/>
      <c r="F1040" s="157">
        <f>(20-15.48)+(2*20)+(15.48)</f>
        <v>60</v>
      </c>
      <c r="G1040" s="157"/>
      <c r="H1040" s="157"/>
      <c r="I1040" s="157"/>
      <c r="J1040" s="158">
        <f t="shared" si="54"/>
        <v>60</v>
      </c>
    </row>
    <row r="1041" spans="1:10">
      <c r="A1041" s="531"/>
      <c r="B1041" s="531"/>
      <c r="C1041" s="531"/>
      <c r="D1041" s="531"/>
      <c r="E1041" s="531"/>
      <c r="F1041" s="531"/>
      <c r="G1041" s="531"/>
      <c r="H1041" s="531"/>
      <c r="I1041" s="531"/>
      <c r="J1041" s="531"/>
    </row>
    <row r="1042" spans="1:10" ht="25.5">
      <c r="A1042" s="145" t="str">
        <f>'[3]Planilha Orçamentária'!A275</f>
        <v>1.5.3.2</v>
      </c>
      <c r="B1042" s="199" t="str">
        <f>VLOOKUP(A1042,'[3]Planilha Orçamentária'!A:K,2,0)</f>
        <v>COMP-17562084</v>
      </c>
      <c r="C1042" s="147" t="str">
        <f>VLOOKUP(A1042,'[3]Planilha Orçamentária'!A:K,3,0)</f>
        <v>DEMOLIÇÃO MANUAL DE CONCRETO SIMPLES</v>
      </c>
      <c r="D1042" s="148" t="str">
        <f>VLOOKUP(A1042,'[3]Planilha Orçamentária'!A:K,4,0)</f>
        <v>M3</v>
      </c>
      <c r="E1042" s="147"/>
      <c r="F1042" s="160"/>
      <c r="G1042" s="160"/>
      <c r="H1042" s="160"/>
      <c r="I1042" s="160"/>
      <c r="J1042" s="150">
        <f>ROUND(SUM(J1044),2)</f>
        <v>50.01</v>
      </c>
    </row>
    <row r="1043" spans="1:10">
      <c r="A1043" s="145"/>
      <c r="B1043" s="199"/>
      <c r="C1043" s="159" t="s">
        <v>2191</v>
      </c>
      <c r="D1043" s="148"/>
      <c r="E1043" s="147"/>
      <c r="F1043" s="161"/>
      <c r="G1043" s="160"/>
      <c r="H1043" s="161" t="s">
        <v>2002</v>
      </c>
      <c r="I1043" s="106" t="s">
        <v>2003</v>
      </c>
      <c r="J1043" s="150"/>
    </row>
    <row r="1044" spans="1:10" ht="25.5">
      <c r="A1044" s="145"/>
      <c r="B1044" s="199"/>
      <c r="C1044" s="162" t="s">
        <v>2004</v>
      </c>
      <c r="D1044" s="123"/>
      <c r="E1044" s="123"/>
      <c r="F1044" s="157"/>
      <c r="G1044" s="157"/>
      <c r="H1044" s="157">
        <v>7.0000000000000007E-2</v>
      </c>
      <c r="I1044" s="157">
        <v>714.36</v>
      </c>
      <c r="J1044" s="128">
        <f>ROUND(PRODUCT(E1044:I1044),2)</f>
        <v>50.01</v>
      </c>
    </row>
    <row r="1045" spans="1:10">
      <c r="A1045" s="561"/>
      <c r="B1045" s="562"/>
      <c r="C1045" s="562"/>
      <c r="D1045" s="562"/>
      <c r="E1045" s="562"/>
      <c r="F1045" s="562"/>
      <c r="G1045" s="562"/>
      <c r="H1045" s="562"/>
      <c r="I1045" s="562"/>
      <c r="J1045" s="563"/>
    </row>
    <row r="1046" spans="1:10" ht="25.5">
      <c r="A1046" s="145" t="str">
        <f>'[3]Planilha Orçamentária'!A276</f>
        <v>1.5.3.3</v>
      </c>
      <c r="B1046" s="199" t="str">
        <f>VLOOKUP(A1046,'[3]Planilha Orçamentária'!A:K,2,0)</f>
        <v>COMP-01471766</v>
      </c>
      <c r="C1046" s="147" t="str">
        <f>VLOOKUP(A1046,'[3]Planilha Orçamentária'!A:K,3,0)</f>
        <v>DEMOLIÇÃO DE MEIO-FIO</v>
      </c>
      <c r="D1046" s="148" t="str">
        <f>VLOOKUP(A1046,'[3]Planilha Orçamentária'!A:K,4,0)</f>
        <v>M</v>
      </c>
      <c r="E1046" s="147"/>
      <c r="F1046" s="160"/>
      <c r="G1046" s="160"/>
      <c r="H1046" s="160"/>
      <c r="I1046" s="160"/>
      <c r="J1046" s="150">
        <f>ROUND(SUM(J1048),2)</f>
        <v>64.63</v>
      </c>
    </row>
    <row r="1047" spans="1:10">
      <c r="A1047" s="145"/>
      <c r="B1047" s="199"/>
      <c r="C1047" s="159" t="s">
        <v>2191</v>
      </c>
      <c r="D1047" s="148"/>
      <c r="E1047" s="147"/>
      <c r="F1047" s="161" t="s">
        <v>1989</v>
      </c>
      <c r="G1047" s="160"/>
      <c r="H1047" s="161"/>
      <c r="I1047" s="106"/>
      <c r="J1047" s="150"/>
    </row>
    <row r="1048" spans="1:10" ht="25.5">
      <c r="A1048" s="145"/>
      <c r="B1048" s="199"/>
      <c r="C1048" s="162" t="s">
        <v>2167</v>
      </c>
      <c r="D1048" s="123"/>
      <c r="E1048" s="123"/>
      <c r="F1048" s="157">
        <v>64.63</v>
      </c>
      <c r="G1048" s="157"/>
      <c r="H1048" s="157"/>
      <c r="I1048" s="157"/>
      <c r="J1048" s="128">
        <f>ROUND(PRODUCT(E1048:I1048),2)</f>
        <v>64.63</v>
      </c>
    </row>
    <row r="1049" spans="1:10">
      <c r="A1049" s="561"/>
      <c r="B1049" s="562"/>
      <c r="C1049" s="562"/>
      <c r="D1049" s="562"/>
      <c r="E1049" s="562"/>
      <c r="F1049" s="562"/>
      <c r="G1049" s="562"/>
      <c r="H1049" s="562"/>
      <c r="I1049" s="562"/>
      <c r="J1049" s="563"/>
    </row>
    <row r="1050" spans="1:10" ht="55.5" customHeight="1">
      <c r="A1050" s="145" t="str">
        <f>'[3]Planilha Orçamentária'!A277</f>
        <v>1.5.3.4</v>
      </c>
      <c r="B1050" s="199" t="str">
        <f>VLOOKUP(A1050,'[3]Planilha Orçamentária'!A:K,2,0)</f>
        <v>COMP-35145154</v>
      </c>
      <c r="C1050" s="147" t="str">
        <f>VLOOKUP(A1050,'[3]Planilha Orçamentária'!A:K,3,0)</f>
        <v>CARGA E DESCARGA MECANICA DE SOLO UTILIZANDO CAMINHAO BASCULANTE 14,0M3/36T E PA CARREGADEIRA SOBRE PNEUS 128 HP, CAPACIDADE DA CAÇAMBA 1,7 A 2,8 M3, PESO OPERACIONAL 11632 KH</v>
      </c>
      <c r="D1050" s="148" t="str">
        <f>VLOOKUP(A1050,'[3]Planilha Orçamentária'!A:K,4,0)</f>
        <v>M3</v>
      </c>
      <c r="E1050" s="147"/>
      <c r="F1050" s="160"/>
      <c r="G1050" s="160"/>
      <c r="H1050" s="160"/>
      <c r="I1050" s="160"/>
      <c r="J1050" s="150">
        <f>ROUND(SUM(J1052:J1054),2)</f>
        <v>66.150000000000006</v>
      </c>
    </row>
    <row r="1051" spans="1:10">
      <c r="A1051" s="145"/>
      <c r="B1051" s="199"/>
      <c r="C1051" s="165"/>
      <c r="D1051" s="166"/>
      <c r="E1051" s="162" t="s">
        <v>2006</v>
      </c>
      <c r="F1051" s="169"/>
      <c r="G1051" s="169"/>
      <c r="H1051" s="169"/>
      <c r="I1051" s="161" t="s">
        <v>2007</v>
      </c>
      <c r="J1051" s="150"/>
    </row>
    <row r="1052" spans="1:10">
      <c r="A1052" s="145"/>
      <c r="B1052" s="199"/>
      <c r="C1052" s="165" t="s">
        <v>2168</v>
      </c>
      <c r="D1052" s="148"/>
      <c r="E1052" s="159">
        <v>1.25</v>
      </c>
      <c r="F1052" s="157"/>
      <c r="G1052" s="157"/>
      <c r="H1052" s="157"/>
      <c r="I1052" s="167">
        <f>J1042</f>
        <v>50.01</v>
      </c>
      <c r="J1052" s="128">
        <f>ROUND(PRODUCT(E1052:I1052),2)</f>
        <v>62.51</v>
      </c>
    </row>
    <row r="1053" spans="1:10">
      <c r="A1053" s="145"/>
      <c r="B1053" s="199"/>
      <c r="C1053" s="165"/>
      <c r="D1053" s="148"/>
      <c r="E1053" s="162" t="s">
        <v>2006</v>
      </c>
      <c r="F1053" s="157" t="s">
        <v>1989</v>
      </c>
      <c r="G1053" s="157" t="s">
        <v>1990</v>
      </c>
      <c r="H1053" s="157" t="s">
        <v>2002</v>
      </c>
      <c r="I1053" s="167"/>
      <c r="J1053" s="128"/>
    </row>
    <row r="1054" spans="1:10">
      <c r="A1054" s="145"/>
      <c r="B1054" s="199"/>
      <c r="C1054" s="165" t="s">
        <v>2008</v>
      </c>
      <c r="D1054" s="148"/>
      <c r="E1054" s="159">
        <v>1.25</v>
      </c>
      <c r="F1054" s="157">
        <f>J1046</f>
        <v>64.63</v>
      </c>
      <c r="G1054" s="157">
        <v>0.15</v>
      </c>
      <c r="H1054" s="157">
        <v>0.3</v>
      </c>
      <c r="I1054" s="167"/>
      <c r="J1054" s="128">
        <f>ROUND(PRODUCT(E1054:I1054),2)</f>
        <v>3.64</v>
      </c>
    </row>
    <row r="1055" spans="1:10">
      <c r="A1055" s="561"/>
      <c r="B1055" s="562"/>
      <c r="C1055" s="562"/>
      <c r="D1055" s="562"/>
      <c r="E1055" s="562"/>
      <c r="F1055" s="562"/>
      <c r="G1055" s="562"/>
      <c r="H1055" s="562"/>
      <c r="I1055" s="562"/>
      <c r="J1055" s="563"/>
    </row>
    <row r="1056" spans="1:10" ht="38.25">
      <c r="A1056" s="145" t="str">
        <f>'[3]Planilha Orçamentária'!A278</f>
        <v>1.5.3.5</v>
      </c>
      <c r="B1056" s="199">
        <f>VLOOKUP(A1056,'[3]Planilha Orçamentária'!A:K,2,0)</f>
        <v>95876</v>
      </c>
      <c r="C1056" s="147" t="str">
        <f>VLOOKUP(A1056,'[3]Planilha Orçamentária'!A:K,3,0)</f>
        <v>TRANSPORTE COM CAMINHÃO BASCULANTE DE 14 M³, EM VIA URBANA PAVIMENTADA, DMT ATÉ 30 KM (UNIDADE: M3XKM). AF_07/2020</v>
      </c>
      <c r="D1056" s="148" t="str">
        <f>VLOOKUP(A1056,'[3]Planilha Orçamentária'!A:K,4,0)</f>
        <v>M3XKM</v>
      </c>
      <c r="E1056" s="147"/>
      <c r="F1056" s="160"/>
      <c r="G1056" s="160"/>
      <c r="H1056" s="160"/>
      <c r="I1056" s="160"/>
      <c r="J1056" s="150">
        <f>ROUND(SUM(J1058),2)</f>
        <v>291.06</v>
      </c>
    </row>
    <row r="1057" spans="1:10">
      <c r="A1057" s="145"/>
      <c r="B1057" s="199"/>
      <c r="C1057" s="171" t="s">
        <v>2192</v>
      </c>
      <c r="D1057" s="123"/>
      <c r="E1057" s="123" t="s">
        <v>2011</v>
      </c>
      <c r="F1057" s="123"/>
      <c r="G1057" s="123"/>
      <c r="H1057" s="123"/>
      <c r="I1057" s="123" t="s">
        <v>2007</v>
      </c>
      <c r="J1057" s="150"/>
    </row>
    <row r="1058" spans="1:10">
      <c r="A1058" s="145"/>
      <c r="B1058" s="199"/>
      <c r="C1058" s="155" t="s">
        <v>2193</v>
      </c>
      <c r="D1058" s="123"/>
      <c r="E1058" s="162">
        <v>4.4000000000000004</v>
      </c>
      <c r="F1058" s="162"/>
      <c r="G1058" s="162"/>
      <c r="H1058" s="162"/>
      <c r="I1058" s="172">
        <f>J1050</f>
        <v>66.150000000000006</v>
      </c>
      <c r="J1058" s="128">
        <f>ROUND(PRODUCT(E1058:I1058),2)</f>
        <v>291.06</v>
      </c>
    </row>
    <row r="1059" spans="1:10">
      <c r="A1059" s="561"/>
      <c r="B1059" s="562"/>
      <c r="C1059" s="562"/>
      <c r="D1059" s="562"/>
      <c r="E1059" s="562"/>
      <c r="F1059" s="562"/>
      <c r="G1059" s="562"/>
      <c r="H1059" s="562"/>
      <c r="I1059" s="562"/>
      <c r="J1059" s="563"/>
    </row>
    <row r="1060" spans="1:10">
      <c r="A1060" s="94" t="str">
        <f>'[3]Planilha Orçamentária'!A279</f>
        <v>1.5.4</v>
      </c>
      <c r="B1060" s="95"/>
      <c r="C1060" s="96" t="str">
        <f>VLOOKUP(A1060,'[3]Planilha Orçamentária'!A:K,3,0)</f>
        <v>TERRAPLENAGEM</v>
      </c>
      <c r="D1060" s="97"/>
      <c r="E1060" s="98"/>
      <c r="F1060" s="99"/>
      <c r="G1060" s="99"/>
      <c r="H1060" s="99"/>
      <c r="I1060" s="100"/>
      <c r="J1060" s="173"/>
    </row>
    <row r="1061" spans="1:10" ht="38.25">
      <c r="A1061" s="132" t="str">
        <f>'[3]Planilha Orçamentária'!A280</f>
        <v>1.5.4.1</v>
      </c>
      <c r="B1061" s="103" t="str">
        <f>VLOOKUP(A1061,'[3]Planilha Orçamentária'!A:K,2,0)</f>
        <v>CP-74205/001-17324935</v>
      </c>
      <c r="C1061" s="104" t="str">
        <f>VLOOKUP(A1061,'[3]Planilha Orçamentária'!A:K,3,0)</f>
        <v>ESCAVAÇÃO MECÂNICA DE MATERIAL 1A. CATEGORIA, PROVENIENTE DE CORTE DE SUBLEITO (C/TRATOR ESTEIRAS  160HP)</v>
      </c>
      <c r="D1061" s="105" t="str">
        <f>VLOOKUP(A1061,'[3]Planilha Orçamentária'!A:K,4,0)</f>
        <v>M3</v>
      </c>
      <c r="E1061" s="104"/>
      <c r="F1061" s="111"/>
      <c r="G1061" s="111"/>
      <c r="H1061" s="111"/>
      <c r="I1061" s="111"/>
      <c r="J1061" s="107">
        <f>ROUND(SUM(J1063:J1063),2)</f>
        <v>1619.3</v>
      </c>
    </row>
    <row r="1062" spans="1:10">
      <c r="A1062" s="132"/>
      <c r="B1062" s="103"/>
      <c r="C1062" s="165" t="s">
        <v>2194</v>
      </c>
      <c r="D1062" s="105"/>
      <c r="E1062" s="104"/>
      <c r="F1062" s="111"/>
      <c r="G1062" s="111"/>
      <c r="H1062" s="111"/>
      <c r="I1062" s="106" t="s">
        <v>2007</v>
      </c>
      <c r="J1062" s="107"/>
    </row>
    <row r="1063" spans="1:10">
      <c r="A1063" s="174"/>
      <c r="B1063" s="175"/>
      <c r="C1063" s="155" t="s">
        <v>2097</v>
      </c>
      <c r="D1063" s="156"/>
      <c r="E1063" s="157"/>
      <c r="F1063" s="157"/>
      <c r="G1063" s="157"/>
      <c r="H1063" s="157"/>
      <c r="I1063" s="157">
        <f>[3]PARÂMETROS!G408</f>
        <v>1619.3</v>
      </c>
      <c r="J1063" s="176">
        <f>ROUND(PRODUCT(E1063:I1063),2)</f>
        <v>1619.3</v>
      </c>
    </row>
    <row r="1064" spans="1:10">
      <c r="A1064" s="549"/>
      <c r="B1064" s="549"/>
      <c r="C1064" s="549"/>
      <c r="D1064" s="549"/>
      <c r="E1064" s="549"/>
      <c r="F1064" s="549"/>
      <c r="G1064" s="549"/>
      <c r="H1064" s="549"/>
      <c r="I1064" s="549"/>
      <c r="J1064" s="549"/>
    </row>
    <row r="1065" spans="1:10" ht="51">
      <c r="A1065" s="177" t="str">
        <f>'[3]Planilha Orçamentária'!A281</f>
        <v>1.5.4.2</v>
      </c>
      <c r="B1065" s="178" t="str">
        <f>VLOOKUP(A1065,'[3]Planilha Orçamentária'!A:K,2,0)</f>
        <v>COMP-35145154</v>
      </c>
      <c r="C1065" s="179" t="str">
        <f>VLOOKUP(A1065,'[3]Planilha Orçamentária'!A:K,3,0)</f>
        <v>CARGA E DESCARGA MECANICA DE SOLO UTILIZANDO CAMINHAO BASCULANTE 14,0M3/36T E PA CARREGADEIRA SOBRE PNEUS 128 HP, CAPACIDADE DA CAÇAMBA 1,7 A 2,8 M3, PESO OPERACIONAL 11632 KH</v>
      </c>
      <c r="D1065" s="180" t="str">
        <f>VLOOKUP(A1065,'[3]Planilha Orçamentária'!A:K,4,0)</f>
        <v>M3</v>
      </c>
      <c r="E1065" s="179"/>
      <c r="F1065" s="181"/>
      <c r="G1065" s="181"/>
      <c r="H1065" s="181"/>
      <c r="I1065" s="181"/>
      <c r="J1065" s="107">
        <f>ROUND(SUM(J1067:J1067),2)</f>
        <v>2024.13</v>
      </c>
    </row>
    <row r="1066" spans="1:10">
      <c r="A1066" s="177"/>
      <c r="B1066" s="178"/>
      <c r="C1066" s="155" t="s">
        <v>2015</v>
      </c>
      <c r="D1066" s="180"/>
      <c r="E1066" s="184" t="s">
        <v>2006</v>
      </c>
      <c r="F1066" s="332"/>
      <c r="G1066" s="332"/>
      <c r="H1066" s="332"/>
      <c r="I1066" s="332" t="s">
        <v>2007</v>
      </c>
      <c r="J1066" s="182"/>
    </row>
    <row r="1067" spans="1:10">
      <c r="A1067" s="177"/>
      <c r="B1067" s="178"/>
      <c r="C1067" s="155" t="s">
        <v>2016</v>
      </c>
      <c r="D1067" s="156"/>
      <c r="E1067" s="157">
        <v>1.25</v>
      </c>
      <c r="F1067" s="116"/>
      <c r="G1067" s="116"/>
      <c r="H1067" s="116"/>
      <c r="I1067" s="116">
        <f>J1061</f>
        <v>1619.3</v>
      </c>
      <c r="J1067" s="176">
        <f>ROUND(PRODUCT(E1067:I1067),2)</f>
        <v>2024.13</v>
      </c>
    </row>
    <row r="1068" spans="1:10">
      <c r="A1068" s="549"/>
      <c r="B1068" s="549"/>
      <c r="C1068" s="549"/>
      <c r="D1068" s="549"/>
      <c r="E1068" s="549"/>
      <c r="F1068" s="549"/>
      <c r="G1068" s="549"/>
      <c r="H1068" s="549"/>
      <c r="I1068" s="549"/>
      <c r="J1068" s="549"/>
    </row>
    <row r="1069" spans="1:10" ht="38.25">
      <c r="A1069" s="186" t="str">
        <f>'[3]Planilha Orçamentária'!A282</f>
        <v>1.5.4.3</v>
      </c>
      <c r="B1069" s="187">
        <f>VLOOKUP(A1069,'[3]Planilha Orçamentária'!A:K,2,0)</f>
        <v>95876</v>
      </c>
      <c r="C1069" s="188" t="str">
        <f>VLOOKUP(A1069,'[3]Planilha Orçamentária'!A:K,3,0)</f>
        <v>TRANSPORTE COM CAMINHÃO BASCULANTE DE 14 M³, EM VIA URBANA PAVIMENTADA, DMT ATÉ 30 KM (UNIDADE: M3XKM). AF_07/2020</v>
      </c>
      <c r="D1069" s="189" t="str">
        <f>VLOOKUP(A1069,'[3]Planilha Orçamentária'!A:K,4,0)</f>
        <v>M3XKM</v>
      </c>
      <c r="E1069" s="188"/>
      <c r="F1069" s="160"/>
      <c r="G1069" s="160"/>
      <c r="H1069" s="160"/>
      <c r="I1069" s="160"/>
      <c r="J1069" s="122">
        <f>ROUND(SUM(J1071:J1071),2)</f>
        <v>8906.17</v>
      </c>
    </row>
    <row r="1070" spans="1:10">
      <c r="A1070" s="186"/>
      <c r="B1070" s="187"/>
      <c r="C1070" s="171" t="s">
        <v>2192</v>
      </c>
      <c r="D1070" s="189"/>
      <c r="E1070" s="208" t="s">
        <v>2011</v>
      </c>
      <c r="F1070" s="160"/>
      <c r="G1070" s="160"/>
      <c r="H1070" s="161"/>
      <c r="I1070" s="161" t="s">
        <v>2007</v>
      </c>
      <c r="J1070" s="150"/>
    </row>
    <row r="1071" spans="1:10">
      <c r="A1071" s="186"/>
      <c r="B1071" s="187"/>
      <c r="C1071" s="155" t="s">
        <v>2195</v>
      </c>
      <c r="D1071" s="156"/>
      <c r="E1071" s="162">
        <v>4.4000000000000004</v>
      </c>
      <c r="F1071" s="207"/>
      <c r="G1071" s="207"/>
      <c r="H1071" s="207"/>
      <c r="I1071" s="195">
        <f>J1065</f>
        <v>2024.13</v>
      </c>
      <c r="J1071" s="196">
        <f>ROUND(PRODUCT(E1071:I1071),2)</f>
        <v>8906.17</v>
      </c>
    </row>
    <row r="1072" spans="1:10">
      <c r="A1072" s="532"/>
      <c r="B1072" s="533"/>
      <c r="C1072" s="533"/>
      <c r="D1072" s="533"/>
      <c r="E1072" s="533"/>
      <c r="F1072" s="533"/>
      <c r="G1072" s="533"/>
      <c r="H1072" s="533"/>
      <c r="I1072" s="533"/>
      <c r="J1072" s="534"/>
    </row>
    <row r="1073" spans="1:10">
      <c r="A1073" s="94" t="str">
        <f>'[3]Planilha Orçamentária'!A283</f>
        <v>1.5.5</v>
      </c>
      <c r="B1073" s="95"/>
      <c r="C1073" s="96" t="str">
        <f>VLOOKUP(A1073,'[3]Planilha Orçamentária'!A:K,3,0)</f>
        <v>PAVIMENTAÇÃO</v>
      </c>
      <c r="D1073" s="97"/>
      <c r="E1073" s="98"/>
      <c r="F1073" s="99"/>
      <c r="G1073" s="99"/>
      <c r="H1073" s="99"/>
      <c r="I1073" s="100"/>
      <c r="J1073" s="173"/>
    </row>
    <row r="1074" spans="1:10" ht="25.5">
      <c r="A1074" s="132" t="str">
        <f>'[3]Planilha Orçamentária'!A284</f>
        <v>1.5.5.1</v>
      </c>
      <c r="B1074" s="103">
        <f>VLOOKUP(A1074,'[3]Planilha Orçamentária'!A:K,2,0)</f>
        <v>100576</v>
      </c>
      <c r="C1074" s="104" t="str">
        <f>VLOOKUP(A1074,'[3]Planilha Orçamentária'!A:K,3,0)</f>
        <v>REGULARIZAÇÃO E COMPACTAÇÃO DE SUBLEITO DE SOLO  PREDOMINANTEMENTE ARGILOSO. AF_11/2019</v>
      </c>
      <c r="D1074" s="105" t="str">
        <f>VLOOKUP(A1074,'[3]Planilha Orçamentária'!A:K,4,0)</f>
        <v>M2</v>
      </c>
      <c r="E1074" s="104"/>
      <c r="F1074" s="111"/>
      <c r="G1074" s="111"/>
      <c r="H1074" s="111"/>
      <c r="I1074" s="111"/>
      <c r="J1074" s="107">
        <f>ROUND(SUM(J1076:J1077),2)</f>
        <v>2157.92</v>
      </c>
    </row>
    <row r="1075" spans="1:10">
      <c r="A1075" s="132"/>
      <c r="B1075" s="103"/>
      <c r="C1075" s="165" t="s">
        <v>2196</v>
      </c>
      <c r="D1075" s="105"/>
      <c r="E1075" s="104"/>
      <c r="F1075" s="111"/>
      <c r="G1075" s="111"/>
      <c r="H1075" s="111"/>
      <c r="I1075" s="106"/>
      <c r="J1075" s="107"/>
    </row>
    <row r="1076" spans="1:10" ht="14.25">
      <c r="A1076" s="132"/>
      <c r="B1076" s="103"/>
      <c r="C1076" s="204"/>
      <c r="D1076" s="148"/>
      <c r="E1076" s="147"/>
      <c r="F1076" s="161" t="s">
        <v>1989</v>
      </c>
      <c r="G1076" s="161" t="s">
        <v>1990</v>
      </c>
      <c r="H1076" s="111"/>
      <c r="I1076" s="106"/>
      <c r="J1076" s="176"/>
    </row>
    <row r="1077" spans="1:10" ht="25.5">
      <c r="A1077" s="174"/>
      <c r="B1077" s="175"/>
      <c r="C1077" s="200" t="s">
        <v>2019</v>
      </c>
      <c r="D1077" s="148"/>
      <c r="E1077" s="147"/>
      <c r="F1077" s="207">
        <v>269.74</v>
      </c>
      <c r="G1077" s="208">
        <f>7+1</f>
        <v>8</v>
      </c>
      <c r="H1077" s="157"/>
      <c r="I1077" s="157"/>
      <c r="J1077" s="176">
        <f>ROUND(PRODUCT(E1077:I1077),2)</f>
        <v>2157.92</v>
      </c>
    </row>
    <row r="1078" spans="1:10">
      <c r="A1078" s="549"/>
      <c r="B1078" s="549"/>
      <c r="C1078" s="549"/>
      <c r="D1078" s="549"/>
      <c r="E1078" s="549"/>
      <c r="F1078" s="549"/>
      <c r="G1078" s="549"/>
      <c r="H1078" s="549"/>
      <c r="I1078" s="549"/>
      <c r="J1078" s="549"/>
    </row>
    <row r="1079" spans="1:10" ht="25.5">
      <c r="A1079" s="132" t="str">
        <f>'[3]Planilha Orçamentária'!A285</f>
        <v>1.5.5.2</v>
      </c>
      <c r="B1079" s="108" t="str">
        <f>VLOOKUP(A1079,'[3]Planilha Orçamentária'!A:K,2,0)</f>
        <v>COMP-47176600</v>
      </c>
      <c r="C1079" s="104" t="str">
        <f>VLOOKUP(A1079,'[3]Planilha Orçamentária'!A:K,3,0)</f>
        <v xml:space="preserve">EXEC. DE ATERRO COM AREIA COM ADENSAMENTO HIDRAULICO </v>
      </c>
      <c r="D1079" s="105" t="str">
        <f>VLOOKUP(A1079,'[3]Planilha Orçamentária'!A:K,4,0)</f>
        <v xml:space="preserve">M3    </v>
      </c>
      <c r="E1079" s="104"/>
      <c r="F1079" s="111"/>
      <c r="G1079" s="111"/>
      <c r="H1079" s="111"/>
      <c r="I1079" s="111"/>
      <c r="J1079" s="122">
        <f>ROUND(SUM(J1081:J1082),2)</f>
        <v>431.58</v>
      </c>
    </row>
    <row r="1080" spans="1:10">
      <c r="A1080" s="123"/>
      <c r="B1080" s="123"/>
      <c r="C1080" s="165" t="s">
        <v>2196</v>
      </c>
      <c r="D1080" s="123"/>
      <c r="E1080" s="123"/>
      <c r="F1080" s="123"/>
      <c r="G1080" s="123"/>
      <c r="H1080" s="123"/>
      <c r="I1080" s="123"/>
      <c r="J1080" s="123"/>
    </row>
    <row r="1081" spans="1:10" ht="14.25">
      <c r="A1081" s="123"/>
      <c r="B1081" s="123"/>
      <c r="C1081" s="204"/>
      <c r="D1081" s="148"/>
      <c r="E1081" s="147"/>
      <c r="F1081" s="161" t="s">
        <v>1989</v>
      </c>
      <c r="G1081" s="161" t="s">
        <v>1990</v>
      </c>
      <c r="H1081" s="161" t="s">
        <v>2002</v>
      </c>
      <c r="I1081" s="123"/>
      <c r="J1081" s="123"/>
    </row>
    <row r="1082" spans="1:10" ht="28.5">
      <c r="A1082" s="123"/>
      <c r="B1082" s="123"/>
      <c r="C1082" s="204" t="s">
        <v>2021</v>
      </c>
      <c r="D1082" s="148"/>
      <c r="E1082" s="147"/>
      <c r="F1082" s="167">
        <f>F1077</f>
        <v>269.74</v>
      </c>
      <c r="G1082" s="161">
        <f>7+0.5+0.5</f>
        <v>8</v>
      </c>
      <c r="H1082" s="161">
        <v>0.2</v>
      </c>
      <c r="I1082" s="123"/>
      <c r="J1082" s="158">
        <f>ROUND(PRODUCT(E1082:I1082),2)</f>
        <v>431.58</v>
      </c>
    </row>
    <row r="1083" spans="1:10">
      <c r="A1083" s="112"/>
      <c r="B1083" s="213"/>
      <c r="C1083" s="112"/>
      <c r="D1083" s="112"/>
      <c r="E1083" s="112"/>
      <c r="F1083" s="112"/>
      <c r="G1083" s="112"/>
      <c r="H1083" s="112"/>
      <c r="I1083" s="112"/>
      <c r="J1083" s="396"/>
    </row>
    <row r="1084" spans="1:10" ht="38.25">
      <c r="A1084" s="132" t="str">
        <f>'[3]Planilha Orçamentária'!A286</f>
        <v>1.5.5.3</v>
      </c>
      <c r="B1084" s="103" t="str">
        <f>VLOOKUP(A1084,'[3]Planilha Orçamentária'!A:K,2,0)</f>
        <v>COMP-28881239</v>
      </c>
      <c r="C1084" s="104" t="str">
        <f>VLOOKUP(A1084,'[3]Planilha Orçamentária'!A:K,3,0)</f>
        <v>Base ou sub-base de macadame hidráulico com brita comercial - EXCLUSIVE MATERIAL, CARGA E TRANSPORTE - NÃO DESONERADO</v>
      </c>
      <c r="D1084" s="105" t="str">
        <f>VLOOKUP(A1084,'[3]Planilha Orçamentária'!A:K,4,0)</f>
        <v>M3</v>
      </c>
      <c r="E1084" s="104"/>
      <c r="F1084" s="111"/>
      <c r="G1084" s="111"/>
      <c r="H1084" s="111"/>
      <c r="I1084" s="111"/>
      <c r="J1084" s="107">
        <f>ROUND(SUM(J1087:J1087),2)</f>
        <v>431.58</v>
      </c>
    </row>
    <row r="1085" spans="1:10">
      <c r="A1085" s="132"/>
      <c r="B1085" s="103"/>
      <c r="C1085" s="165" t="s">
        <v>2196</v>
      </c>
      <c r="D1085" s="105"/>
      <c r="E1085" s="104"/>
      <c r="F1085" s="111"/>
      <c r="G1085" s="111"/>
      <c r="H1085" s="111"/>
      <c r="I1085" s="106"/>
      <c r="J1085" s="107"/>
    </row>
    <row r="1086" spans="1:10" ht="14.25">
      <c r="A1086" s="132"/>
      <c r="B1086" s="103"/>
      <c r="C1086" s="204"/>
      <c r="D1086" s="148"/>
      <c r="E1086" s="147"/>
      <c r="F1086" s="161" t="s">
        <v>1989</v>
      </c>
      <c r="G1086" s="161" t="s">
        <v>1990</v>
      </c>
      <c r="H1086" s="161" t="s">
        <v>2002</v>
      </c>
      <c r="I1086" s="106"/>
      <c r="J1086" s="107"/>
    </row>
    <row r="1087" spans="1:10" ht="28.5">
      <c r="A1087" s="174"/>
      <c r="B1087" s="175"/>
      <c r="C1087" s="204" t="s">
        <v>2021</v>
      </c>
      <c r="D1087" s="148"/>
      <c r="E1087" s="147"/>
      <c r="F1087" s="161">
        <f>F1077</f>
        <v>269.74</v>
      </c>
      <c r="G1087" s="161">
        <f>7+0.5+0.5</f>
        <v>8</v>
      </c>
      <c r="H1087" s="161">
        <v>0.2</v>
      </c>
      <c r="I1087" s="157"/>
      <c r="J1087" s="176">
        <f>ROUND(PRODUCT(E1087:I1087),2)</f>
        <v>431.58</v>
      </c>
    </row>
    <row r="1088" spans="1:10">
      <c r="A1088" s="549"/>
      <c r="B1088" s="549"/>
      <c r="C1088" s="549"/>
      <c r="D1088" s="549"/>
      <c r="E1088" s="549"/>
      <c r="F1088" s="549"/>
      <c r="G1088" s="549"/>
      <c r="H1088" s="549"/>
      <c r="I1088" s="549"/>
      <c r="J1088" s="549"/>
    </row>
    <row r="1089" spans="1:10" ht="38.25">
      <c r="A1089" s="132" t="str">
        <f>'[3]Planilha Orçamentária'!A287</f>
        <v>1.5.5.4</v>
      </c>
      <c r="B1089" s="103" t="str">
        <f>VLOOKUP(A1089,'[3]Planilha Orçamentária'!A:K,2,0)</f>
        <v>CP-96396-26507981</v>
      </c>
      <c r="C1089" s="104" t="str">
        <f>VLOOKUP(A1089,'[3]Planilha Orçamentária'!A:K,3,0)</f>
        <v>EXECUÇÃO E COMPACTAÇÃO DE BASE E OU SUB BASE PARA PAVIMENTAÇÃO DE BRITA GRADUADA SIMPLES - EXCLUSIVE MATERIAL, CARGA E TRANSPORTE</v>
      </c>
      <c r="D1089" s="105" t="str">
        <f>VLOOKUP(A1089,'[3]Planilha Orçamentária'!A:K,4,0)</f>
        <v>M3</v>
      </c>
      <c r="E1089" s="104"/>
      <c r="F1089" s="111"/>
      <c r="G1089" s="111"/>
      <c r="H1089" s="111"/>
      <c r="I1089" s="111"/>
      <c r="J1089" s="107">
        <f>ROUND(SUM(J1092:J1092),2)</f>
        <v>404.61</v>
      </c>
    </row>
    <row r="1090" spans="1:10">
      <c r="A1090" s="132"/>
      <c r="B1090" s="103"/>
      <c r="C1090" s="165" t="s">
        <v>2196</v>
      </c>
      <c r="D1090" s="105"/>
      <c r="E1090" s="104"/>
      <c r="F1090" s="111"/>
      <c r="G1090" s="111"/>
      <c r="H1090" s="111"/>
      <c r="I1090" s="106"/>
      <c r="J1090" s="107"/>
    </row>
    <row r="1091" spans="1:10" ht="14.25">
      <c r="A1091" s="132"/>
      <c r="B1091" s="103"/>
      <c r="C1091" s="204"/>
      <c r="D1091" s="148"/>
      <c r="E1091" s="147"/>
      <c r="F1091" s="161" t="s">
        <v>1989</v>
      </c>
      <c r="G1091" s="161" t="s">
        <v>1990</v>
      </c>
      <c r="H1091" s="161" t="s">
        <v>2002</v>
      </c>
      <c r="I1091" s="106"/>
      <c r="J1091" s="107"/>
    </row>
    <row r="1092" spans="1:10" ht="28.5">
      <c r="A1092" s="174"/>
      <c r="B1092" s="175"/>
      <c r="C1092" s="204" t="s">
        <v>2021</v>
      </c>
      <c r="D1092" s="148"/>
      <c r="E1092" s="147"/>
      <c r="F1092" s="161">
        <f>F1087</f>
        <v>269.74</v>
      </c>
      <c r="G1092" s="161">
        <f>7+0.5</f>
        <v>7.5</v>
      </c>
      <c r="H1092" s="161">
        <v>0.2</v>
      </c>
      <c r="I1092" s="157"/>
      <c r="J1092" s="176">
        <f>ROUND(PRODUCT(E1092:I1092),2)</f>
        <v>404.61</v>
      </c>
    </row>
    <row r="1093" spans="1:10">
      <c r="A1093" s="549"/>
      <c r="B1093" s="549"/>
      <c r="C1093" s="549"/>
      <c r="D1093" s="549"/>
      <c r="E1093" s="549"/>
      <c r="F1093" s="549"/>
      <c r="G1093" s="549"/>
      <c r="H1093" s="549"/>
      <c r="I1093" s="549"/>
      <c r="J1093" s="549"/>
    </row>
    <row r="1094" spans="1:10" ht="51">
      <c r="A1094" s="132" t="str">
        <f>'[3]Planilha Orçamentária'!A288</f>
        <v>1.5.5.5</v>
      </c>
      <c r="B1094" s="108" t="str">
        <f>VLOOKUP(A1094,'[3]Planilha Orçamentária'!A:K,2,0)</f>
        <v>COMP-35145154</v>
      </c>
      <c r="C1094" s="104" t="str">
        <f>VLOOKUP(A1094,'[3]Planilha Orçamentária'!A:K,3,0)</f>
        <v>CARGA E DESCARGA MECANICA DE SOLO UTILIZANDO CAMINHAO BASCULANTE 14,0M3/36T E PA CARREGADEIRA SOBRE PNEUS 128 HP, CAPACIDADE DA CAÇAMBA 1,7 A 2,8 M3, PESO OPERACIONAL 11632 KH</v>
      </c>
      <c r="D1094" s="105" t="str">
        <f>VLOOKUP(A1094,'[3]Planilha Orçamentária'!A:K,4,0)</f>
        <v>M3</v>
      </c>
      <c r="E1094" s="104"/>
      <c r="F1094" s="111"/>
      <c r="G1094" s="111"/>
      <c r="H1094" s="111"/>
      <c r="I1094" s="111"/>
      <c r="J1094" s="122">
        <f>ROUND(SUM(J1096:J1096),2)</f>
        <v>1045.24</v>
      </c>
    </row>
    <row r="1095" spans="1:10" ht="25.5">
      <c r="A1095" s="132"/>
      <c r="B1095" s="108"/>
      <c r="C1095" s="147"/>
      <c r="D1095" s="148"/>
      <c r="E1095" s="220" t="s">
        <v>2006</v>
      </c>
      <c r="F1095" s="106"/>
      <c r="G1095" s="111"/>
      <c r="H1095" s="111"/>
      <c r="I1095" s="143" t="s">
        <v>2022</v>
      </c>
      <c r="J1095" s="122"/>
    </row>
    <row r="1096" spans="1:10" ht="14.25">
      <c r="A1096" s="132"/>
      <c r="B1096" s="108"/>
      <c r="C1096" s="221" t="s">
        <v>2023</v>
      </c>
      <c r="D1096" s="156"/>
      <c r="E1096" s="106">
        <v>1.25</v>
      </c>
      <c r="F1096" s="238"/>
      <c r="G1096" s="205"/>
      <c r="H1096" s="205"/>
      <c r="I1096" s="239">
        <f>J1089+J1084</f>
        <v>836.19</v>
      </c>
      <c r="J1096" s="342">
        <f t="shared" ref="J1096" si="55">ROUND(PRODUCT(E1096:I1096),2)</f>
        <v>1045.24</v>
      </c>
    </row>
    <row r="1097" spans="1:10">
      <c r="A1097" s="549"/>
      <c r="B1097" s="549"/>
      <c r="C1097" s="549"/>
      <c r="D1097" s="549"/>
      <c r="E1097" s="549"/>
      <c r="F1097" s="549"/>
      <c r="G1097" s="549"/>
      <c r="H1097" s="549"/>
      <c r="I1097" s="549"/>
      <c r="J1097" s="549"/>
    </row>
    <row r="1098" spans="1:10" ht="25.5">
      <c r="A1098" s="132" t="str">
        <f>'[3]Planilha Orçamentária'!A289</f>
        <v>1.5.5.6</v>
      </c>
      <c r="B1098" s="108" t="str">
        <f>VLOOKUP(A1098,'[3]Planilha Orçamentária'!A:K,2,0)</f>
        <v>COMP-83526730</v>
      </c>
      <c r="C1098" s="104" t="str">
        <f>VLOOKUP(A1098,'[3]Planilha Orçamentária'!A:K,3,0)</f>
        <v>TRANSPORTE COMERCIAL DE BRITA</v>
      </c>
      <c r="D1098" s="105" t="str">
        <f>VLOOKUP(A1098,'[3]Planilha Orçamentária'!A:K,4,0)</f>
        <v>M3XKM</v>
      </c>
      <c r="E1098" s="104"/>
      <c r="F1098" s="111"/>
      <c r="G1098" s="111"/>
      <c r="H1098" s="111"/>
      <c r="I1098" s="111"/>
      <c r="J1098" s="122">
        <f>ROUND(SUM(J1100:J1100),2)</f>
        <v>10452.4</v>
      </c>
    </row>
    <row r="1099" spans="1:10">
      <c r="A1099" s="132"/>
      <c r="B1099" s="108"/>
      <c r="C1099" s="159" t="s">
        <v>2197</v>
      </c>
      <c r="D1099" s="105"/>
      <c r="E1099" s="165" t="s">
        <v>2011</v>
      </c>
      <c r="F1099" s="106"/>
      <c r="G1099" s="106"/>
      <c r="H1099" s="106"/>
      <c r="I1099" s="106" t="s">
        <v>2007</v>
      </c>
      <c r="J1099" s="122"/>
    </row>
    <row r="1100" spans="1:10" ht="14.25">
      <c r="A1100" s="132"/>
      <c r="B1100" s="108"/>
      <c r="C1100" s="204" t="s">
        <v>2198</v>
      </c>
      <c r="D1100" s="174"/>
      <c r="E1100" s="239">
        <v>10</v>
      </c>
      <c r="F1100" s="223"/>
      <c r="G1100" s="174"/>
      <c r="H1100" s="174"/>
      <c r="I1100" s="224">
        <f>J1094</f>
        <v>1045.24</v>
      </c>
      <c r="J1100" s="342">
        <f t="shared" ref="J1100" si="56">ROUND(PRODUCT(E1100:I1100),2)</f>
        <v>10452.4</v>
      </c>
    </row>
    <row r="1101" spans="1:10">
      <c r="A1101" s="549"/>
      <c r="B1101" s="549"/>
      <c r="C1101" s="549"/>
      <c r="D1101" s="549"/>
      <c r="E1101" s="549"/>
      <c r="F1101" s="549"/>
      <c r="G1101" s="549"/>
      <c r="H1101" s="549"/>
      <c r="I1101" s="549"/>
      <c r="J1101" s="549"/>
    </row>
    <row r="1102" spans="1:10" ht="25.5">
      <c r="A1102" s="132" t="str">
        <f>'[3]Planilha Orçamentária'!A290</f>
        <v>1.5.5.7</v>
      </c>
      <c r="B1102" s="103" t="str">
        <f>VLOOKUP(A1102,'[3]Planilha Orçamentária'!A:K,2,0)</f>
        <v>CP-96401-52745838</v>
      </c>
      <c r="C1102" s="104" t="str">
        <f>VLOOKUP(A1102,'[3]Planilha Orçamentária'!A:K,3,0)</f>
        <v>EXECUÇÃO DE IMPRIMAÇÃO COM ASFALTO DILUÍDO CM-30, EXCLUSIVE MATERIAL.</v>
      </c>
      <c r="D1102" s="105" t="str">
        <f>VLOOKUP(A1102,'[3]Planilha Orçamentária'!A:K,4,0)</f>
        <v>M2</v>
      </c>
      <c r="E1102" s="104"/>
      <c r="F1102" s="111"/>
      <c r="G1102" s="111"/>
      <c r="H1102" s="111"/>
      <c r="I1102" s="111"/>
      <c r="J1102" s="107">
        <f>ROUND(SUM(J1105:J1105),2)</f>
        <v>1726.62</v>
      </c>
    </row>
    <row r="1103" spans="1:10">
      <c r="A1103" s="132"/>
      <c r="B1103" s="103"/>
      <c r="C1103" s="165" t="s">
        <v>2196</v>
      </c>
      <c r="D1103" s="105"/>
      <c r="E1103" s="104"/>
      <c r="F1103" s="111"/>
      <c r="G1103" s="111"/>
      <c r="H1103" s="111"/>
      <c r="I1103" s="111"/>
      <c r="J1103" s="107"/>
    </row>
    <row r="1104" spans="1:10" ht="28.5">
      <c r="A1104" s="132"/>
      <c r="B1104" s="103"/>
      <c r="C1104" s="221" t="s">
        <v>2027</v>
      </c>
      <c r="D1104" s="105"/>
      <c r="E1104" s="104"/>
      <c r="F1104" s="223"/>
      <c r="G1104" s="111"/>
      <c r="H1104" s="111"/>
      <c r="I1104" s="143" t="s">
        <v>2003</v>
      </c>
      <c r="J1104" s="107"/>
    </row>
    <row r="1105" spans="1:10" ht="14.25">
      <c r="A1105" s="174"/>
      <c r="B1105" s="175"/>
      <c r="C1105" s="221" t="s">
        <v>2104</v>
      </c>
      <c r="D1105" s="105"/>
      <c r="E1105" s="104"/>
      <c r="F1105" s="223"/>
      <c r="G1105" s="111"/>
      <c r="H1105" s="111"/>
      <c r="I1105" s="224">
        <f>[3]PARÂMETROS!F418</f>
        <v>1726.62</v>
      </c>
      <c r="J1105" s="176">
        <f>ROUND(PRODUCT(E1105:I1105),2)</f>
        <v>1726.62</v>
      </c>
    </row>
    <row r="1106" spans="1:10">
      <c r="A1106" s="549"/>
      <c r="B1106" s="549"/>
      <c r="C1106" s="549"/>
      <c r="D1106" s="549"/>
      <c r="E1106" s="549"/>
      <c r="F1106" s="549"/>
      <c r="G1106" s="549"/>
      <c r="H1106" s="549"/>
      <c r="I1106" s="549"/>
      <c r="J1106" s="549"/>
    </row>
    <row r="1107" spans="1:10" ht="38.25">
      <c r="A1107" s="132" t="str">
        <f>'[3]Planilha Orçamentária'!A291</f>
        <v>1.5.5.8</v>
      </c>
      <c r="B1107" s="103" t="str">
        <f>VLOOKUP(A1107,'[3]Planilha Orçamentária'!A:K,2,0)</f>
        <v>CP-95995-51339760</v>
      </c>
      <c r="C1107" s="104" t="str">
        <f>VLOOKUP(A1107,'[3]Planilha Orçamentária'!A:K,3,0)</f>
        <v>EXECUÇÃO DE PAVIMENTO COM APLICAÇÃO DE CONCRETO ASFÁLTICO, CAMADA DE ROLAMENTO - EXCLUSIVE CARGA E TRANSPORTE E CONCRETO BETUMINOSO</v>
      </c>
      <c r="D1107" s="105" t="str">
        <f>VLOOKUP(A1107,'[3]Planilha Orçamentária'!A:K,4,0)</f>
        <v>M3</v>
      </c>
      <c r="E1107" s="104"/>
      <c r="F1107" s="111"/>
      <c r="G1107" s="111"/>
      <c r="H1107" s="111"/>
      <c r="I1107" s="111"/>
      <c r="J1107" s="107">
        <f>ROUND(SUM(J1109:J1109),2)</f>
        <v>86.33</v>
      </c>
    </row>
    <row r="1108" spans="1:10">
      <c r="A1108" s="132"/>
      <c r="B1108" s="103"/>
      <c r="C1108" s="165" t="s">
        <v>2196</v>
      </c>
      <c r="D1108" s="105"/>
      <c r="E1108" s="104"/>
      <c r="F1108" s="111"/>
      <c r="G1108" s="111"/>
      <c r="H1108" s="106" t="s">
        <v>2002</v>
      </c>
      <c r="I1108" s="143" t="s">
        <v>2003</v>
      </c>
      <c r="J1108" s="107"/>
    </row>
    <row r="1109" spans="1:10" ht="14.25">
      <c r="A1109" s="174"/>
      <c r="B1109" s="175"/>
      <c r="C1109" s="221" t="s">
        <v>2029</v>
      </c>
      <c r="D1109" s="174"/>
      <c r="E1109" s="174"/>
      <c r="F1109" s="223"/>
      <c r="G1109" s="174"/>
      <c r="H1109" s="224">
        <v>0.05</v>
      </c>
      <c r="I1109" s="224">
        <f>J1102</f>
        <v>1726.62</v>
      </c>
      <c r="J1109" s="176">
        <f>ROUND(PRODUCT(E1109:I1109),2)</f>
        <v>86.33</v>
      </c>
    </row>
    <row r="1110" spans="1:10">
      <c r="A1110" s="549"/>
      <c r="B1110" s="549"/>
      <c r="C1110" s="549"/>
      <c r="D1110" s="549"/>
      <c r="E1110" s="549"/>
      <c r="F1110" s="549"/>
      <c r="G1110" s="549"/>
      <c r="H1110" s="549"/>
      <c r="I1110" s="549"/>
      <c r="J1110" s="549"/>
    </row>
    <row r="1111" spans="1:10" ht="38.25">
      <c r="A1111" s="132" t="str">
        <f>'[3]Planilha Orçamentária'!A292</f>
        <v>1.5.5.9</v>
      </c>
      <c r="B1111" s="103" t="str">
        <f>VLOOKUP(A1111,'[3]Planilha Orçamentária'!A:K,2,0)</f>
        <v>COMP-10034101</v>
      </c>
      <c r="C1111" s="104" t="str">
        <f>VLOOKUP(A1111,'[3]Planilha Orçamentária'!A:K,3,0)</f>
        <v>CARGA, MANOBRAS E DESCARGA DE MISTURA BETUMINOSA A QUENTE, COM CAMINHAO BASCULANTE 6 M3, DESCARGA EM VIBRO-ACABADORA</v>
      </c>
      <c r="D1111" s="105" t="str">
        <f>VLOOKUP(A1111,'[3]Planilha Orçamentária'!A:K,4,0)</f>
        <v>M3</v>
      </c>
      <c r="E1111" s="104"/>
      <c r="F1111" s="111"/>
      <c r="G1111" s="111"/>
      <c r="H1111" s="111"/>
      <c r="I1111" s="111"/>
      <c r="J1111" s="107">
        <f>ROUND(SUM(J1113:J1113),2)</f>
        <v>86.33</v>
      </c>
    </row>
    <row r="1112" spans="1:10" ht="14.25">
      <c r="A1112" s="132"/>
      <c r="B1112" s="103"/>
      <c r="C1112" s="204"/>
      <c r="D1112" s="105"/>
      <c r="E1112" s="104"/>
      <c r="F1112" s="106"/>
      <c r="G1112" s="111"/>
      <c r="H1112" s="111"/>
      <c r="I1112" s="143" t="s">
        <v>2007</v>
      </c>
      <c r="J1112" s="107"/>
    </row>
    <row r="1113" spans="1:10" ht="14.25">
      <c r="A1113" s="174"/>
      <c r="B1113" s="175"/>
      <c r="C1113" s="221" t="s">
        <v>2030</v>
      </c>
      <c r="D1113" s="174"/>
      <c r="E1113" s="174"/>
      <c r="F1113" s="238"/>
      <c r="G1113" s="205"/>
      <c r="H1113" s="205"/>
      <c r="I1113" s="239">
        <f>J1107</f>
        <v>86.33</v>
      </c>
      <c r="J1113" s="176">
        <f>ROUND(PRODUCT(E1113:I1113),2)</f>
        <v>86.33</v>
      </c>
    </row>
    <row r="1114" spans="1:10">
      <c r="A1114" s="549"/>
      <c r="B1114" s="549"/>
      <c r="C1114" s="549"/>
      <c r="D1114" s="549"/>
      <c r="E1114" s="549"/>
      <c r="F1114" s="549"/>
      <c r="G1114" s="549"/>
      <c r="H1114" s="549"/>
      <c r="I1114" s="549"/>
      <c r="J1114" s="549"/>
    </row>
    <row r="1115" spans="1:10" ht="25.5">
      <c r="A1115" s="132" t="str">
        <f>'[3]Planilha Orçamentária'!A293</f>
        <v>1.5.5.10</v>
      </c>
      <c r="B1115" s="103" t="str">
        <f>VLOOKUP(A1115,'[3]Planilha Orçamentária'!A:K,2,0)</f>
        <v>CP-95303-56931542</v>
      </c>
      <c r="C1115" s="104" t="str">
        <f>VLOOKUP(A1115,'[3]Planilha Orçamentária'!A:K,3,0)</f>
        <v>TRANSPORTE COM CAMINHÃO BASCULANTE 10 M3 DE MASSA ASFALTICA PARA PAVIMENTAÇÃO URBANA</v>
      </c>
      <c r="D1115" s="105" t="str">
        <f>VLOOKUP(A1115,'[3]Planilha Orçamentária'!A:K,4,0)</f>
        <v>M3XKM</v>
      </c>
      <c r="E1115" s="104"/>
      <c r="F1115" s="111"/>
      <c r="G1115" s="111"/>
      <c r="H1115" s="111"/>
      <c r="I1115" s="111"/>
      <c r="J1115" s="107">
        <f>ROUND(SUM(J1117:J1117),2)</f>
        <v>1493.51</v>
      </c>
    </row>
    <row r="1116" spans="1:10">
      <c r="A1116" s="132"/>
      <c r="B1116" s="103"/>
      <c r="C1116" s="159" t="s">
        <v>2199</v>
      </c>
      <c r="D1116" s="105"/>
      <c r="E1116" s="165" t="s">
        <v>2011</v>
      </c>
      <c r="F1116" s="106"/>
      <c r="G1116" s="106"/>
      <c r="H1116" s="106"/>
      <c r="I1116" s="106" t="s">
        <v>2007</v>
      </c>
      <c r="J1116" s="107"/>
    </row>
    <row r="1117" spans="1:10" ht="14.25">
      <c r="A1117" s="174"/>
      <c r="B1117" s="175"/>
      <c r="C1117" s="204" t="s">
        <v>2177</v>
      </c>
      <c r="D1117" s="174"/>
      <c r="E1117" s="239">
        <v>17.3</v>
      </c>
      <c r="F1117" s="223"/>
      <c r="G1117" s="174"/>
      <c r="H1117" s="174"/>
      <c r="I1117" s="224">
        <f>J1111</f>
        <v>86.33</v>
      </c>
      <c r="J1117" s="176">
        <f>ROUND(PRODUCT(E1117:I1117),2)</f>
        <v>1493.51</v>
      </c>
    </row>
    <row r="1118" spans="1:10">
      <c r="A1118" s="549"/>
      <c r="B1118" s="549"/>
      <c r="C1118" s="549"/>
      <c r="D1118" s="549"/>
      <c r="E1118" s="549"/>
      <c r="F1118" s="549"/>
      <c r="G1118" s="549"/>
      <c r="H1118" s="549"/>
      <c r="I1118" s="549"/>
      <c r="J1118" s="549"/>
    </row>
    <row r="1119" spans="1:10" ht="25.5">
      <c r="A1119" s="132" t="str">
        <f>'[3]Planilha Orçamentária'!A294</f>
        <v>1.5.5.11</v>
      </c>
      <c r="B1119" s="103" t="str">
        <f>VLOOKUP(A1119,'[3]Planilha Orçamentária'!A:K,2,0)</f>
        <v>CP-97084-89637704</v>
      </c>
      <c r="C1119" s="104" t="str">
        <f>VLOOKUP(A1119,'[3]Planilha Orçamentária'!A:K,3,0)</f>
        <v>REGULARIZACAO E COMPACTAÇÃO MANUAL DE TERRENO COM PLACA VIBRATÓRIA</v>
      </c>
      <c r="D1119" s="105" t="str">
        <f>VLOOKUP(A1119,'[3]Planilha Orçamentária'!A:K,4,0)</f>
        <v>M2</v>
      </c>
      <c r="E1119" s="104"/>
      <c r="F1119" s="111"/>
      <c r="G1119" s="111"/>
      <c r="H1119" s="111"/>
      <c r="I1119" s="111"/>
      <c r="J1119" s="107">
        <f>ROUND(SUM(J1121:J1121),2)</f>
        <v>1305.7</v>
      </c>
    </row>
    <row r="1120" spans="1:10">
      <c r="A1120" s="132"/>
      <c r="B1120" s="103"/>
      <c r="C1120" s="165" t="s">
        <v>2196</v>
      </c>
      <c r="D1120" s="105"/>
      <c r="E1120" s="104"/>
      <c r="F1120" s="111"/>
      <c r="G1120" s="111"/>
      <c r="H1120" s="111"/>
      <c r="I1120" s="143" t="s">
        <v>2003</v>
      </c>
      <c r="J1120" s="107"/>
    </row>
    <row r="1121" spans="1:10">
      <c r="A1121" s="174"/>
      <c r="B1121" s="175"/>
      <c r="C1121" s="244" t="s">
        <v>2033</v>
      </c>
      <c r="D1121" s="174"/>
      <c r="E1121" s="174"/>
      <c r="F1121" s="223"/>
      <c r="G1121" s="143"/>
      <c r="H1121" s="143"/>
      <c r="I1121" s="127">
        <f>[3]PARÂMETROS!F427</f>
        <v>1305.7</v>
      </c>
      <c r="J1121" s="176">
        <f>ROUND(PRODUCT(E1121:I1121),2)</f>
        <v>1305.7</v>
      </c>
    </row>
    <row r="1122" spans="1:10">
      <c r="A1122" s="549"/>
      <c r="B1122" s="549"/>
      <c r="C1122" s="549"/>
      <c r="D1122" s="549"/>
      <c r="E1122" s="549"/>
      <c r="F1122" s="549"/>
      <c r="G1122" s="549"/>
      <c r="H1122" s="549"/>
      <c r="I1122" s="549"/>
      <c r="J1122" s="549"/>
    </row>
    <row r="1123" spans="1:10" ht="51">
      <c r="A1123" s="132" t="str">
        <f>'[3]Planilha Orçamentária'!A295</f>
        <v>1.5.5.12</v>
      </c>
      <c r="B1123" s="103" t="str">
        <f>VLOOKUP(A1123,'[3]Planilha Orçamentária'!A:K,2,0)</f>
        <v>CP-94991-12549457</v>
      </c>
      <c r="C1123" s="104" t="str">
        <f>VLOOKUP(A1123,'[3]Planilha Orçamentária'!A:K,3,0)</f>
        <v>EXECUÇÃO DE PASSEIO (CALÇADA) OU PISO DE CONCRETO COM CONCRETO MOLDADO IN LOCO, USINADO, ACABAMENTO CONVENCIONAL, NÃO ARMADO - EXCLUINDO O CONCRETO USINADO 20MPA</v>
      </c>
      <c r="D1123" s="105" t="str">
        <f>VLOOKUP(A1123,'[3]Planilha Orçamentária'!A:K,4,0)</f>
        <v>M3</v>
      </c>
      <c r="E1123" s="104"/>
      <c r="F1123" s="111"/>
      <c r="G1123" s="111"/>
      <c r="H1123" s="111"/>
      <c r="I1123" s="111"/>
      <c r="J1123" s="107">
        <f>ROUND(SUM(J1125:J1126),2)</f>
        <v>89.76</v>
      </c>
    </row>
    <row r="1124" spans="1:10">
      <c r="A1124" s="132"/>
      <c r="B1124" s="103"/>
      <c r="C1124" s="165" t="s">
        <v>2196</v>
      </c>
      <c r="D1124" s="105"/>
      <c r="E1124" s="104"/>
      <c r="F1124" s="111"/>
      <c r="G1124" s="111"/>
      <c r="H1124" s="111"/>
      <c r="I1124" s="111"/>
      <c r="J1124" s="107"/>
    </row>
    <row r="1125" spans="1:10" ht="25.5">
      <c r="A1125" s="132"/>
      <c r="B1125" s="103"/>
      <c r="C1125" s="155" t="s">
        <v>2107</v>
      </c>
      <c r="D1125" s="174"/>
      <c r="E1125" s="174"/>
      <c r="F1125" s="223"/>
      <c r="G1125" s="143"/>
      <c r="H1125" s="143">
        <v>7.0000000000000007E-2</v>
      </c>
      <c r="I1125" s="127">
        <f>J1119</f>
        <v>1305.7</v>
      </c>
      <c r="J1125" s="176">
        <f>ROUND(PRODUCT(E1125:I1125),2)</f>
        <v>91.4</v>
      </c>
    </row>
    <row r="1126" spans="1:10">
      <c r="A1126" s="174"/>
      <c r="B1126" s="175"/>
      <c r="C1126" s="155" t="s">
        <v>2034</v>
      </c>
      <c r="D1126" s="174"/>
      <c r="E1126" s="174">
        <v>-1</v>
      </c>
      <c r="F1126" s="223"/>
      <c r="G1126" s="143"/>
      <c r="H1126" s="143">
        <v>7.0000000000000007E-2</v>
      </c>
      <c r="I1126" s="127">
        <f>J1172</f>
        <v>23.39</v>
      </c>
      <c r="J1126" s="176">
        <f>ROUND(PRODUCT(E1126:I1126),2)</f>
        <v>-1.64</v>
      </c>
    </row>
    <row r="1127" spans="1:10">
      <c r="A1127" s="549"/>
      <c r="B1127" s="549"/>
      <c r="C1127" s="549"/>
      <c r="D1127" s="549"/>
      <c r="E1127" s="549"/>
      <c r="F1127" s="549"/>
      <c r="G1127" s="549"/>
      <c r="H1127" s="549"/>
      <c r="I1127" s="549"/>
      <c r="J1127" s="549"/>
    </row>
    <row r="1128" spans="1:10" ht="63.75">
      <c r="A1128" s="132" t="str">
        <f>'[3]Planilha Orçamentária'!A296</f>
        <v>1.5.5.13</v>
      </c>
      <c r="B1128" s="103">
        <f>VLOOKUP(A1128,'[3]Planilha Orçamentária'!A:K,2,0)</f>
        <v>94273</v>
      </c>
      <c r="C1128" s="104" t="str">
        <f>VLOOKUP(A1128,'[3]Planilha Orçamentária'!A:K,3,0)</f>
        <v>ASSENTAMENTO DE GUIA (MEIO-FIO) EM TRECHO RETO, CONFECCIONADA EM CONCRETO PRÉ-FABRICADO, DIMENSÕES 100X15X13X30 CM (COMPRIMENTO X BASE INFERIOR X BASE SUPERIOR X ALTURA), PARA VIAS URBANAS (USO VIÁRIO). AF_06/2016</v>
      </c>
      <c r="D1128" s="105" t="str">
        <f>VLOOKUP(A1128,'[3]Planilha Orçamentária'!A:K,4,0)</f>
        <v>M</v>
      </c>
      <c r="E1128" s="104"/>
      <c r="F1128" s="111"/>
      <c r="G1128" s="111"/>
      <c r="H1128" s="111"/>
      <c r="I1128" s="111"/>
      <c r="J1128" s="107">
        <f>ROUND(SUM(J1130:J1131),2)</f>
        <v>541.19000000000005</v>
      </c>
    </row>
    <row r="1129" spans="1:10">
      <c r="A1129" s="132"/>
      <c r="B1129" s="103"/>
      <c r="C1129" s="165" t="s">
        <v>2196</v>
      </c>
      <c r="D1129" s="105"/>
      <c r="E1129" s="104"/>
      <c r="F1129" s="106" t="s">
        <v>1989</v>
      </c>
      <c r="G1129" s="111"/>
      <c r="H1129" s="111"/>
      <c r="I1129" s="106"/>
      <c r="J1129" s="107"/>
    </row>
    <row r="1130" spans="1:10" ht="25.5">
      <c r="A1130" s="132"/>
      <c r="B1130" s="103"/>
      <c r="C1130" s="247" t="s">
        <v>2178</v>
      </c>
      <c r="D1130" s="105"/>
      <c r="E1130" s="104"/>
      <c r="F1130" s="397">
        <f>564.7-F1135</f>
        <v>530.16000000000008</v>
      </c>
      <c r="G1130" s="111"/>
      <c r="H1130" s="111"/>
      <c r="I1130" s="106"/>
      <c r="J1130" s="176">
        <f>ROUND(PRODUCT(E1130:I1130),2)</f>
        <v>530.16</v>
      </c>
    </row>
    <row r="1131" spans="1:10">
      <c r="A1131" s="174"/>
      <c r="B1131" s="175"/>
      <c r="C1131" s="245" t="s">
        <v>2179</v>
      </c>
      <c r="D1131" s="156"/>
      <c r="E1131" s="157"/>
      <c r="F1131" s="157">
        <f>[3]PARÂMETROS!B422</f>
        <v>11.03</v>
      </c>
      <c r="G1131" s="157"/>
      <c r="H1131" s="157"/>
      <c r="I1131" s="157"/>
      <c r="J1131" s="176">
        <f>ROUND(PRODUCT(E1131:I1131),2)</f>
        <v>11.03</v>
      </c>
    </row>
    <row r="1132" spans="1:10">
      <c r="A1132" s="549"/>
      <c r="B1132" s="549"/>
      <c r="C1132" s="549"/>
      <c r="D1132" s="549"/>
      <c r="E1132" s="549"/>
      <c r="F1132" s="549"/>
      <c r="G1132" s="549"/>
      <c r="H1132" s="549"/>
      <c r="I1132" s="549"/>
      <c r="J1132" s="549"/>
    </row>
    <row r="1133" spans="1:10" ht="63.75">
      <c r="A1133" s="132" t="str">
        <f>'[3]Planilha Orçamentária'!A297</f>
        <v>1.5.5.14</v>
      </c>
      <c r="B1133" s="103">
        <f>VLOOKUP(A1133,'[3]Planilha Orçamentária'!A:K,2,0)</f>
        <v>94274</v>
      </c>
      <c r="C1133" s="104" t="str">
        <f>VLOOKUP(A1133,'[3]Planilha Orçamentária'!A:K,3,0)</f>
        <v>ASSENTAMENTO DE GUIA (MEIO-FIO) EM TRECHO CURVO, CONFECCIONADA EM CONCRETO PRÉ-FABRICADO, DIMENSÕES 100X15X13X30 CM (COMPRIMENTO X BASE INFERIOR X BASE SUPERIOR X ALTURA), PARA VIAS URBANAS (USO VIÁRIO). AF_06/2016</v>
      </c>
      <c r="D1133" s="105" t="str">
        <f>VLOOKUP(A1133,'[3]Planilha Orçamentária'!A:K,4,0)</f>
        <v>M</v>
      </c>
      <c r="E1133" s="104"/>
      <c r="F1133" s="111"/>
      <c r="G1133" s="111"/>
      <c r="H1133" s="111"/>
      <c r="I1133" s="111"/>
      <c r="J1133" s="107">
        <f>ROUND(SUM(J1135:J1135),2)</f>
        <v>34.54</v>
      </c>
    </row>
    <row r="1134" spans="1:10">
      <c r="A1134" s="132"/>
      <c r="B1134" s="103"/>
      <c r="C1134" s="165" t="s">
        <v>2196</v>
      </c>
      <c r="D1134" s="105"/>
      <c r="E1134" s="104"/>
      <c r="F1134" s="106" t="s">
        <v>1989</v>
      </c>
      <c r="G1134" s="111"/>
      <c r="H1134" s="111"/>
      <c r="I1134" s="106"/>
      <c r="J1134" s="107"/>
    </row>
    <row r="1135" spans="1:10">
      <c r="A1135" s="174"/>
      <c r="B1135" s="175"/>
      <c r="C1135" s="247" t="s">
        <v>2128</v>
      </c>
      <c r="D1135" s="156"/>
      <c r="E1135" s="157"/>
      <c r="F1135" s="157">
        <f>[3]PARÂMETROS!B423</f>
        <v>34.540000000000006</v>
      </c>
      <c r="G1135" s="157"/>
      <c r="H1135" s="157"/>
      <c r="I1135" s="157"/>
      <c r="J1135" s="176">
        <f>ROUND(PRODUCT(E1135:I1135),2)</f>
        <v>34.54</v>
      </c>
    </row>
    <row r="1136" spans="1:10">
      <c r="A1136" s="549"/>
      <c r="B1136" s="549"/>
      <c r="C1136" s="549"/>
      <c r="D1136" s="549"/>
      <c r="E1136" s="549"/>
      <c r="F1136" s="549"/>
      <c r="G1136" s="549"/>
      <c r="H1136" s="549"/>
      <c r="I1136" s="549"/>
      <c r="J1136" s="549"/>
    </row>
    <row r="1137" spans="1:10" ht="76.5">
      <c r="A1137" s="132" t="str">
        <f>'[3]Planilha Orçamentária'!A298</f>
        <v>1.5.5.15</v>
      </c>
      <c r="B1137" s="103">
        <f>VLOOKUP(A1137,'[3]Planilha Orçamentária'!A:K,2,0)</f>
        <v>94275</v>
      </c>
      <c r="C1137" s="104" t="str">
        <f>VLOOKUP(A1137,'[3]Planilha Orçamentária'!A:K,3,0)</f>
        <v>ASSENTAMENTO DE GUIA (MEIO-FIO) EM TRECHO RETO, CONFECCIONADA EM CONCRETO PRÉ-FABRICADO, DIMENSÕES 100X15X13X20 CM (COMPRIMENTO X BASE INFERIOR X BASE SUPERIOR X ALTURA), PARA URBANIZAÇÃO INTERNA DE EMPREENDIMENTOS. AF_06/2016_P</v>
      </c>
      <c r="D1137" s="105" t="str">
        <f>VLOOKUP(A1137,'[3]Planilha Orçamentária'!A:K,4,0)</f>
        <v>M</v>
      </c>
      <c r="E1137" s="104"/>
      <c r="F1137" s="111"/>
      <c r="G1137" s="111"/>
      <c r="H1137" s="111"/>
      <c r="I1137" s="111"/>
      <c r="J1137" s="107">
        <f>ROUND(SUM(J1139:J1139),2)</f>
        <v>19</v>
      </c>
    </row>
    <row r="1138" spans="1:10">
      <c r="A1138" s="132"/>
      <c r="B1138" s="103"/>
      <c r="C1138" s="165" t="s">
        <v>2196</v>
      </c>
      <c r="D1138" s="105"/>
      <c r="E1138" s="104"/>
      <c r="F1138" s="106" t="s">
        <v>1989</v>
      </c>
      <c r="G1138" s="111"/>
      <c r="H1138" s="111"/>
      <c r="I1138" s="106"/>
      <c r="J1138" s="107"/>
    </row>
    <row r="1139" spans="1:10">
      <c r="A1139" s="174"/>
      <c r="B1139" s="175"/>
      <c r="C1139" s="247" t="s">
        <v>2200</v>
      </c>
      <c r="D1139" s="156"/>
      <c r="E1139" s="157"/>
      <c r="F1139" s="157">
        <f>[3]PARÂMETROS!B426</f>
        <v>19</v>
      </c>
      <c r="G1139" s="157"/>
      <c r="H1139" s="157"/>
      <c r="I1139" s="157"/>
      <c r="J1139" s="176">
        <f>ROUND(PRODUCT(E1139:I1139),2)</f>
        <v>19</v>
      </c>
    </row>
    <row r="1140" spans="1:10">
      <c r="A1140" s="549"/>
      <c r="B1140" s="549"/>
      <c r="C1140" s="549"/>
      <c r="D1140" s="549"/>
      <c r="E1140" s="549"/>
      <c r="F1140" s="549"/>
      <c r="G1140" s="549"/>
      <c r="H1140" s="549"/>
      <c r="I1140" s="549"/>
      <c r="J1140" s="549"/>
    </row>
    <row r="1141" spans="1:10" ht="38.25">
      <c r="A1141" s="132" t="str">
        <f>'[3]Planilha Orçamentária'!A299</f>
        <v>1.5.5.16</v>
      </c>
      <c r="B1141" s="103">
        <f>VLOOKUP(A1141,'[3]Planilha Orçamentária'!A:K,2,0)</f>
        <v>94287</v>
      </c>
      <c r="C1141" s="104" t="str">
        <f>VLOOKUP(A1141,'[3]Planilha Orçamentária'!A:K,3,0)</f>
        <v>EXECUÇÃO DE SARJETA DE CONCRETO USINADO, MOLDADA  IN LOCO  EM TRECHO RETO, 30 CM BASE X 10 CM ALTURA. AF_06/2016</v>
      </c>
      <c r="D1141" s="105" t="str">
        <f>VLOOKUP(A1141,'[3]Planilha Orçamentária'!A:K,4,0)</f>
        <v>M</v>
      </c>
      <c r="E1141" s="104"/>
      <c r="F1141" s="111"/>
      <c r="G1141" s="111"/>
      <c r="H1141" s="111"/>
      <c r="I1141" s="111"/>
      <c r="J1141" s="107">
        <f>ROUND(SUM(J1143:J1143),2)</f>
        <v>252.11</v>
      </c>
    </row>
    <row r="1142" spans="1:10">
      <c r="A1142" s="132"/>
      <c r="B1142" s="103"/>
      <c r="C1142" s="165" t="s">
        <v>2196</v>
      </c>
      <c r="D1142" s="105"/>
      <c r="E1142" s="104"/>
      <c r="F1142" s="106" t="s">
        <v>1989</v>
      </c>
      <c r="G1142" s="111"/>
      <c r="H1142" s="111"/>
      <c r="I1142" s="106"/>
      <c r="J1142" s="107"/>
    </row>
    <row r="1143" spans="1:10">
      <c r="A1143" s="174"/>
      <c r="B1143" s="175"/>
      <c r="C1143" s="247" t="s">
        <v>2201</v>
      </c>
      <c r="D1143" s="156"/>
      <c r="E1143" s="157"/>
      <c r="F1143" s="157">
        <f>269.74-F1147</f>
        <v>252.11</v>
      </c>
      <c r="G1143" s="157"/>
      <c r="H1143" s="157"/>
      <c r="I1143" s="157"/>
      <c r="J1143" s="176">
        <f>ROUND(PRODUCT(E1143:I1143),2)</f>
        <v>252.11</v>
      </c>
    </row>
    <row r="1144" spans="1:10">
      <c r="A1144" s="549"/>
      <c r="B1144" s="549"/>
      <c r="C1144" s="549"/>
      <c r="D1144" s="549"/>
      <c r="E1144" s="549"/>
      <c r="F1144" s="549"/>
      <c r="G1144" s="549"/>
      <c r="H1144" s="549"/>
      <c r="I1144" s="549"/>
      <c r="J1144" s="549"/>
    </row>
    <row r="1145" spans="1:10" ht="38.25">
      <c r="A1145" s="132" t="str">
        <f>'[3]Planilha Orçamentária'!A300</f>
        <v>1.5.5.17</v>
      </c>
      <c r="B1145" s="103">
        <f>VLOOKUP(A1145,'[3]Planilha Orçamentária'!A:K,2,0)</f>
        <v>94288</v>
      </c>
      <c r="C1145" s="104" t="str">
        <f>VLOOKUP(A1145,'[3]Planilha Orçamentária'!A:K,3,0)</f>
        <v>EXECUÇÃO DE SARJETA DE CONCRETO USINADO, MOLDADA  IN LOCO  EM TRECHO CURVO, 30 CM BASE X 10 CM ALTURA. AF_06/2016</v>
      </c>
      <c r="D1145" s="105" t="str">
        <f>VLOOKUP(A1145,'[3]Planilha Orçamentária'!A:K,4,0)</f>
        <v>M</v>
      </c>
      <c r="E1145" s="104"/>
      <c r="F1145" s="111"/>
      <c r="G1145" s="111"/>
      <c r="H1145" s="111"/>
      <c r="I1145" s="111"/>
      <c r="J1145" s="107">
        <f>ROUND(SUM(J1147:J1147),2)</f>
        <v>17.63</v>
      </c>
    </row>
    <row r="1146" spans="1:10">
      <c r="A1146" s="132"/>
      <c r="B1146" s="103"/>
      <c r="C1146" s="165" t="s">
        <v>2196</v>
      </c>
      <c r="D1146" s="105"/>
      <c r="E1146" s="104"/>
      <c r="F1146" s="106" t="s">
        <v>1989</v>
      </c>
      <c r="G1146" s="111"/>
      <c r="H1146" s="111"/>
      <c r="I1146" s="106"/>
      <c r="J1146" s="107"/>
    </row>
    <row r="1147" spans="1:10">
      <c r="A1147" s="174"/>
      <c r="B1147" s="175"/>
      <c r="C1147" s="247" t="s">
        <v>2202</v>
      </c>
      <c r="D1147" s="156"/>
      <c r="E1147" s="157"/>
      <c r="F1147" s="157">
        <f>[3]PARÂMETROS!B425</f>
        <v>17.63</v>
      </c>
      <c r="G1147" s="157"/>
      <c r="H1147" s="157"/>
      <c r="I1147" s="157"/>
      <c r="J1147" s="176">
        <f>ROUND(PRODUCT(E1147:I1147),2)</f>
        <v>17.63</v>
      </c>
    </row>
    <row r="1148" spans="1:10">
      <c r="A1148" s="549"/>
      <c r="B1148" s="549"/>
      <c r="C1148" s="549"/>
      <c r="D1148" s="549"/>
      <c r="E1148" s="549"/>
      <c r="F1148" s="549"/>
      <c r="G1148" s="549"/>
      <c r="H1148" s="549"/>
      <c r="I1148" s="549"/>
      <c r="J1148" s="549"/>
    </row>
    <row r="1149" spans="1:10">
      <c r="A1149" s="94" t="str">
        <f>'[3]Planilha Orçamentária'!A301</f>
        <v>1.5.6</v>
      </c>
      <c r="B1149" s="95"/>
      <c r="C1149" s="96" t="str">
        <f>VLOOKUP(A1149,'[3]Planilha Orçamentária'!A:K,3,0)</f>
        <v>SINALIZAÇÃO</v>
      </c>
      <c r="D1149" s="97"/>
      <c r="E1149" s="98"/>
      <c r="F1149" s="99"/>
      <c r="G1149" s="99"/>
      <c r="H1149" s="99"/>
      <c r="I1149" s="100"/>
      <c r="J1149" s="173"/>
    </row>
    <row r="1150" spans="1:10" ht="25.5">
      <c r="A1150" s="251" t="str">
        <f>'[3]Planilha Orçamentária'!A302</f>
        <v>1.5.6.1</v>
      </c>
      <c r="B1150" s="252">
        <f>VLOOKUP(A1150,'[3]Planilha Orçamentária'!A:K,2,0)</f>
        <v>5213421</v>
      </c>
      <c r="C1150" s="253" t="str">
        <f>VLOOKUP(A1150,'[3]Planilha Orçamentária'!A:K,3,0)</f>
        <v>Confecção de placa em aço nº 16 galvanizado, com película tipo I + IV</v>
      </c>
      <c r="D1150" s="254" t="str">
        <f>VLOOKUP(A1150,'[3]Planilha Orçamentária'!A:K,4,0)</f>
        <v xml:space="preserve">M2    </v>
      </c>
      <c r="E1150" s="255"/>
      <c r="F1150" s="256"/>
      <c r="G1150" s="256"/>
      <c r="H1150" s="256"/>
      <c r="I1150" s="256"/>
      <c r="J1150" s="257">
        <f>ROUND(SUM(J1151:J1153),2)</f>
        <v>3.6</v>
      </c>
    </row>
    <row r="1151" spans="1:10">
      <c r="A1151" s="293"/>
      <c r="B1151" s="294"/>
      <c r="C1151" s="165" t="s">
        <v>2203</v>
      </c>
      <c r="D1151" s="105"/>
      <c r="E1151" s="241"/>
      <c r="F1151" s="105"/>
      <c r="G1151" s="105"/>
      <c r="H1151" s="241" t="s">
        <v>2003</v>
      </c>
      <c r="I1151" s="241" t="s">
        <v>1446</v>
      </c>
      <c r="J1151" s="299"/>
    </row>
    <row r="1152" spans="1:10">
      <c r="A1152" s="293"/>
      <c r="B1152" s="301"/>
      <c r="C1152" s="302" t="s">
        <v>2079</v>
      </c>
      <c r="D1152" s="303"/>
      <c r="E1152" s="304"/>
      <c r="F1152" s="304"/>
      <c r="G1152" s="304"/>
      <c r="H1152" s="304">
        <v>0.2</v>
      </c>
      <c r="I1152" s="305">
        <v>8</v>
      </c>
      <c r="J1152" s="128">
        <f>ROUND(PRODUCT(E1152:I1152),2)</f>
        <v>1.6</v>
      </c>
    </row>
    <row r="1153" spans="1:10">
      <c r="A1153" s="293"/>
      <c r="B1153" s="294"/>
      <c r="C1153" s="155" t="s">
        <v>2081</v>
      </c>
      <c r="D1153" s="307"/>
      <c r="E1153" s="116"/>
      <c r="F1153" s="116"/>
      <c r="G1153" s="116"/>
      <c r="H1153" s="116">
        <f>0.5*0.5</f>
        <v>0.25</v>
      </c>
      <c r="I1153" s="308">
        <v>8</v>
      </c>
      <c r="J1153" s="128">
        <f>ROUND(PRODUCT(E1153:I1153),2)</f>
        <v>2</v>
      </c>
    </row>
    <row r="1154" spans="1:10">
      <c r="A1154" s="556"/>
      <c r="B1154" s="557"/>
      <c r="C1154" s="557"/>
      <c r="D1154" s="557"/>
      <c r="E1154" s="557"/>
      <c r="F1154" s="557"/>
      <c r="G1154" s="557"/>
      <c r="H1154" s="557"/>
      <c r="I1154" s="557"/>
      <c r="J1154" s="557"/>
    </row>
    <row r="1155" spans="1:10" ht="38.25">
      <c r="A1155" s="251" t="str">
        <f>'[3]Planilha Orçamentária'!A303</f>
        <v>1.5.6.2</v>
      </c>
      <c r="B1155" s="252">
        <f>VLOOKUP(A1155,'[3]Planilha Orçamentária'!A:K,2,0)</f>
        <v>5216111</v>
      </c>
      <c r="C1155" s="253" t="str">
        <f>VLOOKUP(A1155,'[3]Planilha Orçamentária'!A:K,3,0)</f>
        <v>FORNECIMENTO E IMPLANTAÇÃO DE SUPORTE E TRAVESSA PARA PLACA DE SINALIZAÇÃO EM MADEIRA DE LEI TRATADA 8 X 8 CM</v>
      </c>
      <c r="D1155" s="254" t="str">
        <f>VLOOKUP(A1155,'[3]Planilha Orçamentária'!A:K,4,0)</f>
        <v>UND</v>
      </c>
      <c r="E1155" s="255"/>
      <c r="F1155" s="256"/>
      <c r="G1155" s="256"/>
      <c r="H1155" s="256"/>
      <c r="I1155" s="256"/>
      <c r="J1155" s="257">
        <f>ROUND(SUM(J1156:J1158),2)</f>
        <v>13</v>
      </c>
    </row>
    <row r="1156" spans="1:10">
      <c r="A1156" s="293"/>
      <c r="B1156" s="294"/>
      <c r="C1156" s="165" t="s">
        <v>2203</v>
      </c>
      <c r="D1156" s="105"/>
      <c r="E1156" s="241"/>
      <c r="F1156" s="105"/>
      <c r="G1156" s="105"/>
      <c r="H1156" s="241"/>
      <c r="I1156" s="241" t="s">
        <v>1446</v>
      </c>
      <c r="J1156" s="299"/>
    </row>
    <row r="1157" spans="1:10">
      <c r="A1157" s="293"/>
      <c r="B1157" s="294"/>
      <c r="C1157" s="244" t="s">
        <v>2046</v>
      </c>
      <c r="D1157" s="307"/>
      <c r="E1157" s="116"/>
      <c r="F1157" s="116"/>
      <c r="G1157" s="116"/>
      <c r="H1157" s="116"/>
      <c r="I1157" s="157">
        <v>13</v>
      </c>
      <c r="J1157" s="118">
        <f>ROUND(PRODUCT(E1157:I1157),2)</f>
        <v>13</v>
      </c>
    </row>
    <row r="1158" spans="1:10">
      <c r="A1158" s="538"/>
      <c r="B1158" s="539"/>
      <c r="C1158" s="539"/>
      <c r="D1158" s="539"/>
      <c r="E1158" s="539"/>
      <c r="F1158" s="539"/>
      <c r="G1158" s="539"/>
      <c r="H1158" s="539"/>
      <c r="I1158" s="539"/>
      <c r="J1158" s="539"/>
    </row>
    <row r="1159" spans="1:10" ht="25.5">
      <c r="A1159" s="132" t="str">
        <f>'[3]Planilha Orçamentária'!A304</f>
        <v>1.5.6.3</v>
      </c>
      <c r="B1159" s="103" t="str">
        <f>VLOOKUP(A1159,'[3]Planilha Orçamentária'!A:K,2,0)</f>
        <v>COMP-58084869</v>
      </c>
      <c r="C1159" s="276" t="str">
        <f>VLOOKUP(A1159,'[3]Planilha Orçamentária'!A:K,3,0)</f>
        <v>PLACA ESMALTADA PARA IDENTIFICAÇÃO NR DE RUA, DIMENSÕES 45X25CM</v>
      </c>
      <c r="D1159" s="105" t="str">
        <f>VLOOKUP(A1159,'[3]Planilha Orçamentária'!A:K,4,0)</f>
        <v>UND</v>
      </c>
      <c r="E1159" s="104"/>
      <c r="F1159" s="111"/>
      <c r="G1159" s="111"/>
      <c r="H1159" s="111"/>
      <c r="I1159" s="111"/>
      <c r="J1159" s="107">
        <f>ROUND(SUM(J1160:J1161),2)</f>
        <v>8</v>
      </c>
    </row>
    <row r="1160" spans="1:10">
      <c r="A1160" s="138"/>
      <c r="B1160" s="138"/>
      <c r="C1160" s="165" t="s">
        <v>2203</v>
      </c>
      <c r="D1160" s="105"/>
      <c r="E1160" s="104"/>
      <c r="F1160" s="111"/>
      <c r="G1160" s="111"/>
      <c r="H1160" s="111"/>
      <c r="I1160" s="241" t="s">
        <v>1446</v>
      </c>
      <c r="J1160" s="118"/>
    </row>
    <row r="1161" spans="1:10">
      <c r="A1161" s="314"/>
      <c r="B1161" s="314"/>
      <c r="C1161" s="244" t="s">
        <v>2046</v>
      </c>
      <c r="D1161" s="307"/>
      <c r="E1161" s="313"/>
      <c r="F1161" s="116"/>
      <c r="G1161" s="116"/>
      <c r="H1161" s="157"/>
      <c r="I1161" s="157">
        <v>8</v>
      </c>
      <c r="J1161" s="118">
        <f>ROUND(PRODUCT(E1161:I1161),2)</f>
        <v>8</v>
      </c>
    </row>
    <row r="1162" spans="1:10">
      <c r="A1162" s="524"/>
      <c r="B1162" s="524"/>
      <c r="C1162" s="524"/>
      <c r="D1162" s="524"/>
      <c r="E1162" s="524"/>
      <c r="F1162" s="524"/>
      <c r="G1162" s="524"/>
      <c r="H1162" s="524"/>
      <c r="I1162" s="524"/>
      <c r="J1162" s="525"/>
    </row>
    <row r="1163" spans="1:10" ht="51">
      <c r="A1163" s="132" t="str">
        <f>'[3]Planilha Orçamentária'!A305</f>
        <v>1.5.6.4</v>
      </c>
      <c r="B1163" s="103">
        <f>VLOOKUP(A1163,'[3]Planilha Orçamentária'!A:K,2,0)</f>
        <v>102512</v>
      </c>
      <c r="C1163" s="276" t="str">
        <f>VLOOKUP(A1163,'[3]Planilha Orçamentária'!A:K,3,0)</f>
        <v>PINTURA DE EIXO VIÁRIO SOBRE ASFALTO COM TINTA RETRORREFLETIVA A BASE DE RESINA ACRÍLICA COM MICROESFERAS DE VIDRO, APLICAÇÃO MECÂNICA COM DEMARCADORA AUTOPROPELIDA. AF_05/2021</v>
      </c>
      <c r="D1163" s="105" t="str">
        <f>VLOOKUP(A1163,'[3]Planilha Orçamentária'!A:K,4,0)</f>
        <v>M</v>
      </c>
      <c r="E1163" s="104"/>
      <c r="F1163" s="111"/>
      <c r="G1163" s="111"/>
      <c r="H1163" s="111"/>
      <c r="I1163" s="111"/>
      <c r="J1163" s="107">
        <f>ROUND(SUM(J1165:J1165),2)</f>
        <v>707.17</v>
      </c>
    </row>
    <row r="1164" spans="1:10">
      <c r="A1164" s="251"/>
      <c r="B1164" s="252"/>
      <c r="C1164" s="165" t="s">
        <v>2203</v>
      </c>
      <c r="D1164" s="105"/>
      <c r="E1164" s="104"/>
      <c r="F1164" s="106" t="s">
        <v>1989</v>
      </c>
      <c r="G1164" s="111"/>
      <c r="H1164" s="111"/>
      <c r="I1164" s="241"/>
      <c r="J1164" s="257"/>
    </row>
    <row r="1165" spans="1:10">
      <c r="A1165" s="314"/>
      <c r="B1165" s="314"/>
      <c r="C1165" s="244" t="s">
        <v>2046</v>
      </c>
      <c r="D1165" s="105"/>
      <c r="E1165" s="104"/>
      <c r="F1165" s="157">
        <v>707.17</v>
      </c>
      <c r="G1165" s="111"/>
      <c r="H1165" s="111"/>
      <c r="I1165" s="157"/>
      <c r="J1165" s="306">
        <f>ROUND(PRODUCT(E1165:I1165),2)</f>
        <v>707.17</v>
      </c>
    </row>
    <row r="1166" spans="1:10">
      <c r="A1166" s="523"/>
      <c r="B1166" s="524"/>
      <c r="C1166" s="524"/>
      <c r="D1166" s="524"/>
      <c r="E1166" s="524"/>
      <c r="F1166" s="524"/>
      <c r="G1166" s="524"/>
      <c r="H1166" s="524"/>
      <c r="I1166" s="524"/>
      <c r="J1166" s="525"/>
    </row>
    <row r="1167" spans="1:10" ht="51">
      <c r="A1167" s="132" t="str">
        <f>'[3]Planilha Orçamentária'!A306</f>
        <v>1.5.6.5</v>
      </c>
      <c r="B1167" s="103">
        <f>VLOOKUP(A1167,'[3]Planilha Orçamentária'!A:K,2,0)</f>
        <v>102509</v>
      </c>
      <c r="C1167" s="276" t="str">
        <f>VLOOKUP(A1167,'[3]Planilha Orçamentária'!A:K,3,0)</f>
        <v>PINTURA DE FAIXA DE PEDESTRE OU ZEBRADA TINTA RETRORREFLETIVA A BASE DE RESINA ACRÍLICA COM MICROESFERAS DE VIDRO, E = 30 CM, APLICAÇÃO MANUAL. AF_05/2021</v>
      </c>
      <c r="D1167" s="105" t="str">
        <f>VLOOKUP(A1167,'[3]Planilha Orçamentária'!A:K,4,0)</f>
        <v>M2</v>
      </c>
      <c r="E1167" s="104"/>
      <c r="F1167" s="111"/>
      <c r="G1167" s="111"/>
      <c r="H1167" s="111"/>
      <c r="I1167" s="111"/>
      <c r="J1167" s="107">
        <f>ROUND(SUM(J1169:J1169),2)</f>
        <v>70.239999999999995</v>
      </c>
    </row>
    <row r="1168" spans="1:10">
      <c r="A1168" s="251"/>
      <c r="B1168" s="252"/>
      <c r="C1168" s="165" t="s">
        <v>2203</v>
      </c>
      <c r="D1168" s="148"/>
      <c r="E1168" s="357"/>
      <c r="F1168" s="160"/>
      <c r="G1168" s="160"/>
      <c r="H1168" s="160"/>
      <c r="I1168" s="357" t="s">
        <v>2003</v>
      </c>
      <c r="J1168" s="257"/>
    </row>
    <row r="1169" spans="1:10">
      <c r="A1169" s="314"/>
      <c r="B1169" s="314"/>
      <c r="C1169" s="244" t="s">
        <v>2161</v>
      </c>
      <c r="D1169" s="262"/>
      <c r="E1169" s="157"/>
      <c r="F1169" s="157"/>
      <c r="G1169" s="157"/>
      <c r="H1169" s="157"/>
      <c r="I1169" s="157">
        <v>70.239999999999995</v>
      </c>
      <c r="J1169" s="306">
        <f>ROUND(PRODUCT(E1169:I1169),2)</f>
        <v>70.239999999999995</v>
      </c>
    </row>
    <row r="1170" spans="1:10">
      <c r="A1170" s="523"/>
      <c r="B1170" s="524"/>
      <c r="C1170" s="524"/>
      <c r="D1170" s="524"/>
      <c r="E1170" s="524"/>
      <c r="F1170" s="524"/>
      <c r="G1170" s="524"/>
      <c r="H1170" s="524"/>
      <c r="I1170" s="524"/>
      <c r="J1170" s="525"/>
    </row>
    <row r="1171" spans="1:10">
      <c r="A1171" s="94" t="str">
        <f>'[3]Planilha Orçamentária'!A307</f>
        <v>1.5.7</v>
      </c>
      <c r="B1171" s="95"/>
      <c r="C1171" s="96" t="str">
        <f>VLOOKUP(A1171,'[3]Planilha Orçamentária'!A:K,3,0)</f>
        <v>ACESSIBILIDADE</v>
      </c>
      <c r="D1171" s="96"/>
      <c r="E1171" s="129"/>
      <c r="F1171" s="130"/>
      <c r="G1171" s="130"/>
      <c r="H1171" s="130"/>
      <c r="I1171" s="130"/>
      <c r="J1171" s="131"/>
    </row>
    <row r="1172" spans="1:10" ht="51">
      <c r="A1172" s="132" t="str">
        <f>'[3]Planilha Orçamentária'!A308</f>
        <v>1.5.7.1</v>
      </c>
      <c r="B1172" s="108" t="str">
        <f>VLOOKUP(A1172,'[3]Planilha Orçamentária'!A:K,2,0)</f>
        <v>CP-S12039-81921471</v>
      </c>
      <c r="C1172" s="276" t="str">
        <f>VLOOKUP(A1172,'[3]Planilha Orçamentária'!A:K,3,0)</f>
        <v>Piso tátil direcional e/ou alerta, de concreto, na cor natural, p/deficientes visuais, dimensões 40x40cm, aplicado com argamassa industrializada ac-ii, rejuntado, exclusive regularização de base</v>
      </c>
      <c r="D1172" s="105" t="str">
        <f>VLOOKUP(A1172,'[3]Planilha Orçamentária'!A:K,4,0)</f>
        <v>M2</v>
      </c>
      <c r="E1172" s="104"/>
      <c r="F1172" s="111"/>
      <c r="G1172" s="111"/>
      <c r="H1172" s="111"/>
      <c r="I1172" s="111"/>
      <c r="J1172" s="122">
        <f>ROUND(SUM(J1173:J1175),2)</f>
        <v>23.39</v>
      </c>
    </row>
    <row r="1173" spans="1:10">
      <c r="A1173" s="138"/>
      <c r="B1173" s="138"/>
      <c r="C1173" s="165" t="s">
        <v>2203</v>
      </c>
      <c r="D1173" s="137"/>
      <c r="E1173" s="138"/>
      <c r="F1173" s="325"/>
      <c r="G1173" s="325"/>
      <c r="H1173" s="325"/>
      <c r="I1173" s="357" t="s">
        <v>2003</v>
      </c>
      <c r="J1173" s="325"/>
    </row>
    <row r="1174" spans="1:10">
      <c r="A1174" s="138"/>
      <c r="B1174" s="138"/>
      <c r="C1174" s="244" t="s">
        <v>2161</v>
      </c>
      <c r="D1174" s="137"/>
      <c r="E1174" s="138"/>
      <c r="F1174" s="325"/>
      <c r="G1174" s="325"/>
      <c r="H1174" s="325"/>
      <c r="I1174" s="325">
        <v>20.059999999999999</v>
      </c>
      <c r="J1174" s="128">
        <f>ROUND(PRODUCT(E1174:I1174),2)</f>
        <v>20.059999999999999</v>
      </c>
    </row>
    <row r="1175" spans="1:10">
      <c r="A1175" s="138"/>
      <c r="B1175" s="138"/>
      <c r="C1175" s="138"/>
      <c r="D1175" s="138"/>
      <c r="E1175" s="138"/>
      <c r="F1175" s="138"/>
      <c r="G1175" s="138"/>
      <c r="H1175" s="138"/>
      <c r="I1175" s="138">
        <v>3.33</v>
      </c>
      <c r="J1175" s="128">
        <f>ROUND(PRODUCT(E1175:I1175),2)</f>
        <v>3.33</v>
      </c>
    </row>
    <row r="1176" spans="1:10">
      <c r="A1176" s="558"/>
      <c r="B1176" s="558"/>
      <c r="C1176" s="558"/>
      <c r="D1176" s="558"/>
      <c r="E1176" s="558"/>
      <c r="F1176" s="558"/>
      <c r="G1176" s="558"/>
      <c r="H1176" s="558"/>
      <c r="I1176" s="558"/>
      <c r="J1176" s="558"/>
    </row>
    <row r="1177" spans="1:10">
      <c r="A1177" s="94" t="str">
        <f>'[3]Planilha Orçamentária'!A309</f>
        <v>1.5.8</v>
      </c>
      <c r="B1177" s="95"/>
      <c r="C1177" s="96" t="str">
        <f>VLOOKUP(A1177,'[3]Planilha Orçamentária'!A:K,3,0)</f>
        <v>MATERIAIS</v>
      </c>
      <c r="D1177" s="96"/>
      <c r="E1177" s="129"/>
      <c r="F1177" s="130"/>
      <c r="G1177" s="130"/>
      <c r="H1177" s="130"/>
      <c r="I1177" s="130"/>
      <c r="J1177" s="131"/>
    </row>
    <row r="1178" spans="1:10" ht="51">
      <c r="A1178" s="145" t="str">
        <f>'[3]Planilha Orçamentária'!A310</f>
        <v>1.5.8.1</v>
      </c>
      <c r="B1178" s="146">
        <f>VLOOKUP(A1178,'[3]Planilha Orçamentária'!A:K,2,0)</f>
        <v>10775</v>
      </c>
      <c r="C1178" s="147" t="str">
        <f>VLOOKUP(A1178,'[3]Planilha Orçamentária'!A:K,3,0)</f>
        <v xml:space="preserve">LOCACAO DE CONTAINER 2,30 X 6,00 M, ALT. 2,50 M, COM 1 SANITARIO, PARA ESCRITORIO, COMPLETO, SEM DIVISORIAS INTERNAS (NAO INCLUI MOBILIZACAO/DESMOBILIZACAO)                                                                                                                                                                                                                                                                                                                                              </v>
      </c>
      <c r="D1178" s="148" t="str">
        <f>VLOOKUP(A1178,'[3]Planilha Orçamentária'!A:K,4,0)</f>
        <v xml:space="preserve">MES   </v>
      </c>
      <c r="E1178" s="147"/>
      <c r="F1178" s="160"/>
      <c r="G1178" s="160"/>
      <c r="H1178" s="160"/>
      <c r="I1178" s="160"/>
      <c r="J1178" s="218">
        <f>ROUND(SUM(J1180:J1180),2)</f>
        <v>3</v>
      </c>
    </row>
    <row r="1179" spans="1:10" ht="25.5">
      <c r="A1179" s="151"/>
      <c r="B1179" s="152"/>
      <c r="C1179" s="168"/>
      <c r="D1179" s="166"/>
      <c r="E1179" s="168"/>
      <c r="F1179" s="320"/>
      <c r="G1179" s="149"/>
      <c r="H1179" s="149"/>
      <c r="I1179" s="106" t="s">
        <v>1992</v>
      </c>
      <c r="J1179" s="321"/>
    </row>
    <row r="1180" spans="1:10">
      <c r="A1180" s="123"/>
      <c r="B1180" s="123"/>
      <c r="C1180" s="155"/>
      <c r="D1180" s="185"/>
      <c r="E1180" s="116"/>
      <c r="F1180" s="126"/>
      <c r="G1180" s="116"/>
      <c r="H1180" s="116"/>
      <c r="I1180" s="116">
        <f>I1019</f>
        <v>3</v>
      </c>
      <c r="J1180" s="128">
        <f>ROUND(PRODUCT(E1180:I1180),2)</f>
        <v>3</v>
      </c>
    </row>
    <row r="1181" spans="1:10">
      <c r="A1181" s="531"/>
      <c r="B1181" s="531"/>
      <c r="C1181" s="531"/>
      <c r="D1181" s="531"/>
      <c r="E1181" s="531"/>
      <c r="F1181" s="531"/>
      <c r="G1181" s="531"/>
      <c r="H1181" s="531"/>
      <c r="I1181" s="531"/>
      <c r="J1181" s="531"/>
    </row>
    <row r="1182" spans="1:10" ht="38.25">
      <c r="A1182" s="145" t="str">
        <f>'[3]Planilha Orçamentária'!A311</f>
        <v>1.5.8.2</v>
      </c>
      <c r="B1182" s="146">
        <f>VLOOKUP(A1182,'[3]Planilha Orçamentária'!A:K,2,0)</f>
        <v>10776</v>
      </c>
      <c r="C1182" s="147" t="str">
        <f>VLOOKUP(A1182,'[3]Planilha Orçamentária'!A:K,3,0)</f>
        <v xml:space="preserve">LOCACAO DE CONTAINER 2,30 X 6,00 M, ALT. 2,50 M, PARA ESCRITORIO, SEM DIVISORIAS INTERNAS E SEM SANITARIO (NAO INCLUI MOBILIZACAO/DESMOBILIZACAO)                                                                                                                                                                                                                                                                                                                                                         </v>
      </c>
      <c r="D1182" s="148" t="str">
        <f>VLOOKUP(A1182,'[3]Planilha Orçamentária'!A:K,4,0)</f>
        <v xml:space="preserve">MES   </v>
      </c>
      <c r="E1182" s="147"/>
      <c r="F1182" s="160"/>
      <c r="G1182" s="160"/>
      <c r="H1182" s="160"/>
      <c r="I1182" s="160"/>
      <c r="J1182" s="218">
        <f>ROUND(SUM(J1184:J1184),2)</f>
        <v>3</v>
      </c>
    </row>
    <row r="1183" spans="1:10" ht="25.5">
      <c r="A1183" s="151"/>
      <c r="B1183" s="152"/>
      <c r="C1183" s="168"/>
      <c r="D1183" s="166"/>
      <c r="E1183" s="168"/>
      <c r="F1183" s="320"/>
      <c r="G1183" s="149"/>
      <c r="H1183" s="149"/>
      <c r="I1183" s="106" t="s">
        <v>1992</v>
      </c>
      <c r="J1183" s="321"/>
    </row>
    <row r="1184" spans="1:10">
      <c r="A1184" s="123"/>
      <c r="B1184" s="123"/>
      <c r="C1184" s="155"/>
      <c r="D1184" s="185"/>
      <c r="E1184" s="116"/>
      <c r="F1184" s="126"/>
      <c r="G1184" s="116"/>
      <c r="H1184" s="116"/>
      <c r="I1184" s="116">
        <f>I1180</f>
        <v>3</v>
      </c>
      <c r="J1184" s="128">
        <f>ROUND(PRODUCT(E1184:I1184),2)</f>
        <v>3</v>
      </c>
    </row>
    <row r="1185" spans="1:10">
      <c r="A1185" s="531"/>
      <c r="B1185" s="531"/>
      <c r="C1185" s="531"/>
      <c r="D1185" s="531"/>
      <c r="E1185" s="531"/>
      <c r="F1185" s="531"/>
      <c r="G1185" s="531"/>
      <c r="H1185" s="531"/>
      <c r="I1185" s="531"/>
      <c r="J1185" s="531"/>
    </row>
    <row r="1186" spans="1:10" ht="38.25">
      <c r="A1186" s="132" t="str">
        <f>'[3]Planilha Orçamentária'!A312</f>
        <v>1.5.8.3</v>
      </c>
      <c r="B1186" s="108">
        <f>VLOOKUP(A1186,'[3]Planilha Orçamentária'!A:K,2,0)</f>
        <v>1518</v>
      </c>
      <c r="C1186" s="104" t="str">
        <f>VLOOKUP(A1186,'[3]Planilha Orçamentária'!A:K,3,0)</f>
        <v xml:space="preserve">CONCRETO BETUMINOSO USINADO A QUENTE (CBUQ) PARA PAVIMENTACAO ASFALTICA, PADRAO DNIT, FAIXA C, COM CAP 50/70 - AQUISICAO POSTO USINA                                                                                                                                                                                                                                                                                                                                                                      </v>
      </c>
      <c r="D1186" s="105" t="str">
        <f>VLOOKUP(A1186,'[3]Planilha Orçamentária'!A:K,4,0)</f>
        <v xml:space="preserve">T     </v>
      </c>
      <c r="E1186" s="104"/>
      <c r="F1186" s="111"/>
      <c r="G1186" s="111"/>
      <c r="H1186" s="111"/>
      <c r="I1186" s="111"/>
      <c r="J1186" s="122">
        <f>ROUND(SUM(J1187:J1188),2)</f>
        <v>220.56</v>
      </c>
    </row>
    <row r="1187" spans="1:10">
      <c r="A1187" s="174"/>
      <c r="B1187" s="174"/>
      <c r="C1187" s="165" t="s">
        <v>2196</v>
      </c>
      <c r="D1187" s="174"/>
      <c r="E1187" s="174" t="s">
        <v>1193</v>
      </c>
      <c r="F1187" s="174"/>
      <c r="G1187" s="174"/>
      <c r="H1187" s="174"/>
      <c r="I1187" s="174" t="s">
        <v>2007</v>
      </c>
      <c r="J1187" s="174"/>
    </row>
    <row r="1188" spans="1:10">
      <c r="A1188" s="174"/>
      <c r="B1188" s="174"/>
      <c r="C1188" s="322" t="s">
        <v>2083</v>
      </c>
      <c r="D1188" s="174"/>
      <c r="E1188" s="174">
        <v>2.5548000000000002</v>
      </c>
      <c r="F1188" s="174"/>
      <c r="G1188" s="174"/>
      <c r="H1188" s="174"/>
      <c r="I1188" s="286">
        <f>J1107</f>
        <v>86.33</v>
      </c>
      <c r="J1188" s="158">
        <f t="shared" ref="J1188" si="57">ROUND(PRODUCT(E1188:I1188),2)</f>
        <v>220.56</v>
      </c>
    </row>
    <row r="1189" spans="1:10" ht="12" customHeight="1">
      <c r="A1189" s="219"/>
      <c r="B1189" s="323"/>
      <c r="C1189" s="323"/>
      <c r="D1189" s="323"/>
      <c r="E1189" s="323"/>
      <c r="F1189" s="323"/>
      <c r="G1189" s="323"/>
      <c r="H1189" s="323"/>
      <c r="I1189" s="323"/>
      <c r="J1189" s="198"/>
    </row>
    <row r="1190" spans="1:10">
      <c r="A1190" s="132" t="str">
        <f>'[3]Planilha Orçamentária'!A313</f>
        <v>1.5.8.4</v>
      </c>
      <c r="B1190" s="108" t="str">
        <f>VLOOKUP(A1190,'[3]Planilha Orçamentária'!A:K,2,0)</f>
        <v>INS-185032</v>
      </c>
      <c r="C1190" s="104" t="str">
        <f>VLOOKUP(A1190,'[3]Planilha Orçamentária'!A:K,3,0)</f>
        <v>BRITA GRADUADA SIMPLES (BGS)</v>
      </c>
      <c r="D1190" s="105" t="str">
        <f>VLOOKUP(A1190,'[3]Planilha Orçamentária'!A:K,4,0)</f>
        <v>M3</v>
      </c>
      <c r="E1190" s="104"/>
      <c r="F1190" s="111"/>
      <c r="G1190" s="111"/>
      <c r="H1190" s="111"/>
      <c r="I1190" s="111"/>
      <c r="J1190" s="122">
        <f>ROUND(SUM(J1191:J1192),2)</f>
        <v>404.61</v>
      </c>
    </row>
    <row r="1191" spans="1:10" ht="12" customHeight="1">
      <c r="A1191" s="174"/>
      <c r="B1191" s="174"/>
      <c r="C1191" s="165" t="s">
        <v>2196</v>
      </c>
      <c r="D1191" s="174"/>
      <c r="E1191" s="174" t="s">
        <v>1193</v>
      </c>
      <c r="F1191" s="174"/>
      <c r="G1191" s="174"/>
      <c r="H1191" s="174"/>
      <c r="I1191" s="174" t="s">
        <v>2007</v>
      </c>
      <c r="J1191" s="174"/>
    </row>
    <row r="1192" spans="1:10">
      <c r="A1192" s="174"/>
      <c r="B1192" s="174"/>
      <c r="C1192" s="324" t="s">
        <v>2084</v>
      </c>
      <c r="D1192" s="137"/>
      <c r="E1192" s="325">
        <v>1</v>
      </c>
      <c r="F1192" s="174"/>
      <c r="G1192" s="174"/>
      <c r="H1192" s="174"/>
      <c r="I1192" s="286">
        <f>J1089</f>
        <v>404.61</v>
      </c>
      <c r="J1192" s="158">
        <f t="shared" ref="J1192" si="58">ROUND(PRODUCT(E1192:I1192),2)</f>
        <v>404.61</v>
      </c>
    </row>
    <row r="1193" spans="1:10" ht="12" customHeight="1">
      <c r="A1193" s="219"/>
      <c r="B1193" s="323"/>
      <c r="C1193" s="323"/>
      <c r="D1193" s="323"/>
      <c r="E1193" s="323"/>
      <c r="F1193" s="323"/>
      <c r="G1193" s="323"/>
      <c r="H1193" s="323"/>
      <c r="I1193" s="323"/>
      <c r="J1193" s="197"/>
    </row>
    <row r="1194" spans="1:10" ht="12" customHeight="1">
      <c r="A1194" s="132" t="str">
        <f>'[3]Planilha Orçamentária'!A314</f>
        <v>1.5.8.5</v>
      </c>
      <c r="B1194" s="108" t="str">
        <f>VLOOKUP(A1194,'[3]Planilha Orçamentária'!A:K,2,0)</f>
        <v>M0808</v>
      </c>
      <c r="C1194" s="104" t="str">
        <f>VLOOKUP(A1194,'[3]Planilha Orçamentária'!A:K,3,0)</f>
        <v>Brita 4</v>
      </c>
      <c r="D1194" s="105" t="str">
        <f>VLOOKUP(A1194,'[3]Planilha Orçamentária'!A:K,4,0)</f>
        <v>M3</v>
      </c>
      <c r="E1194" s="104"/>
      <c r="F1194" s="111"/>
      <c r="G1194" s="111"/>
      <c r="H1194" s="111"/>
      <c r="I1194" s="111"/>
      <c r="J1194" s="122">
        <f>ROUND(SUM(J1195:J1196),2)</f>
        <v>543.79</v>
      </c>
    </row>
    <row r="1195" spans="1:10" ht="12" customHeight="1">
      <c r="A1195" s="174"/>
      <c r="B1195" s="174"/>
      <c r="C1195" s="326"/>
      <c r="D1195" s="137"/>
      <c r="E1195" s="137" t="s">
        <v>2085</v>
      </c>
      <c r="F1195" s="174"/>
      <c r="G1195" s="174"/>
      <c r="H1195" s="174"/>
      <c r="I1195" s="174" t="s">
        <v>2007</v>
      </c>
      <c r="J1195" s="174"/>
    </row>
    <row r="1196" spans="1:10" ht="12" customHeight="1">
      <c r="A1196" s="174"/>
      <c r="B1196" s="174"/>
      <c r="C1196" s="200" t="s">
        <v>2086</v>
      </c>
      <c r="D1196" s="137"/>
      <c r="E1196" s="327">
        <v>1.26</v>
      </c>
      <c r="F1196" s="174"/>
      <c r="G1196" s="174"/>
      <c r="H1196" s="174"/>
      <c r="I1196" s="286">
        <f>J1084</f>
        <v>431.58</v>
      </c>
      <c r="J1196" s="158">
        <f t="shared" ref="J1196" si="59">ROUND(PRODUCT(E1196:I1196),2)</f>
        <v>543.79</v>
      </c>
    </row>
    <row r="1197" spans="1:10" ht="12" customHeight="1">
      <c r="A1197" s="219"/>
      <c r="B1197" s="323"/>
      <c r="C1197" s="323"/>
      <c r="D1197" s="323"/>
      <c r="E1197" s="323"/>
      <c r="F1197" s="323"/>
      <c r="G1197" s="323"/>
      <c r="H1197" s="323"/>
      <c r="I1197" s="323"/>
      <c r="J1197" s="197"/>
    </row>
    <row r="1198" spans="1:10" ht="12" customHeight="1">
      <c r="A1198" s="132" t="str">
        <f>'[3]Planilha Orçamentária'!A315</f>
        <v>1.5.8.6</v>
      </c>
      <c r="B1198" s="108" t="str">
        <f>VLOOKUP(A1198,'[3]Planilha Orçamentária'!A:K,2,0)</f>
        <v>M1135</v>
      </c>
      <c r="C1198" s="104" t="str">
        <f>VLOOKUP(A1198,'[3]Planilha Orçamentária'!A:K,3,0)</f>
        <v>Pó de pedra</v>
      </c>
      <c r="D1198" s="105" t="str">
        <f>VLOOKUP(A1198,'[3]Planilha Orçamentária'!A:K,4,0)</f>
        <v>M3</v>
      </c>
      <c r="E1198" s="104"/>
      <c r="F1198" s="111"/>
      <c r="G1198" s="111"/>
      <c r="H1198" s="111"/>
      <c r="I1198" s="111"/>
      <c r="J1198" s="122">
        <f>ROUND(SUM(J1199:J1200),2)</f>
        <v>60.42</v>
      </c>
    </row>
    <row r="1199" spans="1:10" ht="12" customHeight="1">
      <c r="A1199" s="174"/>
      <c r="B1199" s="174"/>
      <c r="C1199" s="326"/>
      <c r="D1199" s="137"/>
      <c r="E1199" s="137" t="s">
        <v>2085</v>
      </c>
      <c r="F1199" s="174"/>
      <c r="G1199" s="174"/>
      <c r="H1199" s="174"/>
      <c r="I1199" s="174" t="s">
        <v>2007</v>
      </c>
      <c r="J1199" s="174"/>
    </row>
    <row r="1200" spans="1:10" ht="12" customHeight="1">
      <c r="A1200" s="174"/>
      <c r="B1200" s="174"/>
      <c r="C1200" s="200" t="s">
        <v>2086</v>
      </c>
      <c r="D1200" s="137"/>
      <c r="E1200" s="137">
        <v>0.14000000000000001</v>
      </c>
      <c r="F1200" s="174"/>
      <c r="G1200" s="174"/>
      <c r="H1200" s="174"/>
      <c r="I1200" s="286">
        <f>I1196</f>
        <v>431.58</v>
      </c>
      <c r="J1200" s="158">
        <f t="shared" ref="J1200" si="60">ROUND(PRODUCT(E1200:I1200),2)</f>
        <v>60.42</v>
      </c>
    </row>
    <row r="1201" spans="1:10" ht="12" customHeight="1">
      <c r="A1201" s="219"/>
      <c r="B1201" s="323"/>
      <c r="C1201" s="323"/>
      <c r="D1201" s="323"/>
      <c r="E1201" s="323"/>
      <c r="F1201" s="323"/>
      <c r="G1201" s="323"/>
      <c r="H1201" s="323"/>
      <c r="I1201" s="323"/>
      <c r="J1201" s="197"/>
    </row>
    <row r="1202" spans="1:10" ht="12" customHeight="1">
      <c r="A1202" s="132" t="str">
        <f>'[3]Planilha Orçamentária'!A316</f>
        <v>1.5.8.7</v>
      </c>
      <c r="B1202" s="108" t="str">
        <f>VLOOKUP(A1202,'[3]Planilha Orçamentária'!A:K,2,0)</f>
        <v>INS-711371</v>
      </c>
      <c r="C1202" s="104" t="str">
        <f>VLOOKUP(A1202,'[3]Planilha Orçamentária'!A:K,3,0)</f>
        <v>ASFALTO DILUÍDO CM - 30</v>
      </c>
      <c r="D1202" s="105" t="str">
        <f>VLOOKUP(A1202,'[3]Planilha Orçamentária'!A:K,4,0)</f>
        <v>KG</v>
      </c>
      <c r="E1202" s="104"/>
      <c r="F1202" s="111"/>
      <c r="G1202" s="111"/>
      <c r="H1202" s="111"/>
      <c r="I1202" s="111"/>
      <c r="J1202" s="122">
        <f>ROUND(SUM(J1203:J1204),2)</f>
        <v>2071.94</v>
      </c>
    </row>
    <row r="1203" spans="1:10" ht="12" customHeight="1">
      <c r="A1203" s="174"/>
      <c r="B1203" s="174"/>
      <c r="C1203" s="361"/>
      <c r="D1203" s="180"/>
      <c r="E1203" s="174" t="s">
        <v>2085</v>
      </c>
      <c r="F1203" s="161"/>
      <c r="G1203" s="161"/>
      <c r="H1203" s="161"/>
      <c r="I1203" s="210" t="s">
        <v>2003</v>
      </c>
      <c r="J1203" s="174"/>
    </row>
    <row r="1204" spans="1:10" ht="12" customHeight="1">
      <c r="A1204" s="174"/>
      <c r="B1204" s="174"/>
      <c r="C1204" s="324" t="s">
        <v>2087</v>
      </c>
      <c r="D1204" s="137"/>
      <c r="E1204" s="325">
        <v>1.2</v>
      </c>
      <c r="F1204" s="127"/>
      <c r="G1204" s="161"/>
      <c r="H1204" s="161"/>
      <c r="I1204" s="212">
        <f>J1102</f>
        <v>1726.62</v>
      </c>
      <c r="J1204" s="158">
        <f t="shared" ref="J1204" si="61">ROUND(PRODUCT(E1204:I1204),2)</f>
        <v>2071.94</v>
      </c>
    </row>
    <row r="1205" spans="1:10">
      <c r="A1205" s="219"/>
      <c r="B1205" s="323"/>
      <c r="C1205" s="323"/>
      <c r="D1205" s="323"/>
      <c r="E1205" s="323"/>
      <c r="F1205" s="323"/>
      <c r="G1205" s="323"/>
      <c r="H1205" s="323"/>
      <c r="I1205" s="323"/>
      <c r="J1205" s="197"/>
    </row>
    <row r="1206" spans="1:10" ht="38.25">
      <c r="A1206" s="132" t="str">
        <f>'[3]Planilha Orçamentária'!A317</f>
        <v>1.5.8.8</v>
      </c>
      <c r="B1206" s="108">
        <f>VLOOKUP(A1206,'[3]Planilha Orçamentária'!A:K,2,0)</f>
        <v>34492</v>
      </c>
      <c r="C1206" s="104" t="str">
        <f>VLOOKUP(A1206,'[3]Planilha Orçamentária'!A:K,3,0)</f>
        <v xml:space="preserve">CONCRETO USINADO BOMBEAVEL, CLASSE DE RESISTENCIA C20, COM BRITA 0 E 1, SLUMP = 100 +/- 20 MM, EXCLUI SERVICO DE BOMBEAMENTO (NBR 8953)                                                                                                                                                                                                                                                                                                                                                                   </v>
      </c>
      <c r="D1206" s="105" t="str">
        <f>VLOOKUP(A1206,'[3]Planilha Orçamentária'!A:K,4,0)</f>
        <v xml:space="preserve">M3    </v>
      </c>
      <c r="E1206" s="104"/>
      <c r="F1206" s="111"/>
      <c r="G1206" s="111"/>
      <c r="H1206" s="111"/>
      <c r="I1206" s="111"/>
      <c r="J1206" s="122">
        <f>ROUND(SUM(J1207:J1208),2)</f>
        <v>108.88</v>
      </c>
    </row>
    <row r="1207" spans="1:10">
      <c r="A1207" s="174"/>
      <c r="B1207" s="174"/>
      <c r="C1207" s="159"/>
      <c r="D1207" s="174"/>
      <c r="E1207" s="137" t="s">
        <v>2085</v>
      </c>
      <c r="F1207" s="174"/>
      <c r="G1207" s="174"/>
      <c r="H1207" s="174"/>
      <c r="I1207" s="174" t="s">
        <v>2007</v>
      </c>
      <c r="J1207" s="174"/>
    </row>
    <row r="1208" spans="1:10">
      <c r="A1208" s="174"/>
      <c r="B1208" s="174"/>
      <c r="C1208" s="324" t="s">
        <v>2088</v>
      </c>
      <c r="D1208" s="137"/>
      <c r="E1208" s="325">
        <v>1.2130000000000001</v>
      </c>
      <c r="F1208" s="174"/>
      <c r="G1208" s="174"/>
      <c r="H1208" s="174"/>
      <c r="I1208" s="286">
        <f>J1123</f>
        <v>89.76</v>
      </c>
      <c r="J1208" s="158">
        <f t="shared" ref="J1208" si="62">ROUND(PRODUCT(E1208:I1208),2)</f>
        <v>108.88</v>
      </c>
    </row>
    <row r="1209" spans="1:10">
      <c r="A1209" s="219"/>
      <c r="B1209" s="323"/>
      <c r="C1209" s="323"/>
      <c r="D1209" s="323"/>
      <c r="E1209" s="323"/>
      <c r="F1209" s="323"/>
      <c r="G1209" s="323"/>
      <c r="H1209" s="323"/>
      <c r="I1209" s="323"/>
      <c r="J1209" s="197"/>
    </row>
    <row r="1210" spans="1:10">
      <c r="A1210" s="93" t="str">
        <f>'[4]Planilha Orçamentária'!A318</f>
        <v>1.6</v>
      </c>
      <c r="B1210" s="526" t="str">
        <f>VLOOKUP(A1210,'[3]Planilha Orçamentária'!A:K,3,0)</f>
        <v>RUA JESUS DE NAZARÉ - CURADO IV</v>
      </c>
      <c r="C1210" s="527"/>
      <c r="D1210" s="527"/>
      <c r="E1210" s="527"/>
      <c r="F1210" s="527"/>
      <c r="G1210" s="527"/>
      <c r="H1210" s="527"/>
      <c r="I1210" s="527"/>
      <c r="J1210" s="527"/>
    </row>
    <row r="1211" spans="1:10">
      <c r="A1211" s="94" t="str">
        <f>'[3]Planilha Orçamentária'!A319</f>
        <v>1.6.1</v>
      </c>
      <c r="B1211" s="95"/>
      <c r="C1211" s="96" t="str">
        <f>VLOOKUP(A1211,'[3]Planilha Orçamentária'!A:K,3,0)</f>
        <v>INSTALAÇÕES PROVISÓRIAS</v>
      </c>
      <c r="D1211" s="97"/>
      <c r="E1211" s="98"/>
      <c r="F1211" s="99"/>
      <c r="G1211" s="99"/>
      <c r="H1211" s="99"/>
      <c r="I1211" s="100"/>
      <c r="J1211" s="101"/>
    </row>
    <row r="1212" spans="1:10" ht="25.5">
      <c r="A1212" s="102" t="str">
        <f>'[3]Planilha Orçamentária'!A320</f>
        <v>1.6.1.1</v>
      </c>
      <c r="B1212" s="103" t="str">
        <f>VLOOKUP(A1212,'[3]Planilha Orçamentária'!A:K,2,0)</f>
        <v>CP-74209/001-15055090</v>
      </c>
      <c r="C1212" s="104" t="str">
        <f>VLOOKUP(A1212,'[3]Planilha Orçamentária'!A:K,3,0)</f>
        <v>PLACA DE OBRA EM CHAPA DE ACO GALVANIZADO</v>
      </c>
      <c r="D1212" s="105" t="str">
        <f>VLOOKUP(A1212,'[3]Planilha Orçamentária'!A:K,4,0)</f>
        <v xml:space="preserve">M2    </v>
      </c>
      <c r="E1212" s="104"/>
      <c r="F1212" s="106" t="s">
        <v>1989</v>
      </c>
      <c r="G1212" s="106" t="s">
        <v>1990</v>
      </c>
      <c r="H1212" s="106"/>
      <c r="I1212" s="106" t="s">
        <v>1991</v>
      </c>
      <c r="J1212" s="107">
        <f>ROUND(SUM(J1214:J1214),2)</f>
        <v>8</v>
      </c>
    </row>
    <row r="1213" spans="1:10">
      <c r="A1213" s="102"/>
      <c r="B1213" s="103"/>
      <c r="C1213" s="110"/>
      <c r="D1213" s="109"/>
      <c r="E1213" s="110"/>
      <c r="F1213" s="111"/>
      <c r="G1213" s="111"/>
      <c r="H1213" s="111"/>
      <c r="I1213" s="111"/>
      <c r="J1213" s="107"/>
    </row>
    <row r="1214" spans="1:10">
      <c r="A1214" s="102"/>
      <c r="B1214" s="123"/>
      <c r="C1214" s="328"/>
      <c r="D1214" s="114"/>
      <c r="E1214" s="115"/>
      <c r="F1214" s="116">
        <v>2</v>
      </c>
      <c r="G1214" s="116">
        <v>4</v>
      </c>
      <c r="H1214" s="117"/>
      <c r="I1214" s="116">
        <v>1</v>
      </c>
      <c r="J1214" s="118">
        <f>ROUND(PRODUCT(E1214:I1214),2)</f>
        <v>8</v>
      </c>
    </row>
    <row r="1215" spans="1:10">
      <c r="A1215" s="553"/>
      <c r="B1215" s="554"/>
      <c r="C1215" s="554"/>
      <c r="D1215" s="554"/>
      <c r="E1215" s="554"/>
      <c r="F1215" s="554"/>
      <c r="G1215" s="554"/>
      <c r="H1215" s="554"/>
      <c r="I1215" s="554"/>
      <c r="J1215" s="555"/>
    </row>
    <row r="1216" spans="1:10" ht="25.5">
      <c r="A1216" s="102" t="str">
        <f>'[3]Planilha Orçamentária'!A321</f>
        <v>1.6.1.2</v>
      </c>
      <c r="B1216" s="108" t="str">
        <f>VLOOKUP(A1216,'[3]Planilha Orçamentária'!A:K,2,0)</f>
        <v>COMP-07440249</v>
      </c>
      <c r="C1216" s="104" t="str">
        <f>VLOOKUP(A1216,'[3]Planilha Orçamentária'!A:K,3,0)</f>
        <v>BANHEIRO QUÍMICO, COM LOCAÇÃO, TRANSPORTE E LIMPEZA</v>
      </c>
      <c r="D1216" s="105" t="str">
        <f>VLOOKUP(A1216,'[3]Planilha Orçamentária'!A:K,4,0)</f>
        <v>MÊS</v>
      </c>
      <c r="E1216" s="104"/>
      <c r="F1216" s="111"/>
      <c r="G1216" s="111"/>
      <c r="H1216" s="111"/>
      <c r="I1216" s="111"/>
      <c r="J1216" s="122">
        <f>ROUND(SUM(J1219:J1219),2)</f>
        <v>6</v>
      </c>
    </row>
    <row r="1217" spans="1:10" ht="25.5">
      <c r="A1217" s="102"/>
      <c r="B1217" s="108"/>
      <c r="C1217" s="104"/>
      <c r="D1217" s="105"/>
      <c r="E1217" s="104"/>
      <c r="F1217" s="111"/>
      <c r="G1217" s="111"/>
      <c r="H1217" s="111"/>
      <c r="I1217" s="106" t="s">
        <v>1992</v>
      </c>
      <c r="J1217" s="122"/>
    </row>
    <row r="1218" spans="1:10">
      <c r="A1218" s="102"/>
      <c r="B1218" s="108"/>
      <c r="C1218" s="104"/>
      <c r="D1218" s="105"/>
      <c r="E1218" s="104"/>
      <c r="F1218" s="111"/>
      <c r="G1218" s="111"/>
      <c r="H1218" s="111"/>
      <c r="I1218" s="106"/>
      <c r="J1218" s="122"/>
    </row>
    <row r="1219" spans="1:10">
      <c r="A1219" s="102"/>
      <c r="B1219" s="123"/>
      <c r="C1219" s="124"/>
      <c r="D1219" s="125"/>
      <c r="E1219" s="126"/>
      <c r="F1219" s="126"/>
      <c r="G1219" s="117"/>
      <c r="H1219" s="117"/>
      <c r="I1219" s="127">
        <v>6</v>
      </c>
      <c r="J1219" s="128">
        <f>ROUND(PRODUCT(E1219:I1219),2)</f>
        <v>6</v>
      </c>
    </row>
    <row r="1220" spans="1:10">
      <c r="A1220" s="102"/>
      <c r="B1220" s="123"/>
      <c r="C1220" s="124"/>
      <c r="D1220" s="125"/>
      <c r="E1220" s="126"/>
      <c r="F1220" s="126"/>
      <c r="G1220" s="117"/>
      <c r="H1220" s="117"/>
      <c r="I1220" s="127"/>
      <c r="J1220" s="128"/>
    </row>
    <row r="1221" spans="1:10">
      <c r="A1221" s="94" t="str">
        <f>'[3]Planilha Orçamentária'!A322</f>
        <v>1.6.2</v>
      </c>
      <c r="B1221" s="95"/>
      <c r="C1221" s="96" t="str">
        <f>VLOOKUP(A1221,'[3]Planilha Orçamentária'!A:K,3,0)</f>
        <v>ADMINISTRAÇÃO LOCAL</v>
      </c>
      <c r="D1221" s="96"/>
      <c r="E1221" s="129"/>
      <c r="F1221" s="130"/>
      <c r="G1221" s="130"/>
      <c r="H1221" s="130"/>
      <c r="I1221" s="130"/>
      <c r="J1221" s="131"/>
    </row>
    <row r="1222" spans="1:10" ht="25.5">
      <c r="A1222" s="132" t="str">
        <f>'[3]Planilha Orçamentária'!A323</f>
        <v>1.6.2.1</v>
      </c>
      <c r="B1222" s="103">
        <f>VLOOKUP(A1222,'[3]Planilha Orçamentária'!A:K,2,0)</f>
        <v>93565</v>
      </c>
      <c r="C1222" s="104" t="str">
        <f>VLOOKUP(A1222,'[3]Planilha Orçamentária'!A:K,3,0)</f>
        <v>ENGENHEIRO CIVIL DE OBRA JUNIOR COM ENCARGOS COMPLEMENTARES</v>
      </c>
      <c r="D1222" s="105" t="str">
        <f>VLOOKUP(A1222,'[3]Planilha Orçamentária'!A:K,4,0)</f>
        <v>MES</v>
      </c>
      <c r="E1222" s="133"/>
      <c r="F1222" s="134"/>
      <c r="G1222" s="134"/>
      <c r="H1222" s="134"/>
      <c r="I1222" s="134"/>
      <c r="J1222" s="107">
        <f>ROUND(SUM(J1224),2)</f>
        <v>0.75</v>
      </c>
    </row>
    <row r="1223" spans="1:10" ht="14.25">
      <c r="A1223" s="132"/>
      <c r="B1223" s="103"/>
      <c r="C1223" s="135" t="s">
        <v>2204</v>
      </c>
      <c r="D1223" s="105"/>
      <c r="E1223" s="133"/>
      <c r="F1223" s="136"/>
      <c r="G1223" s="136"/>
      <c r="H1223" s="136"/>
      <c r="I1223" s="136"/>
      <c r="J1223" s="107"/>
    </row>
    <row r="1224" spans="1:10" ht="14.25">
      <c r="A1224" s="137"/>
      <c r="B1224" s="138"/>
      <c r="C1224" s="135" t="s">
        <v>1993</v>
      </c>
      <c r="D1224" s="139"/>
      <c r="E1224" s="136">
        <f>22/176</f>
        <v>0.125</v>
      </c>
      <c r="F1224" s="136"/>
      <c r="G1224" s="136"/>
      <c r="H1224" s="136"/>
      <c r="I1224" s="136">
        <f>I1219</f>
        <v>6</v>
      </c>
      <c r="J1224" s="118">
        <f>ROUND(PRODUCT(E1224:I1224),2)</f>
        <v>0.75</v>
      </c>
    </row>
    <row r="1225" spans="1:10" ht="14.25">
      <c r="A1225" s="137"/>
      <c r="B1225" s="138"/>
      <c r="C1225" s="135" t="s">
        <v>1994</v>
      </c>
      <c r="D1225" s="139"/>
      <c r="E1225" s="136"/>
      <c r="F1225" s="136"/>
      <c r="G1225" s="136"/>
      <c r="H1225" s="136"/>
      <c r="I1225" s="136"/>
      <c r="J1225" s="140"/>
    </row>
    <row r="1226" spans="1:10" ht="14.25">
      <c r="A1226" s="137"/>
      <c r="B1226" s="138"/>
      <c r="C1226" s="135" t="s">
        <v>1995</v>
      </c>
      <c r="D1226" s="141"/>
      <c r="E1226" s="142"/>
      <c r="F1226" s="127"/>
      <c r="G1226" s="117"/>
      <c r="H1226" s="117"/>
      <c r="I1226" s="143"/>
      <c r="J1226" s="144"/>
    </row>
    <row r="1227" spans="1:10">
      <c r="A1227" s="531"/>
      <c r="B1227" s="531"/>
      <c r="C1227" s="531"/>
      <c r="D1227" s="531"/>
      <c r="E1227" s="531"/>
      <c r="F1227" s="531"/>
      <c r="G1227" s="531"/>
      <c r="H1227" s="531"/>
      <c r="I1227" s="531"/>
      <c r="J1227" s="531"/>
    </row>
    <row r="1228" spans="1:10" ht="25.5">
      <c r="A1228" s="132" t="str">
        <f>'[3]Planilha Orçamentária'!A324</f>
        <v>1.6.2.2</v>
      </c>
      <c r="B1228" s="103">
        <f>VLOOKUP(A1228,'[3]Planilha Orçamentária'!A:K,2,0)</f>
        <v>93572</v>
      </c>
      <c r="C1228" s="104" t="str">
        <f>VLOOKUP(A1228,'[3]Planilha Orçamentária'!A:K,3,0)</f>
        <v>ENCARREGADO GERAL DE OBRAS COM ENCARGOS COMPLEMENTARES</v>
      </c>
      <c r="D1228" s="105" t="str">
        <f>VLOOKUP(A1228,'[3]Planilha Orçamentária'!A:K,4,0)</f>
        <v>MES</v>
      </c>
      <c r="E1228" s="133"/>
      <c r="F1228" s="134"/>
      <c r="G1228" s="134"/>
      <c r="H1228" s="134"/>
      <c r="I1228" s="134"/>
      <c r="J1228" s="107">
        <f>ROUND(SUM(J1230),2)</f>
        <v>2.25</v>
      </c>
    </row>
    <row r="1229" spans="1:10" ht="14.25">
      <c r="A1229" s="132"/>
      <c r="B1229" s="103"/>
      <c r="C1229" s="135" t="s">
        <v>2204</v>
      </c>
      <c r="D1229" s="105"/>
      <c r="E1229" s="133"/>
      <c r="F1229" s="136"/>
      <c r="G1229" s="136"/>
      <c r="H1229" s="136"/>
      <c r="I1229" s="136"/>
      <c r="J1229" s="107"/>
    </row>
    <row r="1230" spans="1:10" ht="14.25">
      <c r="A1230" s="137"/>
      <c r="B1230" s="138"/>
      <c r="C1230" s="135" t="s">
        <v>2205</v>
      </c>
      <c r="D1230" s="139"/>
      <c r="E1230" s="136">
        <f>66/176</f>
        <v>0.375</v>
      </c>
      <c r="F1230" s="136"/>
      <c r="G1230" s="136"/>
      <c r="H1230" s="136"/>
      <c r="I1230" s="136">
        <f>I1219</f>
        <v>6</v>
      </c>
      <c r="J1230" s="118">
        <f>ROUND(PRODUCT(E1230:I1230),2)</f>
        <v>2.25</v>
      </c>
    </row>
    <row r="1231" spans="1:10" ht="14.25">
      <c r="A1231" s="137"/>
      <c r="B1231" s="138"/>
      <c r="C1231" s="135" t="s">
        <v>2206</v>
      </c>
      <c r="D1231" s="139"/>
      <c r="E1231" s="136"/>
      <c r="F1231" s="136"/>
      <c r="G1231" s="136"/>
      <c r="H1231" s="136"/>
      <c r="I1231" s="136"/>
      <c r="J1231" s="140"/>
    </row>
    <row r="1232" spans="1:10" ht="14.25">
      <c r="A1232" s="137"/>
      <c r="B1232" s="138"/>
      <c r="C1232" s="135" t="s">
        <v>1995</v>
      </c>
      <c r="D1232" s="141"/>
      <c r="E1232" s="142"/>
      <c r="F1232" s="127"/>
      <c r="G1232" s="117"/>
      <c r="H1232" s="117"/>
      <c r="I1232" s="143"/>
      <c r="J1232" s="144"/>
    </row>
    <row r="1233" spans="1:10">
      <c r="A1233" s="531"/>
      <c r="B1233" s="531"/>
      <c r="C1233" s="531"/>
      <c r="D1233" s="531"/>
      <c r="E1233" s="531"/>
      <c r="F1233" s="531"/>
      <c r="G1233" s="531"/>
      <c r="H1233" s="531"/>
      <c r="I1233" s="531"/>
      <c r="J1233" s="531"/>
    </row>
    <row r="1234" spans="1:10">
      <c r="A1234" s="94" t="str">
        <f>'[3]Planilha Orçamentária'!A325</f>
        <v>1.6.3</v>
      </c>
      <c r="B1234" s="95"/>
      <c r="C1234" s="96" t="str">
        <f>VLOOKUP(A1234,'[3]Planilha Orçamentária'!A:K,3,0)</f>
        <v>SERVIÇOS PRELIMINARES</v>
      </c>
      <c r="D1234" s="97"/>
      <c r="E1234" s="98"/>
      <c r="F1234" s="99"/>
      <c r="G1234" s="99"/>
      <c r="H1234" s="99"/>
      <c r="I1234" s="100"/>
      <c r="J1234" s="101"/>
    </row>
    <row r="1235" spans="1:10">
      <c r="A1235" s="145" t="str">
        <f>'[3]Planilha Orçamentária'!A326</f>
        <v>1.6.3.1</v>
      </c>
      <c r="B1235" s="146">
        <f>VLOOKUP(A1235,'[3]Planilha Orçamentária'!A:K,2,0)</f>
        <v>99064</v>
      </c>
      <c r="C1235" s="147" t="str">
        <f>VLOOKUP(A1235,'[3]Planilha Orçamentária'!A:K,3,0)</f>
        <v>LOCAÇÃO DE PAVIMENTAÇÃO. AF_10/2018</v>
      </c>
      <c r="D1235" s="148" t="str">
        <f>VLOOKUP(A1235,'[3]Planilha Orçamentária'!A:K,4,0)</f>
        <v>M</v>
      </c>
      <c r="E1235" s="147"/>
      <c r="F1235" s="136"/>
      <c r="G1235" s="149"/>
      <c r="H1235" s="149"/>
      <c r="I1235" s="149"/>
      <c r="J1235" s="150">
        <f>ROUND(SUM(J1237:J1237),2)</f>
        <v>614.01</v>
      </c>
    </row>
    <row r="1236" spans="1:10">
      <c r="A1236" s="151"/>
      <c r="B1236" s="152"/>
      <c r="C1236" s="147"/>
      <c r="D1236" s="148"/>
      <c r="E1236" s="147"/>
      <c r="F1236" s="106" t="s">
        <v>1989</v>
      </c>
      <c r="G1236" s="149"/>
      <c r="H1236" s="149"/>
      <c r="I1236" s="149"/>
      <c r="J1236" s="150"/>
    </row>
    <row r="1237" spans="1:10">
      <c r="A1237" s="153"/>
      <c r="B1237" s="154"/>
      <c r="C1237" s="200" t="s">
        <v>2207</v>
      </c>
      <c r="D1237" s="156"/>
      <c r="E1237" s="157"/>
      <c r="F1237" s="157">
        <f>[3]PARÂMETROS!B461</f>
        <v>614.01</v>
      </c>
      <c r="G1237" s="157"/>
      <c r="H1237" s="157"/>
      <c r="I1237" s="157"/>
      <c r="J1237" s="158">
        <f>ROUND(PRODUCT(E1237:I1237),2)</f>
        <v>614.01</v>
      </c>
    </row>
    <row r="1238" spans="1:10">
      <c r="A1238" s="531"/>
      <c r="B1238" s="531"/>
      <c r="C1238" s="531"/>
      <c r="D1238" s="531"/>
      <c r="E1238" s="531"/>
      <c r="F1238" s="531"/>
      <c r="G1238" s="531"/>
      <c r="H1238" s="531"/>
      <c r="I1238" s="531"/>
      <c r="J1238" s="531"/>
    </row>
    <row r="1239" spans="1:10" ht="25.5">
      <c r="A1239" s="145" t="str">
        <f>'[3]Planilha Orçamentária'!A327</f>
        <v>1.6.3.2</v>
      </c>
      <c r="B1239" s="199" t="str">
        <f>VLOOKUP(A1239,'[3]Planilha Orçamentária'!A:K,2,0)</f>
        <v>COMP-17562084</v>
      </c>
      <c r="C1239" s="147" t="str">
        <f>VLOOKUP(A1239,'[3]Planilha Orçamentária'!A:K,3,0)</f>
        <v>DEMOLIÇÃO MANUAL DE CONCRETO SIMPLES</v>
      </c>
      <c r="D1239" s="148" t="str">
        <f>VLOOKUP(A1239,'[3]Planilha Orçamentária'!A:K,4,0)</f>
        <v>M3</v>
      </c>
      <c r="E1239" s="147"/>
      <c r="F1239" s="160"/>
      <c r="G1239" s="160"/>
      <c r="H1239" s="160"/>
      <c r="I1239" s="160"/>
      <c r="J1239" s="150">
        <f>ROUND(SUM(J1241),2)</f>
        <v>26.56</v>
      </c>
    </row>
    <row r="1240" spans="1:10">
      <c r="A1240" s="145"/>
      <c r="B1240" s="199"/>
      <c r="C1240" s="159" t="s">
        <v>2208</v>
      </c>
      <c r="D1240" s="148"/>
      <c r="E1240" s="147"/>
      <c r="F1240" s="160"/>
      <c r="G1240" s="160"/>
      <c r="H1240" s="161" t="s">
        <v>2002</v>
      </c>
      <c r="I1240" s="106" t="s">
        <v>2003</v>
      </c>
      <c r="J1240" s="150"/>
    </row>
    <row r="1241" spans="1:10" ht="25.5">
      <c r="A1241" s="145"/>
      <c r="B1241" s="199"/>
      <c r="C1241" s="162" t="s">
        <v>2004</v>
      </c>
      <c r="D1241" s="123"/>
      <c r="E1241" s="123"/>
      <c r="F1241" s="157"/>
      <c r="G1241" s="157"/>
      <c r="H1241" s="157">
        <v>7.0000000000000007E-2</v>
      </c>
      <c r="I1241" s="157">
        <v>379.42</v>
      </c>
      <c r="J1241" s="128">
        <f>ROUND(PRODUCT(E1241:I1241),2)</f>
        <v>26.56</v>
      </c>
    </row>
    <row r="1242" spans="1:10">
      <c r="A1242" s="561"/>
      <c r="B1242" s="562"/>
      <c r="C1242" s="562"/>
      <c r="D1242" s="562"/>
      <c r="E1242" s="562"/>
      <c r="F1242" s="562"/>
      <c r="G1242" s="562"/>
      <c r="H1242" s="562"/>
      <c r="I1242" s="562"/>
      <c r="J1242" s="563"/>
    </row>
    <row r="1243" spans="1:10" ht="51">
      <c r="A1243" s="145" t="str">
        <f>'[3]Planilha Orçamentária'!A328</f>
        <v>1.6.3.3</v>
      </c>
      <c r="B1243" s="199" t="str">
        <f>VLOOKUP(A1243,'[3]Planilha Orçamentária'!A:K,2,0)</f>
        <v>COMP-35145154</v>
      </c>
      <c r="C1243" s="147" t="str">
        <f>VLOOKUP(A1243,'[3]Planilha Orçamentária'!A:K,3,0)</f>
        <v>CARGA E DESCARGA MECANICA DE SOLO UTILIZANDO CAMINHAO BASCULANTE 14,0M3/36T E PA CARREGADEIRA SOBRE PNEUS 128 HP, CAPACIDADE DA CAÇAMBA 1,7 A 2,8 M3, PESO OPERACIONAL 11632 KH</v>
      </c>
      <c r="D1243" s="148" t="str">
        <f>VLOOKUP(A1243,'[3]Planilha Orçamentária'!A:K,4,0)</f>
        <v>M3</v>
      </c>
      <c r="E1243" s="147"/>
      <c r="F1243" s="160"/>
      <c r="G1243" s="160"/>
      <c r="H1243" s="160"/>
      <c r="I1243" s="160"/>
      <c r="J1243" s="150">
        <f>ROUND(SUM(J1245:J1245),2)</f>
        <v>33.200000000000003</v>
      </c>
    </row>
    <row r="1244" spans="1:10">
      <c r="A1244" s="145"/>
      <c r="B1244" s="199"/>
      <c r="C1244" s="159" t="s">
        <v>2208</v>
      </c>
      <c r="D1244" s="166"/>
      <c r="E1244" s="162" t="s">
        <v>2006</v>
      </c>
      <c r="F1244" s="149"/>
      <c r="G1244" s="149"/>
      <c r="H1244" s="149"/>
      <c r="I1244" s="161" t="s">
        <v>2007</v>
      </c>
      <c r="J1244" s="150"/>
    </row>
    <row r="1245" spans="1:10">
      <c r="A1245" s="145"/>
      <c r="B1245" s="199"/>
      <c r="C1245" s="165" t="s">
        <v>2008</v>
      </c>
      <c r="D1245" s="166"/>
      <c r="E1245" s="162">
        <v>1.25</v>
      </c>
      <c r="F1245" s="149"/>
      <c r="G1245" s="149"/>
      <c r="H1245" s="149"/>
      <c r="I1245" s="167">
        <f>J1239</f>
        <v>26.56</v>
      </c>
      <c r="J1245" s="128">
        <f>ROUND(PRODUCT(E1245:I1245),2)</f>
        <v>33.200000000000003</v>
      </c>
    </row>
    <row r="1246" spans="1:10">
      <c r="A1246" s="561"/>
      <c r="B1246" s="562"/>
      <c r="C1246" s="562"/>
      <c r="D1246" s="562"/>
      <c r="E1246" s="562"/>
      <c r="F1246" s="562"/>
      <c r="G1246" s="562"/>
      <c r="H1246" s="562"/>
      <c r="I1246" s="562"/>
      <c r="J1246" s="563"/>
    </row>
    <row r="1247" spans="1:10" ht="38.25">
      <c r="A1247" s="145" t="str">
        <f>'[3]Planilha Orçamentária'!A329</f>
        <v>1.6.3.4</v>
      </c>
      <c r="B1247" s="199">
        <f>VLOOKUP(A1247,'[3]Planilha Orçamentária'!A:K,2,0)</f>
        <v>95876</v>
      </c>
      <c r="C1247" s="147" t="str">
        <f>VLOOKUP(A1247,'[3]Planilha Orçamentária'!A:K,3,0)</f>
        <v>TRANSPORTE COM CAMINHÃO BASCULANTE DE 14 M³, EM VIA URBANA PAVIMENTADA, DMT ATÉ 30 KM (UNIDADE: M3XKM). AF_07/2020</v>
      </c>
      <c r="D1247" s="148" t="str">
        <f>VLOOKUP(A1247,'[3]Planilha Orçamentária'!A:K,4,0)</f>
        <v>M3XKM</v>
      </c>
      <c r="E1247" s="147"/>
      <c r="F1247" s="160"/>
      <c r="G1247" s="160"/>
      <c r="H1247" s="160"/>
      <c r="I1247" s="160"/>
      <c r="J1247" s="150">
        <f>ROUND(SUM(J1249),2)</f>
        <v>693.88</v>
      </c>
    </row>
    <row r="1248" spans="1:10">
      <c r="A1248" s="145"/>
      <c r="B1248" s="199"/>
      <c r="C1248" s="171" t="s">
        <v>2209</v>
      </c>
      <c r="D1248" s="123"/>
      <c r="E1248" s="123" t="s">
        <v>2011</v>
      </c>
      <c r="F1248" s="123"/>
      <c r="G1248" s="123"/>
      <c r="H1248" s="123"/>
      <c r="I1248" s="123" t="s">
        <v>2007</v>
      </c>
      <c r="J1248" s="150"/>
    </row>
    <row r="1249" spans="1:10">
      <c r="A1249" s="145"/>
      <c r="B1249" s="199"/>
      <c r="C1249" s="155" t="s">
        <v>2210</v>
      </c>
      <c r="D1249" s="123"/>
      <c r="E1249" s="162">
        <v>20.9</v>
      </c>
      <c r="F1249" s="162"/>
      <c r="G1249" s="162"/>
      <c r="H1249" s="162"/>
      <c r="I1249" s="172">
        <f>J1243</f>
        <v>33.200000000000003</v>
      </c>
      <c r="J1249" s="128">
        <f>ROUND(PRODUCT(E1249:I1249),2)</f>
        <v>693.88</v>
      </c>
    </row>
    <row r="1250" spans="1:10">
      <c r="A1250" s="561"/>
      <c r="B1250" s="562"/>
      <c r="C1250" s="562"/>
      <c r="D1250" s="562"/>
      <c r="E1250" s="562"/>
      <c r="F1250" s="562"/>
      <c r="G1250" s="562"/>
      <c r="H1250" s="562"/>
      <c r="I1250" s="562"/>
      <c r="J1250" s="563"/>
    </row>
    <row r="1251" spans="1:10">
      <c r="A1251" s="94" t="str">
        <f>'[3]Planilha Orçamentária'!A330</f>
        <v>1.6.4</v>
      </c>
      <c r="B1251" s="95"/>
      <c r="C1251" s="96" t="str">
        <f>VLOOKUP(A1251,'[3]Planilha Orçamentária'!A:K,3,0)</f>
        <v>TERRAPLENAGEM</v>
      </c>
      <c r="D1251" s="97"/>
      <c r="E1251" s="98"/>
      <c r="F1251" s="99"/>
      <c r="G1251" s="99"/>
      <c r="H1251" s="99"/>
      <c r="I1251" s="100"/>
      <c r="J1251" s="173"/>
    </row>
    <row r="1252" spans="1:10" ht="38.25">
      <c r="A1252" s="132" t="str">
        <f>'[3]Planilha Orçamentária'!A331</f>
        <v>1.6.4.1</v>
      </c>
      <c r="B1252" s="103" t="str">
        <f>VLOOKUP(A1252,'[3]Planilha Orçamentária'!A:K,2,0)</f>
        <v>CP-74205/001-17324935</v>
      </c>
      <c r="C1252" s="104" t="str">
        <f>VLOOKUP(A1252,'[3]Planilha Orçamentária'!A:K,3,0)</f>
        <v>ESCAVAÇÃO MECÂNICA DE MATERIAL 1A. CATEGORIA, PROVENIENTE DE CORTE DE SUBLEITO (C/TRATOR ESTEIRAS  160HP)</v>
      </c>
      <c r="D1252" s="105" t="str">
        <f>VLOOKUP(A1252,'[3]Planilha Orçamentária'!A:K,4,0)</f>
        <v>M3</v>
      </c>
      <c r="E1252" s="104"/>
      <c r="F1252" s="111"/>
      <c r="G1252" s="111"/>
      <c r="H1252" s="111"/>
      <c r="I1252" s="111"/>
      <c r="J1252" s="107">
        <f>ROUND(SUM(J1254:J1254),2)</f>
        <v>995.02</v>
      </c>
    </row>
    <row r="1253" spans="1:10">
      <c r="A1253" s="132"/>
      <c r="B1253" s="103"/>
      <c r="C1253" s="165" t="s">
        <v>2211</v>
      </c>
      <c r="D1253" s="105"/>
      <c r="E1253" s="104"/>
      <c r="F1253" s="111"/>
      <c r="G1253" s="111"/>
      <c r="H1253" s="111"/>
      <c r="I1253" s="106" t="s">
        <v>2007</v>
      </c>
      <c r="J1253" s="107"/>
    </row>
    <row r="1254" spans="1:10">
      <c r="A1254" s="174"/>
      <c r="B1254" s="175"/>
      <c r="C1254" s="155" t="s">
        <v>2097</v>
      </c>
      <c r="D1254" s="156"/>
      <c r="E1254" s="157"/>
      <c r="F1254" s="157"/>
      <c r="G1254" s="157"/>
      <c r="H1254" s="157"/>
      <c r="I1254" s="157">
        <f>[3]PARÂMETROS!G463</f>
        <v>995.02</v>
      </c>
      <c r="J1254" s="176">
        <f>ROUND(PRODUCT(E1254:I1254),2)</f>
        <v>995.02</v>
      </c>
    </row>
    <row r="1255" spans="1:10">
      <c r="A1255" s="549"/>
      <c r="B1255" s="549"/>
      <c r="C1255" s="549"/>
      <c r="D1255" s="549"/>
      <c r="E1255" s="549"/>
      <c r="F1255" s="549"/>
      <c r="G1255" s="549"/>
      <c r="H1255" s="549"/>
      <c r="I1255" s="549"/>
      <c r="J1255" s="549"/>
    </row>
    <row r="1256" spans="1:10" ht="51">
      <c r="A1256" s="177" t="str">
        <f>'[3]Planilha Orçamentária'!A332</f>
        <v>1.6.4.2</v>
      </c>
      <c r="B1256" s="178" t="str">
        <f>VLOOKUP(A1256,'[3]Planilha Orçamentária'!A:K,2,0)</f>
        <v>COMP-35145154</v>
      </c>
      <c r="C1256" s="179" t="str">
        <f>VLOOKUP(A1256,'[3]Planilha Orçamentária'!A:K,3,0)</f>
        <v>CARGA E DESCARGA MECANICA DE SOLO UTILIZANDO CAMINHAO BASCULANTE 14,0M3/36T E PA CARREGADEIRA SOBRE PNEUS 128 HP, CAPACIDADE DA CAÇAMBA 1,7 A 2,8 M3, PESO OPERACIONAL 11632 KH</v>
      </c>
      <c r="D1256" s="180" t="str">
        <f>VLOOKUP(A1256,'[3]Planilha Orçamentária'!A:K,4,0)</f>
        <v>M3</v>
      </c>
      <c r="E1256" s="179"/>
      <c r="F1256" s="181"/>
      <c r="G1256" s="181"/>
      <c r="H1256" s="181"/>
      <c r="I1256" s="181"/>
      <c r="J1256" s="107">
        <f>ROUND(SUM(J1258:J1258),2)</f>
        <v>1238.78</v>
      </c>
    </row>
    <row r="1257" spans="1:10">
      <c r="A1257" s="177"/>
      <c r="B1257" s="178"/>
      <c r="C1257" s="155" t="s">
        <v>2015</v>
      </c>
      <c r="D1257" s="180"/>
      <c r="E1257" s="184" t="s">
        <v>2006</v>
      </c>
      <c r="F1257" s="332"/>
      <c r="G1257" s="332"/>
      <c r="H1257" s="332"/>
      <c r="I1257" s="332" t="s">
        <v>2007</v>
      </c>
      <c r="J1257" s="182"/>
    </row>
    <row r="1258" spans="1:10">
      <c r="A1258" s="177"/>
      <c r="B1258" s="178"/>
      <c r="C1258" s="155" t="s">
        <v>2016</v>
      </c>
      <c r="D1258" s="156"/>
      <c r="E1258" s="157">
        <v>1.25</v>
      </c>
      <c r="F1258" s="116"/>
      <c r="G1258" s="116"/>
      <c r="H1258" s="116"/>
      <c r="I1258" s="116">
        <f>[3]PARÂMETROS!G464</f>
        <v>991.02</v>
      </c>
      <c r="J1258" s="176">
        <f>ROUND(PRODUCT(E1258:I1258),2)</f>
        <v>1238.78</v>
      </c>
    </row>
    <row r="1259" spans="1:10">
      <c r="A1259" s="549"/>
      <c r="B1259" s="549"/>
      <c r="C1259" s="549"/>
      <c r="D1259" s="549"/>
      <c r="E1259" s="549"/>
      <c r="F1259" s="549"/>
      <c r="G1259" s="549"/>
      <c r="H1259" s="549"/>
      <c r="I1259" s="549"/>
      <c r="J1259" s="549"/>
    </row>
    <row r="1260" spans="1:10" ht="38.25">
      <c r="A1260" s="186" t="str">
        <f>'[3]Planilha Orçamentária'!A333</f>
        <v>1.6.4.3</v>
      </c>
      <c r="B1260" s="187">
        <f>VLOOKUP(A1260,'[3]Planilha Orçamentária'!A:K,2,0)</f>
        <v>95876</v>
      </c>
      <c r="C1260" s="188" t="str">
        <f>VLOOKUP(A1260,'[3]Planilha Orçamentária'!A:K,3,0)</f>
        <v>TRANSPORTE COM CAMINHÃO BASCULANTE DE 14 M³, EM VIA URBANA PAVIMENTADA, DMT ATÉ 30 KM (UNIDADE: M3XKM). AF_07/2020</v>
      </c>
      <c r="D1260" s="189" t="str">
        <f>VLOOKUP(A1260,'[3]Planilha Orçamentária'!A:K,4,0)</f>
        <v>M3XKM</v>
      </c>
      <c r="E1260" s="188"/>
      <c r="F1260" s="160"/>
      <c r="G1260" s="160"/>
      <c r="H1260" s="160"/>
      <c r="I1260" s="160"/>
      <c r="J1260" s="122">
        <f>ROUND(SUM(J1262:J1262),2)</f>
        <v>25890.5</v>
      </c>
    </row>
    <row r="1261" spans="1:10">
      <c r="A1261" s="186"/>
      <c r="B1261" s="187"/>
      <c r="C1261" s="171" t="s">
        <v>2209</v>
      </c>
      <c r="D1261" s="189"/>
      <c r="E1261" s="208" t="s">
        <v>2011</v>
      </c>
      <c r="F1261" s="160"/>
      <c r="G1261" s="160"/>
      <c r="H1261" s="161"/>
      <c r="I1261" s="161" t="s">
        <v>2007</v>
      </c>
      <c r="J1261" s="150"/>
    </row>
    <row r="1262" spans="1:10">
      <c r="A1262" s="186"/>
      <c r="B1262" s="187"/>
      <c r="C1262" s="155" t="s">
        <v>2210</v>
      </c>
      <c r="D1262" s="156"/>
      <c r="E1262" s="162">
        <v>20.9</v>
      </c>
      <c r="F1262" s="207"/>
      <c r="G1262" s="207"/>
      <c r="H1262" s="207"/>
      <c r="I1262" s="195">
        <f>J1256</f>
        <v>1238.78</v>
      </c>
      <c r="J1262" s="196">
        <f>ROUND(PRODUCT(E1262:I1262),2)</f>
        <v>25890.5</v>
      </c>
    </row>
    <row r="1263" spans="1:10">
      <c r="A1263" s="532"/>
      <c r="B1263" s="533"/>
      <c r="C1263" s="533"/>
      <c r="D1263" s="533"/>
      <c r="E1263" s="533"/>
      <c r="F1263" s="533"/>
      <c r="G1263" s="533"/>
      <c r="H1263" s="533"/>
      <c r="I1263" s="533"/>
      <c r="J1263" s="534"/>
    </row>
    <row r="1264" spans="1:10" ht="38.25" customHeight="1">
      <c r="A1264" s="132" t="str">
        <f>'[3]Planilha Orçamentária'!A334</f>
        <v>1.6.4.4</v>
      </c>
      <c r="B1264" s="103">
        <f>VLOOKUP(A1264,'[3]Planilha Orçamentária'!A:K,2,0)</f>
        <v>96385</v>
      </c>
      <c r="C1264" s="104" t="str">
        <f>VLOOKUP(A1264,'[3]Planilha Orçamentária'!A:K,3,0)</f>
        <v>EXECUÇÃO E COMPACTAÇÃO DE ATERRO COM SOLO PREDOMINANTEMENTE ARGILOSO - EXCLUSIVE SOLO, ESCAVAÇÃO, CARGA E TRANSPORTE. AF_11/2019</v>
      </c>
      <c r="D1264" s="105" t="str">
        <f>VLOOKUP(A1264,'[3]Planilha Orçamentária'!A:K,4,0)</f>
        <v>M3</v>
      </c>
      <c r="E1264" s="104"/>
      <c r="F1264" s="111"/>
      <c r="G1264" s="111"/>
      <c r="H1264" s="111"/>
      <c r="I1264" s="111"/>
      <c r="J1264" s="107">
        <f>ROUND(SUM(J1266:J1266),2)</f>
        <v>4</v>
      </c>
    </row>
    <row r="1265" spans="1:10">
      <c r="A1265" s="132"/>
      <c r="B1265" s="103"/>
      <c r="C1265" s="165" t="s">
        <v>2211</v>
      </c>
      <c r="D1265" s="105"/>
      <c r="E1265" s="104"/>
      <c r="F1265" s="111"/>
      <c r="G1265" s="111"/>
      <c r="H1265" s="111"/>
      <c r="I1265" s="106" t="s">
        <v>2007</v>
      </c>
      <c r="J1265" s="107"/>
    </row>
    <row r="1266" spans="1:10">
      <c r="A1266" s="174"/>
      <c r="B1266" s="175"/>
      <c r="C1266" s="155" t="s">
        <v>2097</v>
      </c>
      <c r="D1266" s="156"/>
      <c r="E1266" s="157"/>
      <c r="F1266" s="157"/>
      <c r="G1266" s="157"/>
      <c r="H1266" s="157"/>
      <c r="I1266" s="157">
        <f>[3]PARÂMETROS!G466</f>
        <v>4</v>
      </c>
      <c r="J1266" s="176">
        <f>ROUND(PRODUCT(E1266:I1266),2)</f>
        <v>4</v>
      </c>
    </row>
    <row r="1267" spans="1:10">
      <c r="A1267" s="549"/>
      <c r="B1267" s="549"/>
      <c r="C1267" s="549"/>
      <c r="D1267" s="549"/>
      <c r="E1267" s="549"/>
      <c r="F1267" s="549"/>
      <c r="G1267" s="549"/>
      <c r="H1267" s="549"/>
      <c r="I1267" s="549"/>
      <c r="J1267" s="549"/>
    </row>
    <row r="1268" spans="1:10">
      <c r="A1268" s="94" t="str">
        <f>'[3]Planilha Orçamentária'!A335</f>
        <v>1.6.5</v>
      </c>
      <c r="B1268" s="95"/>
      <c r="C1268" s="96" t="str">
        <f>VLOOKUP(A1268,'[3]Planilha Orçamentária'!A:K,3,0)</f>
        <v>PAVIMENTAÇÃO</v>
      </c>
      <c r="D1268" s="97"/>
      <c r="E1268" s="98"/>
      <c r="F1268" s="99"/>
      <c r="G1268" s="99"/>
      <c r="H1268" s="99"/>
      <c r="I1268" s="100"/>
      <c r="J1268" s="131"/>
    </row>
    <row r="1269" spans="1:10" ht="25.5">
      <c r="A1269" s="151" t="str">
        <f>'[3]Planilha Orçamentária'!A336</f>
        <v>1.6.5.1</v>
      </c>
      <c r="B1269" s="152">
        <f>VLOOKUP(A1269,'[3]Planilha Orçamentária'!A:K,2,0)</f>
        <v>100576</v>
      </c>
      <c r="C1269" s="168" t="str">
        <f>VLOOKUP(A1269,'[3]Planilha Orçamentária'!A:K,3,0)</f>
        <v>REGULARIZAÇÃO E COMPACTAÇÃO DE SUBLEITO DE SOLO  PREDOMINANTEMENTE ARGILOSO. AF_11/2019</v>
      </c>
      <c r="D1269" s="166" t="str">
        <f>VLOOKUP(A1269,'[3]Planilha Orçamentária'!A:K,4,0)</f>
        <v>M2</v>
      </c>
      <c r="E1269" s="168"/>
      <c r="F1269" s="149"/>
      <c r="G1269" s="149"/>
      <c r="H1269" s="149"/>
      <c r="I1269" s="149"/>
      <c r="J1269" s="150">
        <f>ROUND(SUM(J1271:J1272),2)</f>
        <v>3261.9</v>
      </c>
    </row>
    <row r="1270" spans="1:10">
      <c r="A1270" s="145"/>
      <c r="B1270" s="199"/>
      <c r="C1270" s="159" t="s">
        <v>2212</v>
      </c>
      <c r="D1270" s="148"/>
      <c r="E1270" s="147"/>
      <c r="F1270" s="161"/>
      <c r="G1270" s="161"/>
      <c r="H1270" s="160"/>
      <c r="I1270" s="167" t="s">
        <v>2003</v>
      </c>
      <c r="J1270" s="150"/>
    </row>
    <row r="1271" spans="1:10">
      <c r="A1271" s="145"/>
      <c r="B1271" s="199"/>
      <c r="C1271" s="200" t="s">
        <v>2213</v>
      </c>
      <c r="D1271" s="148"/>
      <c r="E1271" s="147"/>
      <c r="F1271" s="161"/>
      <c r="G1271" s="161"/>
      <c r="H1271" s="160"/>
      <c r="I1271" s="243">
        <v>2457.0500000000002</v>
      </c>
      <c r="J1271" s="176">
        <f t="shared" ref="J1271:J1272" si="63">ROUND(PRODUCT(E1271:I1271),2)</f>
        <v>2457.0500000000002</v>
      </c>
    </row>
    <row r="1272" spans="1:10" ht="15">
      <c r="A1272" s="251"/>
      <c r="B1272" s="398"/>
      <c r="C1272" s="399" t="s">
        <v>2214</v>
      </c>
      <c r="D1272" s="400"/>
      <c r="E1272" s="304"/>
      <c r="F1272" s="401"/>
      <c r="G1272" s="304"/>
      <c r="H1272" s="304"/>
      <c r="I1272" s="402">
        <v>804.85</v>
      </c>
      <c r="J1272" s="362">
        <f t="shared" si="63"/>
        <v>804.85</v>
      </c>
    </row>
    <row r="1273" spans="1:10">
      <c r="A1273" s="565"/>
      <c r="B1273" s="566"/>
      <c r="C1273" s="566"/>
      <c r="D1273" s="566"/>
      <c r="E1273" s="566"/>
      <c r="F1273" s="566"/>
      <c r="G1273" s="566"/>
      <c r="H1273" s="566"/>
      <c r="I1273" s="566"/>
      <c r="J1273" s="567"/>
    </row>
    <row r="1274" spans="1:10" ht="38.25">
      <c r="A1274" s="145" t="str">
        <f>'[3]Planilha Orçamentária'!A337</f>
        <v>1.6.5.2</v>
      </c>
      <c r="B1274" s="146" t="str">
        <f>VLOOKUP(A1274,'[3]Planilha Orçamentária'!A:K,2,0)</f>
        <v>CP-96396-26507981</v>
      </c>
      <c r="C1274" s="147" t="str">
        <f>VLOOKUP(A1274,'[3]Planilha Orçamentária'!A:K,3,0)</f>
        <v>EXECUÇÃO E COMPACTAÇÃO DE BASE E OU SUB BASE PARA PAVIMENTAÇÃO DE BRITA GRADUADA SIMPLES - EXCLUSIVE MATERIAL, CARGA E TRANSPORTE</v>
      </c>
      <c r="D1274" s="148" t="str">
        <f>VLOOKUP(A1274,'[3]Planilha Orçamentária'!A:K,4,0)</f>
        <v>M3</v>
      </c>
      <c r="E1274" s="216"/>
      <c r="F1274" s="217"/>
      <c r="G1274" s="217"/>
      <c r="H1274" s="217"/>
      <c r="I1274" s="217"/>
      <c r="J1274" s="218">
        <f>ROUND(SUM(J1276:J1278),2)</f>
        <v>610.41</v>
      </c>
    </row>
    <row r="1275" spans="1:10">
      <c r="A1275" s="145"/>
      <c r="B1275" s="146"/>
      <c r="C1275" s="159" t="s">
        <v>2212</v>
      </c>
      <c r="D1275" s="148"/>
      <c r="E1275" s="220"/>
      <c r="F1275" s="220"/>
      <c r="G1275" s="220"/>
      <c r="H1275" s="169" t="s">
        <v>2002</v>
      </c>
      <c r="I1275" s="167" t="s">
        <v>2003</v>
      </c>
      <c r="J1275" s="218"/>
    </row>
    <row r="1276" spans="1:10">
      <c r="A1276" s="145"/>
      <c r="B1276" s="146"/>
      <c r="C1276" s="200" t="s">
        <v>2213</v>
      </c>
      <c r="D1276" s="148"/>
      <c r="E1276" s="220"/>
      <c r="F1276" s="220"/>
      <c r="G1276" s="220"/>
      <c r="H1276" s="169">
        <v>0.2</v>
      </c>
      <c r="I1276" s="243">
        <f>I1271</f>
        <v>2457.0500000000002</v>
      </c>
      <c r="J1276" s="176">
        <f t="shared" ref="J1276:J1277" si="64">ROUND(PRODUCT(E1276:I1276),2)</f>
        <v>491.41</v>
      </c>
    </row>
    <row r="1277" spans="1:10">
      <c r="A1277" s="145"/>
      <c r="B1277" s="146"/>
      <c r="C1277" s="200" t="s">
        <v>2214</v>
      </c>
      <c r="D1277" s="148"/>
      <c r="E1277" s="220"/>
      <c r="F1277" s="220"/>
      <c r="G1277" s="220"/>
      <c r="H1277" s="169">
        <v>0.2</v>
      </c>
      <c r="I1277" s="243">
        <f>I1272</f>
        <v>804.85</v>
      </c>
      <c r="J1277" s="176">
        <f t="shared" si="64"/>
        <v>160.97</v>
      </c>
    </row>
    <row r="1278" spans="1:10" ht="14.25">
      <c r="A1278" s="174"/>
      <c r="B1278" s="363"/>
      <c r="C1278" s="204" t="s">
        <v>2028</v>
      </c>
      <c r="D1278" s="156"/>
      <c r="E1278" s="106">
        <v>-1</v>
      </c>
      <c r="F1278" s="161">
        <v>209.84</v>
      </c>
      <c r="G1278" s="208">
        <v>1</v>
      </c>
      <c r="H1278" s="161">
        <v>0.2</v>
      </c>
      <c r="I1278" s="157"/>
      <c r="J1278" s="176">
        <f>ROUND(PRODUCT(E1278:I1278),2)</f>
        <v>-41.97</v>
      </c>
    </row>
    <row r="1279" spans="1:10">
      <c r="A1279" s="564"/>
      <c r="B1279" s="564"/>
      <c r="C1279" s="564"/>
      <c r="D1279" s="564"/>
      <c r="E1279" s="564"/>
      <c r="F1279" s="564"/>
      <c r="G1279" s="564"/>
      <c r="H1279" s="564"/>
      <c r="I1279" s="564"/>
      <c r="J1279" s="564"/>
    </row>
    <row r="1280" spans="1:10" ht="51">
      <c r="A1280" s="132" t="str">
        <f>'[3]Planilha Orçamentária'!A338</f>
        <v>1.6.5.3</v>
      </c>
      <c r="B1280" s="108" t="str">
        <f>VLOOKUP(A1280,'[3]Planilha Orçamentária'!A:K,2,0)</f>
        <v>COMP-35145154</v>
      </c>
      <c r="C1280" s="104" t="str">
        <f>VLOOKUP(A1280,'[3]Planilha Orçamentária'!A:K,3,0)</f>
        <v>CARGA E DESCARGA MECANICA DE SOLO UTILIZANDO CAMINHAO BASCULANTE 14,0M3/36T E PA CARREGADEIRA SOBRE PNEUS 128 HP, CAPACIDADE DA CAÇAMBA 1,7 A 2,8 M3, PESO OPERACIONAL 11632 KH</v>
      </c>
      <c r="D1280" s="105" t="str">
        <f>VLOOKUP(A1280,'[3]Planilha Orçamentária'!A:K,4,0)</f>
        <v>M3</v>
      </c>
      <c r="E1280" s="104"/>
      <c r="F1280" s="111"/>
      <c r="G1280" s="111"/>
      <c r="H1280" s="111"/>
      <c r="I1280" s="111"/>
      <c r="J1280" s="122">
        <f>ROUND(SUM(J1282:J1282),2)</f>
        <v>763.01</v>
      </c>
    </row>
    <row r="1281" spans="1:10">
      <c r="A1281" s="132"/>
      <c r="B1281" s="108"/>
      <c r="C1281" s="147"/>
      <c r="D1281" s="148"/>
      <c r="E1281" s="220" t="s">
        <v>2006</v>
      </c>
      <c r="F1281" s="106"/>
      <c r="G1281" s="111"/>
      <c r="H1281" s="111"/>
      <c r="I1281" s="143" t="s">
        <v>2007</v>
      </c>
      <c r="J1281" s="122"/>
    </row>
    <row r="1282" spans="1:10" ht="14.25">
      <c r="A1282" s="132"/>
      <c r="B1282" s="108"/>
      <c r="C1282" s="221" t="s">
        <v>2023</v>
      </c>
      <c r="D1282" s="156"/>
      <c r="E1282" s="106">
        <v>1.25</v>
      </c>
      <c r="F1282" s="238"/>
      <c r="G1282" s="205"/>
      <c r="H1282" s="205"/>
      <c r="I1282" s="239">
        <f>J1274</f>
        <v>610.41</v>
      </c>
      <c r="J1282" s="342">
        <f t="shared" ref="J1282" si="65">ROUND(PRODUCT(E1282:I1282),2)</f>
        <v>763.01</v>
      </c>
    </row>
    <row r="1283" spans="1:10">
      <c r="A1283" s="549"/>
      <c r="B1283" s="549"/>
      <c r="C1283" s="549"/>
      <c r="D1283" s="549"/>
      <c r="E1283" s="549"/>
      <c r="F1283" s="549"/>
      <c r="G1283" s="549"/>
      <c r="H1283" s="549"/>
      <c r="I1283" s="549"/>
      <c r="J1283" s="549"/>
    </row>
    <row r="1284" spans="1:10" ht="25.5">
      <c r="A1284" s="132" t="str">
        <f>'[3]Planilha Orçamentária'!A339</f>
        <v>1.6.5.4</v>
      </c>
      <c r="B1284" s="108" t="str">
        <f>VLOOKUP(A1284,'[3]Planilha Orçamentária'!A:K,2,0)</f>
        <v>COMP-83526730</v>
      </c>
      <c r="C1284" s="104" t="str">
        <f>VLOOKUP(A1284,'[3]Planilha Orçamentária'!A:K,3,0)</f>
        <v>TRANSPORTE COMERCIAL DE BRITA</v>
      </c>
      <c r="D1284" s="105" t="str">
        <f>VLOOKUP(A1284,'[3]Planilha Orçamentária'!A:K,4,0)</f>
        <v>M3XKM</v>
      </c>
      <c r="E1284" s="104"/>
      <c r="F1284" s="111"/>
      <c r="G1284" s="111"/>
      <c r="H1284" s="111"/>
      <c r="I1284" s="111"/>
      <c r="J1284" s="122">
        <f>ROUND(SUM(J1286:J1286),2)</f>
        <v>10987.34</v>
      </c>
    </row>
    <row r="1285" spans="1:10">
      <c r="A1285" s="132"/>
      <c r="B1285" s="108"/>
      <c r="C1285" s="159" t="s">
        <v>2174</v>
      </c>
      <c r="D1285" s="105"/>
      <c r="E1285" s="165" t="s">
        <v>2011</v>
      </c>
      <c r="F1285" s="106"/>
      <c r="G1285" s="106"/>
      <c r="H1285" s="106"/>
      <c r="I1285" s="106" t="s">
        <v>2007</v>
      </c>
      <c r="J1285" s="122"/>
    </row>
    <row r="1286" spans="1:10" ht="14.25">
      <c r="A1286" s="132"/>
      <c r="B1286" s="108"/>
      <c r="C1286" s="204" t="s">
        <v>2175</v>
      </c>
      <c r="D1286" s="174"/>
      <c r="E1286" s="239">
        <v>14.4</v>
      </c>
      <c r="F1286" s="223"/>
      <c r="G1286" s="174"/>
      <c r="H1286" s="174"/>
      <c r="I1286" s="224">
        <f>J1280</f>
        <v>763.01</v>
      </c>
      <c r="J1286" s="342">
        <f t="shared" ref="J1286" si="66">ROUND(PRODUCT(E1286:I1286),2)</f>
        <v>10987.34</v>
      </c>
    </row>
    <row r="1287" spans="1:10">
      <c r="A1287" s="549"/>
      <c r="B1287" s="549"/>
      <c r="C1287" s="549"/>
      <c r="D1287" s="549"/>
      <c r="E1287" s="549"/>
      <c r="F1287" s="549"/>
      <c r="G1287" s="549"/>
      <c r="H1287" s="549"/>
      <c r="I1287" s="549"/>
      <c r="J1287" s="549"/>
    </row>
    <row r="1288" spans="1:10" ht="51">
      <c r="A1288" s="177" t="str">
        <f>'[3]Planilha Orçamentária'!A340</f>
        <v>1.6.5.5</v>
      </c>
      <c r="B1288" s="178" t="str">
        <f>VLOOKUP(A1288,'[3]Planilha Orçamentária'!A:K,2,0)</f>
        <v>CP-92399-27762594</v>
      </c>
      <c r="C1288" s="179" t="str">
        <f>VLOOKUP(A1288,'[3]Planilha Orçamentária'!A:K,3,0)</f>
        <v>EXECUÇÃO DE VIA EM PISO INTERTRAVADO, COM BLOCO RETANGULAR COR NATURAL/COLORIDO DE 20 X 10 CM, ESPESSURA 8 CM - (SEM O MATERIAL BLOQUETE/PISO INTERTRAVADO)</v>
      </c>
      <c r="D1288" s="180" t="str">
        <f>VLOOKUP(A1288,'[3]Planilha Orçamentária'!A:K,4,0)</f>
        <v>M2</v>
      </c>
      <c r="E1288" s="106"/>
      <c r="F1288" s="106"/>
      <c r="G1288" s="160"/>
      <c r="H1288" s="106"/>
      <c r="I1288" s="167"/>
      <c r="J1288" s="122">
        <f>ROUND(SUM(J1289:J1293),2)</f>
        <v>3007.59</v>
      </c>
    </row>
    <row r="1289" spans="1:10">
      <c r="A1289" s="174"/>
      <c r="B1289" s="403"/>
      <c r="C1289" s="159" t="s">
        <v>2212</v>
      </c>
      <c r="D1289" s="156"/>
      <c r="E1289" s="157"/>
      <c r="F1289" s="106"/>
      <c r="G1289" s="157"/>
      <c r="H1289" s="157"/>
      <c r="I1289" s="157" t="s">
        <v>2003</v>
      </c>
      <c r="J1289" s="158"/>
    </row>
    <row r="1290" spans="1:10" ht="28.5">
      <c r="A1290" s="174"/>
      <c r="B1290" s="403"/>
      <c r="C1290" s="204" t="s">
        <v>2215</v>
      </c>
      <c r="D1290" s="156"/>
      <c r="E1290" s="157"/>
      <c r="F1290" s="106"/>
      <c r="G1290" s="157"/>
      <c r="H1290" s="157"/>
      <c r="I1290" s="157">
        <f>[3]PARÂMETROS!F483</f>
        <v>2457.0500000000002</v>
      </c>
      <c r="J1290" s="158">
        <f>ROUND(PRODUCT(E1290:I1290),2)</f>
        <v>2457.0500000000002</v>
      </c>
    </row>
    <row r="1291" spans="1:10" ht="14.25">
      <c r="A1291" s="174"/>
      <c r="B1291" s="403"/>
      <c r="C1291" s="204"/>
      <c r="D1291" s="156"/>
      <c r="E1291" s="157"/>
      <c r="F1291" s="106" t="s">
        <v>1989</v>
      </c>
      <c r="G1291" s="157" t="s">
        <v>1990</v>
      </c>
      <c r="H1291" s="157"/>
      <c r="I1291" s="157"/>
      <c r="J1291" s="158"/>
    </row>
    <row r="1292" spans="1:10" ht="14.25">
      <c r="A1292" s="174"/>
      <c r="B1292" s="403"/>
      <c r="C1292" s="204" t="s">
        <v>2028</v>
      </c>
      <c r="D1292" s="156"/>
      <c r="E1292" s="106">
        <v>-1</v>
      </c>
      <c r="F1292" s="161">
        <v>254.31</v>
      </c>
      <c r="G1292" s="157">
        <v>1</v>
      </c>
      <c r="H1292" s="157"/>
      <c r="I1292" s="157"/>
      <c r="J1292" s="158">
        <f>ROUND(PRODUCT(E1292:I1292),2)</f>
        <v>-254.31</v>
      </c>
    </row>
    <row r="1293" spans="1:10" ht="28.5">
      <c r="A1293" s="174"/>
      <c r="B1293" s="403"/>
      <c r="C1293" s="204" t="s">
        <v>2216</v>
      </c>
      <c r="D1293" s="156"/>
      <c r="E1293" s="157"/>
      <c r="F1293" s="106"/>
      <c r="G1293" s="157"/>
      <c r="H1293" s="157"/>
      <c r="I1293" s="157">
        <f>[3]PARÂMETROS!F484</f>
        <v>804.85</v>
      </c>
      <c r="J1293" s="158">
        <f>ROUND(PRODUCT(E1293:I1293),2)</f>
        <v>804.85</v>
      </c>
    </row>
    <row r="1294" spans="1:10">
      <c r="A1294" s="564"/>
      <c r="B1294" s="564"/>
      <c r="C1294" s="564"/>
      <c r="D1294" s="564"/>
      <c r="E1294" s="564"/>
      <c r="F1294" s="564"/>
      <c r="G1294" s="564"/>
      <c r="H1294" s="564"/>
      <c r="I1294" s="564"/>
      <c r="J1294" s="564"/>
    </row>
    <row r="1295" spans="1:10" ht="63.75">
      <c r="A1295" s="177" t="str">
        <f>'[3]Planilha Orçamentária'!A341</f>
        <v>1.6.5.6</v>
      </c>
      <c r="B1295" s="178">
        <f>VLOOKUP(A1295,'[3]Planilha Orçamentária'!A:K,2,0)</f>
        <v>94273</v>
      </c>
      <c r="C1295" s="179" t="str">
        <f>VLOOKUP(A1295,'[3]Planilha Orçamentária'!A:K,3,0)</f>
        <v>ASSENTAMENTO DE GUIA (MEIO-FIO) EM TRECHO RETO, CONFECCIONADA EM CONCRETO PRÉ-FABRICADO, DIMENSÕES 100X15X13X30 CM (COMPRIMENTO X BASE INFERIOR X BASE SUPERIOR X ALTURA), PARA VIAS URBANAS (USO VIÁRIO). AF_06/2016</v>
      </c>
      <c r="D1295" s="180" t="str">
        <f>VLOOKUP(A1295,'[3]Planilha Orçamentária'!A:K,4,0)</f>
        <v>M</v>
      </c>
      <c r="E1295" s="179"/>
      <c r="F1295" s="181"/>
      <c r="G1295" s="181"/>
      <c r="H1295" s="181"/>
      <c r="I1295" s="181"/>
      <c r="J1295" s="122">
        <f>ROUND(SUM(J1296:J1298),2)</f>
        <v>1262.08</v>
      </c>
    </row>
    <row r="1296" spans="1:10">
      <c r="A1296" s="174"/>
      <c r="B1296" s="363"/>
      <c r="C1296" s="159" t="s">
        <v>2212</v>
      </c>
      <c r="D1296" s="156"/>
      <c r="E1296" s="157"/>
      <c r="F1296" s="106" t="s">
        <v>1989</v>
      </c>
      <c r="G1296" s="157"/>
      <c r="H1296" s="157"/>
      <c r="I1296" s="157"/>
      <c r="J1296" s="158"/>
    </row>
    <row r="1297" spans="1:11" ht="25.5">
      <c r="A1297" s="174"/>
      <c r="B1297" s="363"/>
      <c r="C1297" s="247" t="s">
        <v>2217</v>
      </c>
      <c r="D1297" s="156"/>
      <c r="E1297" s="157"/>
      <c r="F1297" s="106">
        <f>[3]PARÂMETROS!B476</f>
        <v>1220.7</v>
      </c>
      <c r="G1297" s="157"/>
      <c r="H1297" s="157"/>
      <c r="I1297" s="157"/>
      <c r="J1297" s="158">
        <f t="shared" ref="J1297:J1298" si="67">ROUND(PRODUCT(E1297:I1297),2)</f>
        <v>1220.7</v>
      </c>
    </row>
    <row r="1298" spans="1:11">
      <c r="A1298" s="174"/>
      <c r="B1298" s="363"/>
      <c r="C1298" s="245" t="s">
        <v>2179</v>
      </c>
      <c r="D1298" s="156"/>
      <c r="E1298" s="157"/>
      <c r="F1298" s="106">
        <f>[3]PARÂMETROS!B477</f>
        <v>41.38</v>
      </c>
      <c r="G1298" s="157"/>
      <c r="H1298" s="157"/>
      <c r="I1298" s="157"/>
      <c r="J1298" s="158">
        <f t="shared" si="67"/>
        <v>41.38</v>
      </c>
    </row>
    <row r="1299" spans="1:11">
      <c r="A1299" s="532"/>
      <c r="B1299" s="533"/>
      <c r="C1299" s="533"/>
      <c r="D1299" s="533"/>
      <c r="E1299" s="533"/>
      <c r="F1299" s="533"/>
      <c r="G1299" s="533"/>
      <c r="H1299" s="533"/>
      <c r="I1299" s="533"/>
      <c r="J1299" s="534"/>
    </row>
    <row r="1300" spans="1:11">
      <c r="A1300" s="94" t="str">
        <f>'[3]Planilha Orçamentária'!A342</f>
        <v>1.6.6</v>
      </c>
      <c r="B1300" s="95"/>
      <c r="C1300" s="96" t="str">
        <f>VLOOKUP(A1300,'[3]Planilha Orçamentária'!A:K,3,0)</f>
        <v>DRENAGEM</v>
      </c>
      <c r="D1300" s="96"/>
      <c r="E1300" s="129"/>
      <c r="F1300" s="130"/>
      <c r="G1300" s="130"/>
      <c r="H1300" s="130"/>
      <c r="I1300" s="130"/>
      <c r="J1300" s="131"/>
    </row>
    <row r="1301" spans="1:11" ht="25.5">
      <c r="A1301" s="132" t="str">
        <f>'[3]Planilha Orçamentária'!A343</f>
        <v>1.6.6.1</v>
      </c>
      <c r="B1301" s="103">
        <f>VLOOKUP(A1301,'[3]Planilha Orçamentária'!A:K,2,0)</f>
        <v>93358</v>
      </c>
      <c r="C1301" s="276" t="str">
        <f>VLOOKUP(A1301,'[3]Planilha Orçamentária'!A:K,3,0)</f>
        <v>ESCAVAÇÃO MANUAL DE VALA COM PROFUNDIDADE MENOR OU IGUAL A 1,30 M. AF_02/2021</v>
      </c>
      <c r="D1301" s="105" t="str">
        <f>VLOOKUP(A1301,'[3]Planilha Orçamentária'!A:K,4,0)</f>
        <v>M3</v>
      </c>
      <c r="E1301" s="104"/>
      <c r="F1301" s="111"/>
      <c r="G1301" s="111"/>
      <c r="H1301" s="111"/>
      <c r="I1301" s="111"/>
      <c r="J1301" s="107">
        <f>ROUND(SUM(J1302:J1304),2)</f>
        <v>12.97</v>
      </c>
    </row>
    <row r="1302" spans="1:11">
      <c r="A1302" s="123"/>
      <c r="B1302" s="123"/>
      <c r="C1302" s="159" t="s">
        <v>2218</v>
      </c>
      <c r="D1302" s="123"/>
      <c r="E1302" s="123"/>
      <c r="F1302" s="123" t="s">
        <v>2219</v>
      </c>
      <c r="G1302" s="123" t="s">
        <v>1990</v>
      </c>
      <c r="H1302" s="123" t="s">
        <v>2069</v>
      </c>
      <c r="I1302" s="123"/>
      <c r="J1302" s="123"/>
    </row>
    <row r="1303" spans="1:11" ht="28.5">
      <c r="A1303" s="123"/>
      <c r="B1303" s="123"/>
      <c r="C1303" s="221" t="s">
        <v>2220</v>
      </c>
      <c r="D1303" s="303"/>
      <c r="E1303" s="404"/>
      <c r="F1303" s="263">
        <v>405.39</v>
      </c>
      <c r="G1303" s="263">
        <v>0.4</v>
      </c>
      <c r="H1303" s="263">
        <f>0.16-0.08</f>
        <v>0.08</v>
      </c>
      <c r="I1303" s="123"/>
      <c r="J1303" s="128">
        <f t="shared" ref="J1303" si="68">ROUND(PRODUCT(E1303:I1303),2)</f>
        <v>12.97</v>
      </c>
    </row>
    <row r="1304" spans="1:11">
      <c r="A1304" s="528"/>
      <c r="B1304" s="529"/>
      <c r="C1304" s="529"/>
      <c r="D1304" s="529"/>
      <c r="E1304" s="529"/>
      <c r="F1304" s="529"/>
      <c r="G1304" s="529"/>
      <c r="H1304" s="529"/>
      <c r="I1304" s="529"/>
      <c r="J1304" s="530"/>
    </row>
    <row r="1305" spans="1:11" ht="63.75">
      <c r="A1305" s="132" t="str">
        <f>'[3]Planilha Orçamentária'!A344</f>
        <v>1.6.6.2</v>
      </c>
      <c r="B1305" s="103">
        <f>VLOOKUP(A1305,'[3]Planilha Orçamentária'!A:K,2,0)</f>
        <v>90091</v>
      </c>
      <c r="C1305" s="276" t="str">
        <f>VLOOKUP(A1305,'[3]Planilha Orçamentária'!A:K,3,0)</f>
        <v>ESCAVAÇÃO MECANIZADA DE VALA COM PROF. ATÉ 1,5 M (MÉDIA MONTANTE E JUSANTE/UMA COMPOSIÇÃO POR TRECHO), ESCAVADEIRA (0,8 M3), LARG. DE 1,5 M A 2,5 M, EM SOLO DE 1A CATEGORIA, LOCAIS COM BAIXO NÍVEL DE INTERFERÊNCIA. AF_02/2021</v>
      </c>
      <c r="D1305" s="105" t="str">
        <f>VLOOKUP(A1305,'[3]Planilha Orçamentária'!A:K,4,0)</f>
        <v>M3</v>
      </c>
      <c r="E1305" s="104"/>
      <c r="F1305" s="111"/>
      <c r="G1305" s="111"/>
      <c r="H1305" s="111"/>
      <c r="I1305" s="111"/>
      <c r="J1305" s="107">
        <f>ROUND(SUM(J1306:J1308),2)</f>
        <v>89.52</v>
      </c>
    </row>
    <row r="1306" spans="1:11">
      <c r="A1306" s="123"/>
      <c r="B1306" s="123"/>
      <c r="C1306" s="159" t="s">
        <v>2218</v>
      </c>
      <c r="D1306" s="123"/>
      <c r="E1306" s="123"/>
      <c r="F1306" s="123" t="s">
        <v>2219</v>
      </c>
      <c r="G1306" s="123" t="s">
        <v>1990</v>
      </c>
      <c r="H1306" s="123" t="s">
        <v>2069</v>
      </c>
      <c r="I1306" s="123"/>
      <c r="J1306" s="123"/>
    </row>
    <row r="1307" spans="1:11" ht="42.75">
      <c r="A1307" s="123"/>
      <c r="B1307" s="123"/>
      <c r="C1307" s="260" t="s">
        <v>2050</v>
      </c>
      <c r="D1307" s="262"/>
      <c r="E1307" s="263"/>
      <c r="F1307" s="161">
        <v>254.31</v>
      </c>
      <c r="G1307" s="263">
        <f>1+0.6</f>
        <v>1.6</v>
      </c>
      <c r="H1307" s="263">
        <f>0.55-0.33</f>
        <v>0.22000000000000003</v>
      </c>
      <c r="I1307" s="123"/>
      <c r="J1307" s="128">
        <f t="shared" ref="J1307" si="69">ROUND(PRODUCT(E1307:I1307),2)</f>
        <v>89.52</v>
      </c>
      <c r="K1307" s="82" t="s">
        <v>2221</v>
      </c>
    </row>
    <row r="1308" spans="1:11">
      <c r="A1308" s="528"/>
      <c r="B1308" s="529"/>
      <c r="C1308" s="529"/>
      <c r="D1308" s="529"/>
      <c r="E1308" s="529"/>
      <c r="F1308" s="529"/>
      <c r="G1308" s="529"/>
      <c r="H1308" s="529"/>
      <c r="I1308" s="529"/>
      <c r="J1308" s="530"/>
    </row>
    <row r="1309" spans="1:11" ht="63.75">
      <c r="A1309" s="132" t="str">
        <f>'[3]Planilha Orçamentária'!A345</f>
        <v>1.6.6.3</v>
      </c>
      <c r="B1309" s="103">
        <f>VLOOKUP(A1309,'[3]Planilha Orçamentária'!A:K,2,0)</f>
        <v>93367</v>
      </c>
      <c r="C1309" s="276" t="str">
        <f>VLOOKUP(A1309,'[3]Planilha Orçamentária'!A:K,3,0)</f>
        <v>REATERRO MECANIZADO DE VALA COM ESCAVADEIRA HIDRÁULICA (CAPACIDADE DA CAÇAMBA: 0,8 M³ / POTÊNCIA: 111 HP), LARGURA DE 1,5 A 2,5 M, PROFUNDIDADE ATÉ 1,5 M, COM SOLO DE 1ª CATEGORIA EM LOCAIS COM BAIXO NÍVEL DE INTERFERÊNCIA. AF_04/2016</v>
      </c>
      <c r="D1309" s="105" t="str">
        <f>VLOOKUP(A1309,'[3]Planilha Orçamentária'!A:K,4,0)</f>
        <v>M3</v>
      </c>
      <c r="E1309" s="104"/>
      <c r="F1309" s="111"/>
      <c r="G1309" s="111"/>
      <c r="H1309" s="111"/>
      <c r="I1309" s="111"/>
      <c r="J1309" s="107">
        <f>ROUND(SUM(J1310:J1313),2)</f>
        <v>33.57</v>
      </c>
    </row>
    <row r="1310" spans="1:11">
      <c r="A1310" s="123"/>
      <c r="B1310" s="123"/>
      <c r="C1310" s="159" t="s">
        <v>2218</v>
      </c>
      <c r="D1310" s="123"/>
      <c r="E1310" s="123"/>
      <c r="F1310" s="123"/>
      <c r="G1310" s="123"/>
      <c r="H1310" s="123"/>
      <c r="I1310" s="123"/>
      <c r="J1310" s="123"/>
    </row>
    <row r="1311" spans="1:11">
      <c r="A1311" s="123"/>
      <c r="B1311" s="123"/>
      <c r="C1311" s="161" t="s">
        <v>2054</v>
      </c>
      <c r="D1311" s="270"/>
      <c r="E1311" s="270"/>
      <c r="F1311" s="123"/>
      <c r="G1311" s="123"/>
      <c r="H1311" s="123"/>
      <c r="I1311" s="272">
        <f>J1305</f>
        <v>89.52</v>
      </c>
      <c r="J1311" s="128">
        <f t="shared" ref="J1311:J1312" si="70">ROUND(PRODUCT(E1311:I1311),2)</f>
        <v>89.52</v>
      </c>
    </row>
    <row r="1312" spans="1:11" ht="25.5">
      <c r="A1312" s="123"/>
      <c r="B1312" s="123"/>
      <c r="C1312" s="268" t="s">
        <v>2055</v>
      </c>
      <c r="D1312" s="270"/>
      <c r="E1312" s="270">
        <v>-1</v>
      </c>
      <c r="F1312" s="123">
        <f>F1307</f>
        <v>254.31</v>
      </c>
      <c r="G1312" s="123">
        <v>1</v>
      </c>
      <c r="H1312" s="272">
        <f>H1307</f>
        <v>0.22000000000000003</v>
      </c>
      <c r="I1312" s="272"/>
      <c r="J1312" s="128">
        <f t="shared" si="70"/>
        <v>-55.95</v>
      </c>
    </row>
    <row r="1313" spans="1:10">
      <c r="A1313" s="528"/>
      <c r="B1313" s="529"/>
      <c r="C1313" s="529"/>
      <c r="D1313" s="529"/>
      <c r="E1313" s="529"/>
      <c r="F1313" s="529"/>
      <c r="G1313" s="529"/>
      <c r="H1313" s="529"/>
      <c r="I1313" s="529"/>
      <c r="J1313" s="530"/>
    </row>
    <row r="1314" spans="1:10" ht="51">
      <c r="A1314" s="132" t="str">
        <f>'[3]Planilha Orçamentária'!A346</f>
        <v>1.6.6.4</v>
      </c>
      <c r="B1314" s="103" t="str">
        <f>VLOOKUP(A1314,'[3]Planilha Orçamentária'!A:K,2,0)</f>
        <v>COMP-35145154</v>
      </c>
      <c r="C1314" s="276" t="str">
        <f>VLOOKUP(A1314,'[3]Planilha Orçamentária'!A:K,3,0)</f>
        <v>CARGA E DESCARGA MECANICA DE SOLO UTILIZANDO CAMINHAO BASCULANTE 14,0M3/36T E PA CARREGADEIRA SOBRE PNEUS 128 HP, CAPACIDADE DA CAÇAMBA 1,7 A 2,8 M3, PESO OPERACIONAL 11632 KH</v>
      </c>
      <c r="D1314" s="105" t="str">
        <f>VLOOKUP(A1314,'[3]Planilha Orçamentária'!A:K,4,0)</f>
        <v>M3</v>
      </c>
      <c r="E1314" s="104"/>
      <c r="F1314" s="111"/>
      <c r="G1314" s="111"/>
      <c r="H1314" s="111"/>
      <c r="I1314" s="111"/>
      <c r="J1314" s="107">
        <f>ROUND(SUM(J1315:J1317),2)</f>
        <v>69.94</v>
      </c>
    </row>
    <row r="1315" spans="1:10" ht="25.5">
      <c r="A1315" s="123"/>
      <c r="B1315" s="123"/>
      <c r="C1315" s="159"/>
      <c r="D1315" s="148"/>
      <c r="E1315" s="159" t="s">
        <v>2006</v>
      </c>
      <c r="F1315" s="161"/>
      <c r="G1315" s="161"/>
      <c r="H1315" s="161"/>
      <c r="I1315" s="161" t="s">
        <v>2056</v>
      </c>
      <c r="J1315" s="123"/>
    </row>
    <row r="1316" spans="1:10" ht="14.25">
      <c r="A1316" s="123"/>
      <c r="B1316" s="123"/>
      <c r="C1316" s="273" t="s">
        <v>2057</v>
      </c>
      <c r="D1316" s="274"/>
      <c r="E1316" s="263">
        <v>1.25</v>
      </c>
      <c r="F1316" s="157"/>
      <c r="G1316" s="275"/>
      <c r="H1316" s="275"/>
      <c r="I1316" s="275">
        <f>J1305-J1309</f>
        <v>55.949999999999996</v>
      </c>
      <c r="J1316" s="128">
        <f t="shared" ref="J1316" si="71">ROUND(PRODUCT(E1316:I1316),2)</f>
        <v>69.94</v>
      </c>
    </row>
    <row r="1317" spans="1:10">
      <c r="A1317" s="528"/>
      <c r="B1317" s="529"/>
      <c r="C1317" s="529"/>
      <c r="D1317" s="529"/>
      <c r="E1317" s="529"/>
      <c r="F1317" s="529"/>
      <c r="G1317" s="529"/>
      <c r="H1317" s="529"/>
      <c r="I1317" s="529"/>
      <c r="J1317" s="530"/>
    </row>
    <row r="1318" spans="1:10" ht="38.25">
      <c r="A1318" s="132" t="str">
        <f>'[3]Planilha Orçamentária'!A347</f>
        <v>1.6.6.5</v>
      </c>
      <c r="B1318" s="103">
        <f>VLOOKUP(A1318,'[3]Planilha Orçamentária'!A:K,2,0)</f>
        <v>95876</v>
      </c>
      <c r="C1318" s="276" t="str">
        <f>VLOOKUP(A1318,'[3]Planilha Orçamentária'!A:K,3,0)</f>
        <v>TRANSPORTE COM CAMINHÃO BASCULANTE DE 14 M³, EM VIA URBANA PAVIMENTADA, DMT ATÉ 30 KM (UNIDADE: M3XKM). AF_07/2020</v>
      </c>
      <c r="D1318" s="105" t="str">
        <f>VLOOKUP(A1318,'[3]Planilha Orçamentária'!A:K,4,0)</f>
        <v>M3XKM</v>
      </c>
      <c r="E1318" s="104"/>
      <c r="F1318" s="111"/>
      <c r="G1318" s="111"/>
      <c r="H1318" s="111"/>
      <c r="I1318" s="111"/>
      <c r="J1318" s="107">
        <f>ROUND(SUM(J1319:J1321),2)</f>
        <v>1461.75</v>
      </c>
    </row>
    <row r="1319" spans="1:10">
      <c r="A1319" s="123"/>
      <c r="B1319" s="123"/>
      <c r="C1319" s="171" t="s">
        <v>2209</v>
      </c>
      <c r="D1319" s="189"/>
      <c r="E1319" s="208" t="s">
        <v>2011</v>
      </c>
      <c r="F1319" s="111"/>
      <c r="G1319" s="111"/>
      <c r="H1319" s="111"/>
      <c r="I1319" s="106" t="s">
        <v>2151</v>
      </c>
      <c r="J1319" s="123"/>
    </row>
    <row r="1320" spans="1:10">
      <c r="A1320" s="123"/>
      <c r="B1320" s="123"/>
      <c r="C1320" s="155" t="s">
        <v>2210</v>
      </c>
      <c r="D1320" s="156"/>
      <c r="E1320" s="162">
        <v>20.9</v>
      </c>
      <c r="F1320" s="116"/>
      <c r="G1320" s="157"/>
      <c r="H1320" s="157"/>
      <c r="I1320" s="157">
        <f>J1314</f>
        <v>69.94</v>
      </c>
      <c r="J1320" s="128">
        <f t="shared" ref="J1320" si="72">ROUND(PRODUCT(E1320:I1320),2)</f>
        <v>1461.75</v>
      </c>
    </row>
    <row r="1321" spans="1:10">
      <c r="A1321" s="528"/>
      <c r="B1321" s="529"/>
      <c r="C1321" s="529"/>
      <c r="D1321" s="529"/>
      <c r="E1321" s="529"/>
      <c r="F1321" s="529"/>
      <c r="G1321" s="529"/>
      <c r="H1321" s="529"/>
      <c r="I1321" s="529"/>
      <c r="J1321" s="530"/>
    </row>
    <row r="1322" spans="1:10" ht="38.25">
      <c r="A1322" s="132" t="str">
        <f>'[3]Planilha Orçamentária'!A348</f>
        <v>1.6.6.6</v>
      </c>
      <c r="B1322" s="103">
        <f>VLOOKUP(A1322,'[3]Planilha Orçamentária'!A:K,2,0)</f>
        <v>94971</v>
      </c>
      <c r="C1322" s="276" t="str">
        <f>VLOOKUP(A1322,'[3]Planilha Orçamentária'!A:K,3,0)</f>
        <v>CONCRETO FCK = 25MPA, TRAÇO 1:2,3:2,7 (EM MASSA SECA DE CIMENTO/ AREIA MÉDIA/ BRITA 1) - PREPARO MECÂNICO COM BETONEIRA 600 L. AF_05/2021</v>
      </c>
      <c r="D1322" s="105" t="str">
        <f>VLOOKUP(A1322,'[3]Planilha Orçamentária'!A:K,4,0)</f>
        <v>M3</v>
      </c>
      <c r="E1322" s="104"/>
      <c r="F1322" s="111"/>
      <c r="G1322" s="111"/>
      <c r="H1322" s="111"/>
      <c r="I1322" s="111"/>
      <c r="J1322" s="107">
        <f>ROUND(SUM(J1323:J1327),2)</f>
        <v>45.38</v>
      </c>
    </row>
    <row r="1323" spans="1:10">
      <c r="A1323" s="123"/>
      <c r="B1323" s="123"/>
      <c r="C1323" s="159" t="s">
        <v>2218</v>
      </c>
      <c r="D1323" s="123"/>
      <c r="E1323" s="123"/>
      <c r="F1323" s="123" t="s">
        <v>2219</v>
      </c>
      <c r="G1323" s="123" t="s">
        <v>1990</v>
      </c>
      <c r="H1323" s="123" t="s">
        <v>2069</v>
      </c>
      <c r="I1323" s="123"/>
      <c r="J1323" s="123"/>
    </row>
    <row r="1324" spans="1:10" ht="28.5">
      <c r="A1324" s="123"/>
      <c r="B1324" s="123"/>
      <c r="C1324" s="204" t="s">
        <v>2222</v>
      </c>
      <c r="D1324" s="258"/>
      <c r="E1324" s="258"/>
      <c r="F1324" s="263">
        <f>F1303</f>
        <v>405.39</v>
      </c>
      <c r="G1324" s="263">
        <v>0.4</v>
      </c>
      <c r="H1324" s="263">
        <f>0.16-0.08</f>
        <v>0.08</v>
      </c>
      <c r="I1324" s="123"/>
      <c r="J1324" s="128">
        <f t="shared" ref="J1324" si="73">ROUND(PRODUCT(E1324:I1324),2)</f>
        <v>12.97</v>
      </c>
    </row>
    <row r="1325" spans="1:10" ht="28.5">
      <c r="A1325" s="174"/>
      <c r="B1325" s="174"/>
      <c r="C1325" s="221" t="s">
        <v>2060</v>
      </c>
      <c r="D1325" s="123"/>
      <c r="E1325" s="123"/>
      <c r="F1325" s="281"/>
      <c r="G1325" s="282"/>
      <c r="H1325" s="123"/>
      <c r="I1325" s="281"/>
      <c r="J1325" s="405"/>
    </row>
    <row r="1326" spans="1:10" ht="14.25">
      <c r="A1326" s="174"/>
      <c r="B1326" s="174"/>
      <c r="C1326" s="280" t="s">
        <v>2061</v>
      </c>
      <c r="D1326" s="123"/>
      <c r="E1326" s="123"/>
      <c r="F1326" s="281">
        <f>F1307</f>
        <v>254.31</v>
      </c>
      <c r="G1326" s="282">
        <v>1</v>
      </c>
      <c r="H1326" s="123">
        <v>0.15</v>
      </c>
      <c r="I1326" s="281"/>
      <c r="J1326" s="128">
        <f t="shared" ref="J1326:J1327" si="74">ROUND(PRODUCT(E1326:I1326),2)</f>
        <v>38.15</v>
      </c>
    </row>
    <row r="1327" spans="1:10" ht="28.5">
      <c r="A1327" s="174"/>
      <c r="B1327" s="174"/>
      <c r="C1327" s="280" t="s">
        <v>2062</v>
      </c>
      <c r="D1327" s="123"/>
      <c r="E1327" s="123">
        <v>-1</v>
      </c>
      <c r="F1327" s="283">
        <v>1.8800000000000001E-2</v>
      </c>
      <c r="G1327" s="136">
        <f>F1326</f>
        <v>254.31</v>
      </c>
      <c r="H1327" s="136">
        <v>0.15</v>
      </c>
      <c r="I1327" s="136">
        <v>8</v>
      </c>
      <c r="J1327" s="128">
        <f t="shared" si="74"/>
        <v>-5.74</v>
      </c>
    </row>
    <row r="1328" spans="1:10">
      <c r="A1328" s="528"/>
      <c r="B1328" s="529"/>
      <c r="C1328" s="529"/>
      <c r="D1328" s="529"/>
      <c r="E1328" s="529"/>
      <c r="F1328" s="529"/>
      <c r="G1328" s="529"/>
      <c r="H1328" s="529"/>
      <c r="I1328" s="529"/>
      <c r="J1328" s="530"/>
    </row>
    <row r="1329" spans="1:10" ht="38.25">
      <c r="A1329" s="132" t="str">
        <f>'[3]Planilha Orçamentária'!A349</f>
        <v>1.6.6.7</v>
      </c>
      <c r="B1329" s="103" t="str">
        <f>VLOOKUP(A1329,'[3]Planilha Orçamentária'!A:K,2,0)</f>
        <v>CP-S03639-45770834</v>
      </c>
      <c r="C1329" s="276" t="str">
        <f>VLOOKUP(A1329,'[3]Planilha Orçamentária'!A:K,3,0)</f>
        <v>Fornecimento e instalação de tela aço soldada nervurada CA-60, Q-283, malha 10x10cm, ferro 6.02mm (4,48 kg/m2), painel 2,45x6,0m, Telcon ou similar</v>
      </c>
      <c r="D1329" s="105" t="str">
        <f>VLOOKUP(A1329,'[3]Planilha Orçamentária'!A:K,4,0)</f>
        <v>M2</v>
      </c>
      <c r="E1329" s="104"/>
      <c r="F1329" s="111"/>
      <c r="G1329" s="111"/>
      <c r="H1329" s="111"/>
      <c r="I1329" s="111"/>
      <c r="J1329" s="107">
        <f>ROUND(SUM(J1330:J1332),2)</f>
        <v>162.16</v>
      </c>
    </row>
    <row r="1330" spans="1:10">
      <c r="A1330" s="123"/>
      <c r="B1330" s="123"/>
      <c r="C1330" s="159" t="s">
        <v>2218</v>
      </c>
      <c r="D1330" s="123"/>
      <c r="E1330" s="123"/>
      <c r="F1330" s="123" t="s">
        <v>2219</v>
      </c>
      <c r="G1330" s="123" t="s">
        <v>1990</v>
      </c>
      <c r="H1330" s="123"/>
      <c r="I1330" s="123"/>
      <c r="J1330" s="123"/>
    </row>
    <row r="1331" spans="1:10" ht="14.25">
      <c r="A1331" s="123"/>
      <c r="B1331" s="123"/>
      <c r="C1331" s="204" t="s">
        <v>2223</v>
      </c>
      <c r="D1331" s="156"/>
      <c r="E1331" s="157"/>
      <c r="F1331" s="263">
        <f>F1303</f>
        <v>405.39</v>
      </c>
      <c r="G1331" s="263">
        <v>0.4</v>
      </c>
      <c r="H1331" s="123"/>
      <c r="I1331" s="123"/>
      <c r="J1331" s="128">
        <f t="shared" ref="J1331" si="75">ROUND(PRODUCT(E1331:I1331),2)</f>
        <v>162.16</v>
      </c>
    </row>
    <row r="1332" spans="1:10">
      <c r="A1332" s="528"/>
      <c r="B1332" s="529"/>
      <c r="C1332" s="529"/>
      <c r="D1332" s="529"/>
      <c r="E1332" s="529"/>
      <c r="F1332" s="529"/>
      <c r="G1332" s="529"/>
      <c r="H1332" s="529"/>
      <c r="I1332" s="529"/>
      <c r="J1332" s="530"/>
    </row>
    <row r="1333" spans="1:10" ht="38.25">
      <c r="A1333" s="132" t="str">
        <f>'[3]Planilha Orçamentária'!A350</f>
        <v>1.6.6.8</v>
      </c>
      <c r="B1333" s="103">
        <f>VLOOKUP(A1333,'[3]Planilha Orçamentária'!A:K,2,0)</f>
        <v>94974</v>
      </c>
      <c r="C1333" s="276" t="str">
        <f>VLOOKUP(A1333,'[3]Planilha Orçamentária'!A:K,3,0)</f>
        <v>CONCRETO MAGRO PARA LASTRO, TRAÇO 1:4,5:4,5 (EM MASSA SECA DE CIMENTO/ AREIA MÉDIA/ BRITA 1) - PREPARO MANUAL. AF_05/2021</v>
      </c>
      <c r="D1333" s="105" t="str">
        <f>VLOOKUP(A1333,'[3]Planilha Orçamentária'!A:K,4,0)</f>
        <v>M3</v>
      </c>
      <c r="E1333" s="104"/>
      <c r="F1333" s="111"/>
      <c r="G1333" s="111"/>
      <c r="H1333" s="111"/>
      <c r="I1333" s="111"/>
      <c r="J1333" s="107">
        <f>ROUND(SUM(J1334:J1337),2)</f>
        <v>33.54</v>
      </c>
    </row>
    <row r="1334" spans="1:10">
      <c r="A1334" s="123"/>
      <c r="B1334" s="123"/>
      <c r="C1334" s="159" t="s">
        <v>2218</v>
      </c>
      <c r="D1334" s="105"/>
      <c r="E1334" s="104"/>
      <c r="F1334" s="161" t="s">
        <v>1989</v>
      </c>
      <c r="G1334" s="161" t="s">
        <v>1990</v>
      </c>
      <c r="H1334" s="161" t="s">
        <v>2002</v>
      </c>
      <c r="I1334" s="123"/>
      <c r="J1334" s="123"/>
    </row>
    <row r="1335" spans="1:10" ht="14.25">
      <c r="A1335" s="123"/>
      <c r="B1335" s="123"/>
      <c r="C1335" s="284" t="s">
        <v>2063</v>
      </c>
      <c r="D1335" s="123"/>
      <c r="E1335" s="123"/>
      <c r="F1335" s="285">
        <f>F1307</f>
        <v>254.31</v>
      </c>
      <c r="G1335" s="282">
        <v>1</v>
      </c>
      <c r="H1335" s="123">
        <v>0.1</v>
      </c>
      <c r="I1335" s="123"/>
      <c r="J1335" s="128">
        <f t="shared" ref="J1335:J1336" si="76">ROUND(PRODUCT(E1335:I1335),2)</f>
        <v>25.43</v>
      </c>
    </row>
    <row r="1336" spans="1:10" ht="14.25">
      <c r="A1336" s="230"/>
      <c r="B1336" s="240"/>
      <c r="C1336" s="390" t="s">
        <v>2224</v>
      </c>
      <c r="D1336" s="258"/>
      <c r="E1336" s="258"/>
      <c r="F1336" s="263">
        <f>F1303</f>
        <v>405.39</v>
      </c>
      <c r="G1336" s="263">
        <v>0.4</v>
      </c>
      <c r="H1336" s="263">
        <v>0.05</v>
      </c>
      <c r="I1336" s="123"/>
      <c r="J1336" s="128">
        <f t="shared" si="76"/>
        <v>8.11</v>
      </c>
    </row>
    <row r="1337" spans="1:10">
      <c r="A1337" s="528"/>
      <c r="B1337" s="529"/>
      <c r="C1337" s="529"/>
      <c r="D1337" s="529"/>
      <c r="E1337" s="529"/>
      <c r="F1337" s="529"/>
      <c r="G1337" s="529"/>
      <c r="H1337" s="529"/>
      <c r="I1337" s="529"/>
      <c r="J1337" s="530"/>
    </row>
    <row r="1338" spans="1:10" ht="38.25">
      <c r="A1338" s="132" t="str">
        <f>'[3]Planilha Orçamentária'!A351</f>
        <v>1.6.6.9</v>
      </c>
      <c r="B1338" s="103">
        <f>VLOOKUP(A1338,'[3]Planilha Orçamentária'!A:K,2,0)</f>
        <v>92771</v>
      </c>
      <c r="C1338" s="276" t="str">
        <f>VLOOKUP(A1338,'[3]Planilha Orçamentária'!A:K,3,0)</f>
        <v>ARMAÇÃO DE LAJE DE ESTRUTURA CONVENCIONAL DE CONCRETO ARMADO UTILIZANDO AÇO CA-50 DE 10,0 MM - MONTAGEM. AF_06/2022</v>
      </c>
      <c r="D1338" s="105" t="str">
        <f>VLOOKUP(A1338,'[3]Planilha Orçamentária'!A:K,4,0)</f>
        <v>KG</v>
      </c>
      <c r="E1338" s="104"/>
      <c r="F1338" s="111"/>
      <c r="G1338" s="111"/>
      <c r="H1338" s="111"/>
      <c r="I1338" s="111"/>
      <c r="J1338" s="107">
        <f>ROUND(SUM(J1339:J1341),2)</f>
        <v>2108.23</v>
      </c>
    </row>
    <row r="1339" spans="1:10">
      <c r="A1339" s="123"/>
      <c r="B1339" s="123"/>
      <c r="C1339" s="159" t="s">
        <v>2218</v>
      </c>
      <c r="D1339" s="262"/>
      <c r="E1339" s="263"/>
      <c r="F1339" s="278" t="s">
        <v>2064</v>
      </c>
      <c r="G1339" s="278"/>
      <c r="H1339" s="278"/>
      <c r="I1339" s="278" t="s">
        <v>138</v>
      </c>
      <c r="J1339" s="123"/>
    </row>
    <row r="1340" spans="1:10" ht="28.5">
      <c r="A1340" s="123"/>
      <c r="B1340" s="123"/>
      <c r="C1340" s="221" t="s">
        <v>2066</v>
      </c>
      <c r="D1340" s="105"/>
      <c r="E1340" s="104"/>
      <c r="F1340" s="278">
        <f>F1335</f>
        <v>254.31</v>
      </c>
      <c r="G1340" s="278"/>
      <c r="H1340" s="278"/>
      <c r="I1340" s="278">
        <v>8.2899999999999991</v>
      </c>
      <c r="J1340" s="128">
        <f t="shared" ref="J1340" si="77">ROUND(PRODUCT(E1340:I1340),2)</f>
        <v>2108.23</v>
      </c>
    </row>
    <row r="1341" spans="1:10">
      <c r="A1341" s="528"/>
      <c r="B1341" s="529"/>
      <c r="C1341" s="529"/>
      <c r="D1341" s="529"/>
      <c r="E1341" s="529"/>
      <c r="F1341" s="529"/>
      <c r="G1341" s="529"/>
      <c r="H1341" s="529"/>
      <c r="I1341" s="529"/>
      <c r="J1341" s="530"/>
    </row>
    <row r="1342" spans="1:10" ht="51">
      <c r="A1342" s="132" t="str">
        <f>'[3]Planilha Orçamentária'!A352</f>
        <v>1.6.6.10</v>
      </c>
      <c r="B1342" s="103" t="str">
        <f>VLOOKUP(A1342,'[3]Planilha Orçamentária'!A:K,2,0)</f>
        <v>CP-92268-29291149</v>
      </c>
      <c r="C1342" s="276" t="str">
        <f>VLOOKUP(A1342,'[3]Planilha Orçamentária'!A:K,3,0)</f>
        <v>FABRICAÇÃO DE FÔRMA PARA LAJES, EM CHAPA DE MADEIRA COMPENSADA PLASTIFICADA, E = 18 MM - EXCLUINDO O PAINEL DE MADEIRA COMPENSADA PLASTIFICADA DE 2200 x 1100 MM, E = *17* MM</v>
      </c>
      <c r="D1342" s="105" t="str">
        <f>VLOOKUP(A1342,'[3]Planilha Orçamentária'!A:K,4,0)</f>
        <v>M2</v>
      </c>
      <c r="E1342" s="104"/>
      <c r="F1342" s="111"/>
      <c r="G1342" s="111"/>
      <c r="H1342" s="111"/>
      <c r="I1342" s="111"/>
      <c r="J1342" s="107">
        <f>ROUND(SUM(J1343:J1345),2)</f>
        <v>152.59</v>
      </c>
    </row>
    <row r="1343" spans="1:10">
      <c r="A1343" s="123"/>
      <c r="B1343" s="123"/>
      <c r="C1343" s="159" t="s">
        <v>2218</v>
      </c>
      <c r="D1343" s="262"/>
      <c r="E1343" s="263"/>
      <c r="F1343" s="263" t="s">
        <v>2225</v>
      </c>
      <c r="G1343" s="263" t="s">
        <v>2002</v>
      </c>
      <c r="H1343" s="263" t="s">
        <v>2226</v>
      </c>
      <c r="I1343" s="123"/>
      <c r="J1343" s="123"/>
    </row>
    <row r="1344" spans="1:10" ht="28.5">
      <c r="A1344" s="123"/>
      <c r="B1344" s="123"/>
      <c r="C1344" s="280" t="s">
        <v>2068</v>
      </c>
      <c r="D1344" s="156"/>
      <c r="E1344" s="157"/>
      <c r="F1344" s="136">
        <f>1*4</f>
        <v>4</v>
      </c>
      <c r="G1344" s="136">
        <v>0.15</v>
      </c>
      <c r="H1344" s="136">
        <f>F1340</f>
        <v>254.31</v>
      </c>
      <c r="I1344" s="123"/>
      <c r="J1344" s="128">
        <f t="shared" ref="J1344" si="78">ROUND(PRODUCT(E1344:I1344),2)</f>
        <v>152.59</v>
      </c>
    </row>
    <row r="1345" spans="1:10">
      <c r="A1345" s="528"/>
      <c r="B1345" s="529"/>
      <c r="C1345" s="529"/>
      <c r="D1345" s="529"/>
      <c r="E1345" s="529"/>
      <c r="F1345" s="529"/>
      <c r="G1345" s="529"/>
      <c r="H1345" s="529"/>
      <c r="I1345" s="529"/>
      <c r="J1345" s="530"/>
    </row>
    <row r="1346" spans="1:10" ht="51">
      <c r="A1346" s="132" t="str">
        <f>'[3]Planilha Orçamentária'!A353</f>
        <v>1.6.6.11</v>
      </c>
      <c r="B1346" s="103">
        <f>VLOOKUP(A1346,'[3]Planilha Orçamentária'!A:K,2,0)</f>
        <v>103320</v>
      </c>
      <c r="C1346" s="276" t="str">
        <f>VLOOKUP(A1346,'[3]Planilha Orçamentária'!A:K,3,0)</f>
        <v>ALVENARIA DE VEDAÇÃO DE BLOCOS VAZADOS DE CONCRETO DE 19X19X39 CM (ESPESSURA 19 CM) E ARGAMASSA DE ASSENTAMENTO COM PREPARO EM BETONEIRA. AF_12/2021</v>
      </c>
      <c r="D1346" s="105" t="str">
        <f>VLOOKUP(A1346,'[3]Planilha Orçamentária'!A:K,4,0)</f>
        <v>M2</v>
      </c>
      <c r="E1346" s="104"/>
      <c r="F1346" s="111"/>
      <c r="G1346" s="111"/>
      <c r="H1346" s="111"/>
      <c r="I1346" s="111"/>
      <c r="J1346" s="107">
        <f>ROUND(SUM(J1347:J1349),2)</f>
        <v>203.45</v>
      </c>
    </row>
    <row r="1347" spans="1:10">
      <c r="A1347" s="123"/>
      <c r="B1347" s="123"/>
      <c r="C1347" s="159" t="s">
        <v>2218</v>
      </c>
      <c r="D1347" s="156"/>
      <c r="E1347" s="157"/>
      <c r="F1347" s="136" t="s">
        <v>1989</v>
      </c>
      <c r="G1347" s="136"/>
      <c r="H1347" s="136" t="s">
        <v>2069</v>
      </c>
      <c r="I1347" s="287" t="s">
        <v>2070</v>
      </c>
      <c r="J1347" s="123"/>
    </row>
    <row r="1348" spans="1:10" ht="14.25">
      <c r="A1348" s="123"/>
      <c r="B1348" s="123"/>
      <c r="C1348" s="280" t="s">
        <v>2071</v>
      </c>
      <c r="D1348" s="156"/>
      <c r="E1348" s="157"/>
      <c r="F1348" s="136">
        <f>H1344</f>
        <v>254.31</v>
      </c>
      <c r="G1348" s="136"/>
      <c r="H1348" s="136">
        <v>0.4</v>
      </c>
      <c r="I1348" s="136">
        <v>2</v>
      </c>
      <c r="J1348" s="128">
        <f t="shared" ref="J1348" si="79">ROUND(PRODUCT(E1348:I1348),2)</f>
        <v>203.45</v>
      </c>
    </row>
    <row r="1349" spans="1:10">
      <c r="A1349" s="528"/>
      <c r="B1349" s="529"/>
      <c r="C1349" s="529"/>
      <c r="D1349" s="529"/>
      <c r="E1349" s="529"/>
      <c r="F1349" s="529"/>
      <c r="G1349" s="529"/>
      <c r="H1349" s="529"/>
      <c r="I1349" s="529"/>
      <c r="J1349" s="530"/>
    </row>
    <row r="1350" spans="1:10" ht="51">
      <c r="A1350" s="132" t="str">
        <f>'[3]Planilha Orçamentária'!A354</f>
        <v>1.6.6.12</v>
      </c>
      <c r="B1350" s="103">
        <f>VLOOKUP(A1350,'[3]Planilha Orçamentária'!A:K,2,0)</f>
        <v>87879</v>
      </c>
      <c r="C1350" s="276" t="str">
        <f>VLOOKUP(A1350,'[3]Planilha Orçamentária'!A:K,3,0)</f>
        <v>CHAPISCO APLICADO EM ALVENARIAS E ESTRUTURAS DE CONCRETO INTERNAS, COM COLHER DE PEDREIRO.  ARGAMASSA TRAÇO 1:3 COM PREPARO EM BETONEIRA 400L. AF_06/2014</v>
      </c>
      <c r="D1350" s="105" t="str">
        <f>VLOOKUP(A1350,'[3]Planilha Orçamentária'!A:K,4,0)</f>
        <v>M2</v>
      </c>
      <c r="E1350" s="104"/>
      <c r="F1350" s="111"/>
      <c r="G1350" s="111"/>
      <c r="H1350" s="111"/>
      <c r="I1350" s="111"/>
      <c r="J1350" s="107">
        <f>ROUND(SUM(J1351:J1353),2)</f>
        <v>203.45</v>
      </c>
    </row>
    <row r="1351" spans="1:10">
      <c r="A1351" s="123"/>
      <c r="B1351" s="123"/>
      <c r="C1351" s="159" t="s">
        <v>2218</v>
      </c>
      <c r="D1351" s="156"/>
      <c r="E1351" s="157"/>
      <c r="F1351" s="136"/>
      <c r="G1351" s="136"/>
      <c r="H1351" s="136"/>
      <c r="I1351" s="406"/>
      <c r="J1351" s="123"/>
    </row>
    <row r="1352" spans="1:10" ht="14.25">
      <c r="A1352" s="123"/>
      <c r="B1352" s="123"/>
      <c r="C1352" s="280" t="s">
        <v>2072</v>
      </c>
      <c r="D1352" s="156"/>
      <c r="E1352" s="157"/>
      <c r="F1352" s="136"/>
      <c r="G1352" s="136"/>
      <c r="H1352" s="136"/>
      <c r="I1352" s="288">
        <f>J1346</f>
        <v>203.45</v>
      </c>
      <c r="J1352" s="128">
        <f t="shared" ref="J1352" si="80">ROUND(PRODUCT(E1352:I1352),2)</f>
        <v>203.45</v>
      </c>
    </row>
    <row r="1353" spans="1:10">
      <c r="A1353" s="528"/>
      <c r="B1353" s="529"/>
      <c r="C1353" s="529"/>
      <c r="D1353" s="529"/>
      <c r="E1353" s="529"/>
      <c r="F1353" s="529"/>
      <c r="G1353" s="529"/>
      <c r="H1353" s="529"/>
      <c r="I1353" s="529"/>
      <c r="J1353" s="530"/>
    </row>
    <row r="1354" spans="1:10" ht="63.75">
      <c r="A1354" s="132" t="str">
        <f>'[3]Planilha Orçamentária'!A355</f>
        <v>1.6.6.13</v>
      </c>
      <c r="B1354" s="103">
        <f>VLOOKUP(A1354,'[3]Planilha Orçamentária'!A:K,2,0)</f>
        <v>87547</v>
      </c>
      <c r="C1354" s="276" t="str">
        <f>VLOOKUP(A1354,'[3]Planilha Orçamentária'!A:K,3,0)</f>
        <v>MASSA ÚNICA, PARA RECEBIMENTO DE PINTURA, EM ARGAMASSA TRAÇO 1:2:8, PREPARO MECÂNICO COM BETONEIRA 400L, APLICADA MANUALMENTE EM FACES INTERNAS DE PAREDES, ESPESSURA DE 10MM, COM EXECUÇÃO DE TALISCAS. AF_06/2014</v>
      </c>
      <c r="D1354" s="105" t="str">
        <f>VLOOKUP(A1354,'[3]Planilha Orçamentária'!A:K,4,0)</f>
        <v>M2</v>
      </c>
      <c r="E1354" s="104"/>
      <c r="F1354" s="111"/>
      <c r="G1354" s="111"/>
      <c r="H1354" s="111"/>
      <c r="I1354" s="111"/>
      <c r="J1354" s="107">
        <f>ROUND(SUM(J1355:J1357),2)</f>
        <v>203.45</v>
      </c>
    </row>
    <row r="1355" spans="1:10">
      <c r="A1355" s="123"/>
      <c r="B1355" s="123"/>
      <c r="C1355" s="159" t="s">
        <v>2218</v>
      </c>
      <c r="D1355" s="156"/>
      <c r="E1355" s="157"/>
      <c r="F1355" s="136"/>
      <c r="G1355" s="136"/>
      <c r="H1355" s="136"/>
      <c r="I1355" s="406"/>
      <c r="J1355" s="123"/>
    </row>
    <row r="1356" spans="1:10" ht="14.25">
      <c r="A1356" s="123"/>
      <c r="B1356" s="123"/>
      <c r="C1356" s="280" t="s">
        <v>2072</v>
      </c>
      <c r="D1356" s="156"/>
      <c r="E1356" s="157"/>
      <c r="F1356" s="136"/>
      <c r="G1356" s="136"/>
      <c r="H1356" s="136"/>
      <c r="I1356" s="288">
        <f>J1350</f>
        <v>203.45</v>
      </c>
      <c r="J1356" s="128">
        <f t="shared" ref="J1356" si="81">ROUND(PRODUCT(E1356:I1356),2)</f>
        <v>203.45</v>
      </c>
    </row>
    <row r="1357" spans="1:10">
      <c r="A1357" s="528"/>
      <c r="B1357" s="529"/>
      <c r="C1357" s="529"/>
      <c r="D1357" s="529"/>
      <c r="E1357" s="529"/>
      <c r="F1357" s="529"/>
      <c r="G1357" s="529"/>
      <c r="H1357" s="529"/>
      <c r="I1357" s="529"/>
      <c r="J1357" s="530"/>
    </row>
    <row r="1358" spans="1:10" ht="38.25">
      <c r="A1358" s="132" t="str">
        <f>'[3]Planilha Orçamentária'!A356</f>
        <v>1.6.6.14</v>
      </c>
      <c r="B1358" s="103">
        <f>VLOOKUP(A1358,'[3]Planilha Orçamentária'!A:K,2,0)</f>
        <v>94975</v>
      </c>
      <c r="C1358" s="276" t="str">
        <f>VLOOKUP(A1358,'[3]Planilha Orçamentária'!A:K,3,0)</f>
        <v>CONCRETO FCK = 15MPA, TRAÇO 1:3,4:3,5 (EM MASSA SECA DE CIMENTO/ AREIA MÉDIA/ BRITA 1) - PREPARO MANUAL. AF_05/2021</v>
      </c>
      <c r="D1358" s="105" t="str">
        <f>VLOOKUP(A1358,'[3]Planilha Orçamentária'!A:K,4,0)</f>
        <v>M3</v>
      </c>
      <c r="E1358" s="104"/>
      <c r="F1358" s="111"/>
      <c r="G1358" s="111"/>
      <c r="H1358" s="111"/>
      <c r="I1358" s="111"/>
      <c r="J1358" s="107">
        <f>ROUND(SUM(J1359:J1361),2)</f>
        <v>21.64</v>
      </c>
    </row>
    <row r="1359" spans="1:10" ht="28.5">
      <c r="A1359" s="123"/>
      <c r="B1359" s="123"/>
      <c r="C1359" s="221" t="s">
        <v>2048</v>
      </c>
      <c r="D1359" s="289"/>
      <c r="E1359" s="290" t="s">
        <v>2073</v>
      </c>
      <c r="F1359" s="290" t="s">
        <v>2074</v>
      </c>
      <c r="G1359" s="282"/>
      <c r="H1359" s="290" t="s">
        <v>2075</v>
      </c>
      <c r="I1359" s="123"/>
      <c r="J1359" s="123"/>
    </row>
    <row r="1360" spans="1:10" ht="28.5">
      <c r="A1360" s="123"/>
      <c r="B1360" s="123"/>
      <c r="C1360" s="280" t="s">
        <v>2076</v>
      </c>
      <c r="D1360" s="289"/>
      <c r="E1360" s="291">
        <f>0.294*0.14*0.19</f>
        <v>7.8203999999999999E-3</v>
      </c>
      <c r="F1360" s="282">
        <v>13.6</v>
      </c>
      <c r="G1360" s="292"/>
      <c r="H1360" s="136">
        <f>J1346</f>
        <v>203.45</v>
      </c>
      <c r="I1360" s="123"/>
      <c r="J1360" s="128">
        <f t="shared" ref="J1360" si="82">ROUND(PRODUCT(E1360:I1360),2)</f>
        <v>21.64</v>
      </c>
    </row>
    <row r="1361" spans="1:10">
      <c r="A1361" s="528"/>
      <c r="B1361" s="529"/>
      <c r="C1361" s="529"/>
      <c r="D1361" s="529"/>
      <c r="E1361" s="529"/>
      <c r="F1361" s="529"/>
      <c r="G1361" s="529"/>
      <c r="H1361" s="529"/>
      <c r="I1361" s="529"/>
      <c r="J1361" s="530"/>
    </row>
    <row r="1362" spans="1:10" ht="25.5">
      <c r="A1362" s="132" t="str">
        <f>'[3]Planilha Orçamentária'!A357</f>
        <v>1.6.6.15</v>
      </c>
      <c r="B1362" s="103" t="str">
        <f>VLOOKUP(A1362,'[3]Planilha Orçamentária'!A:K,2,0)</f>
        <v>CP-74157/004-48264518</v>
      </c>
      <c r="C1362" s="276" t="str">
        <f>VLOOKUP(A1362,'[3]Planilha Orçamentária'!A:K,3,0)</f>
        <v>LANCAMENTO/APLICACAO MANUAL DE CONCRETO EM FUNDACOES (concreto magro)</v>
      </c>
      <c r="D1362" s="105" t="str">
        <f>VLOOKUP(A1362,'[3]Planilha Orçamentária'!A:K,4,0)</f>
        <v>M3</v>
      </c>
      <c r="E1362" s="104"/>
      <c r="F1362" s="111"/>
      <c r="G1362" s="111"/>
      <c r="H1362" s="111"/>
      <c r="I1362" s="111"/>
      <c r="J1362" s="107">
        <f>ROUND(SUM(J1363:J1365),2)</f>
        <v>100.56</v>
      </c>
    </row>
    <row r="1363" spans="1:10">
      <c r="A1363" s="123"/>
      <c r="B1363" s="123"/>
      <c r="C1363" s="159" t="s">
        <v>2218</v>
      </c>
      <c r="D1363" s="156"/>
      <c r="E1363" s="157"/>
      <c r="F1363" s="136"/>
      <c r="G1363" s="136"/>
      <c r="H1363" s="136"/>
      <c r="I1363" s="406"/>
      <c r="J1363" s="123"/>
    </row>
    <row r="1364" spans="1:10" ht="14.25">
      <c r="A1364" s="123"/>
      <c r="B1364" s="123"/>
      <c r="C1364" s="280" t="s">
        <v>2227</v>
      </c>
      <c r="D1364" s="156"/>
      <c r="E1364" s="157"/>
      <c r="F1364" s="136"/>
      <c r="G1364" s="136"/>
      <c r="H1364" s="136"/>
      <c r="I1364" s="136">
        <f>J1358+J1333+J1322</f>
        <v>100.56</v>
      </c>
      <c r="J1364" s="128">
        <f t="shared" ref="J1364" si="83">ROUND(PRODUCT(E1364:I1364),2)</f>
        <v>100.56</v>
      </c>
    </row>
    <row r="1365" spans="1:10">
      <c r="A1365" s="528"/>
      <c r="B1365" s="529"/>
      <c r="C1365" s="529"/>
      <c r="D1365" s="529"/>
      <c r="E1365" s="529"/>
      <c r="F1365" s="529"/>
      <c r="G1365" s="529"/>
      <c r="H1365" s="529"/>
      <c r="I1365" s="529"/>
      <c r="J1365" s="530"/>
    </row>
    <row r="1366" spans="1:10">
      <c r="A1366" s="94" t="str">
        <f>'[3]Planilha Orçamentária'!A358</f>
        <v>1.6.7</v>
      </c>
      <c r="B1366" s="95"/>
      <c r="C1366" s="96" t="str">
        <f>VLOOKUP(A1366,'[3]Planilha Orçamentária'!A:K,3,0)</f>
        <v>SINALIZAÇÃO</v>
      </c>
      <c r="D1366" s="96"/>
      <c r="E1366" s="129"/>
      <c r="F1366" s="130"/>
      <c r="G1366" s="130"/>
      <c r="H1366" s="130"/>
      <c r="I1366" s="130"/>
      <c r="J1366" s="131"/>
    </row>
    <row r="1367" spans="1:10" ht="25.5">
      <c r="A1367" s="132" t="str">
        <f>'[3]Planilha Orçamentária'!A359</f>
        <v>1.6.7.1</v>
      </c>
      <c r="B1367" s="103">
        <f>VLOOKUP(A1367,'[3]Planilha Orçamentária'!A:K,2,0)</f>
        <v>5213416</v>
      </c>
      <c r="C1367" s="276" t="str">
        <f>VLOOKUP(A1367,'[3]Planilha Orçamentária'!A:K,3,0)</f>
        <v>Confecção de placa em aço nº 16 galvanizado, com película tipo I + I</v>
      </c>
      <c r="D1367" s="105" t="str">
        <f>VLOOKUP(A1367,'[3]Planilha Orçamentária'!A:K,4,0)</f>
        <v xml:space="preserve">M2    </v>
      </c>
      <c r="E1367" s="104"/>
      <c r="F1367" s="111"/>
      <c r="G1367" s="111"/>
      <c r="H1367" s="111"/>
      <c r="I1367" s="111"/>
      <c r="J1367" s="257">
        <f>ROUND(SUM(J1368:J1369),2)</f>
        <v>1.2</v>
      </c>
    </row>
    <row r="1368" spans="1:10" ht="25.5">
      <c r="A1368" s="293"/>
      <c r="B1368" s="407"/>
      <c r="C1368" s="244" t="s">
        <v>2228</v>
      </c>
      <c r="D1368" s="295"/>
      <c r="E1368" s="296"/>
      <c r="F1368" s="297"/>
      <c r="G1368" s="297"/>
      <c r="H1368" s="157" t="s">
        <v>2003</v>
      </c>
      <c r="I1368" s="408" t="s">
        <v>1991</v>
      </c>
      <c r="J1368" s="299"/>
    </row>
    <row r="1369" spans="1:10">
      <c r="A1369" s="293"/>
      <c r="B1369" s="407"/>
      <c r="C1369" s="343" t="s">
        <v>2229</v>
      </c>
      <c r="D1369" s="105"/>
      <c r="E1369" s="157"/>
      <c r="F1369" s="111"/>
      <c r="G1369" s="111"/>
      <c r="H1369" s="157">
        <f>ROUNDUP(((4.828427*0.35*0.35)),2)</f>
        <v>0.6</v>
      </c>
      <c r="I1369" s="157">
        <v>2</v>
      </c>
      <c r="J1369" s="158">
        <f t="shared" ref="J1369" si="84">ROUND(PRODUCT(E1369:I1369),2)</f>
        <v>1.2</v>
      </c>
    </row>
    <row r="1370" spans="1:10">
      <c r="A1370" s="556"/>
      <c r="B1370" s="557"/>
      <c r="C1370" s="557"/>
      <c r="D1370" s="557"/>
      <c r="E1370" s="557"/>
      <c r="F1370" s="557"/>
      <c r="G1370" s="557"/>
      <c r="H1370" s="557"/>
      <c r="I1370" s="557"/>
      <c r="J1370" s="557"/>
    </row>
    <row r="1371" spans="1:10" ht="25.5">
      <c r="A1371" s="132" t="str">
        <f>'[3]Planilha Orçamentária'!A360</f>
        <v>1.6.7.2</v>
      </c>
      <c r="B1371" s="103">
        <f>VLOOKUP(A1371,'[3]Planilha Orçamentária'!A:K,2,0)</f>
        <v>5213421</v>
      </c>
      <c r="C1371" s="276" t="str">
        <f>VLOOKUP(A1371,'[3]Planilha Orçamentária'!A:K,3,0)</f>
        <v>Confecção de placa em aço nº 16 galvanizado, com película tipo I + IV</v>
      </c>
      <c r="D1371" s="105" t="str">
        <f>VLOOKUP(A1371,'[3]Planilha Orçamentária'!A:K,4,0)</f>
        <v xml:space="preserve">M2    </v>
      </c>
      <c r="E1371" s="104"/>
      <c r="F1371" s="111"/>
      <c r="G1371" s="111"/>
      <c r="H1371" s="111"/>
      <c r="I1371" s="111"/>
      <c r="J1371" s="107">
        <f>ROUND(SUM(J1372:J1374),2)</f>
        <v>3.6</v>
      </c>
    </row>
    <row r="1372" spans="1:10" ht="25.5">
      <c r="A1372" s="138"/>
      <c r="B1372" s="138"/>
      <c r="C1372" s="244" t="s">
        <v>2228</v>
      </c>
      <c r="D1372" s="307"/>
      <c r="E1372" s="313"/>
      <c r="F1372" s="116"/>
      <c r="G1372" s="116"/>
      <c r="H1372" s="157" t="s">
        <v>2003</v>
      </c>
      <c r="I1372" s="408" t="s">
        <v>1991</v>
      </c>
      <c r="J1372" s="118"/>
    </row>
    <row r="1373" spans="1:10">
      <c r="A1373" s="314"/>
      <c r="B1373" s="314"/>
      <c r="C1373" s="244" t="s">
        <v>2079</v>
      </c>
      <c r="D1373" s="307"/>
      <c r="E1373" s="116"/>
      <c r="F1373" s="116"/>
      <c r="G1373" s="116"/>
      <c r="H1373" s="116">
        <v>0.2</v>
      </c>
      <c r="I1373" s="157">
        <v>8</v>
      </c>
      <c r="J1373" s="118">
        <f>ROUND(PRODUCT(E1373:I1373),2)</f>
        <v>1.6</v>
      </c>
    </row>
    <row r="1374" spans="1:10">
      <c r="A1374" s="314"/>
      <c r="B1374" s="314"/>
      <c r="C1374" s="409" t="s">
        <v>2230</v>
      </c>
      <c r="D1374" s="303"/>
      <c r="E1374" s="304"/>
      <c r="F1374" s="304"/>
      <c r="G1374" s="304"/>
      <c r="H1374" s="304">
        <f>0.5*0.5</f>
        <v>0.25</v>
      </c>
      <c r="I1374" s="410">
        <v>8</v>
      </c>
      <c r="J1374" s="118">
        <f t="shared" ref="J1374" si="85">ROUND(PRODUCT(E1374:I1374),2)</f>
        <v>2</v>
      </c>
    </row>
    <row r="1375" spans="1:10">
      <c r="A1375" s="524"/>
      <c r="B1375" s="524"/>
      <c r="C1375" s="524"/>
      <c r="D1375" s="524"/>
      <c r="E1375" s="524"/>
      <c r="F1375" s="524"/>
      <c r="G1375" s="524"/>
      <c r="H1375" s="524"/>
      <c r="I1375" s="524"/>
      <c r="J1375" s="525"/>
    </row>
    <row r="1376" spans="1:10" ht="38.25">
      <c r="A1376" s="132" t="str">
        <f>'[3]Planilha Orçamentária'!A361</f>
        <v>1.6.7.3</v>
      </c>
      <c r="B1376" s="103">
        <f>VLOOKUP(A1376,'[3]Planilha Orçamentária'!A:K,2,0)</f>
        <v>5216111</v>
      </c>
      <c r="C1376" s="276" t="str">
        <f>VLOOKUP(A1376,'[3]Planilha Orçamentária'!A:K,3,0)</f>
        <v>FORNECIMENTO E IMPLANTAÇÃO DE SUPORTE E TRAVESSA PARA PLACA DE SINALIZAÇÃO EM MADEIRA DE LEI TRATADA 8 X 8 CM</v>
      </c>
      <c r="D1376" s="105" t="str">
        <f>VLOOKUP(A1376,'[3]Planilha Orçamentária'!A:K,4,0)</f>
        <v>UND</v>
      </c>
      <c r="E1376" s="104"/>
      <c r="F1376" s="111"/>
      <c r="G1376" s="111"/>
      <c r="H1376" s="111"/>
      <c r="I1376" s="111"/>
      <c r="J1376" s="107">
        <f>ROUND(SUM(J1378:J1378),2)</f>
        <v>10</v>
      </c>
    </row>
    <row r="1377" spans="1:10">
      <c r="A1377" s="251"/>
      <c r="B1377" s="252"/>
      <c r="C1377" s="244" t="s">
        <v>2228</v>
      </c>
      <c r="D1377" s="105"/>
      <c r="E1377" s="104"/>
      <c r="F1377" s="111"/>
      <c r="G1377" s="111"/>
      <c r="H1377" s="111"/>
      <c r="I1377" s="106" t="s">
        <v>1446</v>
      </c>
      <c r="J1377" s="257"/>
    </row>
    <row r="1378" spans="1:10">
      <c r="A1378" s="314"/>
      <c r="B1378" s="314"/>
      <c r="C1378" s="244" t="s">
        <v>2046</v>
      </c>
      <c r="D1378" s="307"/>
      <c r="E1378" s="313"/>
      <c r="F1378" s="116"/>
      <c r="G1378" s="116"/>
      <c r="H1378" s="157"/>
      <c r="I1378" s="157">
        <v>10</v>
      </c>
      <c r="J1378" s="306">
        <f>ROUND(PRODUCT(E1378:I1378),2)</f>
        <v>10</v>
      </c>
    </row>
    <row r="1379" spans="1:10">
      <c r="A1379" s="523"/>
      <c r="B1379" s="524"/>
      <c r="C1379" s="524"/>
      <c r="D1379" s="524"/>
      <c r="E1379" s="524"/>
      <c r="F1379" s="524"/>
      <c r="G1379" s="524"/>
      <c r="H1379" s="524"/>
      <c r="I1379" s="524"/>
      <c r="J1379" s="525"/>
    </row>
    <row r="1380" spans="1:10" ht="25.5">
      <c r="A1380" s="251" t="str">
        <f>'[3]Planilha Orçamentária'!A362</f>
        <v>1.6.7.4</v>
      </c>
      <c r="B1380" s="252" t="str">
        <f>VLOOKUP(A1380,'[3]Planilha Orçamentária'!A:K,2,0)</f>
        <v>COMP-58084869</v>
      </c>
      <c r="C1380" s="253" t="str">
        <f>VLOOKUP(A1380,'[3]Planilha Orçamentária'!A:K,3,0)</f>
        <v>PLACA ESMALTADA PARA IDENTIFICAÇÃO NR DE RUA, DIMENSÕES 45X25CM</v>
      </c>
      <c r="D1380" s="254" t="str">
        <f>VLOOKUP(A1380,'[3]Planilha Orçamentária'!A:K,4,0)</f>
        <v>UND</v>
      </c>
      <c r="E1380" s="255"/>
      <c r="F1380" s="256"/>
      <c r="G1380" s="256"/>
      <c r="H1380" s="256"/>
      <c r="I1380" s="256"/>
      <c r="J1380" s="257">
        <f>ROUND(SUM(J1381:J1382),2)</f>
        <v>4</v>
      </c>
    </row>
    <row r="1381" spans="1:10">
      <c r="A1381" s="132"/>
      <c r="B1381" s="108"/>
      <c r="C1381" s="244" t="s">
        <v>2228</v>
      </c>
      <c r="D1381" s="105"/>
      <c r="E1381" s="104"/>
      <c r="F1381" s="111"/>
      <c r="G1381" s="111"/>
      <c r="H1381" s="111"/>
      <c r="I1381" s="106" t="s">
        <v>1446</v>
      </c>
      <c r="J1381" s="122"/>
    </row>
    <row r="1382" spans="1:10">
      <c r="A1382" s="132"/>
      <c r="B1382" s="108"/>
      <c r="C1382" s="244" t="s">
        <v>2046</v>
      </c>
      <c r="D1382" s="105"/>
      <c r="E1382" s="104"/>
      <c r="F1382" s="111"/>
      <c r="G1382" s="111"/>
      <c r="H1382" s="111"/>
      <c r="I1382" s="157">
        <v>4</v>
      </c>
      <c r="J1382" s="306">
        <f>ROUND(PRODUCT(E1382:I1382),2)</f>
        <v>4</v>
      </c>
    </row>
    <row r="1383" spans="1:10">
      <c r="A1383" s="559"/>
      <c r="B1383" s="560"/>
      <c r="C1383" s="560"/>
      <c r="D1383" s="560"/>
      <c r="E1383" s="560"/>
      <c r="F1383" s="560"/>
      <c r="G1383" s="560"/>
      <c r="H1383" s="560"/>
      <c r="I1383" s="560"/>
      <c r="J1383" s="560"/>
    </row>
    <row r="1384" spans="1:10" ht="38.25">
      <c r="A1384" s="145" t="str">
        <f>'[3]Planilha Orçamentária'!A363</f>
        <v>1.6.7.5</v>
      </c>
      <c r="B1384" s="146" t="str">
        <f>VLOOKUP(A1384,'[3]Planilha Orçamentária'!A:K,2,0)</f>
        <v>CP-72947-21572945</v>
      </c>
      <c r="C1384" s="411" t="str">
        <f>VLOOKUP(A1384,'[3]Planilha Orçamentária'!A:K,3,0)</f>
        <v>SINALIZACAO HORIZONTAL COM TINTA RETRORREFLETIVA A BASE DE RESINA ACRILICA COM MICROESFERAS DE VIDRO</v>
      </c>
      <c r="D1384" s="148" t="str">
        <f>VLOOKUP(A1384,'[3]Planilha Orçamentária'!A:K,4,0)</f>
        <v>M2</v>
      </c>
      <c r="E1384" s="147"/>
      <c r="F1384" s="160"/>
      <c r="G1384" s="160"/>
      <c r="H1384" s="160"/>
      <c r="I1384" s="160"/>
      <c r="J1384" s="150">
        <f>ROUND(SUM(J1386:J1386),2)</f>
        <v>6.48</v>
      </c>
    </row>
    <row r="1385" spans="1:10">
      <c r="A1385" s="151"/>
      <c r="B1385" s="152"/>
      <c r="C1385" s="244" t="s">
        <v>2228</v>
      </c>
      <c r="D1385" s="148"/>
      <c r="E1385" s="147"/>
      <c r="F1385" s="161"/>
      <c r="G1385" s="160"/>
      <c r="H1385" s="160"/>
      <c r="I1385" s="106" t="s">
        <v>2003</v>
      </c>
      <c r="J1385" s="150"/>
    </row>
    <row r="1386" spans="1:10">
      <c r="A1386" s="314"/>
      <c r="B1386" s="314"/>
      <c r="C1386" s="244" t="s">
        <v>2046</v>
      </c>
      <c r="D1386" s="262"/>
      <c r="E1386" s="358"/>
      <c r="F1386" s="157"/>
      <c r="G1386" s="157"/>
      <c r="H1386" s="157"/>
      <c r="I1386" s="157">
        <v>6.48</v>
      </c>
      <c r="J1386" s="128">
        <f>ROUND(PRODUCT(E1386:I1386),2)</f>
        <v>6.48</v>
      </c>
    </row>
    <row r="1387" spans="1:10">
      <c r="A1387" s="524"/>
      <c r="B1387" s="524"/>
      <c r="C1387" s="524"/>
      <c r="D1387" s="524"/>
      <c r="E1387" s="524"/>
      <c r="F1387" s="524"/>
      <c r="G1387" s="524"/>
      <c r="H1387" s="524"/>
      <c r="I1387" s="524"/>
      <c r="J1387" s="525"/>
    </row>
    <row r="1388" spans="1:10">
      <c r="A1388" s="94" t="str">
        <f>'[3]Planilha Orçamentária'!A364</f>
        <v>1.6.8</v>
      </c>
      <c r="B1388" s="95"/>
      <c r="C1388" s="96" t="str">
        <f>VLOOKUP(A1388,'[3]Planilha Orçamentária'!A:K,3,0)</f>
        <v>MATERIAIS</v>
      </c>
      <c r="D1388" s="96"/>
      <c r="E1388" s="129"/>
      <c r="F1388" s="130"/>
      <c r="G1388" s="130"/>
      <c r="H1388" s="130"/>
      <c r="I1388" s="130"/>
      <c r="J1388" s="131"/>
    </row>
    <row r="1389" spans="1:10" ht="51">
      <c r="A1389" s="145" t="str">
        <f>'[3]Planilha Orçamentária'!A365</f>
        <v>1.6.8.1</v>
      </c>
      <c r="B1389" s="146">
        <f>VLOOKUP(A1389,'[3]Planilha Orçamentária'!A:K,2,0)</f>
        <v>10775</v>
      </c>
      <c r="C1389" s="147" t="str">
        <f>VLOOKUP(A1389,'[3]Planilha Orçamentária'!A:K,3,0)</f>
        <v xml:space="preserve">LOCACAO DE CONTAINER 2,30 X 6,00 M, ALT. 2,50 M, COM 1 SANITARIO, PARA ESCRITORIO, COMPLETO, SEM DIVISORIAS INTERNAS (NAO INCLUI MOBILIZACAO/DESMOBILIZACAO)                                                                                                                                                                                                                                                                                                                                              </v>
      </c>
      <c r="D1389" s="148" t="str">
        <f>VLOOKUP(A1389,'[3]Planilha Orçamentária'!A:K,4,0)</f>
        <v xml:space="preserve">MES   </v>
      </c>
      <c r="E1389" s="147"/>
      <c r="F1389" s="160"/>
      <c r="G1389" s="160"/>
      <c r="H1389" s="160"/>
      <c r="I1389" s="160"/>
      <c r="J1389" s="218">
        <f>ROUND(SUM(J1391:J1391),2)</f>
        <v>6</v>
      </c>
    </row>
    <row r="1390" spans="1:10" ht="25.5">
      <c r="A1390" s="151"/>
      <c r="B1390" s="152"/>
      <c r="C1390" s="168"/>
      <c r="D1390" s="166"/>
      <c r="E1390" s="168"/>
      <c r="F1390" s="320"/>
      <c r="G1390" s="149"/>
      <c r="H1390" s="149"/>
      <c r="I1390" s="106" t="s">
        <v>1992</v>
      </c>
      <c r="J1390" s="321"/>
    </row>
    <row r="1391" spans="1:10">
      <c r="A1391" s="123"/>
      <c r="B1391" s="123"/>
      <c r="C1391" s="155"/>
      <c r="D1391" s="185"/>
      <c r="E1391" s="116"/>
      <c r="F1391" s="126"/>
      <c r="G1391" s="116"/>
      <c r="H1391" s="116"/>
      <c r="I1391" s="116">
        <f>I1219</f>
        <v>6</v>
      </c>
      <c r="J1391" s="128">
        <f>ROUND(PRODUCT(E1391:I1391),2)</f>
        <v>6</v>
      </c>
    </row>
    <row r="1392" spans="1:10">
      <c r="A1392" s="531"/>
      <c r="B1392" s="531"/>
      <c r="C1392" s="531"/>
      <c r="D1392" s="531"/>
      <c r="E1392" s="531"/>
      <c r="F1392" s="531"/>
      <c r="G1392" s="531"/>
      <c r="H1392" s="531"/>
      <c r="I1392" s="531"/>
      <c r="J1392" s="531"/>
    </row>
    <row r="1393" spans="1:10" ht="38.25">
      <c r="A1393" s="145" t="str">
        <f>'[3]Planilha Orçamentária'!A366</f>
        <v>1.6.8.2</v>
      </c>
      <c r="B1393" s="146">
        <f>VLOOKUP(A1393,'[3]Planilha Orçamentária'!A:K,2,0)</f>
        <v>10776</v>
      </c>
      <c r="C1393" s="147" t="str">
        <f>VLOOKUP(A1393,'[3]Planilha Orçamentária'!A:K,3,0)</f>
        <v xml:space="preserve">LOCACAO DE CONTAINER 2,30 X 6,00 M, ALT. 2,50 M, PARA ESCRITORIO, SEM DIVISORIAS INTERNAS E SEM SANITARIO (NAO INCLUI MOBILIZACAO/DESMOBILIZACAO)                                                                                                                                                                                                                                                                                                                                                         </v>
      </c>
      <c r="D1393" s="148" t="str">
        <f>VLOOKUP(A1393,'[3]Planilha Orçamentária'!A:K,4,0)</f>
        <v xml:space="preserve">MES   </v>
      </c>
      <c r="E1393" s="147"/>
      <c r="F1393" s="160"/>
      <c r="G1393" s="160"/>
      <c r="H1393" s="160"/>
      <c r="I1393" s="160"/>
      <c r="J1393" s="218">
        <f>ROUND(SUM(J1395:J1395),2)</f>
        <v>6</v>
      </c>
    </row>
    <row r="1394" spans="1:10" ht="25.5">
      <c r="A1394" s="151"/>
      <c r="B1394" s="152"/>
      <c r="C1394" s="168"/>
      <c r="D1394" s="166"/>
      <c r="E1394" s="168"/>
      <c r="F1394" s="320"/>
      <c r="G1394" s="149"/>
      <c r="H1394" s="149"/>
      <c r="I1394" s="106" t="s">
        <v>1992</v>
      </c>
      <c r="J1394" s="321"/>
    </row>
    <row r="1395" spans="1:10">
      <c r="A1395" s="123"/>
      <c r="B1395" s="123"/>
      <c r="C1395" s="155"/>
      <c r="D1395" s="185"/>
      <c r="E1395" s="116"/>
      <c r="F1395" s="126"/>
      <c r="G1395" s="116"/>
      <c r="H1395" s="116"/>
      <c r="I1395" s="116">
        <f>I1391</f>
        <v>6</v>
      </c>
      <c r="J1395" s="128">
        <f>ROUND(PRODUCT(E1395:I1395),2)</f>
        <v>6</v>
      </c>
    </row>
    <row r="1396" spans="1:10">
      <c r="A1396" s="531"/>
      <c r="B1396" s="531"/>
      <c r="C1396" s="531"/>
      <c r="D1396" s="531"/>
      <c r="E1396" s="531"/>
      <c r="F1396" s="531"/>
      <c r="G1396" s="531"/>
      <c r="H1396" s="531"/>
      <c r="I1396" s="531"/>
      <c r="J1396" s="531"/>
    </row>
    <row r="1397" spans="1:10" ht="63.75">
      <c r="A1397" s="177" t="str">
        <f>'[3]Planilha Orçamentária'!A367</f>
        <v>1.6.8.3</v>
      </c>
      <c r="B1397" s="178">
        <f>VLOOKUP(A1397,'[3]Planilha Orçamentária'!A:K,2,0)</f>
        <v>36170</v>
      </c>
      <c r="C1397" s="179" t="str">
        <f>VLOOKUP(A1397,'[3]Planilha Orçamentária'!A:K,3,0)</f>
        <v xml:space="preserve">BLOQUETE/PISO INTERTRAVADO DE CONCRETO - MODELO ONDA/16 FACES/RETANGULAR/TIJOLINHO/PAVER/HOLANDES/PARALELEPIPEDO, *22 CM X 11* CM, E = 8 CM, RESISTENCIA DE 35 MPA (NBR 9781), COR NATURAL                                                                                                                                                                                                                                                                                                                </v>
      </c>
      <c r="D1397" s="180" t="str">
        <f>VLOOKUP(A1397,'[3]Planilha Orçamentária'!A:K,4,0)</f>
        <v xml:space="preserve">M2    </v>
      </c>
      <c r="E1397" s="179"/>
      <c r="F1397" s="181"/>
      <c r="G1397" s="181"/>
      <c r="H1397" s="181"/>
      <c r="I1397" s="181"/>
      <c r="J1397" s="412">
        <f>ROUND(SUM(J1398:J1399),2)</f>
        <v>2231.6</v>
      </c>
    </row>
    <row r="1398" spans="1:10">
      <c r="A1398" s="174"/>
      <c r="B1398" s="363"/>
      <c r="C1398" s="159" t="s">
        <v>2212</v>
      </c>
      <c r="D1398" s="156"/>
      <c r="E1398" s="106" t="s">
        <v>1193</v>
      </c>
      <c r="F1398" s="106"/>
      <c r="G1398" s="157"/>
      <c r="H1398" s="157"/>
      <c r="I1398" s="157" t="s">
        <v>2003</v>
      </c>
      <c r="J1398" s="158"/>
    </row>
    <row r="1399" spans="1:10">
      <c r="A1399" s="174"/>
      <c r="B1399" s="363"/>
      <c r="C1399" s="324" t="s">
        <v>2231</v>
      </c>
      <c r="D1399" s="137"/>
      <c r="E1399" s="174">
        <v>1.0130999999999999</v>
      </c>
      <c r="F1399" s="106"/>
      <c r="G1399" s="157"/>
      <c r="H1399" s="157"/>
      <c r="I1399" s="157">
        <f>SUM(J1290:J1292)</f>
        <v>2202.7400000000002</v>
      </c>
      <c r="J1399" s="158">
        <f>ROUND(PRODUCT(E1399:I1399),2)</f>
        <v>2231.6</v>
      </c>
    </row>
    <row r="1400" spans="1:10">
      <c r="A1400" s="564"/>
      <c r="B1400" s="564"/>
      <c r="C1400" s="564"/>
      <c r="D1400" s="564"/>
      <c r="E1400" s="564"/>
      <c r="F1400" s="564"/>
      <c r="G1400" s="564"/>
      <c r="H1400" s="564"/>
      <c r="I1400" s="564"/>
      <c r="J1400" s="564"/>
    </row>
    <row r="1401" spans="1:10" ht="63.75">
      <c r="A1401" s="177" t="str">
        <f>'[3]Planilha Orçamentária'!A368</f>
        <v>1.6.8.4</v>
      </c>
      <c r="B1401" s="178">
        <f>VLOOKUP(A1401,'[3]Planilha Orçamentária'!A:K,2,0)</f>
        <v>36154</v>
      </c>
      <c r="C1401" s="179" t="str">
        <f>VLOOKUP(A1401,'[3]Planilha Orçamentária'!A:K,3,0)</f>
        <v xml:space="preserve">BLOQUETE/PISO INTERTRAVADO DE CONCRETO - MODELO ONDA/16 FACES/RETANGULAR/TIJOLINHO/PAVER/HOLANDES/PARALELEPIPEDO, 20 CM X 10 CM, E = 8 CM, RESISTENCIA DE 35 MPA (NBR 9781), COLORIDO                                                                                                                                                                                                                                                                                                                     </v>
      </c>
      <c r="D1401" s="180" t="str">
        <f>VLOOKUP(A1401,'[3]Planilha Orçamentária'!A:K,4,0)</f>
        <v xml:space="preserve">M2    </v>
      </c>
      <c r="E1401" s="179"/>
      <c r="F1401" s="181"/>
      <c r="G1401" s="181"/>
      <c r="H1401" s="181"/>
      <c r="I1401" s="181"/>
      <c r="J1401" s="122">
        <f>ROUND(SUM(J1402:J1404),2)</f>
        <v>815.39</v>
      </c>
    </row>
    <row r="1402" spans="1:10">
      <c r="A1402" s="174"/>
      <c r="B1402" s="363"/>
      <c r="C1402" s="159" t="s">
        <v>2212</v>
      </c>
      <c r="D1402" s="156"/>
      <c r="E1402" s="106" t="s">
        <v>1193</v>
      </c>
      <c r="F1402" s="106"/>
      <c r="G1402" s="157"/>
      <c r="H1402" s="157"/>
      <c r="I1402" s="157" t="s">
        <v>2003</v>
      </c>
      <c r="J1402" s="158"/>
    </row>
    <row r="1403" spans="1:10">
      <c r="A1403" s="174"/>
      <c r="B1403" s="363"/>
      <c r="C1403" s="324" t="s">
        <v>2231</v>
      </c>
      <c r="D1403" s="137"/>
      <c r="E1403" s="174">
        <v>1.0130999999999999</v>
      </c>
      <c r="F1403" s="106"/>
      <c r="G1403" s="157"/>
      <c r="H1403" s="157"/>
      <c r="I1403" s="157">
        <f>J1293</f>
        <v>804.85</v>
      </c>
      <c r="J1403" s="158">
        <f t="shared" ref="J1403" si="86">ROUND(PRODUCT(E1403:I1403),2)</f>
        <v>815.39</v>
      </c>
    </row>
    <row r="1404" spans="1:10">
      <c r="A1404" s="174"/>
      <c r="B1404" s="363"/>
      <c r="C1404" s="247"/>
      <c r="D1404" s="156"/>
      <c r="E1404" s="157"/>
      <c r="F1404" s="106"/>
      <c r="G1404" s="157"/>
      <c r="H1404" s="157"/>
      <c r="I1404" s="157"/>
      <c r="J1404" s="158"/>
    </row>
    <row r="1405" spans="1:10">
      <c r="A1405" s="532"/>
      <c r="B1405" s="533"/>
      <c r="C1405" s="533"/>
      <c r="D1405" s="533"/>
      <c r="E1405" s="533"/>
      <c r="F1405" s="533"/>
      <c r="G1405" s="533"/>
      <c r="H1405" s="533"/>
      <c r="I1405" s="533"/>
      <c r="J1405" s="534"/>
    </row>
    <row r="1406" spans="1:10">
      <c r="A1406" s="177" t="str">
        <f>'[3]Planilha Orçamentária'!A369</f>
        <v>1.6.8.5</v>
      </c>
      <c r="B1406" s="178" t="str">
        <f>VLOOKUP(A1406,'[3]Planilha Orçamentária'!A:K,2,0)</f>
        <v>INS-185032</v>
      </c>
      <c r="C1406" s="179" t="str">
        <f>VLOOKUP(A1406,'[3]Planilha Orçamentária'!A:K,3,0)</f>
        <v>BRITA GRADUADA SIMPLES (BGS)</v>
      </c>
      <c r="D1406" s="180" t="str">
        <f>VLOOKUP(A1406,'[3]Planilha Orçamentária'!A:K,4,0)</f>
        <v>M3</v>
      </c>
      <c r="E1406" s="179"/>
      <c r="F1406" s="181"/>
      <c r="G1406" s="181"/>
      <c r="H1406" s="181"/>
      <c r="I1406" s="181"/>
      <c r="J1406" s="122">
        <f>ROUND(SUM(J1407:J1408),2)</f>
        <v>610.41</v>
      </c>
    </row>
    <row r="1407" spans="1:10">
      <c r="A1407" s="174"/>
      <c r="B1407" s="174"/>
      <c r="C1407" s="159" t="s">
        <v>2212</v>
      </c>
      <c r="D1407" s="174"/>
      <c r="E1407" s="106" t="s">
        <v>1193</v>
      </c>
      <c r="F1407" s="174"/>
      <c r="G1407" s="174"/>
      <c r="H1407" s="174"/>
      <c r="I1407" s="174" t="s">
        <v>2007</v>
      </c>
      <c r="J1407" s="174"/>
    </row>
    <row r="1408" spans="1:10">
      <c r="A1408" s="174"/>
      <c r="B1408" s="174"/>
      <c r="C1408" s="324" t="s">
        <v>2084</v>
      </c>
      <c r="D1408" s="137"/>
      <c r="E1408" s="325">
        <v>1</v>
      </c>
      <c r="F1408" s="174"/>
      <c r="G1408" s="174"/>
      <c r="H1408" s="174"/>
      <c r="I1408" s="286">
        <f>J1274</f>
        <v>610.41</v>
      </c>
      <c r="J1408" s="158">
        <f t="shared" ref="J1408" si="87">ROUND(PRODUCT(E1408:I1408),2)</f>
        <v>610.41</v>
      </c>
    </row>
    <row r="1409" spans="1:10">
      <c r="A1409" s="175"/>
      <c r="B1409" s="197"/>
      <c r="C1409" s="197"/>
      <c r="D1409" s="197"/>
      <c r="E1409" s="197"/>
      <c r="F1409" s="197"/>
      <c r="G1409" s="197"/>
      <c r="H1409" s="197"/>
      <c r="I1409" s="197"/>
      <c r="J1409" s="197"/>
    </row>
    <row r="1410" spans="1:10" ht="38.25">
      <c r="A1410" s="177" t="str">
        <f>'[3]Planilha Orçamentária'!A370</f>
        <v>1.6.8.6</v>
      </c>
      <c r="B1410" s="178">
        <f>VLOOKUP(A1410,'[3]Planilha Orçamentária'!A:K,2,0)</f>
        <v>1345</v>
      </c>
      <c r="C1410" s="179" t="str">
        <f>VLOOKUP(A1410,'[3]Planilha Orçamentária'!A:K,3,0)</f>
        <v xml:space="preserve">CHAPA/PAINEL DE MADEIRA COMPENSADA PLASTIFICADA (MADEIRITE PLASTIFICADO) PARA FORMA DE CONCRETO, DE 2200 x 1100 MM, E = *17* MM                                                                                                                                                                                                                                                                                                                                                                           </v>
      </c>
      <c r="D1410" s="180" t="str">
        <f>VLOOKUP(A1410,'[3]Planilha Orçamentária'!A:K,4,0)</f>
        <v xml:space="preserve">M2    </v>
      </c>
      <c r="E1410" s="179"/>
      <c r="F1410" s="181"/>
      <c r="G1410" s="181"/>
      <c r="H1410" s="181"/>
      <c r="I1410" s="181"/>
      <c r="J1410" s="122">
        <f>ROUND(SUM(J1411:J1412),2)</f>
        <v>160.22</v>
      </c>
    </row>
    <row r="1411" spans="1:10">
      <c r="A1411" s="174"/>
      <c r="B1411" s="174"/>
      <c r="C1411" s="159"/>
      <c r="D1411" s="174"/>
      <c r="E1411" s="137" t="s">
        <v>2085</v>
      </c>
      <c r="F1411" s="174"/>
      <c r="G1411" s="174"/>
      <c r="H1411" s="174"/>
      <c r="I1411" s="174" t="s">
        <v>2003</v>
      </c>
      <c r="J1411" s="174"/>
    </row>
    <row r="1412" spans="1:10">
      <c r="A1412" s="174"/>
      <c r="B1412" s="174"/>
      <c r="C1412" s="324" t="s">
        <v>2089</v>
      </c>
      <c r="D1412" s="137"/>
      <c r="E1412" s="325">
        <v>1.05</v>
      </c>
      <c r="F1412" s="174"/>
      <c r="G1412" s="174"/>
      <c r="H1412" s="174"/>
      <c r="I1412" s="286">
        <f>J1342</f>
        <v>152.59</v>
      </c>
      <c r="J1412" s="158">
        <f t="shared" ref="J1412" si="88">ROUND(PRODUCT(E1412:I1412),2)</f>
        <v>160.22</v>
      </c>
    </row>
    <row r="1413" spans="1:10">
      <c r="A1413" s="175"/>
      <c r="B1413" s="197"/>
      <c r="C1413" s="197"/>
      <c r="D1413" s="197"/>
      <c r="E1413" s="197"/>
      <c r="F1413" s="197"/>
      <c r="G1413" s="197"/>
      <c r="H1413" s="197"/>
      <c r="I1413" s="197"/>
      <c r="J1413" s="197"/>
    </row>
    <row r="1414" spans="1:10">
      <c r="A1414" s="93" t="str">
        <f>'[4]Planilha Orçamentária'!A371</f>
        <v>1.7</v>
      </c>
      <c r="B1414" s="526" t="str">
        <f>VLOOKUP(A1414,'[3]Planilha Orçamentária'!A:K,3,0)</f>
        <v>RUA TALCI - DOIS CARNEIROS</v>
      </c>
      <c r="C1414" s="527"/>
      <c r="D1414" s="527"/>
      <c r="E1414" s="527"/>
      <c r="F1414" s="527"/>
      <c r="G1414" s="527"/>
      <c r="H1414" s="527"/>
      <c r="I1414" s="527"/>
      <c r="J1414" s="527"/>
    </row>
    <row r="1415" spans="1:10">
      <c r="A1415" s="94" t="str">
        <f>'[3]Planilha Orçamentária'!A372</f>
        <v>1.7.1</v>
      </c>
      <c r="B1415" s="95"/>
      <c r="C1415" s="96" t="str">
        <f>VLOOKUP(A1415,'[3]Planilha Orçamentária'!A:K,3,0)</f>
        <v>INSTALAÇÕES PROVISÓRIAS</v>
      </c>
      <c r="D1415" s="97"/>
      <c r="E1415" s="98"/>
      <c r="F1415" s="99"/>
      <c r="G1415" s="99"/>
      <c r="H1415" s="99"/>
      <c r="I1415" s="100"/>
      <c r="J1415" s="101"/>
    </row>
    <row r="1416" spans="1:10" ht="25.5">
      <c r="A1416" s="102" t="str">
        <f>'[3]Planilha Orçamentária'!A373</f>
        <v>1.7.1.1</v>
      </c>
      <c r="B1416" s="103" t="str">
        <f>VLOOKUP(A1416,'[3]Planilha Orçamentária'!A:K,2,0)</f>
        <v>CP-74209/001-15055090</v>
      </c>
      <c r="C1416" s="104" t="str">
        <f>VLOOKUP(A1416,'[3]Planilha Orçamentária'!A:K,3,0)</f>
        <v>PLACA DE OBRA EM CHAPA DE ACO GALVANIZADO</v>
      </c>
      <c r="D1416" s="105" t="str">
        <f>VLOOKUP(A1416,'[3]Planilha Orçamentária'!A:K,4,0)</f>
        <v xml:space="preserve">M2    </v>
      </c>
      <c r="E1416" s="104"/>
      <c r="F1416" s="106" t="s">
        <v>1989</v>
      </c>
      <c r="G1416" s="106" t="s">
        <v>1990</v>
      </c>
      <c r="H1416" s="106"/>
      <c r="I1416" s="106" t="s">
        <v>1991</v>
      </c>
      <c r="J1416" s="107">
        <f>ROUND(SUM(J1418:J1418),2)</f>
        <v>8</v>
      </c>
    </row>
    <row r="1417" spans="1:10">
      <c r="A1417" s="102"/>
      <c r="B1417" s="103"/>
      <c r="C1417" s="110"/>
      <c r="D1417" s="109"/>
      <c r="E1417" s="110"/>
      <c r="F1417" s="111"/>
      <c r="G1417" s="111"/>
      <c r="H1417" s="111"/>
      <c r="I1417" s="111"/>
      <c r="J1417" s="107"/>
    </row>
    <row r="1418" spans="1:10">
      <c r="A1418" s="102"/>
      <c r="B1418" s="123"/>
      <c r="C1418" s="328"/>
      <c r="D1418" s="114"/>
      <c r="E1418" s="115"/>
      <c r="F1418" s="116">
        <v>2</v>
      </c>
      <c r="G1418" s="116">
        <v>4</v>
      </c>
      <c r="H1418" s="117"/>
      <c r="I1418" s="116">
        <v>1</v>
      </c>
      <c r="J1418" s="118">
        <f>ROUND(PRODUCT(E1418:I1418),2)</f>
        <v>8</v>
      </c>
    </row>
    <row r="1419" spans="1:10">
      <c r="A1419" s="553"/>
      <c r="B1419" s="554"/>
      <c r="C1419" s="554"/>
      <c r="D1419" s="554"/>
      <c r="E1419" s="554"/>
      <c r="F1419" s="554"/>
      <c r="G1419" s="554"/>
      <c r="H1419" s="554"/>
      <c r="I1419" s="554"/>
      <c r="J1419" s="555"/>
    </row>
    <row r="1420" spans="1:10" ht="25.5">
      <c r="A1420" s="102" t="str">
        <f>'[3]Planilha Orçamentária'!A374</f>
        <v>1.7.1.2</v>
      </c>
      <c r="B1420" s="108" t="str">
        <f>VLOOKUP(A1420,'[3]Planilha Orçamentária'!A:K,2,0)</f>
        <v>COMP-07440249</v>
      </c>
      <c r="C1420" s="104" t="str">
        <f>VLOOKUP(A1420,'[3]Planilha Orçamentária'!A:K,3,0)</f>
        <v>BANHEIRO QUÍMICO, COM LOCAÇÃO, TRANSPORTE E LIMPEZA</v>
      </c>
      <c r="D1420" s="105" t="str">
        <f>VLOOKUP(A1420,'[3]Planilha Orçamentária'!A:K,4,0)</f>
        <v>MÊS</v>
      </c>
      <c r="E1420" s="104"/>
      <c r="F1420" s="111"/>
      <c r="G1420" s="111"/>
      <c r="H1420" s="111"/>
      <c r="I1420" s="111"/>
      <c r="J1420" s="122">
        <f>ROUND(SUM(J1422:J1422),2)</f>
        <v>2</v>
      </c>
    </row>
    <row r="1421" spans="1:10" ht="25.5">
      <c r="A1421" s="102"/>
      <c r="B1421" s="108"/>
      <c r="C1421" s="104"/>
      <c r="D1421" s="105"/>
      <c r="E1421" s="104"/>
      <c r="F1421" s="111"/>
      <c r="G1421" s="111"/>
      <c r="H1421" s="111"/>
      <c r="I1421" s="106" t="s">
        <v>1992</v>
      </c>
      <c r="J1421" s="122"/>
    </row>
    <row r="1422" spans="1:10">
      <c r="A1422" s="102"/>
      <c r="B1422" s="123"/>
      <c r="C1422" s="124"/>
      <c r="D1422" s="125"/>
      <c r="E1422" s="126"/>
      <c r="F1422" s="126"/>
      <c r="G1422" s="117"/>
      <c r="H1422" s="117"/>
      <c r="I1422" s="127">
        <v>2</v>
      </c>
      <c r="J1422" s="128">
        <f>ROUND(PRODUCT(E1422:I1422),2)</f>
        <v>2</v>
      </c>
    </row>
    <row r="1423" spans="1:10">
      <c r="A1423" s="102"/>
      <c r="B1423" s="123"/>
      <c r="C1423" s="124"/>
      <c r="D1423" s="125"/>
      <c r="E1423" s="126"/>
      <c r="F1423" s="126"/>
      <c r="G1423" s="117"/>
      <c r="H1423" s="117"/>
      <c r="I1423" s="127"/>
      <c r="J1423" s="128"/>
    </row>
    <row r="1424" spans="1:10">
      <c r="A1424" s="94" t="str">
        <f>'[3]Planilha Orçamentária'!A375</f>
        <v>1.7.2</v>
      </c>
      <c r="B1424" s="95"/>
      <c r="C1424" s="96" t="str">
        <f>VLOOKUP(A1424,'[3]Planilha Orçamentária'!A:K,3,0)</f>
        <v>ADMINISTRAÇÃO LOCAL</v>
      </c>
      <c r="D1424" s="96"/>
      <c r="E1424" s="129"/>
      <c r="F1424" s="130"/>
      <c r="G1424" s="130"/>
      <c r="H1424" s="130"/>
      <c r="I1424" s="130"/>
      <c r="J1424" s="131"/>
    </row>
    <row r="1425" spans="1:10" ht="25.5">
      <c r="A1425" s="132" t="str">
        <f>'[3]Planilha Orçamentária'!A376</f>
        <v>1.7.2.1</v>
      </c>
      <c r="B1425" s="103">
        <f>VLOOKUP(A1425,'[3]Planilha Orçamentária'!A:K,2,0)</f>
        <v>93565</v>
      </c>
      <c r="C1425" s="104" t="str">
        <f>VLOOKUP(A1425,'[3]Planilha Orçamentária'!A:K,3,0)</f>
        <v>ENGENHEIRO CIVIL DE OBRA JUNIOR COM ENCARGOS COMPLEMENTARES</v>
      </c>
      <c r="D1425" s="105" t="str">
        <f>VLOOKUP(A1425,'[3]Planilha Orçamentária'!A:K,4,0)</f>
        <v>MES</v>
      </c>
      <c r="E1425" s="133"/>
      <c r="F1425" s="134"/>
      <c r="G1425" s="134"/>
      <c r="H1425" s="134"/>
      <c r="I1425" s="134"/>
      <c r="J1425" s="107">
        <f>ROUND(SUM(J1427),2)</f>
        <v>0.25</v>
      </c>
    </row>
    <row r="1426" spans="1:10" ht="14.25">
      <c r="A1426" s="132"/>
      <c r="B1426" s="103"/>
      <c r="C1426" s="135"/>
      <c r="D1426" s="105"/>
      <c r="E1426" s="133"/>
      <c r="F1426" s="136"/>
      <c r="G1426" s="136"/>
      <c r="H1426" s="136"/>
      <c r="I1426" s="136"/>
      <c r="J1426" s="107"/>
    </row>
    <row r="1427" spans="1:10" ht="14.25">
      <c r="A1427" s="137"/>
      <c r="B1427" s="138"/>
      <c r="C1427" s="135" t="s">
        <v>2232</v>
      </c>
      <c r="D1427" s="139"/>
      <c r="E1427" s="136">
        <f>22/176</f>
        <v>0.125</v>
      </c>
      <c r="F1427" s="136"/>
      <c r="G1427" s="136"/>
      <c r="H1427" s="136"/>
      <c r="I1427" s="136">
        <f>I1422</f>
        <v>2</v>
      </c>
      <c r="J1427" s="118">
        <f>ROUND(PRODUCT(E1427:I1427),2)</f>
        <v>0.25</v>
      </c>
    </row>
    <row r="1428" spans="1:10" ht="14.25">
      <c r="A1428" s="137"/>
      <c r="B1428" s="138"/>
      <c r="C1428" s="135" t="s">
        <v>1994</v>
      </c>
      <c r="D1428" s="139"/>
      <c r="E1428" s="136"/>
      <c r="F1428" s="136"/>
      <c r="G1428" s="136"/>
      <c r="H1428" s="136"/>
      <c r="I1428" s="136"/>
      <c r="J1428" s="140"/>
    </row>
    <row r="1429" spans="1:10" ht="14.25">
      <c r="A1429" s="137"/>
      <c r="B1429" s="138"/>
      <c r="C1429" s="135" t="s">
        <v>1995</v>
      </c>
      <c r="D1429" s="141"/>
      <c r="E1429" s="142"/>
      <c r="F1429" s="127"/>
      <c r="G1429" s="117"/>
      <c r="H1429" s="117"/>
      <c r="I1429" s="143"/>
      <c r="J1429" s="144"/>
    </row>
    <row r="1430" spans="1:10">
      <c r="A1430" s="531"/>
      <c r="B1430" s="531"/>
      <c r="C1430" s="531"/>
      <c r="D1430" s="531"/>
      <c r="E1430" s="531"/>
      <c r="F1430" s="531"/>
      <c r="G1430" s="531"/>
      <c r="H1430" s="531"/>
      <c r="I1430" s="531"/>
      <c r="J1430" s="531"/>
    </row>
    <row r="1431" spans="1:10" ht="25.5">
      <c r="A1431" s="132" t="str">
        <f>'[3]Planilha Orçamentária'!A377</f>
        <v>1.7.2.2</v>
      </c>
      <c r="B1431" s="103">
        <f>VLOOKUP(A1431,'[3]Planilha Orçamentária'!A:K,2,0)</f>
        <v>93572</v>
      </c>
      <c r="C1431" s="104" t="str">
        <f>VLOOKUP(A1431,'[3]Planilha Orçamentária'!A:K,3,0)</f>
        <v>ENCARREGADO GERAL DE OBRAS COM ENCARGOS COMPLEMENTARES</v>
      </c>
      <c r="D1431" s="105" t="str">
        <f>VLOOKUP(A1431,'[3]Planilha Orçamentária'!A:K,4,0)</f>
        <v>MES</v>
      </c>
      <c r="E1431" s="133"/>
      <c r="F1431" s="134"/>
      <c r="G1431" s="134"/>
      <c r="H1431" s="134"/>
      <c r="I1431" s="134"/>
      <c r="J1431" s="107">
        <f>ROUND(SUM(J1433),2)</f>
        <v>1</v>
      </c>
    </row>
    <row r="1432" spans="1:10" ht="14.25">
      <c r="A1432" s="132"/>
      <c r="B1432" s="103"/>
      <c r="C1432" s="135"/>
      <c r="D1432" s="105"/>
      <c r="E1432" s="133"/>
      <c r="F1432" s="136"/>
      <c r="G1432" s="136"/>
      <c r="H1432" s="136"/>
      <c r="I1432" s="136"/>
      <c r="J1432" s="107"/>
    </row>
    <row r="1433" spans="1:10" ht="14.25">
      <c r="A1433" s="137"/>
      <c r="B1433" s="138"/>
      <c r="C1433" s="135" t="s">
        <v>2233</v>
      </c>
      <c r="D1433" s="139"/>
      <c r="E1433" s="136">
        <f>88/176</f>
        <v>0.5</v>
      </c>
      <c r="F1433" s="136"/>
      <c r="G1433" s="136"/>
      <c r="H1433" s="136"/>
      <c r="I1433" s="136">
        <f>I1422</f>
        <v>2</v>
      </c>
      <c r="J1433" s="118">
        <f>ROUND(PRODUCT(E1433:I1433),2)</f>
        <v>1</v>
      </c>
    </row>
    <row r="1434" spans="1:10" ht="14.25">
      <c r="A1434" s="137"/>
      <c r="B1434" s="138"/>
      <c r="C1434" s="135" t="s">
        <v>1997</v>
      </c>
      <c r="D1434" s="139"/>
      <c r="E1434" s="136"/>
      <c r="F1434" s="136"/>
      <c r="G1434" s="136"/>
      <c r="H1434" s="136"/>
      <c r="I1434" s="136"/>
      <c r="J1434" s="140"/>
    </row>
    <row r="1435" spans="1:10" ht="14.25">
      <c r="A1435" s="137"/>
      <c r="B1435" s="138"/>
      <c r="C1435" s="135" t="s">
        <v>1995</v>
      </c>
      <c r="D1435" s="141"/>
      <c r="E1435" s="142"/>
      <c r="F1435" s="127"/>
      <c r="G1435" s="117"/>
      <c r="H1435" s="117"/>
      <c r="I1435" s="143"/>
      <c r="J1435" s="144"/>
    </row>
    <row r="1436" spans="1:10">
      <c r="A1436" s="531"/>
      <c r="B1436" s="531"/>
      <c r="C1436" s="531"/>
      <c r="D1436" s="531"/>
      <c r="E1436" s="531"/>
      <c r="F1436" s="531"/>
      <c r="G1436" s="531"/>
      <c r="H1436" s="531"/>
      <c r="I1436" s="531"/>
      <c r="J1436" s="531"/>
    </row>
    <row r="1437" spans="1:10">
      <c r="A1437" s="94" t="str">
        <f>'[3]Planilha Orçamentária'!A378</f>
        <v>1.7.3</v>
      </c>
      <c r="B1437" s="95"/>
      <c r="C1437" s="96" t="str">
        <f>VLOOKUP(A1437,'[3]Planilha Orçamentária'!A:K,3,0)</f>
        <v>SERVIÇOS PRELIMINARES</v>
      </c>
      <c r="D1437" s="97"/>
      <c r="E1437" s="98"/>
      <c r="F1437" s="99"/>
      <c r="G1437" s="99"/>
      <c r="H1437" s="99"/>
      <c r="I1437" s="100"/>
      <c r="J1437" s="101"/>
    </row>
    <row r="1438" spans="1:10">
      <c r="A1438" s="145" t="str">
        <f>'[3]Planilha Orçamentária'!A379</f>
        <v>1.7.3.1</v>
      </c>
      <c r="B1438" s="146">
        <f>VLOOKUP(A1438,'[3]Planilha Orçamentária'!A:K,2,0)</f>
        <v>99064</v>
      </c>
      <c r="C1438" s="147" t="str">
        <f>VLOOKUP(A1438,'[3]Planilha Orçamentária'!A:K,3,0)</f>
        <v>LOCAÇÃO DE PAVIMENTAÇÃO. AF_10/2018</v>
      </c>
      <c r="D1438" s="148" t="str">
        <f>VLOOKUP(A1438,'[3]Planilha Orçamentária'!A:K,4,0)</f>
        <v>M</v>
      </c>
      <c r="E1438" s="147"/>
      <c r="F1438" s="136"/>
      <c r="G1438" s="149"/>
      <c r="H1438" s="149"/>
      <c r="I1438" s="149"/>
      <c r="J1438" s="150">
        <f>ROUND(SUM(J1440:J1441),2)</f>
        <v>179.37</v>
      </c>
    </row>
    <row r="1439" spans="1:10">
      <c r="A1439" s="151"/>
      <c r="B1439" s="152"/>
      <c r="C1439" s="147"/>
      <c r="D1439" s="148"/>
      <c r="E1439" s="147"/>
      <c r="F1439" s="106" t="s">
        <v>1989</v>
      </c>
      <c r="G1439" s="149"/>
      <c r="H1439" s="149"/>
      <c r="I1439" s="149"/>
      <c r="J1439" s="150"/>
    </row>
    <row r="1440" spans="1:10">
      <c r="A1440" s="174"/>
      <c r="B1440" s="174"/>
      <c r="C1440" s="200" t="s">
        <v>2234</v>
      </c>
      <c r="D1440" s="156"/>
      <c r="E1440" s="157"/>
      <c r="F1440" s="136">
        <f>[3]PARÂMETROS!B516</f>
        <v>179.37</v>
      </c>
      <c r="G1440" s="157"/>
      <c r="H1440" s="157"/>
      <c r="I1440" s="157"/>
      <c r="J1440" s="158">
        <f>ROUND(PRODUCT(E1440:I1440),2)</f>
        <v>179.37</v>
      </c>
    </row>
    <row r="1441" spans="1:10">
      <c r="A1441" s="531"/>
      <c r="B1441" s="531"/>
      <c r="C1441" s="531"/>
      <c r="D1441" s="531"/>
      <c r="E1441" s="531"/>
      <c r="F1441" s="531"/>
      <c r="G1441" s="531"/>
      <c r="H1441" s="531"/>
      <c r="I1441" s="531"/>
      <c r="J1441" s="531"/>
    </row>
    <row r="1442" spans="1:10" ht="25.5">
      <c r="A1442" s="145" t="str">
        <f>'[3]Planilha Orçamentária'!A380</f>
        <v>1.7.3.2</v>
      </c>
      <c r="B1442" s="199" t="str">
        <f>VLOOKUP(A1442,'[3]Planilha Orçamentária'!A:K,2,0)</f>
        <v>COMP-17562084</v>
      </c>
      <c r="C1442" s="147" t="str">
        <f>VLOOKUP(A1442,'[3]Planilha Orçamentária'!A:K,3,0)</f>
        <v>DEMOLIÇÃO MANUAL DE CONCRETO SIMPLES</v>
      </c>
      <c r="D1442" s="148" t="str">
        <f>VLOOKUP(A1442,'[3]Planilha Orçamentária'!A:K,4,0)</f>
        <v>M3</v>
      </c>
      <c r="E1442" s="147"/>
      <c r="F1442" s="160"/>
      <c r="G1442" s="160"/>
      <c r="H1442" s="160"/>
      <c r="I1442" s="160"/>
      <c r="J1442" s="150">
        <f>ROUND(SUM(J1444),2)</f>
        <v>15.02</v>
      </c>
    </row>
    <row r="1443" spans="1:10">
      <c r="A1443" s="145"/>
      <c r="B1443" s="199"/>
      <c r="C1443" s="159" t="s">
        <v>2235</v>
      </c>
      <c r="D1443" s="148"/>
      <c r="E1443" s="147"/>
      <c r="F1443" s="160"/>
      <c r="G1443" s="160"/>
      <c r="H1443" s="161" t="s">
        <v>2002</v>
      </c>
      <c r="I1443" s="106" t="s">
        <v>2003</v>
      </c>
      <c r="J1443" s="150"/>
    </row>
    <row r="1444" spans="1:10" ht="25.5">
      <c r="A1444" s="145"/>
      <c r="B1444" s="199"/>
      <c r="C1444" s="162" t="s">
        <v>2004</v>
      </c>
      <c r="D1444" s="123"/>
      <c r="E1444" s="123"/>
      <c r="F1444" s="157"/>
      <c r="G1444" s="157"/>
      <c r="H1444" s="157">
        <v>7.0000000000000007E-2</v>
      </c>
      <c r="I1444" s="157">
        <v>214.63</v>
      </c>
      <c r="J1444" s="128">
        <f>ROUND(PRODUCT(E1444:I1444),2)</f>
        <v>15.02</v>
      </c>
    </row>
    <row r="1445" spans="1:10">
      <c r="A1445" s="561"/>
      <c r="B1445" s="562"/>
      <c r="C1445" s="562"/>
      <c r="D1445" s="562"/>
      <c r="E1445" s="562"/>
      <c r="F1445" s="562"/>
      <c r="G1445" s="562"/>
      <c r="H1445" s="562"/>
      <c r="I1445" s="562"/>
      <c r="J1445" s="563"/>
    </row>
    <row r="1446" spans="1:10" ht="51">
      <c r="A1446" s="145" t="str">
        <f>'[3]Planilha Orçamentária'!A381</f>
        <v>1.7.3.3</v>
      </c>
      <c r="B1446" s="199" t="str">
        <f>VLOOKUP(A1446,'[3]Planilha Orçamentária'!A:K,2,0)</f>
        <v>COMP-35145154</v>
      </c>
      <c r="C1446" s="147" t="str">
        <f>VLOOKUP(A1446,'[3]Planilha Orçamentária'!A:K,3,0)</f>
        <v>CARGA E DESCARGA MECANICA DE SOLO UTILIZANDO CAMINHAO BASCULANTE 14,0M3/36T E PA CARREGADEIRA SOBRE PNEUS 128 HP, CAPACIDADE DA CAÇAMBA 1,7 A 2,8 M3, PESO OPERACIONAL 11632 KH</v>
      </c>
      <c r="D1446" s="148" t="str">
        <f>VLOOKUP(A1446,'[3]Planilha Orçamentária'!A:K,4,0)</f>
        <v>M3</v>
      </c>
      <c r="E1446" s="147"/>
      <c r="F1446" s="160"/>
      <c r="G1446" s="160"/>
      <c r="H1446" s="160"/>
      <c r="I1446" s="160"/>
      <c r="J1446" s="150">
        <f>ROUND(SUM(J1448:J1448),2)</f>
        <v>18.78</v>
      </c>
    </row>
    <row r="1447" spans="1:10">
      <c r="A1447" s="145"/>
      <c r="B1447" s="199"/>
      <c r="C1447" s="165"/>
      <c r="D1447" s="166"/>
      <c r="E1447" s="162" t="s">
        <v>2006</v>
      </c>
      <c r="F1447" s="149"/>
      <c r="G1447" s="149"/>
      <c r="H1447" s="149"/>
      <c r="I1447" s="161" t="s">
        <v>2007</v>
      </c>
      <c r="J1447" s="150"/>
    </row>
    <row r="1448" spans="1:10">
      <c r="A1448" s="145"/>
      <c r="B1448" s="199"/>
      <c r="C1448" s="165" t="s">
        <v>2008</v>
      </c>
      <c r="D1448" s="166"/>
      <c r="E1448" s="162">
        <v>1.25</v>
      </c>
      <c r="F1448" s="149"/>
      <c r="G1448" s="149"/>
      <c r="H1448" s="149"/>
      <c r="I1448" s="167">
        <f>J1442</f>
        <v>15.02</v>
      </c>
      <c r="J1448" s="128">
        <f>ROUND(PRODUCT(E1448:I1448),2)</f>
        <v>18.78</v>
      </c>
    </row>
    <row r="1449" spans="1:10">
      <c r="A1449" s="561"/>
      <c r="B1449" s="562"/>
      <c r="C1449" s="562"/>
      <c r="D1449" s="562"/>
      <c r="E1449" s="562"/>
      <c r="F1449" s="562"/>
      <c r="G1449" s="562"/>
      <c r="H1449" s="562"/>
      <c r="I1449" s="562"/>
      <c r="J1449" s="563"/>
    </row>
    <row r="1450" spans="1:10" ht="38.25">
      <c r="A1450" s="145" t="str">
        <f>'[3]Planilha Orçamentária'!A382</f>
        <v>1.7.3.4</v>
      </c>
      <c r="B1450" s="199">
        <f>VLOOKUP(A1450,'[3]Planilha Orçamentária'!A:K,2,0)</f>
        <v>95876</v>
      </c>
      <c r="C1450" s="147" t="str">
        <f>VLOOKUP(A1450,'[3]Planilha Orçamentária'!A:K,3,0)</f>
        <v>TRANSPORTE COM CAMINHÃO BASCULANTE DE 14 M³, EM VIA URBANA PAVIMENTADA, DMT ATÉ 30 KM (UNIDADE: M3XKM). AF_07/2020</v>
      </c>
      <c r="D1450" s="148" t="str">
        <f>VLOOKUP(A1450,'[3]Planilha Orçamentária'!A:K,4,0)</f>
        <v>M3XKM</v>
      </c>
      <c r="E1450" s="147"/>
      <c r="F1450" s="160"/>
      <c r="G1450" s="160"/>
      <c r="H1450" s="160"/>
      <c r="I1450" s="160"/>
      <c r="J1450" s="150">
        <f>ROUND(SUM(J1452),2)</f>
        <v>204.7</v>
      </c>
    </row>
    <row r="1451" spans="1:10">
      <c r="A1451" s="145"/>
      <c r="B1451" s="199"/>
      <c r="C1451" s="171" t="s">
        <v>2236</v>
      </c>
      <c r="D1451" s="123"/>
      <c r="E1451" s="123" t="s">
        <v>2011</v>
      </c>
      <c r="F1451" s="123"/>
      <c r="G1451" s="123"/>
      <c r="H1451" s="123"/>
      <c r="I1451" s="123" t="s">
        <v>2007</v>
      </c>
      <c r="J1451" s="150"/>
    </row>
    <row r="1452" spans="1:10">
      <c r="A1452" s="145"/>
      <c r="B1452" s="199"/>
      <c r="C1452" s="155" t="s">
        <v>2237</v>
      </c>
      <c r="D1452" s="123"/>
      <c r="E1452" s="162">
        <v>10.9</v>
      </c>
      <c r="F1452" s="162"/>
      <c r="G1452" s="162"/>
      <c r="H1452" s="162"/>
      <c r="I1452" s="172">
        <f>J1446</f>
        <v>18.78</v>
      </c>
      <c r="J1452" s="128">
        <f>ROUND(PRODUCT(E1452:I1452),2)</f>
        <v>204.7</v>
      </c>
    </row>
    <row r="1453" spans="1:10">
      <c r="A1453" s="561"/>
      <c r="B1453" s="562"/>
      <c r="C1453" s="562"/>
      <c r="D1453" s="562"/>
      <c r="E1453" s="562"/>
      <c r="F1453" s="562"/>
      <c r="G1453" s="562"/>
      <c r="H1453" s="562"/>
      <c r="I1453" s="562"/>
      <c r="J1453" s="563"/>
    </row>
    <row r="1454" spans="1:10">
      <c r="A1454" s="94" t="str">
        <f>'[3]Planilha Orçamentária'!A383</f>
        <v>1.7.4</v>
      </c>
      <c r="B1454" s="95"/>
      <c r="C1454" s="96" t="str">
        <f>VLOOKUP(A1454,'[3]Planilha Orçamentária'!A:K,3,0)</f>
        <v>TERRAPLENAGEM</v>
      </c>
      <c r="D1454" s="97"/>
      <c r="E1454" s="98"/>
      <c r="F1454" s="99"/>
      <c r="G1454" s="99"/>
      <c r="H1454" s="99"/>
      <c r="I1454" s="100"/>
      <c r="J1454" s="173"/>
    </row>
    <row r="1455" spans="1:10" ht="38.25">
      <c r="A1455" s="132" t="str">
        <f>'[3]Planilha Orçamentária'!A384</f>
        <v>1.7.4.1</v>
      </c>
      <c r="B1455" s="103" t="str">
        <f>VLOOKUP(A1455,'[3]Planilha Orçamentária'!A:K,2,0)</f>
        <v>CP-74205/001-17324935</v>
      </c>
      <c r="C1455" s="104" t="str">
        <f>VLOOKUP(A1455,'[3]Planilha Orçamentária'!A:K,3,0)</f>
        <v>ESCAVAÇÃO MECÂNICA DE MATERIAL 1A. CATEGORIA, PROVENIENTE DE CORTE DE SUBLEITO (C/TRATOR ESTEIRAS  160HP)</v>
      </c>
      <c r="D1455" s="105" t="str">
        <f>VLOOKUP(A1455,'[3]Planilha Orçamentária'!A:K,4,0)</f>
        <v>M3</v>
      </c>
      <c r="E1455" s="104"/>
      <c r="F1455" s="111"/>
      <c r="G1455" s="111"/>
      <c r="H1455" s="111"/>
      <c r="I1455" s="111"/>
      <c r="J1455" s="107">
        <f>ROUND(SUM(J1457:J1457),2)</f>
        <v>799.75</v>
      </c>
    </row>
    <row r="1456" spans="1:10">
      <c r="A1456" s="132"/>
      <c r="B1456" s="103"/>
      <c r="C1456" s="165" t="s">
        <v>2238</v>
      </c>
      <c r="D1456" s="105"/>
      <c r="E1456" s="104"/>
      <c r="F1456" s="111"/>
      <c r="G1456" s="111"/>
      <c r="H1456" s="111"/>
      <c r="I1456" s="106" t="s">
        <v>2007</v>
      </c>
      <c r="J1456" s="107"/>
    </row>
    <row r="1457" spans="1:10">
      <c r="A1457" s="174"/>
      <c r="B1457" s="175"/>
      <c r="C1457" s="155" t="s">
        <v>2097</v>
      </c>
      <c r="D1457" s="156"/>
      <c r="E1457" s="157"/>
      <c r="F1457" s="157"/>
      <c r="G1457" s="157"/>
      <c r="H1457" s="157"/>
      <c r="I1457" s="157">
        <f>[3]PARÂMETROS!G518</f>
        <v>799.75</v>
      </c>
      <c r="J1457" s="176">
        <f>ROUND(PRODUCT(E1457:I1457),2)</f>
        <v>799.75</v>
      </c>
    </row>
    <row r="1458" spans="1:10">
      <c r="A1458" s="549"/>
      <c r="B1458" s="549"/>
      <c r="C1458" s="549"/>
      <c r="D1458" s="549"/>
      <c r="E1458" s="549"/>
      <c r="F1458" s="549"/>
      <c r="G1458" s="549"/>
      <c r="H1458" s="549"/>
      <c r="I1458" s="549"/>
      <c r="J1458" s="549"/>
    </row>
    <row r="1459" spans="1:10" ht="51">
      <c r="A1459" s="177" t="str">
        <f>'[3]Planilha Orçamentária'!A385</f>
        <v>1.7.4.2</v>
      </c>
      <c r="B1459" s="178" t="str">
        <f>VLOOKUP(A1459,'[3]Planilha Orçamentária'!A:K,2,0)</f>
        <v>COMP-35145154</v>
      </c>
      <c r="C1459" s="179" t="str">
        <f>VLOOKUP(A1459,'[3]Planilha Orçamentária'!A:K,3,0)</f>
        <v>CARGA E DESCARGA MECANICA DE SOLO UTILIZANDO CAMINHAO BASCULANTE 14,0M3/36T E PA CARREGADEIRA SOBRE PNEUS 128 HP, CAPACIDADE DA CAÇAMBA 1,7 A 2,8 M3, PESO OPERACIONAL 11632 KH</v>
      </c>
      <c r="D1459" s="180" t="str">
        <f>VLOOKUP(A1459,'[3]Planilha Orçamentária'!A:K,4,0)</f>
        <v>M3</v>
      </c>
      <c r="E1459" s="179"/>
      <c r="F1459" s="181"/>
      <c r="G1459" s="181"/>
      <c r="H1459" s="181"/>
      <c r="I1459" s="181"/>
      <c r="J1459" s="107">
        <f>ROUND(SUM(J1461:J1461),2)</f>
        <v>999.69</v>
      </c>
    </row>
    <row r="1460" spans="1:10">
      <c r="A1460" s="177"/>
      <c r="B1460" s="178"/>
      <c r="C1460" s="155" t="s">
        <v>2015</v>
      </c>
      <c r="D1460" s="180"/>
      <c r="E1460" s="184" t="s">
        <v>2006</v>
      </c>
      <c r="F1460" s="332"/>
      <c r="G1460" s="332"/>
      <c r="H1460" s="332"/>
      <c r="I1460" s="332" t="s">
        <v>2007</v>
      </c>
      <c r="J1460" s="182"/>
    </row>
    <row r="1461" spans="1:10">
      <c r="A1461" s="177"/>
      <c r="B1461" s="178"/>
      <c r="C1461" s="155" t="s">
        <v>2016</v>
      </c>
      <c r="D1461" s="156"/>
      <c r="E1461" s="157">
        <v>1.25</v>
      </c>
      <c r="F1461" s="116"/>
      <c r="G1461" s="116"/>
      <c r="H1461" s="116"/>
      <c r="I1461" s="116">
        <f>J1455</f>
        <v>799.75</v>
      </c>
      <c r="J1461" s="176">
        <f>ROUND(PRODUCT(E1461:I1461),2)</f>
        <v>999.69</v>
      </c>
    </row>
    <row r="1462" spans="1:10">
      <c r="A1462" s="549"/>
      <c r="B1462" s="549"/>
      <c r="C1462" s="549"/>
      <c r="D1462" s="549"/>
      <c r="E1462" s="549"/>
      <c r="F1462" s="549"/>
      <c r="G1462" s="549"/>
      <c r="H1462" s="549"/>
      <c r="I1462" s="549"/>
      <c r="J1462" s="549"/>
    </row>
    <row r="1463" spans="1:10" ht="38.25">
      <c r="A1463" s="186" t="str">
        <f>'[3]Planilha Orçamentária'!A386</f>
        <v>1.7.4.3</v>
      </c>
      <c r="B1463" s="187">
        <f>VLOOKUP(A1463,'[3]Planilha Orçamentária'!A:K,2,0)</f>
        <v>95876</v>
      </c>
      <c r="C1463" s="188" t="str">
        <f>VLOOKUP(A1463,'[3]Planilha Orçamentária'!A:K,3,0)</f>
        <v>TRANSPORTE COM CAMINHÃO BASCULANTE DE 14 M³, EM VIA URBANA PAVIMENTADA, DMT ATÉ 30 KM (UNIDADE: M3XKM). AF_07/2020</v>
      </c>
      <c r="D1463" s="189" t="str">
        <f>VLOOKUP(A1463,'[3]Planilha Orçamentária'!A:K,4,0)</f>
        <v>M3XKM</v>
      </c>
      <c r="E1463" s="188"/>
      <c r="F1463" s="160"/>
      <c r="G1463" s="160"/>
      <c r="H1463" s="160"/>
      <c r="I1463" s="160"/>
      <c r="J1463" s="122">
        <f>ROUND(SUM(J1465:J1465),2)</f>
        <v>10896.62</v>
      </c>
    </row>
    <row r="1464" spans="1:10">
      <c r="A1464" s="186"/>
      <c r="B1464" s="187"/>
      <c r="C1464" s="171" t="s">
        <v>2236</v>
      </c>
      <c r="D1464" s="189"/>
      <c r="E1464" s="208" t="s">
        <v>2011</v>
      </c>
      <c r="F1464" s="160"/>
      <c r="G1464" s="160"/>
      <c r="H1464" s="161"/>
      <c r="I1464" s="161" t="s">
        <v>2007</v>
      </c>
      <c r="J1464" s="150"/>
    </row>
    <row r="1465" spans="1:10">
      <c r="A1465" s="186"/>
      <c r="B1465" s="187"/>
      <c r="C1465" s="155" t="s">
        <v>2239</v>
      </c>
      <c r="D1465" s="156"/>
      <c r="E1465" s="162">
        <v>10.9</v>
      </c>
      <c r="F1465" s="207"/>
      <c r="G1465" s="207"/>
      <c r="H1465" s="207"/>
      <c r="I1465" s="195">
        <f>J1459</f>
        <v>999.69</v>
      </c>
      <c r="J1465" s="196">
        <f>ROUND(PRODUCT(E1465:I1465),2)</f>
        <v>10896.62</v>
      </c>
    </row>
    <row r="1466" spans="1:10">
      <c r="A1466" s="532"/>
      <c r="B1466" s="533"/>
      <c r="C1466" s="533"/>
      <c r="D1466" s="533"/>
      <c r="E1466" s="533"/>
      <c r="F1466" s="533"/>
      <c r="G1466" s="533"/>
      <c r="H1466" s="533"/>
      <c r="I1466" s="533"/>
      <c r="J1466" s="534"/>
    </row>
    <row r="1467" spans="1:10">
      <c r="A1467" s="94" t="str">
        <f>'[3]Planilha Orçamentária'!A387</f>
        <v>1.7.5</v>
      </c>
      <c r="B1467" s="95"/>
      <c r="C1467" s="96" t="str">
        <f>VLOOKUP(A1467,'[3]Planilha Orçamentária'!A:K,3,0)</f>
        <v>PAVIMENTAÇÃO</v>
      </c>
      <c r="D1467" s="97"/>
      <c r="E1467" s="98"/>
      <c r="F1467" s="99"/>
      <c r="G1467" s="99"/>
      <c r="H1467" s="99"/>
      <c r="I1467" s="100"/>
      <c r="J1467" s="131"/>
    </row>
    <row r="1468" spans="1:10" ht="25.5">
      <c r="A1468" s="145" t="str">
        <f>'[3]Planilha Orçamentária'!A388</f>
        <v>1.7.5.1</v>
      </c>
      <c r="B1468" s="199">
        <f>VLOOKUP(A1468,'[3]Planilha Orçamentária'!A:K,2,0)</f>
        <v>100576</v>
      </c>
      <c r="C1468" s="147" t="str">
        <f>VLOOKUP(A1468,'[3]Planilha Orçamentária'!A:K,3,0)</f>
        <v>REGULARIZAÇÃO E COMPACTAÇÃO DE SUBLEITO DE SOLO  PREDOMINANTEMENTE ARGILOSO. AF_11/2019</v>
      </c>
      <c r="D1468" s="148" t="str">
        <f>VLOOKUP(A1468,'[3]Planilha Orçamentária'!A:K,4,0)</f>
        <v>M2</v>
      </c>
      <c r="E1468" s="147"/>
      <c r="F1468" s="160"/>
      <c r="G1468" s="160"/>
      <c r="H1468" s="160"/>
      <c r="I1468" s="160"/>
      <c r="J1468" s="150">
        <f>ROUND(SUM(J1470:J1470),2)</f>
        <v>1255.5899999999999</v>
      </c>
    </row>
    <row r="1469" spans="1:10">
      <c r="A1469" s="145"/>
      <c r="B1469" s="199"/>
      <c r="C1469" s="159" t="s">
        <v>2240</v>
      </c>
      <c r="D1469" s="148"/>
      <c r="E1469" s="147"/>
      <c r="F1469" s="161" t="s">
        <v>1989</v>
      </c>
      <c r="G1469" s="161" t="s">
        <v>1990</v>
      </c>
      <c r="H1469" s="160"/>
      <c r="I1469" s="161"/>
      <c r="J1469" s="150"/>
    </row>
    <row r="1470" spans="1:10" ht="25.5">
      <c r="A1470" s="145"/>
      <c r="B1470" s="199"/>
      <c r="C1470" s="200" t="s">
        <v>2019</v>
      </c>
      <c r="D1470" s="185"/>
      <c r="E1470" s="116"/>
      <c r="F1470" s="207">
        <f>(20-2.19)+(8*20)+(1.56)</f>
        <v>179.37</v>
      </c>
      <c r="G1470" s="161">
        <f>6+1</f>
        <v>7</v>
      </c>
      <c r="H1470" s="160"/>
      <c r="I1470" s="161"/>
      <c r="J1470" s="158">
        <f>ROUND(PRODUCT(E1470:I1470),2)</f>
        <v>1255.5899999999999</v>
      </c>
    </row>
    <row r="1471" spans="1:10">
      <c r="A1471" s="550"/>
      <c r="B1471" s="551"/>
      <c r="C1471" s="551"/>
      <c r="D1471" s="551"/>
      <c r="E1471" s="551"/>
      <c r="F1471" s="551"/>
      <c r="G1471" s="551"/>
      <c r="H1471" s="551"/>
      <c r="I1471" s="551"/>
      <c r="J1471" s="552"/>
    </row>
    <row r="1472" spans="1:10" ht="25.5">
      <c r="A1472" s="186" t="str">
        <f>'[3]Planilha Orçamentária'!A389</f>
        <v>1.7.5.2</v>
      </c>
      <c r="B1472" s="187" t="str">
        <f>VLOOKUP(A1472,'[3]Planilha Orçamentária'!A:K,2,0)</f>
        <v>COMP-47176600</v>
      </c>
      <c r="C1472" s="188" t="str">
        <f>VLOOKUP(A1472,'[3]Planilha Orçamentária'!A:K,3,0)</f>
        <v xml:space="preserve">EXEC. DE ATERRO COM AREIA COM ADENSAMENTO HIDRAULICO </v>
      </c>
      <c r="D1472" s="189" t="str">
        <f>VLOOKUP(A1472,'[3]Planilha Orçamentária'!A:K,4,0)</f>
        <v xml:space="preserve">M3    </v>
      </c>
      <c r="E1472" s="188"/>
      <c r="F1472" s="190"/>
      <c r="G1472" s="190"/>
      <c r="H1472" s="190"/>
      <c r="I1472" s="190"/>
      <c r="J1472" s="203">
        <f>ROUND(SUM(J1474:J1474),2)</f>
        <v>188.34</v>
      </c>
    </row>
    <row r="1473" spans="1:10">
      <c r="A1473" s="186"/>
      <c r="B1473" s="187"/>
      <c r="C1473" s="159" t="s">
        <v>2240</v>
      </c>
      <c r="D1473" s="148"/>
      <c r="E1473" s="147"/>
      <c r="F1473" s="161" t="s">
        <v>1989</v>
      </c>
      <c r="G1473" s="161" t="s">
        <v>1990</v>
      </c>
      <c r="H1473" s="161" t="s">
        <v>2002</v>
      </c>
      <c r="I1473" s="161"/>
      <c r="J1473" s="203"/>
    </row>
    <row r="1474" spans="1:10" ht="28.5">
      <c r="A1474" s="186"/>
      <c r="B1474" s="187"/>
      <c r="C1474" s="204" t="s">
        <v>2020</v>
      </c>
      <c r="D1474" s="148"/>
      <c r="E1474" s="147"/>
      <c r="F1474" s="167">
        <f>F1470</f>
        <v>179.37</v>
      </c>
      <c r="G1474" s="161">
        <f>6+0.5+0.5</f>
        <v>7</v>
      </c>
      <c r="H1474" s="161">
        <v>0.15</v>
      </c>
      <c r="I1474" s="167"/>
      <c r="J1474" s="176">
        <f>ROUND(PRODUCT(E1474:I1474),2)</f>
        <v>188.34</v>
      </c>
    </row>
    <row r="1475" spans="1:10">
      <c r="A1475" s="205"/>
      <c r="B1475" s="206"/>
      <c r="C1475" s="171"/>
      <c r="D1475" s="189"/>
      <c r="E1475" s="188"/>
      <c r="F1475" s="207"/>
      <c r="G1475" s="207"/>
      <c r="H1475" s="208"/>
      <c r="I1475" s="209"/>
      <c r="J1475" s="196"/>
    </row>
    <row r="1476" spans="1:10" ht="38.25">
      <c r="A1476" s="186" t="str">
        <f>'[3]Planilha Orçamentária'!A390</f>
        <v>1.7.5.3</v>
      </c>
      <c r="B1476" s="187" t="str">
        <f>VLOOKUP(A1476,'[3]Planilha Orçamentária'!A:K,2,0)</f>
        <v>COMP-28881239</v>
      </c>
      <c r="C1476" s="188" t="str">
        <f>VLOOKUP(A1476,'[3]Planilha Orçamentária'!A:K,3,0)</f>
        <v>Base ou sub-base de macadame hidráulico com brita comercial - EXCLUSIVE MATERIAL, CARGA E TRANSPORTE - NÃO DESONERADO</v>
      </c>
      <c r="D1476" s="189" t="str">
        <f>VLOOKUP(A1476,'[3]Planilha Orçamentária'!A:K,4,0)</f>
        <v>M3</v>
      </c>
      <c r="E1476" s="188"/>
      <c r="F1476" s="190"/>
      <c r="G1476" s="190"/>
      <c r="H1476" s="190"/>
      <c r="I1476" s="190"/>
      <c r="J1476" s="203">
        <f>ROUND(SUM(J1478:J1478),2)</f>
        <v>188.34</v>
      </c>
    </row>
    <row r="1477" spans="1:10">
      <c r="A1477" s="186"/>
      <c r="B1477" s="187"/>
      <c r="C1477" s="159" t="s">
        <v>2240</v>
      </c>
      <c r="D1477" s="148"/>
      <c r="E1477" s="147"/>
      <c r="F1477" s="161" t="s">
        <v>1989</v>
      </c>
      <c r="G1477" s="161" t="s">
        <v>1990</v>
      </c>
      <c r="H1477" s="161" t="s">
        <v>2002</v>
      </c>
      <c r="I1477" s="161"/>
      <c r="J1477" s="203"/>
    </row>
    <row r="1478" spans="1:10" ht="28.5">
      <c r="A1478" s="186"/>
      <c r="B1478" s="187"/>
      <c r="C1478" s="204" t="s">
        <v>2020</v>
      </c>
      <c r="D1478" s="148"/>
      <c r="E1478" s="147"/>
      <c r="F1478" s="167">
        <f>F1470</f>
        <v>179.37</v>
      </c>
      <c r="G1478" s="161">
        <f>6+0.5+0.5</f>
        <v>7</v>
      </c>
      <c r="H1478" s="161">
        <v>0.15</v>
      </c>
      <c r="I1478" s="167"/>
      <c r="J1478" s="176">
        <f>ROUND(PRODUCT(E1478:I1478),2)</f>
        <v>188.34</v>
      </c>
    </row>
    <row r="1479" spans="1:10">
      <c r="A1479" s="205"/>
      <c r="B1479" s="206"/>
      <c r="C1479" s="171"/>
      <c r="D1479" s="189"/>
      <c r="E1479" s="188"/>
      <c r="F1479" s="207"/>
      <c r="G1479" s="207"/>
      <c r="H1479" s="208"/>
      <c r="I1479" s="209"/>
      <c r="J1479" s="196"/>
    </row>
    <row r="1480" spans="1:10" ht="38.25">
      <c r="A1480" s="177" t="str">
        <f>'[3]Planilha Orçamentária'!A391</f>
        <v>1.7.5.4</v>
      </c>
      <c r="B1480" s="178" t="str">
        <f>VLOOKUP(A1480,'[3]Planilha Orçamentária'!A:K,2,0)</f>
        <v>CP-96396-26507981</v>
      </c>
      <c r="C1480" s="179" t="str">
        <f>VLOOKUP(A1480,'[3]Planilha Orçamentária'!A:K,3,0)</f>
        <v>EXECUÇÃO E COMPACTAÇÃO DE BASE E OU SUB BASE PARA PAVIMENTAÇÃO DE BRITA GRADUADA SIMPLES - EXCLUSIVE MATERIAL, CARGA E TRANSPORTE</v>
      </c>
      <c r="D1480" s="180" t="str">
        <f>VLOOKUP(A1480,'[3]Planilha Orçamentária'!A:K,4,0)</f>
        <v>M3</v>
      </c>
      <c r="E1480" s="179"/>
      <c r="F1480" s="181"/>
      <c r="G1480" s="181"/>
      <c r="H1480" s="181"/>
      <c r="I1480" s="181"/>
      <c r="J1480" s="182">
        <f>ROUND(SUM(J1482:J1482),2)</f>
        <v>215.24</v>
      </c>
    </row>
    <row r="1481" spans="1:10">
      <c r="A1481" s="177"/>
      <c r="B1481" s="178"/>
      <c r="C1481" s="159" t="s">
        <v>2240</v>
      </c>
      <c r="D1481" s="180"/>
      <c r="E1481" s="184"/>
      <c r="F1481" s="161" t="s">
        <v>1989</v>
      </c>
      <c r="G1481" s="161" t="s">
        <v>1990</v>
      </c>
      <c r="H1481" s="161" t="s">
        <v>2002</v>
      </c>
      <c r="I1481" s="210"/>
      <c r="J1481" s="182"/>
    </row>
    <row r="1482" spans="1:10" ht="28.5">
      <c r="A1482" s="123"/>
      <c r="B1482" s="211"/>
      <c r="C1482" s="204" t="s">
        <v>2021</v>
      </c>
      <c r="D1482" s="185"/>
      <c r="E1482" s="127"/>
      <c r="F1482" s="127">
        <f>F1470</f>
        <v>179.37</v>
      </c>
      <c r="G1482" s="161">
        <v>6</v>
      </c>
      <c r="H1482" s="161">
        <v>0.2</v>
      </c>
      <c r="I1482" s="212"/>
      <c r="J1482" s="118">
        <f>ROUND(PRODUCT(E1482:I1482),2)</f>
        <v>215.24</v>
      </c>
    </row>
    <row r="1483" spans="1:10">
      <c r="A1483" s="546"/>
      <c r="B1483" s="547"/>
      <c r="C1483" s="547"/>
      <c r="D1483" s="547"/>
      <c r="E1483" s="547"/>
      <c r="F1483" s="547"/>
      <c r="G1483" s="547"/>
      <c r="H1483" s="547"/>
      <c r="I1483" s="547"/>
      <c r="J1483" s="548"/>
    </row>
    <row r="1484" spans="1:10" ht="51">
      <c r="A1484" s="132" t="str">
        <f>'[3]Planilha Orçamentária'!A392</f>
        <v>1.7.5.5</v>
      </c>
      <c r="B1484" s="108" t="str">
        <f>VLOOKUP(A1484,'[3]Planilha Orçamentária'!A:K,2,0)</f>
        <v>COMP-35145154</v>
      </c>
      <c r="C1484" s="104" t="str">
        <f>VLOOKUP(A1484,'[3]Planilha Orçamentária'!A:K,3,0)</f>
        <v>CARGA E DESCARGA MECANICA DE SOLO UTILIZANDO CAMINHAO BASCULANTE 14,0M3/36T E PA CARREGADEIRA SOBRE PNEUS 128 HP, CAPACIDADE DA CAÇAMBA 1,7 A 2,8 M3, PESO OPERACIONAL 11632 KH</v>
      </c>
      <c r="D1484" s="105" t="str">
        <f>VLOOKUP(A1484,'[3]Planilha Orçamentária'!A:K,4,0)</f>
        <v>M3</v>
      </c>
      <c r="E1484" s="104"/>
      <c r="F1484" s="111"/>
      <c r="G1484" s="111"/>
      <c r="H1484" s="111"/>
      <c r="I1484" s="111"/>
      <c r="J1484" s="122">
        <f>ROUND(SUM(J1486:J1486),2)</f>
        <v>504.48</v>
      </c>
    </row>
    <row r="1485" spans="1:10" ht="25.5">
      <c r="A1485" s="132"/>
      <c r="B1485" s="108"/>
      <c r="C1485" s="147"/>
      <c r="D1485" s="148"/>
      <c r="E1485" s="220" t="s">
        <v>2006</v>
      </c>
      <c r="F1485" s="106"/>
      <c r="G1485" s="111"/>
      <c r="H1485" s="111"/>
      <c r="I1485" s="143" t="s">
        <v>2022</v>
      </c>
      <c r="J1485" s="122"/>
    </row>
    <row r="1486" spans="1:10" ht="14.25">
      <c r="A1486" s="132"/>
      <c r="B1486" s="108"/>
      <c r="C1486" s="221" t="s">
        <v>2023</v>
      </c>
      <c r="D1486" s="156"/>
      <c r="E1486" s="106">
        <v>1.25</v>
      </c>
      <c r="F1486" s="238"/>
      <c r="G1486" s="205"/>
      <c r="H1486" s="205"/>
      <c r="I1486" s="239">
        <f>J1480+J1476</f>
        <v>403.58000000000004</v>
      </c>
      <c r="J1486" s="342">
        <f t="shared" ref="J1486" si="89">ROUND(PRODUCT(E1486:I1486),2)</f>
        <v>504.48</v>
      </c>
    </row>
    <row r="1487" spans="1:10">
      <c r="A1487" s="549"/>
      <c r="B1487" s="549"/>
      <c r="C1487" s="549"/>
      <c r="D1487" s="549"/>
      <c r="E1487" s="549"/>
      <c r="F1487" s="549"/>
      <c r="G1487" s="549"/>
      <c r="H1487" s="549"/>
      <c r="I1487" s="549"/>
      <c r="J1487" s="549"/>
    </row>
    <row r="1488" spans="1:10" ht="25.5">
      <c r="A1488" s="132" t="str">
        <f>'[3]Planilha Orçamentária'!A393</f>
        <v>1.7.5.6</v>
      </c>
      <c r="B1488" s="108" t="str">
        <f>VLOOKUP(A1488,'[3]Planilha Orçamentária'!A:K,2,0)</f>
        <v>COMP-83526730</v>
      </c>
      <c r="C1488" s="104" t="str">
        <f>VLOOKUP(A1488,'[3]Planilha Orçamentária'!A:K,3,0)</f>
        <v>TRANSPORTE COMERCIAL DE BRITA</v>
      </c>
      <c r="D1488" s="105" t="str">
        <f>VLOOKUP(A1488,'[3]Planilha Orçamentária'!A:K,4,0)</f>
        <v>M3XKM</v>
      </c>
      <c r="E1488" s="104"/>
      <c r="F1488" s="111"/>
      <c r="G1488" s="111"/>
      <c r="H1488" s="111"/>
      <c r="I1488" s="111"/>
      <c r="J1488" s="122">
        <f>ROUND(SUM(J1490:J1490),2)</f>
        <v>7668.1</v>
      </c>
    </row>
    <row r="1489" spans="1:10">
      <c r="A1489" s="132"/>
      <c r="B1489" s="108"/>
      <c r="C1489" s="159" t="s">
        <v>2241</v>
      </c>
      <c r="D1489" s="105"/>
      <c r="E1489" s="165" t="s">
        <v>2011</v>
      </c>
      <c r="F1489" s="106"/>
      <c r="G1489" s="106"/>
      <c r="H1489" s="106"/>
      <c r="I1489" s="106" t="s">
        <v>2007</v>
      </c>
      <c r="J1489" s="122"/>
    </row>
    <row r="1490" spans="1:10" ht="14.25">
      <c r="A1490" s="132"/>
      <c r="B1490" s="108"/>
      <c r="C1490" s="204" t="s">
        <v>2242</v>
      </c>
      <c r="D1490" s="174"/>
      <c r="E1490" s="239">
        <v>15.2</v>
      </c>
      <c r="F1490" s="223"/>
      <c r="G1490" s="174"/>
      <c r="H1490" s="174"/>
      <c r="I1490" s="224">
        <f>J1484</f>
        <v>504.48</v>
      </c>
      <c r="J1490" s="342">
        <f t="shared" ref="J1490" si="90">ROUND(PRODUCT(E1490:I1490),2)</f>
        <v>7668.1</v>
      </c>
    </row>
    <row r="1491" spans="1:10">
      <c r="A1491" s="549"/>
      <c r="B1491" s="549"/>
      <c r="C1491" s="549"/>
      <c r="D1491" s="549"/>
      <c r="E1491" s="549"/>
      <c r="F1491" s="549"/>
      <c r="G1491" s="549"/>
      <c r="H1491" s="549"/>
      <c r="I1491" s="549"/>
      <c r="J1491" s="549"/>
    </row>
    <row r="1492" spans="1:10" ht="25.5">
      <c r="A1492" s="186" t="str">
        <f>'[3]Planilha Orçamentária'!A394</f>
        <v>1.7.5.7</v>
      </c>
      <c r="B1492" s="187" t="str">
        <f>VLOOKUP(A1492,'[3]Planilha Orçamentária'!A:K,2,0)</f>
        <v>CP-96401-52745838</v>
      </c>
      <c r="C1492" s="188" t="str">
        <f>VLOOKUP(A1492,'[3]Planilha Orçamentária'!A:K,3,0)</f>
        <v>EXECUÇÃO DE IMPRIMAÇÃO COM ASFALTO DILUÍDO CM-30, EXCLUSIVE MATERIAL.</v>
      </c>
      <c r="D1492" s="189" t="str">
        <f>VLOOKUP(A1492,'[3]Planilha Orçamentária'!A:K,4,0)</f>
        <v>M2</v>
      </c>
      <c r="E1492" s="188"/>
      <c r="F1492" s="190"/>
      <c r="G1492" s="190"/>
      <c r="H1492" s="190"/>
      <c r="I1492" s="190"/>
      <c r="J1492" s="150">
        <f>ROUND(SUM(J1494:J1494),2)</f>
        <v>1196.9100000000001</v>
      </c>
    </row>
    <row r="1493" spans="1:10">
      <c r="A1493" s="186"/>
      <c r="B1493" s="187"/>
      <c r="C1493" s="159" t="s">
        <v>2240</v>
      </c>
      <c r="D1493" s="189"/>
      <c r="E1493" s="188"/>
      <c r="F1493" s="190"/>
      <c r="G1493" s="190"/>
      <c r="H1493" s="208"/>
      <c r="I1493" s="161" t="s">
        <v>2003</v>
      </c>
      <c r="J1493" s="150"/>
    </row>
    <row r="1494" spans="1:10" ht="28.5">
      <c r="A1494" s="174"/>
      <c r="B1494" s="174"/>
      <c r="C1494" s="221" t="s">
        <v>2027</v>
      </c>
      <c r="D1494" s="174"/>
      <c r="E1494" s="174"/>
      <c r="F1494" s="223"/>
      <c r="G1494" s="174"/>
      <c r="H1494" s="224"/>
      <c r="I1494" s="224">
        <f>[3]PARÂMETROS!F528</f>
        <v>1196.9100000000001</v>
      </c>
      <c r="J1494" s="158">
        <f>ROUND(PRODUCT(E1494:I1494),2)</f>
        <v>1196.9100000000001</v>
      </c>
    </row>
    <row r="1495" spans="1:10">
      <c r="A1495" s="549"/>
      <c r="B1495" s="549"/>
      <c r="C1495" s="549"/>
      <c r="D1495" s="549"/>
      <c r="E1495" s="549"/>
      <c r="F1495" s="549"/>
      <c r="G1495" s="549"/>
      <c r="H1495" s="549"/>
      <c r="I1495" s="549"/>
      <c r="J1495" s="549"/>
    </row>
    <row r="1496" spans="1:10" ht="38.25">
      <c r="A1496" s="225" t="str">
        <f>'[3]Planilha Orçamentária'!A395</f>
        <v>1.7.5.8</v>
      </c>
      <c r="B1496" s="226" t="str">
        <f>VLOOKUP(A1496,'[3]Planilha Orçamentária'!A:K,2,0)</f>
        <v>CP-95995-51339760</v>
      </c>
      <c r="C1496" s="227" t="str">
        <f>VLOOKUP(A1496,'[3]Planilha Orçamentária'!A:K,3,0)</f>
        <v>EXECUÇÃO DE PAVIMENTO COM APLICAÇÃO DE CONCRETO ASFÁLTICO, CAMADA DE ROLAMENTO - EXCLUSIVE CARGA E TRANSPORTE E CONCRETO BETUMINOSO</v>
      </c>
      <c r="D1496" s="228" t="str">
        <f>VLOOKUP(A1496,'[3]Planilha Orçamentária'!A:K,4,0)</f>
        <v>M3</v>
      </c>
      <c r="E1496" s="227"/>
      <c r="F1496" s="229"/>
      <c r="G1496" s="229"/>
      <c r="H1496" s="229"/>
      <c r="I1496" s="229"/>
      <c r="J1496" s="182">
        <f>ROUND(SUM(J1497:J1498),2)</f>
        <v>59.85</v>
      </c>
    </row>
    <row r="1497" spans="1:10">
      <c r="A1497" s="230"/>
      <c r="B1497" s="231"/>
      <c r="C1497" s="159" t="s">
        <v>2240</v>
      </c>
      <c r="D1497" s="105"/>
      <c r="E1497" s="165"/>
      <c r="F1497" s="106"/>
      <c r="G1497" s="106"/>
      <c r="H1497" s="106" t="s">
        <v>2002</v>
      </c>
      <c r="I1497" s="161" t="s">
        <v>2003</v>
      </c>
      <c r="J1497" s="118"/>
    </row>
    <row r="1498" spans="1:10" ht="14.25">
      <c r="A1498" s="174"/>
      <c r="B1498" s="174"/>
      <c r="C1498" s="221" t="s">
        <v>2029</v>
      </c>
      <c r="D1498" s="174"/>
      <c r="E1498" s="224"/>
      <c r="F1498" s="223"/>
      <c r="G1498" s="174"/>
      <c r="H1498" s="174">
        <v>0.05</v>
      </c>
      <c r="I1498" s="224">
        <f>J1492</f>
        <v>1196.9100000000001</v>
      </c>
      <c r="J1498" s="196">
        <f>ROUND(PRODUCT(E1498:I1498),2)</f>
        <v>59.85</v>
      </c>
    </row>
    <row r="1499" spans="1:10">
      <c r="A1499" s="546"/>
      <c r="B1499" s="547"/>
      <c r="C1499" s="547"/>
      <c r="D1499" s="547"/>
      <c r="E1499" s="547"/>
      <c r="F1499" s="547"/>
      <c r="G1499" s="547"/>
      <c r="H1499" s="547"/>
      <c r="I1499" s="547"/>
      <c r="J1499" s="547"/>
    </row>
    <row r="1500" spans="1:10" ht="38.25">
      <c r="A1500" s="132" t="str">
        <f>'[3]Planilha Orçamentária'!A396</f>
        <v>1.7.5.9</v>
      </c>
      <c r="B1500" s="108" t="str">
        <f>VLOOKUP(A1500,'[3]Planilha Orçamentária'!A:K,2,0)</f>
        <v>COMP-10034101</v>
      </c>
      <c r="C1500" s="104" t="str">
        <f>VLOOKUP(A1500,'[3]Planilha Orçamentária'!A:K,3,0)</f>
        <v>CARGA, MANOBRAS E DESCARGA DE MISTURA BETUMINOSA A QUENTE, COM CAMINHAO BASCULANTE 6 M3, DESCARGA EM VIBRO-ACABADORA</v>
      </c>
      <c r="D1500" s="105" t="str">
        <f>VLOOKUP(A1500,'[3]Planilha Orçamentária'!A:K,4,0)</f>
        <v>M3</v>
      </c>
      <c r="E1500" s="104"/>
      <c r="F1500" s="111"/>
      <c r="G1500" s="111"/>
      <c r="H1500" s="111"/>
      <c r="I1500" s="111"/>
      <c r="J1500" s="122">
        <f>ROUND(SUM(J1502:J1502),2)</f>
        <v>59.85</v>
      </c>
    </row>
    <row r="1501" spans="1:10" ht="14.25">
      <c r="A1501" s="132"/>
      <c r="B1501" s="108"/>
      <c r="C1501" s="204"/>
      <c r="D1501" s="105"/>
      <c r="E1501" s="104"/>
      <c r="F1501" s="106"/>
      <c r="G1501" s="111"/>
      <c r="H1501" s="111"/>
      <c r="I1501" s="143" t="s">
        <v>2007</v>
      </c>
      <c r="J1501" s="122"/>
    </row>
    <row r="1502" spans="1:10" ht="14.25">
      <c r="A1502" s="225"/>
      <c r="B1502" s="236"/>
      <c r="C1502" s="237" t="s">
        <v>2030</v>
      </c>
      <c r="D1502" s="205"/>
      <c r="E1502" s="205"/>
      <c r="F1502" s="238"/>
      <c r="G1502" s="205"/>
      <c r="H1502" s="205"/>
      <c r="I1502" s="239">
        <f>J1496</f>
        <v>59.85</v>
      </c>
      <c r="J1502" s="128">
        <f t="shared" ref="J1502" si="91">ROUND(PRODUCT(E1502:I1502),2)</f>
        <v>59.85</v>
      </c>
    </row>
    <row r="1503" spans="1:10">
      <c r="A1503" s="528"/>
      <c r="B1503" s="529"/>
      <c r="C1503" s="529"/>
      <c r="D1503" s="529"/>
      <c r="E1503" s="529"/>
      <c r="F1503" s="529"/>
      <c r="G1503" s="529"/>
      <c r="H1503" s="529"/>
      <c r="I1503" s="529"/>
      <c r="J1503" s="529"/>
    </row>
    <row r="1504" spans="1:10" ht="25.5">
      <c r="A1504" s="132" t="str">
        <f>'[3]Planilha Orçamentária'!A397</f>
        <v>1.7.5.10</v>
      </c>
      <c r="B1504" s="108" t="str">
        <f>VLOOKUP(A1504,'[3]Planilha Orçamentária'!A:K,2,0)</f>
        <v>CP-95303-56931542</v>
      </c>
      <c r="C1504" s="104" t="str">
        <f>VLOOKUP(A1504,'[3]Planilha Orçamentária'!A:K,3,0)</f>
        <v>TRANSPORTE COM CAMINHÃO BASCULANTE 10 M3 DE MASSA ASFALTICA PARA PAVIMENTAÇÃO URBANA</v>
      </c>
      <c r="D1504" s="105" t="str">
        <f>VLOOKUP(A1504,'[3]Planilha Orçamentária'!A:K,4,0)</f>
        <v>M3XKM</v>
      </c>
      <c r="E1504" s="104"/>
      <c r="F1504" s="111"/>
      <c r="G1504" s="111"/>
      <c r="H1504" s="111"/>
      <c r="I1504" s="111"/>
      <c r="J1504" s="122">
        <f>ROUND(SUM(J1506:J1506),2)</f>
        <v>389.03</v>
      </c>
    </row>
    <row r="1505" spans="1:10" ht="25.5">
      <c r="A1505" s="132"/>
      <c r="B1505" s="108"/>
      <c r="C1505" s="159" t="s">
        <v>2243</v>
      </c>
      <c r="D1505" s="241"/>
      <c r="E1505" s="165" t="s">
        <v>2011</v>
      </c>
      <c r="F1505" s="106"/>
      <c r="G1505" s="106"/>
      <c r="H1505" s="160"/>
      <c r="I1505" s="167" t="s">
        <v>2025</v>
      </c>
      <c r="J1505" s="122"/>
    </row>
    <row r="1506" spans="1:10" ht="14.25">
      <c r="A1506" s="225"/>
      <c r="B1506" s="236"/>
      <c r="C1506" s="221" t="s">
        <v>2244</v>
      </c>
      <c r="D1506" s="241"/>
      <c r="E1506" s="127">
        <v>6.5</v>
      </c>
      <c r="F1506" s="106"/>
      <c r="G1506" s="242"/>
      <c r="H1506" s="160"/>
      <c r="I1506" s="243">
        <f>J1500</f>
        <v>59.85</v>
      </c>
      <c r="J1506" s="128">
        <f t="shared" ref="J1506" si="92">ROUND(PRODUCT(E1506:I1506),2)</f>
        <v>389.03</v>
      </c>
    </row>
    <row r="1507" spans="1:10">
      <c r="A1507" s="528"/>
      <c r="B1507" s="529"/>
      <c r="C1507" s="529"/>
      <c r="D1507" s="529"/>
      <c r="E1507" s="529"/>
      <c r="F1507" s="529"/>
      <c r="G1507" s="529"/>
      <c r="H1507" s="529"/>
      <c r="I1507" s="529"/>
      <c r="J1507" s="529"/>
    </row>
    <row r="1508" spans="1:10" ht="25.5">
      <c r="A1508" s="132" t="str">
        <f>'[3]Planilha Orçamentária'!A398</f>
        <v>1.7.5.11</v>
      </c>
      <c r="B1508" s="108" t="str">
        <f>VLOOKUP(A1508,'[3]Planilha Orçamentária'!A:K,2,0)</f>
        <v>CP-97084-89637704</v>
      </c>
      <c r="C1508" s="104" t="str">
        <f>VLOOKUP(A1508,'[3]Planilha Orçamentária'!A:K,3,0)</f>
        <v>REGULARIZACAO E COMPACTAÇÃO MANUAL DE TERRENO COM PLACA VIBRATÓRIA</v>
      </c>
      <c r="D1508" s="105" t="str">
        <f>VLOOKUP(A1508,'[3]Planilha Orçamentária'!A:K,4,0)</f>
        <v>M2</v>
      </c>
      <c r="E1508" s="104"/>
      <c r="F1508" s="111"/>
      <c r="G1508" s="111"/>
      <c r="H1508" s="111"/>
      <c r="I1508" s="111"/>
      <c r="J1508" s="122">
        <f>ROUND(SUM(J1510:J1510),2)</f>
        <v>727.35</v>
      </c>
    </row>
    <row r="1509" spans="1:10">
      <c r="A1509" s="132"/>
      <c r="B1509" s="108"/>
      <c r="C1509" s="159" t="s">
        <v>2240</v>
      </c>
      <c r="D1509" s="105"/>
      <c r="E1509" s="104"/>
      <c r="F1509" s="106"/>
      <c r="G1509" s="111"/>
      <c r="H1509" s="111"/>
      <c r="I1509" s="161" t="s">
        <v>2003</v>
      </c>
      <c r="J1509" s="122"/>
    </row>
    <row r="1510" spans="1:10">
      <c r="A1510" s="225"/>
      <c r="B1510" s="236"/>
      <c r="C1510" s="244" t="s">
        <v>2033</v>
      </c>
      <c r="D1510" s="174"/>
      <c r="E1510" s="174"/>
      <c r="F1510" s="223"/>
      <c r="G1510" s="143"/>
      <c r="H1510" s="143"/>
      <c r="I1510" s="127">
        <f>[3]PARÂMETROS!F537</f>
        <v>727.35</v>
      </c>
      <c r="J1510" s="128">
        <f t="shared" ref="J1510" si="93">ROUND(PRODUCT(E1510:I1510),2)</f>
        <v>727.35</v>
      </c>
    </row>
    <row r="1511" spans="1:10">
      <c r="A1511" s="528"/>
      <c r="B1511" s="529"/>
      <c r="C1511" s="529"/>
      <c r="D1511" s="529"/>
      <c r="E1511" s="529"/>
      <c r="F1511" s="529"/>
      <c r="G1511" s="529"/>
      <c r="H1511" s="529"/>
      <c r="I1511" s="529"/>
      <c r="J1511" s="529"/>
    </row>
    <row r="1512" spans="1:10" ht="51">
      <c r="A1512" s="132" t="str">
        <f>'[3]Planilha Orçamentária'!A399</f>
        <v>1.7.5.12</v>
      </c>
      <c r="B1512" s="108" t="str">
        <f>VLOOKUP(A1512,'[3]Planilha Orçamentária'!A:K,2,0)</f>
        <v>CP-94991-12549457</v>
      </c>
      <c r="C1512" s="104" t="str">
        <f>VLOOKUP(A1512,'[3]Planilha Orçamentária'!A:K,3,0)</f>
        <v>EXECUÇÃO DE PASSEIO (CALÇADA) OU PISO DE CONCRETO COM CONCRETO MOLDADO IN LOCO, USINADO, ACABAMENTO CONVENCIONAL, NÃO ARMADO - EXCLUINDO O CONCRETO USINADO 20MPA</v>
      </c>
      <c r="D1512" s="105" t="str">
        <f>VLOOKUP(A1512,'[3]Planilha Orçamentária'!A:K,4,0)</f>
        <v>M3</v>
      </c>
      <c r="E1512" s="104"/>
      <c r="F1512" s="111"/>
      <c r="G1512" s="111"/>
      <c r="H1512" s="111"/>
      <c r="I1512" s="111"/>
      <c r="J1512" s="122">
        <f>ROUND(SUM(J1514:J1515),2)</f>
        <v>49.14</v>
      </c>
    </row>
    <row r="1513" spans="1:10">
      <c r="A1513" s="132"/>
      <c r="B1513" s="108"/>
      <c r="C1513" s="159" t="s">
        <v>2240</v>
      </c>
      <c r="D1513" s="105"/>
      <c r="E1513" s="104"/>
      <c r="F1513" s="106"/>
      <c r="G1513" s="111"/>
      <c r="H1513" s="111"/>
      <c r="I1513" s="111"/>
      <c r="J1513" s="122"/>
    </row>
    <row r="1514" spans="1:10">
      <c r="A1514" s="225"/>
      <c r="B1514" s="236"/>
      <c r="C1514" s="244" t="s">
        <v>2033</v>
      </c>
      <c r="D1514" s="174"/>
      <c r="E1514" s="174"/>
      <c r="F1514" s="223"/>
      <c r="G1514" s="143"/>
      <c r="H1514" s="143">
        <v>7.0000000000000007E-2</v>
      </c>
      <c r="I1514" s="127">
        <f>J1508</f>
        <v>727.35</v>
      </c>
      <c r="J1514" s="128">
        <f t="shared" ref="J1514:J1515" si="94">ROUND(PRODUCT(E1514:I1514),2)</f>
        <v>50.91</v>
      </c>
    </row>
    <row r="1515" spans="1:10">
      <c r="A1515" s="132"/>
      <c r="B1515" s="108"/>
      <c r="C1515" s="155" t="s">
        <v>2034</v>
      </c>
      <c r="D1515" s="174"/>
      <c r="E1515" s="174">
        <v>-1</v>
      </c>
      <c r="F1515" s="223"/>
      <c r="G1515" s="143"/>
      <c r="H1515" s="143">
        <v>7.0000000000000007E-2</v>
      </c>
      <c r="I1515" s="127">
        <f>J1561</f>
        <v>25.28</v>
      </c>
      <c r="J1515" s="128">
        <f t="shared" si="94"/>
        <v>-1.77</v>
      </c>
    </row>
    <row r="1516" spans="1:10">
      <c r="A1516" s="528"/>
      <c r="B1516" s="529"/>
      <c r="C1516" s="529"/>
      <c r="D1516" s="529"/>
      <c r="E1516" s="529"/>
      <c r="F1516" s="529"/>
      <c r="G1516" s="529"/>
      <c r="H1516" s="529"/>
      <c r="I1516" s="529"/>
      <c r="J1516" s="529"/>
    </row>
    <row r="1517" spans="1:10" ht="63.75">
      <c r="A1517" s="132" t="str">
        <f>'[3]Planilha Orçamentária'!A400</f>
        <v>1.7.5.13</v>
      </c>
      <c r="B1517" s="108">
        <f>VLOOKUP(A1517,'[3]Planilha Orçamentária'!A:K,2,0)</f>
        <v>94273</v>
      </c>
      <c r="C1517" s="104" t="str">
        <f>VLOOKUP(A1517,'[3]Planilha Orçamentária'!A:K,3,0)</f>
        <v>ASSENTAMENTO DE GUIA (MEIO-FIO) EM TRECHO RETO, CONFECCIONADA EM CONCRETO PRÉ-FABRICADO, DIMENSÕES 100X15X13X30 CM (COMPRIMENTO X BASE INFERIOR X BASE SUPERIOR X ALTURA), PARA VIAS URBANAS (USO VIÁRIO). AF_06/2016</v>
      </c>
      <c r="D1517" s="105" t="str">
        <f>VLOOKUP(A1517,'[3]Planilha Orçamentária'!A:K,4,0)</f>
        <v>M</v>
      </c>
      <c r="E1517" s="104"/>
      <c r="F1517" s="111"/>
      <c r="G1517" s="111"/>
      <c r="H1517" s="111"/>
      <c r="I1517" s="111"/>
      <c r="J1517" s="122">
        <f>ROUND(SUM(J1519:J1520),2)</f>
        <v>365.51</v>
      </c>
    </row>
    <row r="1518" spans="1:10">
      <c r="A1518" s="132"/>
      <c r="B1518" s="108"/>
      <c r="C1518" s="159" t="s">
        <v>2240</v>
      </c>
      <c r="D1518" s="105"/>
      <c r="E1518" s="104"/>
      <c r="F1518" s="106" t="s">
        <v>1989</v>
      </c>
      <c r="G1518" s="111"/>
      <c r="H1518" s="111"/>
      <c r="I1518" s="111"/>
      <c r="J1518" s="122"/>
    </row>
    <row r="1519" spans="1:10" ht="25.5">
      <c r="A1519" s="225"/>
      <c r="B1519" s="236"/>
      <c r="C1519" s="245" t="s">
        <v>2035</v>
      </c>
      <c r="D1519" s="228"/>
      <c r="E1519" s="227"/>
      <c r="F1519" s="246">
        <f>380.46-F1524</f>
        <v>333.38</v>
      </c>
      <c r="G1519" s="229"/>
      <c r="H1519" s="229"/>
      <c r="I1519" s="229"/>
      <c r="J1519" s="128">
        <f t="shared" ref="J1519:J1520" si="95">ROUND(PRODUCT(E1519:I1519),2)</f>
        <v>333.38</v>
      </c>
    </row>
    <row r="1520" spans="1:10">
      <c r="A1520" s="132"/>
      <c r="B1520" s="108"/>
      <c r="C1520" s="247" t="s">
        <v>2036</v>
      </c>
      <c r="D1520" s="105"/>
      <c r="E1520" s="104"/>
      <c r="F1520" s="223">
        <f>[3]PARÂMETROS!B532</f>
        <v>32.130000000000003</v>
      </c>
      <c r="G1520" s="111"/>
      <c r="H1520" s="111"/>
      <c r="I1520" s="111"/>
      <c r="J1520" s="128">
        <f t="shared" si="95"/>
        <v>32.130000000000003</v>
      </c>
    </row>
    <row r="1521" spans="1:10">
      <c r="A1521" s="528"/>
      <c r="B1521" s="529"/>
      <c r="C1521" s="529"/>
      <c r="D1521" s="529"/>
      <c r="E1521" s="529"/>
      <c r="F1521" s="529"/>
      <c r="G1521" s="529"/>
      <c r="H1521" s="529"/>
      <c r="I1521" s="529"/>
      <c r="J1521" s="529"/>
    </row>
    <row r="1522" spans="1:10" ht="63.75">
      <c r="A1522" s="132" t="str">
        <f>'[3]Planilha Orçamentária'!A401</f>
        <v>1.7.5.14</v>
      </c>
      <c r="B1522" s="108">
        <f>VLOOKUP(A1522,'[3]Planilha Orçamentária'!A:K,2,0)</f>
        <v>94274</v>
      </c>
      <c r="C1522" s="104" t="str">
        <f>VLOOKUP(A1522,'[3]Planilha Orçamentária'!A:K,3,0)</f>
        <v>ASSENTAMENTO DE GUIA (MEIO-FIO) EM TRECHO CURVO, CONFECCIONADA EM CONCRETO PRÉ-FABRICADO, DIMENSÕES 100X15X13X30 CM (COMPRIMENTO X BASE INFERIOR X BASE SUPERIOR X ALTURA), PARA VIAS URBANAS (USO VIÁRIO). AF_06/2016</v>
      </c>
      <c r="D1522" s="105" t="str">
        <f>VLOOKUP(A1522,'[3]Planilha Orçamentária'!A:K,4,0)</f>
        <v>M</v>
      </c>
      <c r="E1522" s="104"/>
      <c r="F1522" s="111"/>
      <c r="G1522" s="111"/>
      <c r="H1522" s="111"/>
      <c r="I1522" s="111"/>
      <c r="J1522" s="122">
        <f>ROUND(SUM(J1524:J1524),2)</f>
        <v>47.08</v>
      </c>
    </row>
    <row r="1523" spans="1:10">
      <c r="A1523" s="132"/>
      <c r="B1523" s="108"/>
      <c r="C1523" s="159" t="s">
        <v>2240</v>
      </c>
      <c r="D1523" s="105"/>
      <c r="E1523" s="104"/>
      <c r="F1523" s="106" t="s">
        <v>1989</v>
      </c>
      <c r="G1523" s="111"/>
      <c r="H1523" s="111"/>
      <c r="I1523" s="111"/>
      <c r="J1523" s="122"/>
    </row>
    <row r="1524" spans="1:10">
      <c r="A1524" s="225"/>
      <c r="B1524" s="236"/>
      <c r="C1524" s="245" t="s">
        <v>2037</v>
      </c>
      <c r="D1524" s="228"/>
      <c r="E1524" s="227"/>
      <c r="F1524" s="246">
        <f>[3]PARÂMETROS!B533</f>
        <v>47.08</v>
      </c>
      <c r="G1524" s="229"/>
      <c r="H1524" s="229"/>
      <c r="I1524" s="229"/>
      <c r="J1524" s="128">
        <f t="shared" ref="J1524" si="96">ROUND(PRODUCT(E1524:I1524),2)</f>
        <v>47.08</v>
      </c>
    </row>
    <row r="1525" spans="1:10">
      <c r="A1525" s="528"/>
      <c r="B1525" s="529"/>
      <c r="C1525" s="529"/>
      <c r="D1525" s="529"/>
      <c r="E1525" s="529"/>
      <c r="F1525" s="529"/>
      <c r="G1525" s="529"/>
      <c r="H1525" s="529"/>
      <c r="I1525" s="529"/>
      <c r="J1525" s="529"/>
    </row>
    <row r="1526" spans="1:10" ht="38.25">
      <c r="A1526" s="132" t="str">
        <f>'[3]Planilha Orçamentária'!A402</f>
        <v>1.7.5.15</v>
      </c>
      <c r="B1526" s="108">
        <f>VLOOKUP(A1526,'[3]Planilha Orçamentária'!A:K,2,0)</f>
        <v>94287</v>
      </c>
      <c r="C1526" s="104" t="str">
        <f>VLOOKUP(A1526,'[3]Planilha Orçamentária'!A:K,3,0)</f>
        <v>EXECUÇÃO DE SARJETA DE CONCRETO USINADO, MOLDADA  IN LOCO  EM TRECHO RETO, 30 CM BASE X 10 CM ALTURA. AF_06/2016</v>
      </c>
      <c r="D1526" s="105" t="str">
        <f>VLOOKUP(A1526,'[3]Planilha Orçamentária'!A:K,4,0)</f>
        <v>M</v>
      </c>
      <c r="E1526" s="104"/>
      <c r="F1526" s="111"/>
      <c r="G1526" s="111"/>
      <c r="H1526" s="111"/>
      <c r="I1526" s="111"/>
      <c r="J1526" s="122">
        <f>ROUND(SUM(J1528:J1528),2)</f>
        <v>158.91</v>
      </c>
    </row>
    <row r="1527" spans="1:10">
      <c r="A1527" s="132"/>
      <c r="B1527" s="108"/>
      <c r="C1527" s="159" t="s">
        <v>2240</v>
      </c>
      <c r="D1527" s="105"/>
      <c r="E1527" s="104"/>
      <c r="F1527" s="106" t="s">
        <v>1989</v>
      </c>
      <c r="G1527" s="111"/>
      <c r="H1527" s="111"/>
      <c r="I1527" s="111"/>
      <c r="J1527" s="122"/>
    </row>
    <row r="1528" spans="1:10">
      <c r="A1528" s="225"/>
      <c r="B1528" s="236"/>
      <c r="C1528" s="245" t="s">
        <v>2245</v>
      </c>
      <c r="D1528" s="228"/>
      <c r="E1528" s="227"/>
      <c r="F1528" s="246">
        <f>179.37-F1532</f>
        <v>158.91</v>
      </c>
      <c r="G1528" s="229"/>
      <c r="H1528" s="229"/>
      <c r="I1528" s="229"/>
      <c r="J1528" s="128">
        <f t="shared" ref="J1528" si="97">ROUND(PRODUCT(E1528:I1528),2)</f>
        <v>158.91</v>
      </c>
    </row>
    <row r="1529" spans="1:10">
      <c r="A1529" s="528"/>
      <c r="B1529" s="529"/>
      <c r="C1529" s="529"/>
      <c r="D1529" s="529"/>
      <c r="E1529" s="529"/>
      <c r="F1529" s="529"/>
      <c r="G1529" s="529"/>
      <c r="H1529" s="529"/>
      <c r="I1529" s="529"/>
      <c r="J1529" s="529"/>
    </row>
    <row r="1530" spans="1:10" ht="38.25">
      <c r="A1530" s="132" t="str">
        <f>'[3]Planilha Orçamentária'!A403</f>
        <v>1.7.5.16</v>
      </c>
      <c r="B1530" s="108">
        <f>VLOOKUP(A1530,'[3]Planilha Orçamentária'!A:K,2,0)</f>
        <v>94288</v>
      </c>
      <c r="C1530" s="104" t="str">
        <f>VLOOKUP(A1530,'[3]Planilha Orçamentária'!A:K,3,0)</f>
        <v>EXECUÇÃO DE SARJETA DE CONCRETO USINADO, MOLDADA  IN LOCO  EM TRECHO CURVO, 30 CM BASE X 10 CM ALTURA. AF_06/2016</v>
      </c>
      <c r="D1530" s="105" t="str">
        <f>VLOOKUP(A1530,'[3]Planilha Orçamentária'!A:K,4,0)</f>
        <v>M</v>
      </c>
      <c r="E1530" s="104"/>
      <c r="F1530" s="111"/>
      <c r="G1530" s="111"/>
      <c r="H1530" s="111"/>
      <c r="I1530" s="111"/>
      <c r="J1530" s="122">
        <f>ROUND(SUM(J1532:J1532),2)</f>
        <v>20.46</v>
      </c>
    </row>
    <row r="1531" spans="1:10">
      <c r="A1531" s="132"/>
      <c r="B1531" s="108"/>
      <c r="C1531" s="159" t="s">
        <v>2240</v>
      </c>
      <c r="D1531" s="105"/>
      <c r="E1531" s="104"/>
      <c r="F1531" s="106" t="s">
        <v>1989</v>
      </c>
      <c r="G1531" s="111"/>
      <c r="H1531" s="111"/>
      <c r="I1531" s="111"/>
      <c r="J1531" s="122"/>
    </row>
    <row r="1532" spans="1:10">
      <c r="A1532" s="225"/>
      <c r="B1532" s="236"/>
      <c r="C1532" s="245" t="s">
        <v>2044</v>
      </c>
      <c r="D1532" s="228"/>
      <c r="E1532" s="227"/>
      <c r="F1532" s="246">
        <f>[3]PARÂMETROS!B535</f>
        <v>20.46</v>
      </c>
      <c r="G1532" s="229"/>
      <c r="H1532" s="229"/>
      <c r="I1532" s="229"/>
      <c r="J1532" s="128">
        <f t="shared" ref="J1532" si="98">ROUND(PRODUCT(E1532:I1532),2)</f>
        <v>20.46</v>
      </c>
    </row>
    <row r="1533" spans="1:10">
      <c r="A1533" s="528"/>
      <c r="B1533" s="529"/>
      <c r="C1533" s="529"/>
      <c r="D1533" s="529"/>
      <c r="E1533" s="529"/>
      <c r="F1533" s="529"/>
      <c r="G1533" s="529"/>
      <c r="H1533" s="529"/>
      <c r="I1533" s="529"/>
      <c r="J1533" s="529"/>
    </row>
    <row r="1534" spans="1:10">
      <c r="A1534" s="94" t="str">
        <f>'[3]Planilha Orçamentária'!A404</f>
        <v>1.7.6</v>
      </c>
      <c r="B1534" s="95"/>
      <c r="C1534" s="96" t="str">
        <f>VLOOKUP(A1534,'[3]Planilha Orçamentária'!A:K,3,0)</f>
        <v>SINALIZAÇÃO</v>
      </c>
      <c r="D1534" s="97"/>
      <c r="E1534" s="98"/>
      <c r="F1534" s="99"/>
      <c r="G1534" s="99"/>
      <c r="H1534" s="99"/>
      <c r="I1534" s="100"/>
      <c r="J1534" s="131"/>
    </row>
    <row r="1535" spans="1:10" ht="25.5">
      <c r="A1535" s="251" t="str">
        <f>'[3]Planilha Orçamentária'!A405</f>
        <v>1.7.6.1</v>
      </c>
      <c r="B1535" s="252">
        <f>VLOOKUP(A1535,'[3]Planilha Orçamentária'!A:K,2,0)</f>
        <v>5213416</v>
      </c>
      <c r="C1535" s="253" t="str">
        <f>VLOOKUP(A1535,'[3]Planilha Orçamentária'!A:K,3,0)</f>
        <v>Confecção de placa em aço nº 16 galvanizado, com película tipo I + I</v>
      </c>
      <c r="D1535" s="254" t="str">
        <f>VLOOKUP(A1535,'[3]Planilha Orçamentária'!A:K,4,0)</f>
        <v xml:space="preserve">M2    </v>
      </c>
      <c r="E1535" s="255"/>
      <c r="F1535" s="256"/>
      <c r="G1535" s="256"/>
      <c r="H1535" s="256"/>
      <c r="I1535" s="256"/>
      <c r="J1535" s="257">
        <f>ROUND(SUM(J1536:J1537),2)</f>
        <v>3</v>
      </c>
    </row>
    <row r="1536" spans="1:10" ht="25.5">
      <c r="A1536" s="293"/>
      <c r="B1536" s="294"/>
      <c r="C1536" s="244" t="s">
        <v>2246</v>
      </c>
      <c r="D1536" s="295"/>
      <c r="E1536" s="296"/>
      <c r="F1536" s="297"/>
      <c r="G1536" s="297"/>
      <c r="H1536" s="157" t="s">
        <v>2003</v>
      </c>
      <c r="I1536" s="408" t="s">
        <v>1991</v>
      </c>
      <c r="J1536" s="158"/>
    </row>
    <row r="1537" spans="1:10">
      <c r="A1537" s="293"/>
      <c r="B1537" s="294"/>
      <c r="C1537" s="343" t="s">
        <v>2229</v>
      </c>
      <c r="D1537" s="105"/>
      <c r="E1537" s="157"/>
      <c r="F1537" s="111"/>
      <c r="G1537" s="111"/>
      <c r="H1537" s="157">
        <f>ROUNDUP(((4.828427*0.35*0.35)),2)</f>
        <v>0.6</v>
      </c>
      <c r="I1537" s="157">
        <v>5</v>
      </c>
      <c r="J1537" s="158">
        <f t="shared" ref="J1537" si="99">ROUND(PRODUCT(E1537:I1537),2)</f>
        <v>3</v>
      </c>
    </row>
    <row r="1538" spans="1:10">
      <c r="A1538" s="538"/>
      <c r="B1538" s="539"/>
      <c r="C1538" s="539"/>
      <c r="D1538" s="539"/>
      <c r="E1538" s="539"/>
      <c r="F1538" s="539"/>
      <c r="G1538" s="539"/>
      <c r="H1538" s="539"/>
      <c r="I1538" s="539"/>
      <c r="J1538" s="539"/>
    </row>
    <row r="1539" spans="1:10" ht="25.5">
      <c r="A1539" s="132" t="str">
        <f>'[3]Planilha Orçamentária'!A406</f>
        <v>1.7.6.2</v>
      </c>
      <c r="B1539" s="103">
        <f>VLOOKUP(A1539,'[3]Planilha Orçamentária'!A:K,2,0)</f>
        <v>5213421</v>
      </c>
      <c r="C1539" s="276" t="str">
        <f>VLOOKUP(A1539,'[3]Planilha Orçamentária'!A:K,3,0)</f>
        <v>Confecção de placa em aço nº 16 galvanizado, com película tipo I + IV</v>
      </c>
      <c r="D1539" s="105" t="str">
        <f>VLOOKUP(A1539,'[3]Planilha Orçamentária'!A:K,4,0)</f>
        <v xml:space="preserve">M2    </v>
      </c>
      <c r="E1539" s="104"/>
      <c r="F1539" s="111"/>
      <c r="G1539" s="111"/>
      <c r="H1539" s="111"/>
      <c r="I1539" s="111"/>
      <c r="J1539" s="107">
        <f>ROUND(SUM(J1540:J1542),2)</f>
        <v>1.55</v>
      </c>
    </row>
    <row r="1540" spans="1:10" ht="25.5">
      <c r="A1540" s="138"/>
      <c r="B1540" s="138"/>
      <c r="C1540" s="244" t="s">
        <v>2246</v>
      </c>
      <c r="D1540" s="307"/>
      <c r="E1540" s="313"/>
      <c r="F1540" s="116"/>
      <c r="G1540" s="116"/>
      <c r="H1540" s="157" t="s">
        <v>2003</v>
      </c>
      <c r="I1540" s="408" t="s">
        <v>1991</v>
      </c>
      <c r="J1540" s="118"/>
    </row>
    <row r="1541" spans="1:10">
      <c r="A1541" s="314"/>
      <c r="B1541" s="314"/>
      <c r="C1541" s="244" t="s">
        <v>2079</v>
      </c>
      <c r="D1541" s="307"/>
      <c r="E1541" s="116"/>
      <c r="F1541" s="116"/>
      <c r="G1541" s="116"/>
      <c r="H1541" s="116">
        <v>0.2</v>
      </c>
      <c r="I1541" s="157">
        <v>4</v>
      </c>
      <c r="J1541" s="158">
        <f t="shared" ref="J1541:J1542" si="100">ROUND(PRODUCT(E1541:I1541),2)</f>
        <v>0.8</v>
      </c>
    </row>
    <row r="1542" spans="1:10">
      <c r="A1542" s="314"/>
      <c r="B1542" s="314"/>
      <c r="C1542" s="409" t="s">
        <v>2081</v>
      </c>
      <c r="D1542" s="303"/>
      <c r="E1542" s="304"/>
      <c r="F1542" s="304"/>
      <c r="G1542" s="304"/>
      <c r="H1542" s="304">
        <f>0.5*0.5</f>
        <v>0.25</v>
      </c>
      <c r="I1542" s="410">
        <v>3</v>
      </c>
      <c r="J1542" s="158">
        <f t="shared" si="100"/>
        <v>0.75</v>
      </c>
    </row>
    <row r="1543" spans="1:10">
      <c r="A1543" s="524"/>
      <c r="B1543" s="524"/>
      <c r="C1543" s="524"/>
      <c r="D1543" s="524"/>
      <c r="E1543" s="524"/>
      <c r="F1543" s="524"/>
      <c r="G1543" s="524"/>
      <c r="H1543" s="524"/>
      <c r="I1543" s="524"/>
      <c r="J1543" s="525"/>
    </row>
    <row r="1544" spans="1:10" ht="38.25">
      <c r="A1544" s="132" t="str">
        <f>'[3]Planilha Orçamentária'!A407</f>
        <v>1.7.6.3</v>
      </c>
      <c r="B1544" s="103">
        <f>VLOOKUP(A1544,'[3]Planilha Orçamentária'!A:K,2,0)</f>
        <v>5216111</v>
      </c>
      <c r="C1544" s="276" t="str">
        <f>VLOOKUP(A1544,'[3]Planilha Orçamentária'!A:K,3,0)</f>
        <v>FORNECIMENTO E IMPLANTAÇÃO DE SUPORTE E TRAVESSA PARA PLACA DE SINALIZAÇÃO EM MADEIRA DE LEI TRATADA 8 X 8 CM</v>
      </c>
      <c r="D1544" s="105" t="str">
        <f>VLOOKUP(A1544,'[3]Planilha Orçamentária'!A:K,4,0)</f>
        <v>UND</v>
      </c>
      <c r="E1544" s="104"/>
      <c r="F1544" s="111"/>
      <c r="G1544" s="111"/>
      <c r="H1544" s="111"/>
      <c r="I1544" s="111"/>
      <c r="J1544" s="107">
        <f>ROUND(SUM(J1546:J1546),2)</f>
        <v>9</v>
      </c>
    </row>
    <row r="1545" spans="1:10">
      <c r="A1545" s="251"/>
      <c r="B1545" s="252"/>
      <c r="C1545" s="244" t="s">
        <v>2246</v>
      </c>
      <c r="D1545" s="105"/>
      <c r="E1545" s="104"/>
      <c r="F1545" s="111"/>
      <c r="G1545" s="111"/>
      <c r="H1545" s="111"/>
      <c r="I1545" s="106" t="s">
        <v>1446</v>
      </c>
      <c r="J1545" s="257"/>
    </row>
    <row r="1546" spans="1:10">
      <c r="A1546" s="314"/>
      <c r="B1546" s="314"/>
      <c r="C1546" s="244" t="s">
        <v>2046</v>
      </c>
      <c r="D1546" s="307"/>
      <c r="E1546" s="313"/>
      <c r="F1546" s="116"/>
      <c r="G1546" s="116"/>
      <c r="H1546" s="157"/>
      <c r="I1546" s="157">
        <v>9</v>
      </c>
      <c r="J1546" s="306">
        <f>ROUND(PRODUCT(E1546:I1546),2)</f>
        <v>9</v>
      </c>
    </row>
    <row r="1547" spans="1:10">
      <c r="A1547" s="523"/>
      <c r="B1547" s="524"/>
      <c r="C1547" s="524"/>
      <c r="D1547" s="524"/>
      <c r="E1547" s="524"/>
      <c r="F1547" s="524"/>
      <c r="G1547" s="524"/>
      <c r="H1547" s="524"/>
      <c r="I1547" s="524"/>
      <c r="J1547" s="525"/>
    </row>
    <row r="1548" spans="1:10" ht="25.5">
      <c r="A1548" s="251" t="str">
        <f>'[3]Planilha Orçamentária'!A408</f>
        <v>1.7.6.4</v>
      </c>
      <c r="B1548" s="252" t="str">
        <f>VLOOKUP(A1548,'[3]Planilha Orçamentária'!A:K,2,0)</f>
        <v>COMP-58084869</v>
      </c>
      <c r="C1548" s="253" t="str">
        <f>VLOOKUP(A1548,'[3]Planilha Orçamentária'!A:K,3,0)</f>
        <v>PLACA ESMALTADA PARA IDENTIFICAÇÃO NR DE RUA, DIMENSÕES 45X25CM</v>
      </c>
      <c r="D1548" s="254" t="str">
        <f>VLOOKUP(A1548,'[3]Planilha Orçamentária'!A:K,4,0)</f>
        <v>UND</v>
      </c>
      <c r="E1548" s="255"/>
      <c r="F1548" s="256"/>
      <c r="G1548" s="256"/>
      <c r="H1548" s="256"/>
      <c r="I1548" s="256"/>
      <c r="J1548" s="257">
        <f>ROUND(SUM(J1549:J1550),2)</f>
        <v>2</v>
      </c>
    </row>
    <row r="1549" spans="1:10">
      <c r="A1549" s="132"/>
      <c r="B1549" s="108"/>
      <c r="C1549" s="244" t="s">
        <v>2246</v>
      </c>
      <c r="D1549" s="105"/>
      <c r="E1549" s="104"/>
      <c r="F1549" s="111"/>
      <c r="G1549" s="111"/>
      <c r="H1549" s="111"/>
      <c r="I1549" s="106" t="s">
        <v>1446</v>
      </c>
      <c r="J1549" s="122"/>
    </row>
    <row r="1550" spans="1:10">
      <c r="A1550" s="132"/>
      <c r="B1550" s="108"/>
      <c r="C1550" s="244" t="s">
        <v>2046</v>
      </c>
      <c r="D1550" s="105"/>
      <c r="E1550" s="104"/>
      <c r="F1550" s="111"/>
      <c r="G1550" s="111"/>
      <c r="H1550" s="111"/>
      <c r="I1550" s="157">
        <v>2</v>
      </c>
      <c r="J1550" s="306">
        <f>ROUND(PRODUCT(E1550:I1550),2)</f>
        <v>2</v>
      </c>
    </row>
    <row r="1551" spans="1:10">
      <c r="A1551" s="559"/>
      <c r="B1551" s="560"/>
      <c r="C1551" s="560"/>
      <c r="D1551" s="560"/>
      <c r="E1551" s="560"/>
      <c r="F1551" s="560"/>
      <c r="G1551" s="560"/>
      <c r="H1551" s="560"/>
      <c r="I1551" s="560"/>
      <c r="J1551" s="560"/>
    </row>
    <row r="1552" spans="1:10" ht="51">
      <c r="A1552" s="145" t="str">
        <f>'[3]Planilha Orçamentária'!A409</f>
        <v>1.7.6.5</v>
      </c>
      <c r="B1552" s="146">
        <f>VLOOKUP(A1552,'[3]Planilha Orçamentária'!A:K,2,0)</f>
        <v>102512</v>
      </c>
      <c r="C1552" s="411" t="str">
        <f>VLOOKUP(A1552,'[3]Planilha Orçamentária'!A:K,3,0)</f>
        <v>PINTURA DE EIXO VIÁRIO SOBRE ASFALTO COM TINTA RETRORREFLETIVA A BASE DE RESINA ACRÍLICA COM MICROESFERAS DE VIDRO, APLICAÇÃO MECÂNICA COM DEMARCADORA AUTOPROPELIDA. AF_05/2021</v>
      </c>
      <c r="D1552" s="148" t="str">
        <f>VLOOKUP(A1552,'[3]Planilha Orçamentária'!A:K,4,0)</f>
        <v>M</v>
      </c>
      <c r="E1552" s="147"/>
      <c r="F1552" s="160"/>
      <c r="G1552" s="160"/>
      <c r="H1552" s="160"/>
      <c r="I1552" s="160"/>
      <c r="J1552" s="150">
        <f>ROUND(SUM(J1554:J1554),2)</f>
        <v>477.68</v>
      </c>
    </row>
    <row r="1553" spans="1:10">
      <c r="A1553" s="151"/>
      <c r="B1553" s="152"/>
      <c r="C1553" s="244" t="s">
        <v>2246</v>
      </c>
      <c r="D1553" s="148"/>
      <c r="E1553" s="147"/>
      <c r="F1553" s="161" t="s">
        <v>1989</v>
      </c>
      <c r="G1553" s="160"/>
      <c r="H1553" s="160"/>
      <c r="I1553" s="106"/>
      <c r="J1553" s="150"/>
    </row>
    <row r="1554" spans="1:10">
      <c r="A1554" s="314"/>
      <c r="B1554" s="314"/>
      <c r="C1554" s="244" t="s">
        <v>2046</v>
      </c>
      <c r="D1554" s="262"/>
      <c r="E1554" s="358"/>
      <c r="F1554" s="157">
        <v>477.68</v>
      </c>
      <c r="G1554" s="157"/>
      <c r="H1554" s="157"/>
      <c r="I1554" s="157"/>
      <c r="J1554" s="128">
        <f>ROUND(PRODUCT(E1554:I1554),2)</f>
        <v>477.68</v>
      </c>
    </row>
    <row r="1555" spans="1:10">
      <c r="A1555" s="524"/>
      <c r="B1555" s="524"/>
      <c r="C1555" s="524"/>
      <c r="D1555" s="524"/>
      <c r="E1555" s="524"/>
      <c r="F1555" s="524"/>
      <c r="G1555" s="524"/>
      <c r="H1555" s="524"/>
      <c r="I1555" s="524"/>
      <c r="J1555" s="525"/>
    </row>
    <row r="1556" spans="1:10" ht="51">
      <c r="A1556" s="145" t="str">
        <f>'[3]Planilha Orçamentária'!A410</f>
        <v>1.7.6.6</v>
      </c>
      <c r="B1556" s="146">
        <f>VLOOKUP(A1556,'[3]Planilha Orçamentária'!A:K,2,0)</f>
        <v>102509</v>
      </c>
      <c r="C1556" s="411" t="str">
        <f>VLOOKUP(A1556,'[3]Planilha Orçamentária'!A:K,3,0)</f>
        <v>PINTURA DE FAIXA DE PEDESTRE OU ZEBRADA TINTA RETRORREFLETIVA A BASE DE RESINA ACRÍLICA COM MICROESFERAS DE VIDRO, E = 30 CM, APLICAÇÃO MANUAL. AF_05/2021</v>
      </c>
      <c r="D1556" s="148" t="str">
        <f>VLOOKUP(A1556,'[3]Planilha Orçamentária'!A:K,4,0)</f>
        <v>M2</v>
      </c>
      <c r="E1556" s="147"/>
      <c r="F1556" s="160"/>
      <c r="G1556" s="160"/>
      <c r="H1556" s="160"/>
      <c r="I1556" s="160"/>
      <c r="J1556" s="150">
        <f>ROUND(SUM(J1558:J1558),2)</f>
        <v>39.4</v>
      </c>
    </row>
    <row r="1557" spans="1:10">
      <c r="A1557" s="151"/>
      <c r="B1557" s="152"/>
      <c r="C1557" s="244" t="s">
        <v>2246</v>
      </c>
      <c r="D1557" s="148"/>
      <c r="E1557" s="147"/>
      <c r="F1557" s="161"/>
      <c r="G1557" s="160"/>
      <c r="H1557" s="160"/>
      <c r="I1557" s="106" t="s">
        <v>2003</v>
      </c>
      <c r="J1557" s="150"/>
    </row>
    <row r="1558" spans="1:10">
      <c r="A1558" s="314"/>
      <c r="B1558" s="314"/>
      <c r="C1558" s="244" t="s">
        <v>2046</v>
      </c>
      <c r="D1558" s="262"/>
      <c r="E1558" s="358"/>
      <c r="F1558" s="157"/>
      <c r="G1558" s="157"/>
      <c r="H1558" s="157"/>
      <c r="I1558" s="157">
        <v>39.4</v>
      </c>
      <c r="J1558" s="128">
        <f>ROUND(PRODUCT(E1558:I1558),2)</f>
        <v>39.4</v>
      </c>
    </row>
    <row r="1559" spans="1:10">
      <c r="A1559" s="524"/>
      <c r="B1559" s="524"/>
      <c r="C1559" s="524"/>
      <c r="D1559" s="524"/>
      <c r="E1559" s="524"/>
      <c r="F1559" s="524"/>
      <c r="G1559" s="524"/>
      <c r="H1559" s="524"/>
      <c r="I1559" s="524"/>
      <c r="J1559" s="525"/>
    </row>
    <row r="1560" spans="1:10">
      <c r="A1560" s="94" t="str">
        <f>'[3]Planilha Orçamentária'!A411</f>
        <v>1.7.7</v>
      </c>
      <c r="B1560" s="95"/>
      <c r="C1560" s="96" t="str">
        <f>VLOOKUP(A1560,'[3]Planilha Orçamentária'!A:K,3,0)</f>
        <v>ACESSIBILIDADE</v>
      </c>
      <c r="D1560" s="96"/>
      <c r="E1560" s="129"/>
      <c r="F1560" s="130"/>
      <c r="G1560" s="130"/>
      <c r="H1560" s="130"/>
      <c r="I1560" s="130"/>
      <c r="J1560" s="131"/>
    </row>
    <row r="1561" spans="1:10" ht="51">
      <c r="A1561" s="132" t="str">
        <f>'[3]Planilha Orçamentária'!A412</f>
        <v>1.7.7.1</v>
      </c>
      <c r="B1561" s="108" t="str">
        <f>VLOOKUP(A1561,'[3]Planilha Orçamentária'!A:K,2,0)</f>
        <v>CP-S12039-81921471</v>
      </c>
      <c r="C1561" s="276" t="str">
        <f>VLOOKUP(A1561,'[3]Planilha Orçamentária'!A:K,3,0)</f>
        <v>Piso tátil direcional e/ou alerta, de concreto, na cor natural, p/deficientes visuais, dimensões 40x40cm, aplicado com argamassa industrializada ac-ii, rejuntado, exclusive regularização de base</v>
      </c>
      <c r="D1561" s="105" t="str">
        <f>VLOOKUP(A1561,'[3]Planilha Orçamentária'!A:K,4,0)</f>
        <v>M2</v>
      </c>
      <c r="E1561" s="104"/>
      <c r="F1561" s="111"/>
      <c r="G1561" s="111"/>
      <c r="H1561" s="111"/>
      <c r="I1561" s="111"/>
      <c r="J1561" s="122">
        <f>ROUND(SUM(J1562:J1564),2)</f>
        <v>25.28</v>
      </c>
    </row>
    <row r="1562" spans="1:10">
      <c r="A1562" s="138"/>
      <c r="B1562" s="138"/>
      <c r="C1562" s="244" t="s">
        <v>2246</v>
      </c>
      <c r="D1562" s="137"/>
      <c r="E1562" s="138"/>
      <c r="F1562" s="325"/>
      <c r="G1562" s="325"/>
      <c r="H1562" s="325"/>
      <c r="I1562" s="357" t="s">
        <v>2003</v>
      </c>
      <c r="J1562" s="325"/>
    </row>
    <row r="1563" spans="1:10">
      <c r="A1563" s="138"/>
      <c r="B1563" s="138"/>
      <c r="C1563" s="244" t="s">
        <v>2161</v>
      </c>
      <c r="D1563" s="137"/>
      <c r="E1563" s="138"/>
      <c r="F1563" s="325"/>
      <c r="G1563" s="325"/>
      <c r="H1563" s="325"/>
      <c r="I1563" s="325">
        <v>3.2</v>
      </c>
      <c r="J1563" s="128">
        <f>ROUND(PRODUCT(E1563:I1563),2)</f>
        <v>3.2</v>
      </c>
    </row>
    <row r="1564" spans="1:10">
      <c r="A1564" s="138"/>
      <c r="B1564" s="138"/>
      <c r="C1564" s="138"/>
      <c r="D1564" s="138"/>
      <c r="E1564" s="138"/>
      <c r="F1564" s="138"/>
      <c r="G1564" s="138"/>
      <c r="H1564" s="138"/>
      <c r="I1564" s="138">
        <v>22.08</v>
      </c>
      <c r="J1564" s="128">
        <f>ROUND(PRODUCT(E1564:I1564),2)</f>
        <v>22.08</v>
      </c>
    </row>
    <row r="1565" spans="1:10">
      <c r="A1565" s="558"/>
      <c r="B1565" s="558"/>
      <c r="C1565" s="558"/>
      <c r="D1565" s="558"/>
      <c r="E1565" s="558"/>
      <c r="F1565" s="558"/>
      <c r="G1565" s="558"/>
      <c r="H1565" s="558"/>
      <c r="I1565" s="558"/>
      <c r="J1565" s="558"/>
    </row>
    <row r="1566" spans="1:10">
      <c r="A1566" s="94" t="str">
        <f>'[3]Planilha Orçamentária'!A413</f>
        <v>1.7.8</v>
      </c>
      <c r="B1566" s="95"/>
      <c r="C1566" s="96" t="str">
        <f>VLOOKUP(A1566,'[3]Planilha Orçamentária'!A:K,3,0)</f>
        <v>MATERIAIS</v>
      </c>
      <c r="D1566" s="96"/>
      <c r="E1566" s="129"/>
      <c r="F1566" s="130"/>
      <c r="G1566" s="130"/>
      <c r="H1566" s="130"/>
      <c r="I1566" s="130"/>
      <c r="J1566" s="131"/>
    </row>
    <row r="1567" spans="1:10" ht="51">
      <c r="A1567" s="145" t="str">
        <f>'[3]Planilha Orçamentária'!A414</f>
        <v>1.7.8.1</v>
      </c>
      <c r="B1567" s="146">
        <f>VLOOKUP(A1567,'[3]Planilha Orçamentária'!A:K,2,0)</f>
        <v>10775</v>
      </c>
      <c r="C1567" s="147" t="str">
        <f>VLOOKUP(A1567,'[3]Planilha Orçamentária'!A:K,3,0)</f>
        <v xml:space="preserve">LOCACAO DE CONTAINER 2,30 X 6,00 M, ALT. 2,50 M, COM 1 SANITARIO, PARA ESCRITORIO, COMPLETO, SEM DIVISORIAS INTERNAS (NAO INCLUI MOBILIZACAO/DESMOBILIZACAO)                                                                                                                                                                                                                                                                                                                                              </v>
      </c>
      <c r="D1567" s="148" t="str">
        <f>VLOOKUP(A1567,'[3]Planilha Orçamentária'!A:K,4,0)</f>
        <v xml:space="preserve">MES   </v>
      </c>
      <c r="E1567" s="147"/>
      <c r="F1567" s="160"/>
      <c r="G1567" s="160"/>
      <c r="H1567" s="160"/>
      <c r="I1567" s="160"/>
      <c r="J1567" s="218">
        <f>ROUND(SUM(J1569:J1569),2)</f>
        <v>2</v>
      </c>
    </row>
    <row r="1568" spans="1:10" ht="25.5">
      <c r="A1568" s="151"/>
      <c r="B1568" s="152"/>
      <c r="C1568" s="168"/>
      <c r="D1568" s="166"/>
      <c r="E1568" s="168"/>
      <c r="F1568" s="320"/>
      <c r="G1568" s="149"/>
      <c r="H1568" s="149"/>
      <c r="I1568" s="106" t="s">
        <v>1992</v>
      </c>
      <c r="J1568" s="321"/>
    </row>
    <row r="1569" spans="1:10">
      <c r="A1569" s="123"/>
      <c r="B1569" s="123"/>
      <c r="C1569" s="155"/>
      <c r="D1569" s="185"/>
      <c r="E1569" s="116"/>
      <c r="F1569" s="126"/>
      <c r="G1569" s="116"/>
      <c r="H1569" s="116"/>
      <c r="I1569" s="116">
        <f>I1422</f>
        <v>2</v>
      </c>
      <c r="J1569" s="128">
        <f>ROUND(PRODUCT(E1569:I1569),2)</f>
        <v>2</v>
      </c>
    </row>
    <row r="1570" spans="1:10">
      <c r="A1570" s="531"/>
      <c r="B1570" s="531"/>
      <c r="C1570" s="531"/>
      <c r="D1570" s="531"/>
      <c r="E1570" s="531"/>
      <c r="F1570" s="531"/>
      <c r="G1570" s="531"/>
      <c r="H1570" s="531"/>
      <c r="I1570" s="531"/>
      <c r="J1570" s="531"/>
    </row>
    <row r="1571" spans="1:10" ht="38.25">
      <c r="A1571" s="145" t="str">
        <f>'[3]Planilha Orçamentária'!A415</f>
        <v>1.7.8.2</v>
      </c>
      <c r="B1571" s="146">
        <f>VLOOKUP(A1571,'[3]Planilha Orçamentária'!A:K,2,0)</f>
        <v>10776</v>
      </c>
      <c r="C1571" s="147" t="str">
        <f>VLOOKUP(A1571,'[3]Planilha Orçamentária'!A:K,3,0)</f>
        <v xml:space="preserve">LOCACAO DE CONTAINER 2,30 X 6,00 M, ALT. 2,50 M, PARA ESCRITORIO, SEM DIVISORIAS INTERNAS E SEM SANITARIO (NAO INCLUI MOBILIZACAO/DESMOBILIZACAO)                                                                                                                                                                                                                                                                                                                                                         </v>
      </c>
      <c r="D1571" s="148" t="str">
        <f>VLOOKUP(A1571,'[3]Planilha Orçamentária'!A:K,4,0)</f>
        <v xml:space="preserve">MES   </v>
      </c>
      <c r="E1571" s="147"/>
      <c r="F1571" s="160"/>
      <c r="G1571" s="160"/>
      <c r="H1571" s="160"/>
      <c r="I1571" s="160"/>
      <c r="J1571" s="218">
        <f>ROUND(SUM(J1573:J1573),2)</f>
        <v>2</v>
      </c>
    </row>
    <row r="1572" spans="1:10" ht="25.5">
      <c r="A1572" s="151"/>
      <c r="B1572" s="152"/>
      <c r="C1572" s="168"/>
      <c r="D1572" s="166"/>
      <c r="E1572" s="168"/>
      <c r="F1572" s="320"/>
      <c r="G1572" s="149"/>
      <c r="H1572" s="149"/>
      <c r="I1572" s="106" t="s">
        <v>1992</v>
      </c>
      <c r="J1572" s="321"/>
    </row>
    <row r="1573" spans="1:10">
      <c r="A1573" s="123"/>
      <c r="B1573" s="123"/>
      <c r="C1573" s="155"/>
      <c r="D1573" s="185"/>
      <c r="E1573" s="116"/>
      <c r="F1573" s="126"/>
      <c r="G1573" s="116"/>
      <c r="H1573" s="116"/>
      <c r="I1573" s="116">
        <f>I1569</f>
        <v>2</v>
      </c>
      <c r="J1573" s="128">
        <f>ROUND(PRODUCT(E1573:I1573),2)</f>
        <v>2</v>
      </c>
    </row>
    <row r="1574" spans="1:10">
      <c r="A1574" s="531"/>
      <c r="B1574" s="531"/>
      <c r="C1574" s="531"/>
      <c r="D1574" s="531"/>
      <c r="E1574" s="531"/>
      <c r="F1574" s="531"/>
      <c r="G1574" s="531"/>
      <c r="H1574" s="531"/>
      <c r="I1574" s="531"/>
      <c r="J1574" s="531"/>
    </row>
    <row r="1575" spans="1:10" ht="38.25">
      <c r="A1575" s="132" t="str">
        <f>'[3]Planilha Orçamentária'!A416</f>
        <v>1.7.8.3</v>
      </c>
      <c r="B1575" s="108">
        <f>VLOOKUP(A1575,'[3]Planilha Orçamentária'!A:K,2,0)</f>
        <v>1518</v>
      </c>
      <c r="C1575" s="104" t="str">
        <f>VLOOKUP(A1575,'[3]Planilha Orçamentária'!A:K,3,0)</f>
        <v xml:space="preserve">CONCRETO BETUMINOSO USINADO A QUENTE (CBUQ) PARA PAVIMENTACAO ASFALTICA, PADRAO DNIT, FAIXA C, COM CAP 50/70 - AQUISICAO POSTO USINA                                                                                                                                                                                                                                                                                                                                                                      </v>
      </c>
      <c r="D1575" s="105" t="str">
        <f>VLOOKUP(A1575,'[3]Planilha Orçamentária'!A:K,4,0)</f>
        <v xml:space="preserve">T     </v>
      </c>
      <c r="E1575" s="104"/>
      <c r="F1575" s="111"/>
      <c r="G1575" s="111"/>
      <c r="H1575" s="111"/>
      <c r="I1575" s="111"/>
      <c r="J1575" s="122">
        <f>ROUND(SUM(J1576:J1577),2)</f>
        <v>152.9</v>
      </c>
    </row>
    <row r="1576" spans="1:10">
      <c r="A1576" s="174"/>
      <c r="B1576" s="174"/>
      <c r="C1576" s="159" t="s">
        <v>2240</v>
      </c>
      <c r="D1576" s="174"/>
      <c r="E1576" s="174" t="s">
        <v>1193</v>
      </c>
      <c r="F1576" s="174"/>
      <c r="G1576" s="174"/>
      <c r="H1576" s="174"/>
      <c r="I1576" s="174" t="s">
        <v>2007</v>
      </c>
      <c r="J1576" s="174"/>
    </row>
    <row r="1577" spans="1:10">
      <c r="A1577" s="174"/>
      <c r="B1577" s="174"/>
      <c r="C1577" s="322" t="s">
        <v>2083</v>
      </c>
      <c r="D1577" s="174"/>
      <c r="E1577" s="174">
        <v>2.5548000000000002</v>
      </c>
      <c r="F1577" s="174"/>
      <c r="G1577" s="174"/>
      <c r="H1577" s="174"/>
      <c r="I1577" s="286">
        <f>J1496</f>
        <v>59.85</v>
      </c>
      <c r="J1577" s="158">
        <f t="shared" ref="J1577" si="101">ROUND(PRODUCT(E1577:I1577),2)</f>
        <v>152.9</v>
      </c>
    </row>
    <row r="1578" spans="1:10">
      <c r="A1578" s="219"/>
      <c r="B1578" s="323"/>
      <c r="C1578" s="323"/>
      <c r="D1578" s="323"/>
      <c r="E1578" s="323"/>
      <c r="F1578" s="323"/>
      <c r="G1578" s="323"/>
      <c r="H1578" s="323"/>
      <c r="I1578" s="323"/>
      <c r="J1578" s="198"/>
    </row>
    <row r="1579" spans="1:10">
      <c r="A1579" s="132" t="str">
        <f>'[3]Planilha Orçamentária'!A417</f>
        <v>1.7.8.4</v>
      </c>
      <c r="B1579" s="108" t="str">
        <f>VLOOKUP(A1579,'[3]Planilha Orçamentária'!A:K,2,0)</f>
        <v>INS-185032</v>
      </c>
      <c r="C1579" s="104" t="str">
        <f>VLOOKUP(A1579,'[3]Planilha Orçamentária'!A:K,3,0)</f>
        <v>BRITA GRADUADA SIMPLES (BGS)</v>
      </c>
      <c r="D1579" s="105" t="str">
        <f>VLOOKUP(A1579,'[3]Planilha Orçamentária'!A:K,4,0)</f>
        <v>M3</v>
      </c>
      <c r="E1579" s="104"/>
      <c r="F1579" s="111"/>
      <c r="G1579" s="111"/>
      <c r="H1579" s="111"/>
      <c r="I1579" s="111"/>
      <c r="J1579" s="122">
        <f>ROUND(SUM(J1580:J1581),2)</f>
        <v>215.24</v>
      </c>
    </row>
    <row r="1580" spans="1:10">
      <c r="A1580" s="174"/>
      <c r="B1580" s="174"/>
      <c r="C1580" s="159" t="s">
        <v>2240</v>
      </c>
      <c r="D1580" s="174"/>
      <c r="E1580" s="174" t="s">
        <v>1193</v>
      </c>
      <c r="F1580" s="174"/>
      <c r="G1580" s="174"/>
      <c r="H1580" s="174"/>
      <c r="I1580" s="174" t="s">
        <v>2007</v>
      </c>
      <c r="J1580" s="174"/>
    </row>
    <row r="1581" spans="1:10">
      <c r="A1581" s="174"/>
      <c r="B1581" s="174"/>
      <c r="C1581" s="324" t="s">
        <v>2084</v>
      </c>
      <c r="D1581" s="137"/>
      <c r="E1581" s="325">
        <v>1</v>
      </c>
      <c r="F1581" s="174"/>
      <c r="G1581" s="174"/>
      <c r="H1581" s="174"/>
      <c r="I1581" s="286">
        <f>J1480</f>
        <v>215.24</v>
      </c>
      <c r="J1581" s="158">
        <f t="shared" ref="J1581" si="102">ROUND(PRODUCT(E1581:I1581),2)</f>
        <v>215.24</v>
      </c>
    </row>
    <row r="1582" spans="1:10">
      <c r="A1582" s="219"/>
      <c r="B1582" s="323"/>
      <c r="C1582" s="323"/>
      <c r="D1582" s="323"/>
      <c r="E1582" s="323"/>
      <c r="F1582" s="323"/>
      <c r="G1582" s="323"/>
      <c r="H1582" s="323"/>
      <c r="I1582" s="323"/>
      <c r="J1582" s="197"/>
    </row>
    <row r="1583" spans="1:10">
      <c r="A1583" s="132" t="str">
        <f>'[3]Planilha Orçamentária'!A418</f>
        <v>1.7.8.5</v>
      </c>
      <c r="B1583" s="108" t="str">
        <f>VLOOKUP(A1583,'[3]Planilha Orçamentária'!A:K,2,0)</f>
        <v>M0808</v>
      </c>
      <c r="C1583" s="104" t="str">
        <f>VLOOKUP(A1583,'[3]Planilha Orçamentária'!A:K,3,0)</f>
        <v>Brita 4</v>
      </c>
      <c r="D1583" s="105" t="str">
        <f>VLOOKUP(A1583,'[3]Planilha Orçamentária'!A:K,4,0)</f>
        <v>M3</v>
      </c>
      <c r="E1583" s="104"/>
      <c r="F1583" s="111"/>
      <c r="G1583" s="111"/>
      <c r="H1583" s="111"/>
      <c r="I1583" s="111"/>
      <c r="J1583" s="122">
        <f>ROUND(SUM(J1584:J1585),2)</f>
        <v>237.31</v>
      </c>
    </row>
    <row r="1584" spans="1:10">
      <c r="A1584" s="174"/>
      <c r="B1584" s="174"/>
      <c r="C1584" s="326"/>
      <c r="D1584" s="137"/>
      <c r="E1584" s="137" t="s">
        <v>2085</v>
      </c>
      <c r="F1584" s="174"/>
      <c r="G1584" s="174"/>
      <c r="H1584" s="174"/>
      <c r="I1584" s="174" t="s">
        <v>2007</v>
      </c>
      <c r="J1584" s="174"/>
    </row>
    <row r="1585" spans="1:10" ht="15">
      <c r="A1585" s="174"/>
      <c r="B1585" s="174"/>
      <c r="C1585" s="200" t="s">
        <v>2086</v>
      </c>
      <c r="D1585" s="137"/>
      <c r="E1585" s="327">
        <v>1.26</v>
      </c>
      <c r="F1585" s="174"/>
      <c r="G1585" s="174"/>
      <c r="H1585" s="174"/>
      <c r="I1585" s="286">
        <f>J1476</f>
        <v>188.34</v>
      </c>
      <c r="J1585" s="158">
        <f t="shared" ref="J1585" si="103">ROUND(PRODUCT(E1585:I1585),2)</f>
        <v>237.31</v>
      </c>
    </row>
    <row r="1586" spans="1:10">
      <c r="A1586" s="219"/>
      <c r="B1586" s="323"/>
      <c r="C1586" s="323"/>
      <c r="D1586" s="323"/>
      <c r="E1586" s="323"/>
      <c r="F1586" s="323"/>
      <c r="G1586" s="323"/>
      <c r="H1586" s="323"/>
      <c r="I1586" s="323"/>
      <c r="J1586" s="197"/>
    </row>
    <row r="1587" spans="1:10">
      <c r="A1587" s="132" t="str">
        <f>'[3]Planilha Orçamentária'!A419</f>
        <v>1.7.8.6</v>
      </c>
      <c r="B1587" s="108" t="str">
        <f>VLOOKUP(A1587,'[3]Planilha Orçamentária'!A:K,2,0)</f>
        <v>M1135</v>
      </c>
      <c r="C1587" s="104" t="str">
        <f>VLOOKUP(A1587,'[3]Planilha Orçamentária'!A:K,3,0)</f>
        <v>Pó de pedra</v>
      </c>
      <c r="D1587" s="105" t="str">
        <f>VLOOKUP(A1587,'[3]Planilha Orçamentária'!A:K,4,0)</f>
        <v>M3</v>
      </c>
      <c r="E1587" s="104"/>
      <c r="F1587" s="111"/>
      <c r="G1587" s="111"/>
      <c r="H1587" s="111"/>
      <c r="I1587" s="111"/>
      <c r="J1587" s="122">
        <f>ROUND(SUM(J1588:J1589),2)</f>
        <v>26.37</v>
      </c>
    </row>
    <row r="1588" spans="1:10">
      <c r="A1588" s="174"/>
      <c r="B1588" s="174"/>
      <c r="C1588" s="326"/>
      <c r="D1588" s="137"/>
      <c r="E1588" s="137" t="s">
        <v>2085</v>
      </c>
      <c r="F1588" s="174"/>
      <c r="G1588" s="174"/>
      <c r="H1588" s="174"/>
      <c r="I1588" s="174" t="s">
        <v>2007</v>
      </c>
      <c r="J1588" s="174"/>
    </row>
    <row r="1589" spans="1:10">
      <c r="A1589" s="174"/>
      <c r="B1589" s="174"/>
      <c r="C1589" s="200" t="s">
        <v>2086</v>
      </c>
      <c r="D1589" s="137"/>
      <c r="E1589" s="137">
        <v>0.14000000000000001</v>
      </c>
      <c r="F1589" s="174"/>
      <c r="G1589" s="174"/>
      <c r="H1589" s="174"/>
      <c r="I1589" s="286">
        <f>I1585</f>
        <v>188.34</v>
      </c>
      <c r="J1589" s="158">
        <f t="shared" ref="J1589" si="104">ROUND(PRODUCT(E1589:I1589),2)</f>
        <v>26.37</v>
      </c>
    </row>
    <row r="1590" spans="1:10">
      <c r="A1590" s="219"/>
      <c r="B1590" s="323"/>
      <c r="C1590" s="323"/>
      <c r="D1590" s="323"/>
      <c r="E1590" s="323"/>
      <c r="F1590" s="323"/>
      <c r="G1590" s="323"/>
      <c r="H1590" s="323"/>
      <c r="I1590" s="323"/>
      <c r="J1590" s="197"/>
    </row>
    <row r="1591" spans="1:10">
      <c r="A1591" s="132" t="str">
        <f>'[3]Planilha Orçamentária'!A420</f>
        <v>1.7.8.7</v>
      </c>
      <c r="B1591" s="108" t="str">
        <f>VLOOKUP(A1591,'[3]Planilha Orçamentária'!A:K,2,0)</f>
        <v>INS-711371</v>
      </c>
      <c r="C1591" s="104" t="str">
        <f>VLOOKUP(A1591,'[3]Planilha Orçamentária'!A:K,3,0)</f>
        <v>ASFALTO DILUÍDO CM - 30</v>
      </c>
      <c r="D1591" s="105" t="str">
        <f>VLOOKUP(A1591,'[3]Planilha Orçamentária'!A:K,4,0)</f>
        <v>KG</v>
      </c>
      <c r="E1591" s="104"/>
      <c r="F1591" s="111"/>
      <c r="G1591" s="111"/>
      <c r="H1591" s="111"/>
      <c r="I1591" s="111"/>
      <c r="J1591" s="122">
        <f>ROUND(SUM(J1592:J1593),2)</f>
        <v>1436.29</v>
      </c>
    </row>
    <row r="1592" spans="1:10">
      <c r="A1592" s="174"/>
      <c r="B1592" s="174"/>
      <c r="C1592" s="361"/>
      <c r="D1592" s="180"/>
      <c r="E1592" s="174" t="s">
        <v>2085</v>
      </c>
      <c r="F1592" s="161"/>
      <c r="G1592" s="161"/>
      <c r="H1592" s="161"/>
      <c r="I1592" s="210" t="s">
        <v>2003</v>
      </c>
      <c r="J1592" s="174"/>
    </row>
    <row r="1593" spans="1:10">
      <c r="A1593" s="174"/>
      <c r="B1593" s="174"/>
      <c r="C1593" s="324" t="s">
        <v>2087</v>
      </c>
      <c r="D1593" s="137"/>
      <c r="E1593" s="325">
        <v>1.2</v>
      </c>
      <c r="F1593" s="127"/>
      <c r="G1593" s="161"/>
      <c r="H1593" s="161"/>
      <c r="I1593" s="212">
        <f>J1492</f>
        <v>1196.9100000000001</v>
      </c>
      <c r="J1593" s="158">
        <f t="shared" ref="J1593" si="105">ROUND(PRODUCT(E1593:I1593),2)</f>
        <v>1436.29</v>
      </c>
    </row>
    <row r="1594" spans="1:10">
      <c r="A1594" s="219"/>
      <c r="B1594" s="323"/>
      <c r="C1594" s="323"/>
      <c r="D1594" s="323"/>
      <c r="E1594" s="323"/>
      <c r="F1594" s="323"/>
      <c r="G1594" s="323"/>
      <c r="H1594" s="323"/>
      <c r="I1594" s="323"/>
      <c r="J1594" s="197"/>
    </row>
    <row r="1595" spans="1:10" ht="38.25">
      <c r="A1595" s="132" t="str">
        <f>'[3]Planilha Orçamentária'!A421</f>
        <v>1.7.8.8</v>
      </c>
      <c r="B1595" s="108">
        <f>VLOOKUP(A1595,'[3]Planilha Orçamentária'!A:K,2,0)</f>
        <v>34492</v>
      </c>
      <c r="C1595" s="104" t="str">
        <f>VLOOKUP(A1595,'[3]Planilha Orçamentária'!A:K,3,0)</f>
        <v xml:space="preserve">CONCRETO USINADO BOMBEAVEL, CLASSE DE RESISTENCIA C20, COM BRITA 0 E 1, SLUMP = 100 +/- 20 MM, EXCLUI SERVICO DE BOMBEAMENTO (NBR 8953)                                                                                                                                                                                                                                                                                                                                                                   </v>
      </c>
      <c r="D1595" s="105" t="str">
        <f>VLOOKUP(A1595,'[3]Planilha Orçamentária'!A:K,4,0)</f>
        <v xml:space="preserve">M3    </v>
      </c>
      <c r="E1595" s="104"/>
      <c r="F1595" s="111"/>
      <c r="G1595" s="111"/>
      <c r="H1595" s="111"/>
      <c r="I1595" s="111"/>
      <c r="J1595" s="122">
        <f>ROUND(SUM(J1596:J1597),2)</f>
        <v>59.61</v>
      </c>
    </row>
    <row r="1596" spans="1:10">
      <c r="A1596" s="174"/>
      <c r="B1596" s="174"/>
      <c r="C1596" s="159"/>
      <c r="D1596" s="174"/>
      <c r="E1596" s="137" t="s">
        <v>2085</v>
      </c>
      <c r="F1596" s="174"/>
      <c r="G1596" s="174"/>
      <c r="H1596" s="174"/>
      <c r="I1596" s="174" t="s">
        <v>2007</v>
      </c>
      <c r="J1596" s="174"/>
    </row>
    <row r="1597" spans="1:10">
      <c r="A1597" s="174"/>
      <c r="B1597" s="174"/>
      <c r="C1597" s="324" t="s">
        <v>2088</v>
      </c>
      <c r="D1597" s="137"/>
      <c r="E1597" s="325">
        <v>1.2130000000000001</v>
      </c>
      <c r="F1597" s="174"/>
      <c r="G1597" s="174"/>
      <c r="H1597" s="174"/>
      <c r="I1597" s="286">
        <f>J1512</f>
        <v>49.14</v>
      </c>
      <c r="J1597" s="158">
        <f t="shared" ref="J1597" si="106">ROUND(PRODUCT(E1597:I1597),2)</f>
        <v>59.61</v>
      </c>
    </row>
    <row r="1598" spans="1:10">
      <c r="A1598" s="219"/>
      <c r="B1598" s="323"/>
      <c r="C1598" s="323"/>
      <c r="D1598" s="323"/>
      <c r="E1598" s="323"/>
      <c r="F1598" s="323"/>
      <c r="G1598" s="323"/>
      <c r="H1598" s="323"/>
      <c r="I1598" s="323"/>
      <c r="J1598" s="197"/>
    </row>
    <row r="1599" spans="1:10">
      <c r="A1599" s="93" t="str">
        <f>'[3]Planilha Orçamentária'!A422</f>
        <v>1.8</v>
      </c>
      <c r="B1599" s="526" t="str">
        <f>VLOOKUP(A1599,'[3]Planilha Orçamentária'!A:K,3,0)</f>
        <v>RUA LEÃO MARINHO - DOIS CARNEIROS</v>
      </c>
      <c r="C1599" s="527"/>
      <c r="D1599" s="527"/>
      <c r="E1599" s="527"/>
      <c r="F1599" s="527"/>
      <c r="G1599" s="527"/>
      <c r="H1599" s="527"/>
      <c r="I1599" s="527"/>
      <c r="J1599" s="527"/>
    </row>
    <row r="1600" spans="1:10">
      <c r="A1600" s="94" t="str">
        <f>'[3]Planilha Orçamentária'!A423</f>
        <v>1.8.1</v>
      </c>
      <c r="B1600" s="95"/>
      <c r="C1600" s="96" t="str">
        <f>VLOOKUP(A1600,'[3]Planilha Orçamentária'!A:K,3,0)</f>
        <v>INSTALAÇÕES PROVISÓRIAS</v>
      </c>
      <c r="D1600" s="97"/>
      <c r="E1600" s="98"/>
      <c r="F1600" s="99"/>
      <c r="G1600" s="99"/>
      <c r="H1600" s="99"/>
      <c r="I1600" s="100"/>
      <c r="J1600" s="101"/>
    </row>
    <row r="1601" spans="1:10" ht="25.5">
      <c r="A1601" s="102" t="str">
        <f>'[3]Planilha Orçamentária'!A424</f>
        <v>1.8.1.1</v>
      </c>
      <c r="B1601" s="103" t="str">
        <f>VLOOKUP(A1601,'[3]Planilha Orçamentária'!A:K,2,0)</f>
        <v>CP-74209/001-15055090</v>
      </c>
      <c r="C1601" s="104" t="str">
        <f>VLOOKUP(A1601,'[3]Planilha Orçamentária'!A:K,3,0)</f>
        <v>PLACA DE OBRA EM CHAPA DE ACO GALVANIZADO</v>
      </c>
      <c r="D1601" s="105" t="str">
        <f>VLOOKUP(A1601,'[3]Planilha Orçamentária'!A:K,4,0)</f>
        <v xml:space="preserve">M2    </v>
      </c>
      <c r="E1601" s="104"/>
      <c r="F1601" s="106" t="s">
        <v>1989</v>
      </c>
      <c r="G1601" s="106" t="s">
        <v>1990</v>
      </c>
      <c r="H1601" s="106"/>
      <c r="I1601" s="106" t="s">
        <v>1991</v>
      </c>
      <c r="J1601" s="107">
        <f>ROUND(SUM(J1603:J1603),2)</f>
        <v>8</v>
      </c>
    </row>
    <row r="1602" spans="1:10">
      <c r="A1602" s="102"/>
      <c r="B1602" s="103"/>
      <c r="C1602" s="110"/>
      <c r="D1602" s="109"/>
      <c r="E1602" s="110"/>
      <c r="F1602" s="111"/>
      <c r="G1602" s="111"/>
      <c r="H1602" s="111"/>
      <c r="I1602" s="111"/>
      <c r="J1602" s="107"/>
    </row>
    <row r="1603" spans="1:10">
      <c r="A1603" s="102"/>
      <c r="B1603" s="123"/>
      <c r="C1603" s="328"/>
      <c r="D1603" s="114"/>
      <c r="E1603" s="115"/>
      <c r="F1603" s="116">
        <v>2</v>
      </c>
      <c r="G1603" s="116">
        <v>4</v>
      </c>
      <c r="H1603" s="117"/>
      <c r="I1603" s="116">
        <v>1</v>
      </c>
      <c r="J1603" s="118">
        <f>ROUND(PRODUCT(E1603:I1603),2)</f>
        <v>8</v>
      </c>
    </row>
    <row r="1604" spans="1:10">
      <c r="A1604" s="553"/>
      <c r="B1604" s="554"/>
      <c r="C1604" s="554"/>
      <c r="D1604" s="554"/>
      <c r="E1604" s="554"/>
      <c r="F1604" s="554"/>
      <c r="G1604" s="554"/>
      <c r="H1604" s="554"/>
      <c r="I1604" s="554"/>
      <c r="J1604" s="555"/>
    </row>
    <row r="1605" spans="1:10" ht="25.5">
      <c r="A1605" s="102" t="str">
        <f>'[3]Planilha Orçamentária'!A425</f>
        <v>1.8.1.2</v>
      </c>
      <c r="B1605" s="108" t="str">
        <f>VLOOKUP(A1605,'[3]Planilha Orçamentária'!A:K,2,0)</f>
        <v>COMP-07440249</v>
      </c>
      <c r="C1605" s="104" t="str">
        <f>VLOOKUP(A1605,'[3]Planilha Orçamentária'!A:K,3,0)</f>
        <v>BANHEIRO QUÍMICO, COM LOCAÇÃO, TRANSPORTE E LIMPEZA</v>
      </c>
      <c r="D1605" s="105" t="str">
        <f>VLOOKUP(A1605,'[3]Planilha Orçamentária'!A:K,4,0)</f>
        <v>MÊS</v>
      </c>
      <c r="E1605" s="104"/>
      <c r="F1605" s="111"/>
      <c r="G1605" s="111"/>
      <c r="H1605" s="111"/>
      <c r="I1605" s="111"/>
      <c r="J1605" s="122">
        <f>ROUND(SUM(J1607:J1607),2)</f>
        <v>2</v>
      </c>
    </row>
    <row r="1606" spans="1:10" ht="25.5">
      <c r="A1606" s="102"/>
      <c r="B1606" s="108"/>
      <c r="C1606" s="104"/>
      <c r="D1606" s="105"/>
      <c r="E1606" s="104"/>
      <c r="F1606" s="111"/>
      <c r="G1606" s="111"/>
      <c r="H1606" s="111"/>
      <c r="I1606" s="106" t="s">
        <v>1992</v>
      </c>
      <c r="J1606" s="122"/>
    </row>
    <row r="1607" spans="1:10">
      <c r="A1607" s="102"/>
      <c r="B1607" s="123"/>
      <c r="C1607" s="124"/>
      <c r="D1607" s="125"/>
      <c r="E1607" s="126"/>
      <c r="F1607" s="126"/>
      <c r="G1607" s="117"/>
      <c r="H1607" s="117"/>
      <c r="I1607" s="127">
        <v>2</v>
      </c>
      <c r="J1607" s="128">
        <f>ROUND(PRODUCT(E1607:I1607),2)</f>
        <v>2</v>
      </c>
    </row>
    <row r="1608" spans="1:10">
      <c r="A1608" s="102"/>
      <c r="B1608" s="123"/>
      <c r="C1608" s="124"/>
      <c r="D1608" s="125"/>
      <c r="E1608" s="126"/>
      <c r="F1608" s="126"/>
      <c r="G1608" s="117"/>
      <c r="H1608" s="117"/>
      <c r="I1608" s="127"/>
      <c r="J1608" s="128"/>
    </row>
    <row r="1609" spans="1:10">
      <c r="A1609" s="94" t="str">
        <f>'[3]Planilha Orçamentária'!A426</f>
        <v>1.8.2</v>
      </c>
      <c r="B1609" s="95"/>
      <c r="C1609" s="96" t="str">
        <f>VLOOKUP(A1609,'[3]Planilha Orçamentária'!A:K,3,0)</f>
        <v>ADMINISTRAÇÃO LOCAL</v>
      </c>
      <c r="D1609" s="96"/>
      <c r="E1609" s="129"/>
      <c r="F1609" s="130"/>
      <c r="G1609" s="130"/>
      <c r="H1609" s="130"/>
      <c r="I1609" s="130"/>
      <c r="J1609" s="131"/>
    </row>
    <row r="1610" spans="1:10" ht="25.5">
      <c r="A1610" s="132" t="str">
        <f>'[3]Planilha Orçamentária'!A427</f>
        <v>1.8.2.1</v>
      </c>
      <c r="B1610" s="103">
        <f>VLOOKUP(A1610,'[3]Planilha Orçamentária'!A:K,2,0)</f>
        <v>93565</v>
      </c>
      <c r="C1610" s="104" t="str">
        <f>VLOOKUP(A1610,'[3]Planilha Orçamentária'!A:K,3,0)</f>
        <v>ENGENHEIRO CIVIL DE OBRA JUNIOR COM ENCARGOS COMPLEMENTARES</v>
      </c>
      <c r="D1610" s="105" t="str">
        <f>VLOOKUP(A1610,'[3]Planilha Orçamentária'!A:K,4,0)</f>
        <v>MES</v>
      </c>
      <c r="E1610" s="133"/>
      <c r="F1610" s="134"/>
      <c r="G1610" s="134"/>
      <c r="H1610" s="134"/>
      <c r="I1610" s="134"/>
      <c r="J1610" s="107">
        <f>ROUND(SUM(J1612),2)</f>
        <v>0.25</v>
      </c>
    </row>
    <row r="1611" spans="1:10" ht="14.25">
      <c r="A1611" s="132"/>
      <c r="B1611" s="103"/>
      <c r="C1611" s="135"/>
      <c r="D1611" s="105"/>
      <c r="E1611" s="133"/>
      <c r="F1611" s="136"/>
      <c r="G1611" s="136"/>
      <c r="H1611" s="136"/>
      <c r="I1611" s="136"/>
      <c r="J1611" s="107"/>
    </row>
    <row r="1612" spans="1:10" ht="14.25">
      <c r="A1612" s="137"/>
      <c r="B1612" s="138"/>
      <c r="C1612" s="135" t="s">
        <v>2232</v>
      </c>
      <c r="D1612" s="139"/>
      <c r="E1612" s="136">
        <f>22/176</f>
        <v>0.125</v>
      </c>
      <c r="F1612" s="136"/>
      <c r="G1612" s="136"/>
      <c r="H1612" s="136"/>
      <c r="I1612" s="136">
        <f>I1607</f>
        <v>2</v>
      </c>
      <c r="J1612" s="118">
        <f>ROUND(PRODUCT(E1612:I1612),2)</f>
        <v>0.25</v>
      </c>
    </row>
    <row r="1613" spans="1:10" ht="14.25">
      <c r="A1613" s="137"/>
      <c r="B1613" s="138"/>
      <c r="C1613" s="135" t="s">
        <v>1994</v>
      </c>
      <c r="D1613" s="139"/>
      <c r="E1613" s="136"/>
      <c r="F1613" s="136"/>
      <c r="G1613" s="136"/>
      <c r="H1613" s="136"/>
      <c r="I1613" s="136"/>
      <c r="J1613" s="140"/>
    </row>
    <row r="1614" spans="1:10" ht="14.25">
      <c r="A1614" s="137"/>
      <c r="B1614" s="138"/>
      <c r="C1614" s="135" t="s">
        <v>1995</v>
      </c>
      <c r="D1614" s="141"/>
      <c r="E1614" s="142"/>
      <c r="F1614" s="127"/>
      <c r="G1614" s="117"/>
      <c r="H1614" s="117"/>
      <c r="I1614" s="143"/>
      <c r="J1614" s="144"/>
    </row>
    <row r="1615" spans="1:10">
      <c r="A1615" s="531"/>
      <c r="B1615" s="531"/>
      <c r="C1615" s="531"/>
      <c r="D1615" s="531"/>
      <c r="E1615" s="531"/>
      <c r="F1615" s="531"/>
      <c r="G1615" s="531"/>
      <c r="H1615" s="531"/>
      <c r="I1615" s="531"/>
      <c r="J1615" s="531"/>
    </row>
    <row r="1616" spans="1:10" ht="25.5">
      <c r="A1616" s="132" t="str">
        <f>'[3]Planilha Orçamentária'!A428</f>
        <v>1.8.2.2</v>
      </c>
      <c r="B1616" s="103">
        <f>VLOOKUP(A1616,'[3]Planilha Orçamentária'!A:K,2,0)</f>
        <v>93572</v>
      </c>
      <c r="C1616" s="104" t="str">
        <f>VLOOKUP(A1616,'[3]Planilha Orçamentária'!A:K,3,0)</f>
        <v>ENCARREGADO GERAL DE OBRAS COM ENCARGOS COMPLEMENTARES</v>
      </c>
      <c r="D1616" s="105" t="str">
        <f>VLOOKUP(A1616,'[3]Planilha Orçamentária'!A:K,4,0)</f>
        <v>MES</v>
      </c>
      <c r="E1616" s="133"/>
      <c r="F1616" s="134"/>
      <c r="G1616" s="134"/>
      <c r="H1616" s="134"/>
      <c r="I1616" s="134"/>
      <c r="J1616" s="107">
        <f>ROUND(SUM(J1618),2)</f>
        <v>0.75</v>
      </c>
    </row>
    <row r="1617" spans="1:10" ht="14.25">
      <c r="A1617" s="132"/>
      <c r="B1617" s="103"/>
      <c r="C1617" s="135"/>
      <c r="D1617" s="105"/>
      <c r="E1617" s="133"/>
      <c r="F1617" s="136"/>
      <c r="G1617" s="136"/>
      <c r="H1617" s="136"/>
      <c r="I1617" s="136"/>
      <c r="J1617" s="107"/>
    </row>
    <row r="1618" spans="1:10" ht="14.25">
      <c r="A1618" s="137"/>
      <c r="B1618" s="138"/>
      <c r="C1618" s="135" t="s">
        <v>2247</v>
      </c>
      <c r="D1618" s="139"/>
      <c r="E1618" s="136">
        <f>66/176</f>
        <v>0.375</v>
      </c>
      <c r="F1618" s="136"/>
      <c r="G1618" s="136"/>
      <c r="H1618" s="136"/>
      <c r="I1618" s="136">
        <f>I1607</f>
        <v>2</v>
      </c>
      <c r="J1618" s="118">
        <f>ROUND(PRODUCT(E1618:I1618),2)</f>
        <v>0.75</v>
      </c>
    </row>
    <row r="1619" spans="1:10" ht="14.25">
      <c r="A1619" s="137"/>
      <c r="B1619" s="138"/>
      <c r="C1619" s="135" t="s">
        <v>2206</v>
      </c>
      <c r="D1619" s="139"/>
      <c r="E1619" s="136"/>
      <c r="F1619" s="136"/>
      <c r="G1619" s="136"/>
      <c r="H1619" s="136"/>
      <c r="I1619" s="136"/>
      <c r="J1619" s="140"/>
    </row>
    <row r="1620" spans="1:10" ht="14.25">
      <c r="A1620" s="137"/>
      <c r="B1620" s="138"/>
      <c r="C1620" s="135" t="s">
        <v>1995</v>
      </c>
      <c r="D1620" s="141"/>
      <c r="E1620" s="142"/>
      <c r="F1620" s="127"/>
      <c r="G1620" s="117"/>
      <c r="H1620" s="117"/>
      <c r="I1620" s="143"/>
      <c r="J1620" s="144"/>
    </row>
    <row r="1621" spans="1:10">
      <c r="A1621" s="531"/>
      <c r="B1621" s="531"/>
      <c r="C1621" s="531"/>
      <c r="D1621" s="531"/>
      <c r="E1621" s="531"/>
      <c r="F1621" s="531"/>
      <c r="G1621" s="531"/>
      <c r="H1621" s="531"/>
      <c r="I1621" s="531"/>
      <c r="J1621" s="531"/>
    </row>
    <row r="1622" spans="1:10">
      <c r="A1622" s="94" t="str">
        <f>'[3]Planilha Orçamentária'!A429</f>
        <v>1.8.3</v>
      </c>
      <c r="B1622" s="95"/>
      <c r="C1622" s="96" t="str">
        <f>VLOOKUP(A1622,'[3]Planilha Orçamentária'!A:K,3,0)</f>
        <v>SERVIÇOS PRELIMINARES</v>
      </c>
      <c r="D1622" s="97"/>
      <c r="E1622" s="98"/>
      <c r="F1622" s="99"/>
      <c r="G1622" s="99"/>
      <c r="H1622" s="99"/>
      <c r="I1622" s="100"/>
      <c r="J1622" s="101"/>
    </row>
    <row r="1623" spans="1:10">
      <c r="A1623" s="145" t="str">
        <f>'[3]Planilha Orçamentária'!A430</f>
        <v>1.8.3.1</v>
      </c>
      <c r="B1623" s="146">
        <f>VLOOKUP(A1623,'[3]Planilha Orçamentária'!A:K,2,0)</f>
        <v>99064</v>
      </c>
      <c r="C1623" s="147" t="str">
        <f>VLOOKUP(A1623,'[3]Planilha Orçamentária'!A:K,3,0)</f>
        <v>LOCAÇÃO DE PAVIMENTAÇÃO. AF_10/2018</v>
      </c>
      <c r="D1623" s="148" t="str">
        <f>VLOOKUP(A1623,'[3]Planilha Orçamentária'!A:K,4,0)</f>
        <v>M</v>
      </c>
      <c r="E1623" s="147"/>
      <c r="F1623" s="136"/>
      <c r="G1623" s="149"/>
      <c r="H1623" s="149"/>
      <c r="I1623" s="149"/>
      <c r="J1623" s="150">
        <f>ROUND(SUM(J1625:J1626),2)</f>
        <v>116.97</v>
      </c>
    </row>
    <row r="1624" spans="1:10">
      <c r="A1624" s="151"/>
      <c r="B1624" s="152"/>
      <c r="C1624" s="147"/>
      <c r="D1624" s="148"/>
      <c r="E1624" s="147"/>
      <c r="F1624" s="106" t="s">
        <v>1989</v>
      </c>
      <c r="G1624" s="149"/>
      <c r="H1624" s="149"/>
      <c r="I1624" s="149"/>
      <c r="J1624" s="150"/>
    </row>
    <row r="1625" spans="1:10">
      <c r="A1625" s="174"/>
      <c r="B1625" s="174"/>
      <c r="C1625" s="200" t="s">
        <v>2248</v>
      </c>
      <c r="D1625" s="156"/>
      <c r="E1625" s="157"/>
      <c r="F1625" s="136">
        <f>[3]PARÂMETROS!B571</f>
        <v>116.97</v>
      </c>
      <c r="G1625" s="157"/>
      <c r="H1625" s="157"/>
      <c r="I1625" s="157"/>
      <c r="J1625" s="158">
        <f>ROUND(PRODUCT(E1625:I1625),2)</f>
        <v>116.97</v>
      </c>
    </row>
    <row r="1626" spans="1:10">
      <c r="A1626" s="531"/>
      <c r="B1626" s="531"/>
      <c r="C1626" s="531"/>
      <c r="D1626" s="531"/>
      <c r="E1626" s="531"/>
      <c r="F1626" s="531"/>
      <c r="G1626" s="531"/>
      <c r="H1626" s="531"/>
      <c r="I1626" s="531"/>
      <c r="J1626" s="531"/>
    </row>
    <row r="1627" spans="1:10" ht="25.5">
      <c r="A1627" s="145" t="str">
        <f>'[3]Planilha Orçamentária'!A431</f>
        <v>1.8.3.2</v>
      </c>
      <c r="B1627" s="199" t="str">
        <f>VLOOKUP(A1627,'[3]Planilha Orçamentária'!A:K,2,0)</f>
        <v>COMP-17562084</v>
      </c>
      <c r="C1627" s="147" t="str">
        <f>VLOOKUP(A1627,'[3]Planilha Orçamentária'!A:K,3,0)</f>
        <v>DEMOLIÇÃO MANUAL DE CONCRETO SIMPLES</v>
      </c>
      <c r="D1627" s="148" t="str">
        <f>VLOOKUP(A1627,'[3]Planilha Orçamentária'!A:K,4,0)</f>
        <v>M3</v>
      </c>
      <c r="E1627" s="147"/>
      <c r="F1627" s="160"/>
      <c r="G1627" s="160"/>
      <c r="H1627" s="160"/>
      <c r="I1627" s="160"/>
      <c r="J1627" s="150">
        <f>ROUND(SUM(J1629),2)</f>
        <v>7.73</v>
      </c>
    </row>
    <row r="1628" spans="1:10">
      <c r="A1628" s="145"/>
      <c r="B1628" s="199"/>
      <c r="C1628" s="159" t="s">
        <v>2249</v>
      </c>
      <c r="D1628" s="148"/>
      <c r="E1628" s="147"/>
      <c r="F1628" s="160"/>
      <c r="G1628" s="160"/>
      <c r="H1628" s="161" t="s">
        <v>2002</v>
      </c>
      <c r="I1628" s="106" t="s">
        <v>2003</v>
      </c>
      <c r="J1628" s="150"/>
    </row>
    <row r="1629" spans="1:10" ht="25.5">
      <c r="A1629" s="145"/>
      <c r="B1629" s="199"/>
      <c r="C1629" s="162" t="s">
        <v>2004</v>
      </c>
      <c r="D1629" s="123"/>
      <c r="E1629" s="123"/>
      <c r="F1629" s="157"/>
      <c r="G1629" s="157"/>
      <c r="H1629" s="157">
        <v>7.0000000000000007E-2</v>
      </c>
      <c r="I1629" s="157">
        <v>110.43</v>
      </c>
      <c r="J1629" s="128">
        <f>ROUND(PRODUCT(E1629:I1629),2)</f>
        <v>7.73</v>
      </c>
    </row>
    <row r="1630" spans="1:10">
      <c r="A1630" s="561"/>
      <c r="B1630" s="562"/>
      <c r="C1630" s="562"/>
      <c r="D1630" s="562"/>
      <c r="E1630" s="562"/>
      <c r="F1630" s="562"/>
      <c r="G1630" s="562"/>
      <c r="H1630" s="562"/>
      <c r="I1630" s="562"/>
      <c r="J1630" s="563"/>
    </row>
    <row r="1631" spans="1:10" ht="51">
      <c r="A1631" s="145" t="str">
        <f>'[3]Planilha Orçamentária'!A432</f>
        <v>1.8.3.3</v>
      </c>
      <c r="B1631" s="199" t="str">
        <f>VLOOKUP(A1631,'[3]Planilha Orçamentária'!A:K,2,0)</f>
        <v>COMP-35145154</v>
      </c>
      <c r="C1631" s="147" t="str">
        <f>VLOOKUP(A1631,'[3]Planilha Orçamentária'!A:K,3,0)</f>
        <v>CARGA E DESCARGA MECANICA DE SOLO UTILIZANDO CAMINHAO BASCULANTE 14,0M3/36T E PA CARREGADEIRA SOBRE PNEUS 128 HP, CAPACIDADE DA CAÇAMBA 1,7 A 2,8 M3, PESO OPERACIONAL 11632 KH</v>
      </c>
      <c r="D1631" s="148" t="str">
        <f>VLOOKUP(A1631,'[3]Planilha Orçamentária'!A:K,4,0)</f>
        <v>M3</v>
      </c>
      <c r="E1631" s="147"/>
      <c r="F1631" s="160"/>
      <c r="G1631" s="160"/>
      <c r="H1631" s="160"/>
      <c r="I1631" s="160"/>
      <c r="J1631" s="150">
        <f>ROUND(SUM(J1633:J1633),2)</f>
        <v>9.66</v>
      </c>
    </row>
    <row r="1632" spans="1:10">
      <c r="A1632" s="145"/>
      <c r="B1632" s="199"/>
      <c r="C1632" s="165"/>
      <c r="D1632" s="166"/>
      <c r="E1632" s="162" t="s">
        <v>2006</v>
      </c>
      <c r="F1632" s="149"/>
      <c r="G1632" s="149"/>
      <c r="H1632" s="149"/>
      <c r="I1632" s="161" t="s">
        <v>2007</v>
      </c>
      <c r="J1632" s="150"/>
    </row>
    <row r="1633" spans="1:10">
      <c r="A1633" s="145"/>
      <c r="B1633" s="199"/>
      <c r="C1633" s="165" t="s">
        <v>2008</v>
      </c>
      <c r="D1633" s="166"/>
      <c r="E1633" s="162">
        <v>1.25</v>
      </c>
      <c r="F1633" s="149"/>
      <c r="G1633" s="149"/>
      <c r="H1633" s="149"/>
      <c r="I1633" s="167">
        <f>J1627</f>
        <v>7.73</v>
      </c>
      <c r="J1633" s="128">
        <f>ROUND(PRODUCT(E1633:I1633),2)</f>
        <v>9.66</v>
      </c>
    </row>
    <row r="1634" spans="1:10">
      <c r="A1634" s="561"/>
      <c r="B1634" s="562"/>
      <c r="C1634" s="562"/>
      <c r="D1634" s="562"/>
      <c r="E1634" s="562"/>
      <c r="F1634" s="562"/>
      <c r="G1634" s="562"/>
      <c r="H1634" s="562"/>
      <c r="I1634" s="562"/>
      <c r="J1634" s="563"/>
    </row>
    <row r="1635" spans="1:10" ht="38.25">
      <c r="A1635" s="145" t="str">
        <f>'[3]Planilha Orçamentária'!A433</f>
        <v>1.8.3.4</v>
      </c>
      <c r="B1635" s="199">
        <f>VLOOKUP(A1635,'[3]Planilha Orçamentária'!A:K,2,0)</f>
        <v>95876</v>
      </c>
      <c r="C1635" s="147" t="str">
        <f>VLOOKUP(A1635,'[3]Planilha Orçamentária'!A:K,3,0)</f>
        <v>TRANSPORTE COM CAMINHÃO BASCULANTE DE 14 M³, EM VIA URBANA PAVIMENTADA, DMT ATÉ 30 KM (UNIDADE: M3XKM). AF_07/2020</v>
      </c>
      <c r="D1635" s="148" t="str">
        <f>VLOOKUP(A1635,'[3]Planilha Orçamentária'!A:K,4,0)</f>
        <v>M3XKM</v>
      </c>
      <c r="E1635" s="147"/>
      <c r="F1635" s="160"/>
      <c r="G1635" s="160"/>
      <c r="H1635" s="160"/>
      <c r="I1635" s="160"/>
      <c r="J1635" s="150">
        <f>ROUND(SUM(J1637),2)</f>
        <v>56.99</v>
      </c>
    </row>
    <row r="1636" spans="1:10">
      <c r="A1636" s="145"/>
      <c r="B1636" s="199"/>
      <c r="C1636" s="171" t="s">
        <v>2250</v>
      </c>
      <c r="D1636" s="123"/>
      <c r="E1636" s="123" t="s">
        <v>2011</v>
      </c>
      <c r="F1636" s="123"/>
      <c r="G1636" s="123"/>
      <c r="H1636" s="123"/>
      <c r="I1636" s="123" t="s">
        <v>2007</v>
      </c>
      <c r="J1636" s="150"/>
    </row>
    <row r="1637" spans="1:10">
      <c r="A1637" s="145"/>
      <c r="B1637" s="199"/>
      <c r="C1637" s="155" t="s">
        <v>2251</v>
      </c>
      <c r="D1637" s="123"/>
      <c r="E1637" s="162">
        <v>5.9</v>
      </c>
      <c r="F1637" s="162"/>
      <c r="G1637" s="162"/>
      <c r="H1637" s="162"/>
      <c r="I1637" s="172">
        <f>J1631</f>
        <v>9.66</v>
      </c>
      <c r="J1637" s="128">
        <f>ROUND(PRODUCT(E1637:I1637),2)</f>
        <v>56.99</v>
      </c>
    </row>
    <row r="1638" spans="1:10">
      <c r="A1638" s="561"/>
      <c r="B1638" s="562"/>
      <c r="C1638" s="562"/>
      <c r="D1638" s="562"/>
      <c r="E1638" s="562"/>
      <c r="F1638" s="562"/>
      <c r="G1638" s="562"/>
      <c r="H1638" s="562"/>
      <c r="I1638" s="562"/>
      <c r="J1638" s="563"/>
    </row>
    <row r="1639" spans="1:10">
      <c r="A1639" s="94" t="str">
        <f>'[3]Planilha Orçamentária'!A434</f>
        <v>1.8.4</v>
      </c>
      <c r="B1639" s="95"/>
      <c r="C1639" s="96" t="str">
        <f>VLOOKUP(A1639,'[3]Planilha Orçamentária'!A:K,3,0)</f>
        <v>TERRAPLENAGEM</v>
      </c>
      <c r="D1639" s="97"/>
      <c r="E1639" s="98"/>
      <c r="F1639" s="99"/>
      <c r="G1639" s="99"/>
      <c r="H1639" s="99"/>
      <c r="I1639" s="100"/>
      <c r="J1639" s="173"/>
    </row>
    <row r="1640" spans="1:10" ht="38.25">
      <c r="A1640" s="132" t="str">
        <f>'[3]Planilha Orçamentária'!A435</f>
        <v>1.8.4.1</v>
      </c>
      <c r="B1640" s="103" t="str">
        <f>VLOOKUP(A1640,'[3]Planilha Orçamentária'!A:K,2,0)</f>
        <v>CP-74205/001-17324935</v>
      </c>
      <c r="C1640" s="104" t="str">
        <f>VLOOKUP(A1640,'[3]Planilha Orçamentária'!A:K,3,0)</f>
        <v>ESCAVAÇÃO MECÂNICA DE MATERIAL 1A. CATEGORIA, PROVENIENTE DE CORTE DE SUBLEITO (C/TRATOR ESTEIRAS  160HP)</v>
      </c>
      <c r="D1640" s="105" t="str">
        <f>VLOOKUP(A1640,'[3]Planilha Orçamentária'!A:K,4,0)</f>
        <v>M3</v>
      </c>
      <c r="E1640" s="104"/>
      <c r="F1640" s="111"/>
      <c r="G1640" s="111"/>
      <c r="H1640" s="111"/>
      <c r="I1640" s="111"/>
      <c r="J1640" s="107">
        <f>ROUND(SUM(J1642:J1642),2)</f>
        <v>559.36</v>
      </c>
    </row>
    <row r="1641" spans="1:10">
      <c r="A1641" s="132"/>
      <c r="B1641" s="103"/>
      <c r="C1641" s="165" t="s">
        <v>2252</v>
      </c>
      <c r="D1641" s="105"/>
      <c r="E1641" s="104"/>
      <c r="F1641" s="111"/>
      <c r="G1641" s="111"/>
      <c r="H1641" s="111"/>
      <c r="I1641" s="106" t="s">
        <v>2007</v>
      </c>
      <c r="J1641" s="107"/>
    </row>
    <row r="1642" spans="1:10">
      <c r="A1642" s="174"/>
      <c r="B1642" s="175"/>
      <c r="C1642" s="155" t="s">
        <v>2097</v>
      </c>
      <c r="D1642" s="156"/>
      <c r="E1642" s="157"/>
      <c r="F1642" s="157"/>
      <c r="G1642" s="157"/>
      <c r="H1642" s="157"/>
      <c r="I1642" s="157">
        <f>[3]PARÂMETROS!G573</f>
        <v>559.36</v>
      </c>
      <c r="J1642" s="176">
        <f>ROUND(PRODUCT(E1642:I1642),2)</f>
        <v>559.36</v>
      </c>
    </row>
    <row r="1643" spans="1:10">
      <c r="A1643" s="549"/>
      <c r="B1643" s="549"/>
      <c r="C1643" s="549"/>
      <c r="D1643" s="549"/>
      <c r="E1643" s="549"/>
      <c r="F1643" s="549"/>
      <c r="G1643" s="549"/>
      <c r="H1643" s="549"/>
      <c r="I1643" s="549"/>
      <c r="J1643" s="549"/>
    </row>
    <row r="1644" spans="1:10" ht="51">
      <c r="A1644" s="177" t="str">
        <f>'[3]Planilha Orçamentária'!A436</f>
        <v>1.8.4.2</v>
      </c>
      <c r="B1644" s="178" t="str">
        <f>VLOOKUP(A1644,'[3]Planilha Orçamentária'!A:K,2,0)</f>
        <v>COMP-35145154</v>
      </c>
      <c r="C1644" s="179" t="str">
        <f>VLOOKUP(A1644,'[3]Planilha Orçamentária'!A:K,3,0)</f>
        <v>CARGA E DESCARGA MECANICA DE SOLO UTILIZANDO CAMINHAO BASCULANTE 14,0M3/36T E PA CARREGADEIRA SOBRE PNEUS 128 HP, CAPACIDADE DA CAÇAMBA 1,7 A 2,8 M3, PESO OPERACIONAL 11632 KH</v>
      </c>
      <c r="D1644" s="180" t="str">
        <f>VLOOKUP(A1644,'[3]Planilha Orçamentária'!A:K,4,0)</f>
        <v>M3</v>
      </c>
      <c r="E1644" s="179"/>
      <c r="F1644" s="181"/>
      <c r="G1644" s="181"/>
      <c r="H1644" s="181"/>
      <c r="I1644" s="181"/>
      <c r="J1644" s="107">
        <f>ROUND(SUM(J1646:J1646),2)</f>
        <v>699.16</v>
      </c>
    </row>
    <row r="1645" spans="1:10">
      <c r="A1645" s="177"/>
      <c r="B1645" s="178"/>
      <c r="C1645" s="155" t="s">
        <v>2015</v>
      </c>
      <c r="D1645" s="180"/>
      <c r="E1645" s="184" t="s">
        <v>2006</v>
      </c>
      <c r="F1645" s="332"/>
      <c r="G1645" s="332"/>
      <c r="H1645" s="332"/>
      <c r="I1645" s="332" t="s">
        <v>2007</v>
      </c>
      <c r="J1645" s="182"/>
    </row>
    <row r="1646" spans="1:10">
      <c r="A1646" s="177"/>
      <c r="B1646" s="178"/>
      <c r="C1646" s="155" t="s">
        <v>2016</v>
      </c>
      <c r="D1646" s="156"/>
      <c r="E1646" s="157">
        <v>1.25</v>
      </c>
      <c r="F1646" s="116"/>
      <c r="G1646" s="116"/>
      <c r="H1646" s="116"/>
      <c r="I1646" s="116">
        <f>[3]PARÂMETROS!G574</f>
        <v>559.33000000000004</v>
      </c>
      <c r="J1646" s="176">
        <f>ROUND(PRODUCT(E1646:I1646),2)</f>
        <v>699.16</v>
      </c>
    </row>
    <row r="1647" spans="1:10">
      <c r="A1647" s="549"/>
      <c r="B1647" s="549"/>
      <c r="C1647" s="549"/>
      <c r="D1647" s="549"/>
      <c r="E1647" s="549"/>
      <c r="F1647" s="549"/>
      <c r="G1647" s="549"/>
      <c r="H1647" s="549"/>
      <c r="I1647" s="549"/>
      <c r="J1647" s="549"/>
    </row>
    <row r="1648" spans="1:10" ht="38.25">
      <c r="A1648" s="186" t="str">
        <f>'[3]Planilha Orçamentária'!A437</f>
        <v>1.8.4.3</v>
      </c>
      <c r="B1648" s="187">
        <f>VLOOKUP(A1648,'[3]Planilha Orçamentária'!A:K,2,0)</f>
        <v>95876</v>
      </c>
      <c r="C1648" s="188" t="str">
        <f>VLOOKUP(A1648,'[3]Planilha Orçamentária'!A:K,3,0)</f>
        <v>TRANSPORTE COM CAMINHÃO BASCULANTE DE 14 M³, EM VIA URBANA PAVIMENTADA, DMT ATÉ 30 KM (UNIDADE: M3XKM). AF_07/2020</v>
      </c>
      <c r="D1648" s="189" t="str">
        <f>VLOOKUP(A1648,'[3]Planilha Orçamentária'!A:K,4,0)</f>
        <v>M3XKM</v>
      </c>
      <c r="E1648" s="188"/>
      <c r="F1648" s="160"/>
      <c r="G1648" s="160"/>
      <c r="H1648" s="160"/>
      <c r="I1648" s="160"/>
      <c r="J1648" s="122">
        <f>ROUND(SUM(J1650:J1650),2)</f>
        <v>4125.04</v>
      </c>
    </row>
    <row r="1649" spans="1:10">
      <c r="A1649" s="186"/>
      <c r="B1649" s="187"/>
      <c r="C1649" s="171" t="s">
        <v>2253</v>
      </c>
      <c r="D1649" s="189"/>
      <c r="E1649" s="208" t="s">
        <v>2011</v>
      </c>
      <c r="F1649" s="160"/>
      <c r="G1649" s="160"/>
      <c r="H1649" s="161"/>
      <c r="I1649" s="161" t="s">
        <v>2007</v>
      </c>
      <c r="J1649" s="150"/>
    </row>
    <row r="1650" spans="1:10">
      <c r="A1650" s="186"/>
      <c r="B1650" s="187"/>
      <c r="C1650" s="155" t="s">
        <v>2254</v>
      </c>
      <c r="D1650" s="156"/>
      <c r="E1650" s="162">
        <v>5.9</v>
      </c>
      <c r="F1650" s="207"/>
      <c r="G1650" s="207"/>
      <c r="H1650" s="207"/>
      <c r="I1650" s="195">
        <f>J1644</f>
        <v>699.16</v>
      </c>
      <c r="J1650" s="196">
        <f>ROUND(PRODUCT(E1650:I1650),2)</f>
        <v>4125.04</v>
      </c>
    </row>
    <row r="1651" spans="1:10">
      <c r="A1651" s="532"/>
      <c r="B1651" s="533"/>
      <c r="C1651" s="533"/>
      <c r="D1651" s="533"/>
      <c r="E1651" s="533"/>
      <c r="F1651" s="533"/>
      <c r="G1651" s="533"/>
      <c r="H1651" s="533"/>
      <c r="I1651" s="533"/>
      <c r="J1651" s="534"/>
    </row>
    <row r="1652" spans="1:10" ht="38.25">
      <c r="A1652" s="132" t="str">
        <f>'[3]Planilha Orçamentária'!A438</f>
        <v>1.8.4.4</v>
      </c>
      <c r="B1652" s="103">
        <f>VLOOKUP(A1652,'[3]Planilha Orçamentária'!A:K,2,0)</f>
        <v>96385</v>
      </c>
      <c r="C1652" s="104" t="str">
        <f>VLOOKUP(A1652,'[3]Planilha Orçamentária'!A:K,3,0)</f>
        <v>EXECUÇÃO E COMPACTAÇÃO DE ATERRO COM SOLO PREDOMINANTEMENTE ARGILOSO - EXCLUSIVE SOLO, ESCAVAÇÃO, CARGA E TRANSPORTE. AF_11/2019</v>
      </c>
      <c r="D1652" s="105" t="str">
        <f>VLOOKUP(A1652,'[3]Planilha Orçamentária'!A:K,4,0)</f>
        <v>M3</v>
      </c>
      <c r="E1652" s="104"/>
      <c r="F1652" s="111"/>
      <c r="G1652" s="111"/>
      <c r="H1652" s="111"/>
      <c r="I1652" s="111"/>
      <c r="J1652" s="107">
        <f>ROUND(SUM(J1654:J1654),2)</f>
        <v>0.03</v>
      </c>
    </row>
    <row r="1653" spans="1:10">
      <c r="A1653" s="132"/>
      <c r="B1653" s="103"/>
      <c r="C1653" s="165" t="s">
        <v>2252</v>
      </c>
      <c r="D1653" s="105"/>
      <c r="E1653" s="104"/>
      <c r="F1653" s="111"/>
      <c r="G1653" s="111"/>
      <c r="H1653" s="111"/>
      <c r="I1653" s="106" t="s">
        <v>2007</v>
      </c>
      <c r="J1653" s="107"/>
    </row>
    <row r="1654" spans="1:10">
      <c r="A1654" s="174"/>
      <c r="B1654" s="175"/>
      <c r="C1654" s="155" t="s">
        <v>2097</v>
      </c>
      <c r="D1654" s="156"/>
      <c r="E1654" s="157"/>
      <c r="F1654" s="157"/>
      <c r="G1654" s="157"/>
      <c r="H1654" s="157"/>
      <c r="I1654" s="157">
        <f>[3]PARÂMETROS!G576</f>
        <v>0.03</v>
      </c>
      <c r="J1654" s="176">
        <f>ROUND(PRODUCT(E1654:I1654),2)</f>
        <v>0.03</v>
      </c>
    </row>
    <row r="1655" spans="1:10">
      <c r="A1655" s="549"/>
      <c r="B1655" s="549"/>
      <c r="C1655" s="549"/>
      <c r="D1655" s="549"/>
      <c r="E1655" s="549"/>
      <c r="F1655" s="549"/>
      <c r="G1655" s="549"/>
      <c r="H1655" s="549"/>
      <c r="I1655" s="549"/>
      <c r="J1655" s="549"/>
    </row>
    <row r="1656" spans="1:10">
      <c r="A1656" s="94" t="str">
        <f>'[3]Planilha Orçamentária'!A439</f>
        <v>1.8.5</v>
      </c>
      <c r="B1656" s="95"/>
      <c r="C1656" s="96" t="str">
        <f>VLOOKUP(A1656,'[3]Planilha Orçamentária'!A:K,3,0)</f>
        <v>PAVIMENTAÇÃO</v>
      </c>
      <c r="D1656" s="97"/>
      <c r="E1656" s="98"/>
      <c r="F1656" s="99"/>
      <c r="G1656" s="99"/>
      <c r="H1656" s="99"/>
      <c r="I1656" s="100"/>
      <c r="J1656" s="131"/>
    </row>
    <row r="1657" spans="1:10" ht="25.5">
      <c r="A1657" s="145" t="str">
        <f>'[3]Planilha Orçamentária'!A440</f>
        <v>1.8.5.1</v>
      </c>
      <c r="B1657" s="199">
        <f>VLOOKUP(A1657,'[3]Planilha Orçamentária'!A:K,2,0)</f>
        <v>100576</v>
      </c>
      <c r="C1657" s="147" t="str">
        <f>VLOOKUP(A1657,'[3]Planilha Orçamentária'!A:K,3,0)</f>
        <v>REGULARIZAÇÃO E COMPACTAÇÃO DE SUBLEITO DE SOLO  PREDOMINANTEMENTE ARGILOSO. AF_11/2019</v>
      </c>
      <c r="D1657" s="148" t="str">
        <f>VLOOKUP(A1657,'[3]Planilha Orçamentária'!A:K,4,0)</f>
        <v>M2</v>
      </c>
      <c r="E1657" s="147"/>
      <c r="F1657" s="160"/>
      <c r="G1657" s="160"/>
      <c r="H1657" s="160"/>
      <c r="I1657" s="160"/>
      <c r="J1657" s="150">
        <f>ROUND(SUM(J1659:J1659),2)</f>
        <v>669.58</v>
      </c>
    </row>
    <row r="1658" spans="1:10">
      <c r="A1658" s="145"/>
      <c r="B1658" s="199"/>
      <c r="C1658" s="159" t="s">
        <v>2255</v>
      </c>
      <c r="D1658" s="148"/>
      <c r="E1658" s="147"/>
      <c r="F1658" s="161" t="s">
        <v>1989</v>
      </c>
      <c r="G1658" s="161" t="s">
        <v>1990</v>
      </c>
      <c r="H1658" s="160"/>
      <c r="I1658" s="161"/>
      <c r="J1658" s="150"/>
    </row>
    <row r="1659" spans="1:10" ht="25.5">
      <c r="A1659" s="145"/>
      <c r="B1659" s="199"/>
      <c r="C1659" s="200" t="s">
        <v>2019</v>
      </c>
      <c r="D1659" s="185"/>
      <c r="E1659" s="116"/>
      <c r="F1659" s="207">
        <f>(20-5.88)+(4*20)+(2.85)</f>
        <v>96.97</v>
      </c>
      <c r="G1659" s="161">
        <f>((5.81+6)/2)+1</f>
        <v>6.9049999999999994</v>
      </c>
      <c r="H1659" s="160"/>
      <c r="I1659" s="161"/>
      <c r="J1659" s="158">
        <f>ROUND(PRODUCT(E1659:I1659),2)</f>
        <v>669.58</v>
      </c>
    </row>
    <row r="1660" spans="1:10">
      <c r="A1660" s="550"/>
      <c r="B1660" s="551"/>
      <c r="C1660" s="551"/>
      <c r="D1660" s="551"/>
      <c r="E1660" s="551"/>
      <c r="F1660" s="551"/>
      <c r="G1660" s="551"/>
      <c r="H1660" s="551"/>
      <c r="I1660" s="551"/>
      <c r="J1660" s="552"/>
    </row>
    <row r="1661" spans="1:10" ht="25.5">
      <c r="A1661" s="186" t="str">
        <f>'[3]Planilha Orçamentária'!A441</f>
        <v>1.8.5.2</v>
      </c>
      <c r="B1661" s="187" t="str">
        <f>VLOOKUP(A1661,'[3]Planilha Orçamentária'!A:K,2,0)</f>
        <v>COMP-47176600</v>
      </c>
      <c r="C1661" s="188" t="str">
        <f>VLOOKUP(A1661,'[3]Planilha Orçamentária'!A:K,3,0)</f>
        <v xml:space="preserve">EXEC. DE ATERRO COM AREIA COM ADENSAMENTO HIDRAULICO </v>
      </c>
      <c r="D1661" s="189" t="str">
        <f>VLOOKUP(A1661,'[3]Planilha Orçamentária'!A:K,4,0)</f>
        <v xml:space="preserve">M3    </v>
      </c>
      <c r="E1661" s="188"/>
      <c r="F1661" s="190"/>
      <c r="G1661" s="190"/>
      <c r="H1661" s="190"/>
      <c r="I1661" s="190"/>
      <c r="J1661" s="203">
        <f>ROUND(SUM(J1663:J1663),2)</f>
        <v>85.89</v>
      </c>
    </row>
    <row r="1662" spans="1:10">
      <c r="A1662" s="186"/>
      <c r="B1662" s="187"/>
      <c r="C1662" s="159" t="s">
        <v>2255</v>
      </c>
      <c r="D1662" s="148"/>
      <c r="E1662" s="147"/>
      <c r="F1662" s="161" t="s">
        <v>1989</v>
      </c>
      <c r="G1662" s="161" t="s">
        <v>1990</v>
      </c>
      <c r="H1662" s="161" t="s">
        <v>2002</v>
      </c>
      <c r="I1662" s="161"/>
      <c r="J1662" s="203"/>
    </row>
    <row r="1663" spans="1:10" ht="28.5">
      <c r="A1663" s="186"/>
      <c r="B1663" s="187"/>
      <c r="C1663" s="204" t="s">
        <v>2020</v>
      </c>
      <c r="D1663" s="148"/>
      <c r="E1663" s="147"/>
      <c r="F1663" s="167">
        <f>F1659</f>
        <v>96.97</v>
      </c>
      <c r="G1663" s="161">
        <f>((5.81+6)/2)+0.5+0.5-1</f>
        <v>5.9049999999999994</v>
      </c>
      <c r="H1663" s="161">
        <v>0.15</v>
      </c>
      <c r="I1663" s="167"/>
      <c r="J1663" s="176">
        <f>ROUND(PRODUCT(E1663:I1663),2)</f>
        <v>85.89</v>
      </c>
    </row>
    <row r="1664" spans="1:10">
      <c r="A1664" s="205"/>
      <c r="B1664" s="206"/>
      <c r="C1664" s="171"/>
      <c r="D1664" s="189"/>
      <c r="E1664" s="188"/>
      <c r="F1664" s="207"/>
      <c r="G1664" s="207"/>
      <c r="H1664" s="208"/>
      <c r="I1664" s="209"/>
      <c r="J1664" s="196"/>
    </row>
    <row r="1665" spans="1:10" ht="38.25">
      <c r="A1665" s="186" t="str">
        <f>'[3]Planilha Orçamentária'!A442</f>
        <v>1.8.5.3</v>
      </c>
      <c r="B1665" s="187" t="str">
        <f>VLOOKUP(A1665,'[3]Planilha Orçamentária'!A:K,2,0)</f>
        <v>COMP-28881239</v>
      </c>
      <c r="C1665" s="188" t="str">
        <f>VLOOKUP(A1665,'[3]Planilha Orçamentária'!A:K,3,0)</f>
        <v>Base ou sub-base de macadame hidráulico com brita comercial - EXCLUSIVE MATERIAL, CARGA E TRANSPORTE - NÃO DESONERADO</v>
      </c>
      <c r="D1665" s="189" t="str">
        <f>VLOOKUP(A1665,'[3]Planilha Orçamentária'!A:K,4,0)</f>
        <v>M3</v>
      </c>
      <c r="E1665" s="188"/>
      <c r="F1665" s="190"/>
      <c r="G1665" s="190"/>
      <c r="H1665" s="190"/>
      <c r="I1665" s="190"/>
      <c r="J1665" s="203">
        <f>ROUND(SUM(J1667:J1667),2)</f>
        <v>85.89</v>
      </c>
    </row>
    <row r="1666" spans="1:10">
      <c r="A1666" s="186"/>
      <c r="B1666" s="187"/>
      <c r="C1666" s="159" t="s">
        <v>2255</v>
      </c>
      <c r="D1666" s="148"/>
      <c r="E1666" s="147"/>
      <c r="F1666" s="161" t="s">
        <v>1989</v>
      </c>
      <c r="G1666" s="161" t="s">
        <v>1990</v>
      </c>
      <c r="H1666" s="161" t="s">
        <v>2002</v>
      </c>
      <c r="I1666" s="161"/>
      <c r="J1666" s="203"/>
    </row>
    <row r="1667" spans="1:10" ht="28.5">
      <c r="A1667" s="186"/>
      <c r="B1667" s="187"/>
      <c r="C1667" s="204" t="s">
        <v>2020</v>
      </c>
      <c r="D1667" s="148"/>
      <c r="E1667" s="147"/>
      <c r="F1667" s="167">
        <f>F1659</f>
        <v>96.97</v>
      </c>
      <c r="G1667" s="161">
        <f>((5.81+6)/2)+0.5+0.5-1</f>
        <v>5.9049999999999994</v>
      </c>
      <c r="H1667" s="161">
        <v>0.15</v>
      </c>
      <c r="I1667" s="167"/>
      <c r="J1667" s="176">
        <f>ROUND(PRODUCT(E1667:I1667),2)</f>
        <v>85.89</v>
      </c>
    </row>
    <row r="1668" spans="1:10">
      <c r="A1668" s="205"/>
      <c r="B1668" s="206"/>
      <c r="C1668" s="171"/>
      <c r="D1668" s="189"/>
      <c r="E1668" s="188"/>
      <c r="F1668" s="207"/>
      <c r="G1668" s="207"/>
      <c r="H1668" s="208"/>
      <c r="I1668" s="209"/>
      <c r="J1668" s="196"/>
    </row>
    <row r="1669" spans="1:10" ht="38.25">
      <c r="A1669" s="177" t="str">
        <f>'[3]Planilha Orçamentária'!A443</f>
        <v>1.8.5.4</v>
      </c>
      <c r="B1669" s="178" t="str">
        <f>VLOOKUP(A1669,'[3]Planilha Orçamentária'!A:K,2,0)</f>
        <v>CP-96396-26507981</v>
      </c>
      <c r="C1669" s="179" t="str">
        <f>VLOOKUP(A1669,'[3]Planilha Orçamentária'!A:K,3,0)</f>
        <v>EXECUÇÃO E COMPACTAÇÃO DE BASE E OU SUB BASE PARA PAVIMENTAÇÃO DE BRITA GRADUADA SIMPLES - EXCLUSIVE MATERIAL, CARGA E TRANSPORTE</v>
      </c>
      <c r="D1669" s="180" t="str">
        <f>VLOOKUP(A1669,'[3]Planilha Orçamentária'!A:K,4,0)</f>
        <v>M3</v>
      </c>
      <c r="E1669" s="179"/>
      <c r="F1669" s="181"/>
      <c r="G1669" s="181"/>
      <c r="H1669" s="181"/>
      <c r="I1669" s="181"/>
      <c r="J1669" s="182">
        <f>ROUND(SUM(J1671:J1671),2)</f>
        <v>114.52</v>
      </c>
    </row>
    <row r="1670" spans="1:10">
      <c r="A1670" s="177"/>
      <c r="B1670" s="178"/>
      <c r="C1670" s="159" t="s">
        <v>2255</v>
      </c>
      <c r="D1670" s="180"/>
      <c r="E1670" s="184"/>
      <c r="F1670" s="161" t="s">
        <v>1989</v>
      </c>
      <c r="G1670" s="161" t="s">
        <v>1990</v>
      </c>
      <c r="H1670" s="161" t="s">
        <v>2002</v>
      </c>
      <c r="I1670" s="210"/>
      <c r="J1670" s="182"/>
    </row>
    <row r="1671" spans="1:10" ht="28.5">
      <c r="A1671" s="123"/>
      <c r="B1671" s="211"/>
      <c r="C1671" s="204" t="s">
        <v>2021</v>
      </c>
      <c r="D1671" s="185"/>
      <c r="E1671" s="127"/>
      <c r="F1671" s="127">
        <f>F1659</f>
        <v>96.97</v>
      </c>
      <c r="G1671" s="161">
        <f>((5.81+6)/2)</f>
        <v>5.9049999999999994</v>
      </c>
      <c r="H1671" s="161">
        <v>0.2</v>
      </c>
      <c r="I1671" s="212"/>
      <c r="J1671" s="118">
        <f>ROUND(PRODUCT(E1671:I1671),2)</f>
        <v>114.52</v>
      </c>
    </row>
    <row r="1672" spans="1:10">
      <c r="A1672" s="546"/>
      <c r="B1672" s="547"/>
      <c r="C1672" s="547"/>
      <c r="D1672" s="547"/>
      <c r="E1672" s="547"/>
      <c r="F1672" s="547"/>
      <c r="G1672" s="547"/>
      <c r="H1672" s="547"/>
      <c r="I1672" s="547"/>
      <c r="J1672" s="548"/>
    </row>
    <row r="1673" spans="1:10" ht="51">
      <c r="A1673" s="132" t="str">
        <f>'[3]Planilha Orçamentária'!A444</f>
        <v>1.8.5.5</v>
      </c>
      <c r="B1673" s="108" t="str">
        <f>VLOOKUP(A1673,'[3]Planilha Orçamentária'!A:K,2,0)</f>
        <v>COMP-35145154</v>
      </c>
      <c r="C1673" s="104" t="str">
        <f>VLOOKUP(A1673,'[3]Planilha Orçamentária'!A:K,3,0)</f>
        <v>CARGA E DESCARGA MECANICA DE SOLO UTILIZANDO CAMINHAO BASCULANTE 14,0M3/36T E PA CARREGADEIRA SOBRE PNEUS 128 HP, CAPACIDADE DA CAÇAMBA 1,7 A 2,8 M3, PESO OPERACIONAL 11632 KH</v>
      </c>
      <c r="D1673" s="105" t="str">
        <f>VLOOKUP(A1673,'[3]Planilha Orçamentária'!A:K,4,0)</f>
        <v>M3</v>
      </c>
      <c r="E1673" s="104"/>
      <c r="F1673" s="111"/>
      <c r="G1673" s="111"/>
      <c r="H1673" s="111"/>
      <c r="I1673" s="111"/>
      <c r="J1673" s="122">
        <f>ROUND(SUM(J1675:J1675),2)</f>
        <v>250.51</v>
      </c>
    </row>
    <row r="1674" spans="1:10" ht="25.5">
      <c r="A1674" s="132"/>
      <c r="B1674" s="108"/>
      <c r="C1674" s="147"/>
      <c r="D1674" s="148"/>
      <c r="E1674" s="220" t="s">
        <v>2006</v>
      </c>
      <c r="F1674" s="106"/>
      <c r="G1674" s="111"/>
      <c r="H1674" s="111"/>
      <c r="I1674" s="143" t="s">
        <v>2022</v>
      </c>
      <c r="J1674" s="122"/>
    </row>
    <row r="1675" spans="1:10" ht="14.25">
      <c r="A1675" s="132"/>
      <c r="B1675" s="108"/>
      <c r="C1675" s="221" t="s">
        <v>2023</v>
      </c>
      <c r="D1675" s="156"/>
      <c r="E1675" s="106">
        <v>1.25</v>
      </c>
      <c r="F1675" s="238"/>
      <c r="G1675" s="205"/>
      <c r="H1675" s="205"/>
      <c r="I1675" s="239">
        <f>J1669+J1665</f>
        <v>200.41</v>
      </c>
      <c r="J1675" s="342">
        <f t="shared" ref="J1675" si="107">ROUND(PRODUCT(E1675:I1675),2)</f>
        <v>250.51</v>
      </c>
    </row>
    <row r="1676" spans="1:10">
      <c r="A1676" s="549"/>
      <c r="B1676" s="549"/>
      <c r="C1676" s="549"/>
      <c r="D1676" s="549"/>
      <c r="E1676" s="549"/>
      <c r="F1676" s="549"/>
      <c r="G1676" s="549"/>
      <c r="H1676" s="549"/>
      <c r="I1676" s="549"/>
      <c r="J1676" s="549"/>
    </row>
    <row r="1677" spans="1:10" ht="25.5">
      <c r="A1677" s="132" t="str">
        <f>'[3]Planilha Orçamentária'!A445</f>
        <v>1.8.5.6</v>
      </c>
      <c r="B1677" s="108" t="str">
        <f>VLOOKUP(A1677,'[3]Planilha Orçamentária'!A:K,2,0)</f>
        <v>COMP-83526730</v>
      </c>
      <c r="C1677" s="104" t="str">
        <f>VLOOKUP(A1677,'[3]Planilha Orçamentária'!A:K,3,0)</f>
        <v>TRANSPORTE COMERCIAL DE BRITA</v>
      </c>
      <c r="D1677" s="105" t="str">
        <f>VLOOKUP(A1677,'[3]Planilha Orçamentária'!A:K,4,0)</f>
        <v>M3XKM</v>
      </c>
      <c r="E1677" s="104"/>
      <c r="F1677" s="111"/>
      <c r="G1677" s="111"/>
      <c r="H1677" s="111"/>
      <c r="I1677" s="111"/>
      <c r="J1677" s="122">
        <f>ROUND(SUM(J1679:J1679),2)</f>
        <v>3807.75</v>
      </c>
    </row>
    <row r="1678" spans="1:10">
      <c r="A1678" s="132"/>
      <c r="B1678" s="108"/>
      <c r="C1678" s="159" t="s">
        <v>2256</v>
      </c>
      <c r="D1678" s="105"/>
      <c r="E1678" s="165" t="s">
        <v>2011</v>
      </c>
      <c r="F1678" s="106"/>
      <c r="G1678" s="106"/>
      <c r="H1678" s="106"/>
      <c r="I1678" s="106" t="s">
        <v>2007</v>
      </c>
      <c r="J1678" s="122"/>
    </row>
    <row r="1679" spans="1:10" ht="14.25">
      <c r="A1679" s="132"/>
      <c r="B1679" s="108"/>
      <c r="C1679" s="204" t="s">
        <v>2242</v>
      </c>
      <c r="D1679" s="174"/>
      <c r="E1679" s="239">
        <v>15.2</v>
      </c>
      <c r="F1679" s="223"/>
      <c r="G1679" s="174"/>
      <c r="H1679" s="174"/>
      <c r="I1679" s="224">
        <f>J1673</f>
        <v>250.51</v>
      </c>
      <c r="J1679" s="342">
        <f t="shared" ref="J1679" si="108">ROUND(PRODUCT(E1679:I1679),2)</f>
        <v>3807.75</v>
      </c>
    </row>
    <row r="1680" spans="1:10">
      <c r="A1680" s="549"/>
      <c r="B1680" s="549"/>
      <c r="C1680" s="549"/>
      <c r="D1680" s="549"/>
      <c r="E1680" s="549"/>
      <c r="F1680" s="549"/>
      <c r="G1680" s="549"/>
      <c r="H1680" s="549"/>
      <c r="I1680" s="549"/>
      <c r="J1680" s="549"/>
    </row>
    <row r="1681" spans="1:10" ht="25.5">
      <c r="A1681" s="186" t="str">
        <f>'[3]Planilha Orçamentária'!A446</f>
        <v>1.8.5.7</v>
      </c>
      <c r="B1681" s="187" t="str">
        <f>VLOOKUP(A1681,'[3]Planilha Orçamentária'!A:K,2,0)</f>
        <v>CP-96401-52745838</v>
      </c>
      <c r="C1681" s="188" t="str">
        <f>VLOOKUP(A1681,'[3]Planilha Orçamentária'!A:K,3,0)</f>
        <v>EXECUÇÃO DE IMPRIMAÇÃO COM ASFALTO DILUÍDO CM-30, EXCLUSIVE MATERIAL.</v>
      </c>
      <c r="D1681" s="189" t="str">
        <f>VLOOKUP(A1681,'[3]Planilha Orçamentária'!A:K,4,0)</f>
        <v>M2</v>
      </c>
      <c r="E1681" s="188"/>
      <c r="F1681" s="190"/>
      <c r="G1681" s="190"/>
      <c r="H1681" s="190"/>
      <c r="I1681" s="190"/>
      <c r="J1681" s="150">
        <f>ROUND(SUM(J1683:J1685),2)</f>
        <v>576.73</v>
      </c>
    </row>
    <row r="1682" spans="1:10">
      <c r="A1682" s="186"/>
      <c r="B1682" s="187"/>
      <c r="C1682" s="159" t="s">
        <v>2255</v>
      </c>
      <c r="D1682" s="189"/>
      <c r="E1682" s="188"/>
      <c r="F1682" s="190"/>
      <c r="G1682" s="190"/>
      <c r="H1682" s="208"/>
      <c r="I1682" s="161" t="s">
        <v>2003</v>
      </c>
      <c r="J1682" s="150"/>
    </row>
    <row r="1683" spans="1:10" ht="28.5">
      <c r="A1683" s="174"/>
      <c r="B1683" s="174"/>
      <c r="C1683" s="221" t="s">
        <v>2027</v>
      </c>
      <c r="D1683" s="174"/>
      <c r="E1683" s="174"/>
      <c r="F1683" s="223"/>
      <c r="G1683" s="174"/>
      <c r="H1683" s="224"/>
      <c r="I1683" s="224">
        <v>694.06</v>
      </c>
      <c r="J1683" s="158">
        <f>ROUND(PRODUCT(E1683:I1683),2)</f>
        <v>694.06</v>
      </c>
    </row>
    <row r="1684" spans="1:10" ht="14.25">
      <c r="A1684" s="174"/>
      <c r="B1684" s="174"/>
      <c r="C1684" s="221"/>
      <c r="D1684" s="174"/>
      <c r="E1684" s="174"/>
      <c r="F1684" s="161" t="s">
        <v>1989</v>
      </c>
      <c r="G1684" s="161" t="s">
        <v>1990</v>
      </c>
      <c r="H1684" s="224"/>
      <c r="I1684" s="224"/>
      <c r="J1684" s="158"/>
    </row>
    <row r="1685" spans="1:10" ht="14.25">
      <c r="A1685" s="174"/>
      <c r="B1685" s="174"/>
      <c r="C1685" s="221" t="s">
        <v>2028</v>
      </c>
      <c r="D1685" s="174"/>
      <c r="E1685" s="174">
        <v>-1</v>
      </c>
      <c r="F1685" s="223">
        <v>117.33</v>
      </c>
      <c r="G1685" s="174">
        <v>1</v>
      </c>
      <c r="H1685" s="224"/>
      <c r="I1685" s="224"/>
      <c r="J1685" s="158">
        <f>ROUND(PRODUCT(E1685:I1685),2)</f>
        <v>-117.33</v>
      </c>
    </row>
    <row r="1686" spans="1:10">
      <c r="A1686" s="549"/>
      <c r="B1686" s="549"/>
      <c r="C1686" s="549"/>
      <c r="D1686" s="549"/>
      <c r="E1686" s="549"/>
      <c r="F1686" s="549"/>
      <c r="G1686" s="549"/>
      <c r="H1686" s="549"/>
      <c r="I1686" s="549"/>
      <c r="J1686" s="549"/>
    </row>
    <row r="1687" spans="1:10" ht="38.25">
      <c r="A1687" s="225" t="str">
        <f>'[3]Planilha Orçamentária'!A447</f>
        <v>1.8.5.8</v>
      </c>
      <c r="B1687" s="226" t="str">
        <f>VLOOKUP(A1687,'[3]Planilha Orçamentária'!A:K,2,0)</f>
        <v>CP-95995-51339760</v>
      </c>
      <c r="C1687" s="227" t="str">
        <f>VLOOKUP(A1687,'[3]Planilha Orçamentária'!A:K,3,0)</f>
        <v>EXECUÇÃO DE PAVIMENTO COM APLICAÇÃO DE CONCRETO ASFÁLTICO, CAMADA DE ROLAMENTO - EXCLUSIVE CARGA E TRANSPORTE E CONCRETO BETUMINOSO</v>
      </c>
      <c r="D1687" s="228" t="str">
        <f>VLOOKUP(A1687,'[3]Planilha Orçamentária'!A:K,4,0)</f>
        <v>M3</v>
      </c>
      <c r="E1687" s="227"/>
      <c r="F1687" s="229"/>
      <c r="G1687" s="229"/>
      <c r="H1687" s="229"/>
      <c r="I1687" s="229"/>
      <c r="J1687" s="352">
        <f>ROUND(SUM(J1688:J1691),2)</f>
        <v>28.83</v>
      </c>
    </row>
    <row r="1688" spans="1:10">
      <c r="A1688" s="123"/>
      <c r="B1688" s="413"/>
      <c r="C1688" s="159" t="s">
        <v>2255</v>
      </c>
      <c r="D1688" s="105"/>
      <c r="E1688" s="165"/>
      <c r="F1688" s="106"/>
      <c r="G1688" s="106"/>
      <c r="H1688" s="106" t="s">
        <v>2002</v>
      </c>
      <c r="I1688" s="161" t="s">
        <v>2003</v>
      </c>
      <c r="J1688" s="128"/>
    </row>
    <row r="1689" spans="1:10" ht="14.25">
      <c r="A1689" s="174"/>
      <c r="B1689" s="174"/>
      <c r="C1689" s="221" t="s">
        <v>2029</v>
      </c>
      <c r="D1689" s="174"/>
      <c r="E1689" s="224"/>
      <c r="F1689" s="223"/>
      <c r="G1689" s="174"/>
      <c r="H1689" s="174">
        <v>0.05</v>
      </c>
      <c r="I1689" s="224">
        <f>J1683</f>
        <v>694.06</v>
      </c>
      <c r="J1689" s="158">
        <f>ROUND(PRODUCT(E1689:I1689),2)</f>
        <v>34.700000000000003</v>
      </c>
    </row>
    <row r="1690" spans="1:10" ht="14.25">
      <c r="A1690" s="174"/>
      <c r="B1690" s="174"/>
      <c r="C1690" s="221"/>
      <c r="D1690" s="174"/>
      <c r="E1690" s="174"/>
      <c r="F1690" s="161" t="s">
        <v>1989</v>
      </c>
      <c r="G1690" s="161" t="s">
        <v>1990</v>
      </c>
      <c r="H1690" s="106" t="s">
        <v>2002</v>
      </c>
      <c r="I1690" s="224"/>
      <c r="J1690" s="158"/>
    </row>
    <row r="1691" spans="1:10" ht="14.25">
      <c r="A1691" s="174"/>
      <c r="B1691" s="174"/>
      <c r="C1691" s="221" t="s">
        <v>2028</v>
      </c>
      <c r="D1691" s="174"/>
      <c r="E1691" s="174">
        <v>-1</v>
      </c>
      <c r="F1691" s="223">
        <f>F1685</f>
        <v>117.33</v>
      </c>
      <c r="G1691" s="174">
        <v>1</v>
      </c>
      <c r="H1691" s="174">
        <v>0.05</v>
      </c>
      <c r="I1691" s="224"/>
      <c r="J1691" s="158">
        <f>ROUND(PRODUCT(E1691:I1691),2)</f>
        <v>-5.87</v>
      </c>
    </row>
    <row r="1692" spans="1:10">
      <c r="A1692" s="546"/>
      <c r="B1692" s="547"/>
      <c r="C1692" s="547"/>
      <c r="D1692" s="547"/>
      <c r="E1692" s="547"/>
      <c r="F1692" s="547"/>
      <c r="G1692" s="547"/>
      <c r="H1692" s="547"/>
      <c r="I1692" s="547"/>
      <c r="J1692" s="547"/>
    </row>
    <row r="1693" spans="1:10" ht="38.25">
      <c r="A1693" s="132" t="str">
        <f>'[3]Planilha Orçamentária'!A448</f>
        <v>1.8.5.9</v>
      </c>
      <c r="B1693" s="108" t="str">
        <f>VLOOKUP(A1693,'[3]Planilha Orçamentária'!A:K,2,0)</f>
        <v>COMP-10034101</v>
      </c>
      <c r="C1693" s="104" t="str">
        <f>VLOOKUP(A1693,'[3]Planilha Orçamentária'!A:K,3,0)</f>
        <v>CARGA, MANOBRAS E DESCARGA DE MISTURA BETUMINOSA A QUENTE, COM CAMINHAO BASCULANTE 6 M3, DESCARGA EM VIBRO-ACABADORA</v>
      </c>
      <c r="D1693" s="105" t="str">
        <f>VLOOKUP(A1693,'[3]Planilha Orçamentária'!A:K,4,0)</f>
        <v>M3</v>
      </c>
      <c r="E1693" s="104"/>
      <c r="F1693" s="111"/>
      <c r="G1693" s="111"/>
      <c r="H1693" s="111"/>
      <c r="I1693" s="111"/>
      <c r="J1693" s="122">
        <f>ROUND(SUM(J1695:J1695),2)</f>
        <v>28.83</v>
      </c>
    </row>
    <row r="1694" spans="1:10" ht="14.25">
      <c r="A1694" s="132"/>
      <c r="B1694" s="108"/>
      <c r="C1694" s="204"/>
      <c r="D1694" s="105"/>
      <c r="E1694" s="104"/>
      <c r="F1694" s="106"/>
      <c r="G1694" s="111"/>
      <c r="H1694" s="111"/>
      <c r="I1694" s="143" t="s">
        <v>2007</v>
      </c>
      <c r="J1694" s="122"/>
    </row>
    <row r="1695" spans="1:10" ht="14.25">
      <c r="A1695" s="225"/>
      <c r="B1695" s="236"/>
      <c r="C1695" s="237" t="s">
        <v>2030</v>
      </c>
      <c r="D1695" s="205"/>
      <c r="E1695" s="205"/>
      <c r="F1695" s="238"/>
      <c r="G1695" s="205"/>
      <c r="H1695" s="205"/>
      <c r="I1695" s="239">
        <f>J1687</f>
        <v>28.83</v>
      </c>
      <c r="J1695" s="128">
        <f t="shared" ref="J1695" si="109">ROUND(PRODUCT(E1695:I1695),2)</f>
        <v>28.83</v>
      </c>
    </row>
    <row r="1696" spans="1:10">
      <c r="A1696" s="528"/>
      <c r="B1696" s="529"/>
      <c r="C1696" s="529"/>
      <c r="D1696" s="529"/>
      <c r="E1696" s="529"/>
      <c r="F1696" s="529"/>
      <c r="G1696" s="529"/>
      <c r="H1696" s="529"/>
      <c r="I1696" s="529"/>
      <c r="J1696" s="529"/>
    </row>
    <row r="1697" spans="1:11" ht="25.5">
      <c r="A1697" s="132" t="str">
        <f>'[3]Planilha Orçamentária'!A449</f>
        <v>1.8.5.10</v>
      </c>
      <c r="B1697" s="108" t="str">
        <f>VLOOKUP(A1697,'[3]Planilha Orçamentária'!A:K,2,0)</f>
        <v>CP-95303-56931542</v>
      </c>
      <c r="C1697" s="104" t="str">
        <f>VLOOKUP(A1697,'[3]Planilha Orçamentária'!A:K,3,0)</f>
        <v>TRANSPORTE COM CAMINHÃO BASCULANTE 10 M3 DE MASSA ASFALTICA PARA PAVIMENTAÇÃO URBANA</v>
      </c>
      <c r="D1697" s="105" t="str">
        <f>VLOOKUP(A1697,'[3]Planilha Orçamentária'!A:K,4,0)</f>
        <v>M3XKM</v>
      </c>
      <c r="E1697" s="104"/>
      <c r="F1697" s="111"/>
      <c r="G1697" s="111"/>
      <c r="H1697" s="111"/>
      <c r="I1697" s="111"/>
      <c r="J1697" s="122">
        <f>ROUND(SUM(J1699:J1699),2)</f>
        <v>184.51</v>
      </c>
    </row>
    <row r="1698" spans="1:11" ht="25.5">
      <c r="A1698" s="132"/>
      <c r="B1698" s="108"/>
      <c r="C1698" s="159" t="s">
        <v>2257</v>
      </c>
      <c r="D1698" s="241"/>
      <c r="E1698" s="165" t="s">
        <v>2011</v>
      </c>
      <c r="F1698" s="106"/>
      <c r="G1698" s="106"/>
      <c r="H1698" s="160"/>
      <c r="I1698" s="167" t="s">
        <v>2025</v>
      </c>
      <c r="J1698" s="122"/>
    </row>
    <row r="1699" spans="1:11" ht="14.25">
      <c r="A1699" s="225"/>
      <c r="B1699" s="236"/>
      <c r="C1699" s="221" t="s">
        <v>2258</v>
      </c>
      <c r="D1699" s="241"/>
      <c r="E1699" s="127">
        <v>6.4</v>
      </c>
      <c r="F1699" s="106"/>
      <c r="G1699" s="242"/>
      <c r="H1699" s="160"/>
      <c r="I1699" s="243">
        <f>J1693</f>
        <v>28.83</v>
      </c>
      <c r="J1699" s="128">
        <f t="shared" ref="J1699" si="110">ROUND(PRODUCT(E1699:I1699),2)</f>
        <v>184.51</v>
      </c>
    </row>
    <row r="1700" spans="1:11">
      <c r="A1700" s="528"/>
      <c r="B1700" s="529"/>
      <c r="C1700" s="529"/>
      <c r="D1700" s="529"/>
      <c r="E1700" s="529"/>
      <c r="F1700" s="529"/>
      <c r="G1700" s="529"/>
      <c r="H1700" s="529"/>
      <c r="I1700" s="529"/>
      <c r="J1700" s="529"/>
    </row>
    <row r="1701" spans="1:11" ht="25.5">
      <c r="A1701" s="132" t="str">
        <f>'[3]Planilha Orçamentária'!A450</f>
        <v>1.8.5.11</v>
      </c>
      <c r="B1701" s="108" t="str">
        <f>VLOOKUP(A1701,'[3]Planilha Orçamentária'!A:K,2,0)</f>
        <v>CP-97084-89637704</v>
      </c>
      <c r="C1701" s="104" t="str">
        <f>VLOOKUP(A1701,'[3]Planilha Orçamentária'!A:K,3,0)</f>
        <v>REGULARIZACAO E COMPACTAÇÃO MANUAL DE TERRENO COM PLACA VIBRATÓRIA</v>
      </c>
      <c r="D1701" s="105" t="str">
        <f>VLOOKUP(A1701,'[3]Planilha Orçamentária'!A:K,4,0)</f>
        <v>M2</v>
      </c>
      <c r="E1701" s="104"/>
      <c r="F1701" s="111"/>
      <c r="G1701" s="111"/>
      <c r="H1701" s="111"/>
      <c r="I1701" s="111"/>
      <c r="J1701" s="122">
        <f>ROUND(SUM(J1703:J1703),2)</f>
        <v>366.76</v>
      </c>
    </row>
    <row r="1702" spans="1:11">
      <c r="A1702" s="132"/>
      <c r="B1702" s="108"/>
      <c r="C1702" s="159" t="s">
        <v>2255</v>
      </c>
      <c r="D1702" s="105"/>
      <c r="E1702" s="104"/>
      <c r="F1702" s="106"/>
      <c r="G1702" s="111"/>
      <c r="H1702" s="111"/>
      <c r="I1702" s="161" t="s">
        <v>2003</v>
      </c>
      <c r="J1702" s="122"/>
    </row>
    <row r="1703" spans="1:11">
      <c r="A1703" s="225"/>
      <c r="B1703" s="236"/>
      <c r="C1703" s="244" t="s">
        <v>2033</v>
      </c>
      <c r="D1703" s="174"/>
      <c r="E1703" s="174"/>
      <c r="F1703" s="223"/>
      <c r="G1703" s="143"/>
      <c r="H1703" s="143"/>
      <c r="I1703" s="127">
        <f>[3]PARÂMETROS!F592</f>
        <v>366.76</v>
      </c>
      <c r="J1703" s="128">
        <f t="shared" ref="J1703" si="111">ROUND(PRODUCT(E1703:I1703),2)</f>
        <v>366.76</v>
      </c>
    </row>
    <row r="1704" spans="1:11">
      <c r="A1704" s="528"/>
      <c r="B1704" s="529"/>
      <c r="C1704" s="529"/>
      <c r="D1704" s="529"/>
      <c r="E1704" s="529"/>
      <c r="F1704" s="529"/>
      <c r="G1704" s="529"/>
      <c r="H1704" s="529"/>
      <c r="I1704" s="529"/>
      <c r="J1704" s="529"/>
    </row>
    <row r="1705" spans="1:11" ht="51">
      <c r="A1705" s="132" t="str">
        <f>'[3]Planilha Orçamentária'!A451</f>
        <v>1.8.5.12</v>
      </c>
      <c r="B1705" s="108" t="str">
        <f>VLOOKUP(A1705,'[3]Planilha Orçamentária'!A:K,2,0)</f>
        <v>CP-94991-12549457</v>
      </c>
      <c r="C1705" s="104" t="str">
        <f>VLOOKUP(A1705,'[3]Planilha Orçamentária'!A:K,3,0)</f>
        <v>EXECUÇÃO DE PASSEIO (CALÇADA) OU PISO DE CONCRETO COM CONCRETO MOLDADO IN LOCO, USINADO, ACABAMENTO CONVENCIONAL, NÃO ARMADO - EXCLUINDO O CONCRETO USINADO 20MPA</v>
      </c>
      <c r="D1705" s="105" t="str">
        <f>VLOOKUP(A1705,'[3]Planilha Orçamentária'!A:K,4,0)</f>
        <v>M3</v>
      </c>
      <c r="E1705" s="104"/>
      <c r="F1705" s="111"/>
      <c r="G1705" s="111"/>
      <c r="H1705" s="111"/>
      <c r="I1705" s="111"/>
      <c r="J1705" s="122">
        <f>ROUND(SUM(J1707:J1708),2)</f>
        <v>25</v>
      </c>
    </row>
    <row r="1706" spans="1:11">
      <c r="A1706" s="132"/>
      <c r="B1706" s="108"/>
      <c r="C1706" s="159" t="s">
        <v>2255</v>
      </c>
      <c r="D1706" s="105"/>
      <c r="E1706" s="104"/>
      <c r="F1706" s="106"/>
      <c r="G1706" s="111"/>
      <c r="H1706" s="106" t="s">
        <v>2002</v>
      </c>
      <c r="I1706" s="161" t="s">
        <v>2003</v>
      </c>
      <c r="J1706" s="122"/>
    </row>
    <row r="1707" spans="1:11">
      <c r="A1707" s="225"/>
      <c r="B1707" s="236"/>
      <c r="C1707" s="244" t="s">
        <v>2033</v>
      </c>
      <c r="D1707" s="174"/>
      <c r="E1707" s="174"/>
      <c r="F1707" s="223"/>
      <c r="G1707" s="143"/>
      <c r="H1707" s="143">
        <v>7.0000000000000007E-2</v>
      </c>
      <c r="I1707" s="127">
        <f>J1701</f>
        <v>366.76</v>
      </c>
      <c r="J1707" s="128">
        <f t="shared" ref="J1707:J1708" si="112">ROUND(PRODUCT(E1707:I1707),2)</f>
        <v>25.67</v>
      </c>
    </row>
    <row r="1708" spans="1:11">
      <c r="A1708" s="132"/>
      <c r="B1708" s="108"/>
      <c r="C1708" s="155" t="s">
        <v>2034</v>
      </c>
      <c r="D1708" s="174"/>
      <c r="E1708" s="174">
        <v>-1</v>
      </c>
      <c r="F1708" s="223"/>
      <c r="G1708" s="143"/>
      <c r="H1708" s="143">
        <v>7.0000000000000007E-2</v>
      </c>
      <c r="I1708" s="127">
        <f>J1781</f>
        <v>9.6</v>
      </c>
      <c r="J1708" s="128">
        <f t="shared" si="112"/>
        <v>-0.67</v>
      </c>
      <c r="K1708" s="414"/>
    </row>
    <row r="1709" spans="1:11">
      <c r="A1709" s="528"/>
      <c r="B1709" s="529"/>
      <c r="C1709" s="529"/>
      <c r="D1709" s="529"/>
      <c r="E1709" s="529"/>
      <c r="F1709" s="529"/>
      <c r="G1709" s="529"/>
      <c r="H1709" s="529"/>
      <c r="I1709" s="529"/>
      <c r="J1709" s="529"/>
    </row>
    <row r="1710" spans="1:11" ht="63.75">
      <c r="A1710" s="132" t="str">
        <f>'[3]Planilha Orçamentária'!A452</f>
        <v>1.8.5.13</v>
      </c>
      <c r="B1710" s="108">
        <f>VLOOKUP(A1710,'[3]Planilha Orçamentária'!A:K,2,0)</f>
        <v>94273</v>
      </c>
      <c r="C1710" s="104" t="str">
        <f>VLOOKUP(A1710,'[3]Planilha Orçamentária'!A:K,3,0)</f>
        <v>ASSENTAMENTO DE GUIA (MEIO-FIO) EM TRECHO RETO, CONFECCIONADA EM CONCRETO PRÉ-FABRICADO, DIMENSÕES 100X15X13X30 CM (COMPRIMENTO X BASE INFERIOR X BASE SUPERIOR X ALTURA), PARA VIAS URBANAS (USO VIÁRIO). AF_06/2016</v>
      </c>
      <c r="D1710" s="105" t="str">
        <f>VLOOKUP(A1710,'[3]Planilha Orçamentária'!A:K,4,0)</f>
        <v>M</v>
      </c>
      <c r="E1710" s="104"/>
      <c r="F1710" s="111"/>
      <c r="G1710" s="111"/>
      <c r="H1710" s="111"/>
      <c r="I1710" s="111"/>
      <c r="J1710" s="122">
        <f>ROUND(SUM(J1712:J1713),2)</f>
        <v>240</v>
      </c>
    </row>
    <row r="1711" spans="1:11">
      <c r="A1711" s="132"/>
      <c r="B1711" s="108"/>
      <c r="C1711" s="159" t="s">
        <v>2255</v>
      </c>
      <c r="D1711" s="105"/>
      <c r="E1711" s="104"/>
      <c r="F1711" s="106" t="s">
        <v>1989</v>
      </c>
      <c r="G1711" s="111"/>
      <c r="H1711" s="111"/>
      <c r="I1711" s="111"/>
      <c r="J1711" s="122"/>
    </row>
    <row r="1712" spans="1:11">
      <c r="A1712" s="225"/>
      <c r="B1712" s="236"/>
      <c r="C1712" s="245" t="s">
        <v>2259</v>
      </c>
      <c r="D1712" s="228"/>
      <c r="E1712" s="227"/>
      <c r="F1712" s="246">
        <f>[3]PARÂMETROS!B586</f>
        <v>233.93</v>
      </c>
      <c r="G1712" s="229"/>
      <c r="H1712" s="229"/>
      <c r="I1712" s="229"/>
      <c r="J1712" s="128">
        <f t="shared" ref="J1712:J1713" si="113">ROUND(PRODUCT(E1712:I1712),2)</f>
        <v>233.93</v>
      </c>
    </row>
    <row r="1713" spans="1:10">
      <c r="A1713" s="132"/>
      <c r="B1713" s="108"/>
      <c r="C1713" s="247" t="s">
        <v>2036</v>
      </c>
      <c r="D1713" s="105"/>
      <c r="E1713" s="104"/>
      <c r="F1713" s="223">
        <f>[3]PARÂMETROS!B587</f>
        <v>6.07</v>
      </c>
      <c r="G1713" s="111"/>
      <c r="H1713" s="111"/>
      <c r="I1713" s="111"/>
      <c r="J1713" s="128">
        <f t="shared" si="113"/>
        <v>6.07</v>
      </c>
    </row>
    <row r="1714" spans="1:10">
      <c r="A1714" s="528"/>
      <c r="B1714" s="529"/>
      <c r="C1714" s="529"/>
      <c r="D1714" s="529"/>
      <c r="E1714" s="529"/>
      <c r="F1714" s="529"/>
      <c r="G1714" s="529"/>
      <c r="H1714" s="529"/>
      <c r="I1714" s="529"/>
      <c r="J1714" s="529"/>
    </row>
    <row r="1715" spans="1:10">
      <c r="A1715" s="94" t="str">
        <f>'[3]Planilha Orçamentária'!A453</f>
        <v>1.8.6</v>
      </c>
      <c r="B1715" s="95"/>
      <c r="C1715" s="96" t="str">
        <f>VLOOKUP(A1715,'[3]Planilha Orçamentária'!A:K,3,0)</f>
        <v>DRENAGEM</v>
      </c>
      <c r="D1715" s="96"/>
      <c r="E1715" s="129"/>
      <c r="F1715" s="130"/>
      <c r="G1715" s="130"/>
      <c r="H1715" s="130"/>
      <c r="I1715" s="130"/>
      <c r="J1715" s="131"/>
    </row>
    <row r="1716" spans="1:10" ht="38.25">
      <c r="A1716" s="251" t="str">
        <f>'[3]Planilha Orçamentária'!A454</f>
        <v>1.8.6.1</v>
      </c>
      <c r="B1716" s="252">
        <f>VLOOKUP(A1716,'[3]Planilha Orçamentária'!A:K,2,0)</f>
        <v>94971</v>
      </c>
      <c r="C1716" s="253" t="str">
        <f>VLOOKUP(A1716,'[3]Planilha Orçamentária'!A:K,3,0)</f>
        <v>CONCRETO FCK = 25MPA, TRAÇO 1:2,3:2,7 (EM MASSA SECA DE CIMENTO/ AREIA MÉDIA/ BRITA 1) - PREPARO MECÂNICO COM BETONEIRA 600 L. AF_05/2021</v>
      </c>
      <c r="D1716" s="254" t="str">
        <f>VLOOKUP(A1716,'[3]Planilha Orçamentária'!A:K,4,0)</f>
        <v>M3</v>
      </c>
      <c r="E1716" s="255"/>
      <c r="F1716" s="256"/>
      <c r="G1716" s="256"/>
      <c r="H1716" s="256"/>
      <c r="I1716" s="256"/>
      <c r="J1716" s="257">
        <f>ROUND(SUM(J1717:J1719),2)</f>
        <v>14.95</v>
      </c>
    </row>
    <row r="1717" spans="1:10" ht="28.5">
      <c r="A1717" s="258"/>
      <c r="B1717" s="258"/>
      <c r="C1717" s="221" t="s">
        <v>2060</v>
      </c>
      <c r="D1717" s="258"/>
      <c r="E1717" s="258"/>
      <c r="F1717" s="161"/>
      <c r="G1717" s="161"/>
      <c r="H1717" s="161"/>
      <c r="I1717" s="279"/>
      <c r="J1717" s="258"/>
    </row>
    <row r="1718" spans="1:10" ht="14.25">
      <c r="A1718" s="258"/>
      <c r="B1718" s="258"/>
      <c r="C1718" s="280" t="s">
        <v>2061</v>
      </c>
      <c r="D1718" s="123"/>
      <c r="E1718" s="123"/>
      <c r="F1718" s="281">
        <v>117.33</v>
      </c>
      <c r="G1718" s="282">
        <v>1</v>
      </c>
      <c r="H1718" s="123">
        <v>0.15</v>
      </c>
      <c r="I1718" s="281"/>
      <c r="J1718" s="158">
        <f>ROUND(PRODUCT(E1718:I1718),2)</f>
        <v>17.600000000000001</v>
      </c>
    </row>
    <row r="1719" spans="1:10" ht="28.5">
      <c r="A1719" s="265"/>
      <c r="B1719" s="266"/>
      <c r="C1719" s="280" t="s">
        <v>2062</v>
      </c>
      <c r="D1719" s="123"/>
      <c r="E1719" s="123">
        <v>-1</v>
      </c>
      <c r="F1719" s="283">
        <v>1.8800000000000001E-2</v>
      </c>
      <c r="G1719" s="136">
        <f>F1718</f>
        <v>117.33</v>
      </c>
      <c r="H1719" s="136">
        <v>0.15</v>
      </c>
      <c r="I1719" s="136">
        <v>8</v>
      </c>
      <c r="J1719" s="158">
        <f>ROUND(PRODUCT(E1719:I1719),2)</f>
        <v>-2.65</v>
      </c>
    </row>
    <row r="1720" spans="1:10">
      <c r="A1720" s="535"/>
      <c r="B1720" s="536"/>
      <c r="C1720" s="536"/>
      <c r="D1720" s="536"/>
      <c r="E1720" s="536"/>
      <c r="F1720" s="536"/>
      <c r="G1720" s="536"/>
      <c r="H1720" s="536"/>
      <c r="I1720" s="536"/>
      <c r="J1720" s="537"/>
    </row>
    <row r="1721" spans="1:10" ht="38.25">
      <c r="A1721" s="251" t="str">
        <f>'[3]Planilha Orçamentária'!A455</f>
        <v>1.8.6.2</v>
      </c>
      <c r="B1721" s="252">
        <f>VLOOKUP(A1721,'[3]Planilha Orçamentária'!A:K,2,0)</f>
        <v>94974</v>
      </c>
      <c r="C1721" s="253" t="str">
        <f>VLOOKUP(A1721,'[3]Planilha Orçamentária'!A:K,3,0)</f>
        <v>CONCRETO MAGRO PARA LASTRO, TRAÇO 1:4,5:4,5 (EM MASSA SECA DE CIMENTO/ AREIA MÉDIA/ BRITA 1) - PREPARO MANUAL. AF_05/2021</v>
      </c>
      <c r="D1721" s="254" t="str">
        <f>VLOOKUP(A1721,'[3]Planilha Orçamentária'!A:K,4,0)</f>
        <v>M3</v>
      </c>
      <c r="E1721" s="255"/>
      <c r="F1721" s="256"/>
      <c r="G1721" s="256"/>
      <c r="H1721" s="256"/>
      <c r="I1721" s="279"/>
      <c r="J1721" s="257">
        <f>ROUND(SUM(J1722:J1723),2)</f>
        <v>11.73</v>
      </c>
    </row>
    <row r="1722" spans="1:10">
      <c r="A1722" s="258"/>
      <c r="B1722" s="258"/>
      <c r="C1722" s="259" t="s">
        <v>2260</v>
      </c>
      <c r="D1722" s="258"/>
      <c r="E1722" s="258"/>
      <c r="F1722" s="263" t="s">
        <v>1989</v>
      </c>
      <c r="G1722" s="263" t="s">
        <v>1990</v>
      </c>
      <c r="H1722" s="263" t="s">
        <v>2002</v>
      </c>
      <c r="I1722" s="279"/>
      <c r="J1722" s="258"/>
    </row>
    <row r="1723" spans="1:10" ht="14.25">
      <c r="A1723" s="258"/>
      <c r="B1723" s="258"/>
      <c r="C1723" s="284" t="s">
        <v>2063</v>
      </c>
      <c r="D1723" s="123"/>
      <c r="E1723" s="123"/>
      <c r="F1723" s="285">
        <f>F1718</f>
        <v>117.33</v>
      </c>
      <c r="G1723" s="282">
        <v>1</v>
      </c>
      <c r="H1723" s="123">
        <v>0.1</v>
      </c>
      <c r="I1723" s="278"/>
      <c r="J1723" s="158">
        <f>ROUND(PRODUCT(E1723:I1723),2)</f>
        <v>11.73</v>
      </c>
    </row>
    <row r="1724" spans="1:10">
      <c r="A1724" s="535"/>
      <c r="B1724" s="536"/>
      <c r="C1724" s="536"/>
      <c r="D1724" s="536"/>
      <c r="E1724" s="536"/>
      <c r="F1724" s="536"/>
      <c r="G1724" s="536"/>
      <c r="H1724" s="536"/>
      <c r="I1724" s="536"/>
      <c r="J1724" s="537"/>
    </row>
    <row r="1725" spans="1:10" ht="38.25">
      <c r="A1725" s="251" t="str">
        <f>'[3]Planilha Orçamentária'!A456</f>
        <v>1.8.6.3</v>
      </c>
      <c r="B1725" s="252">
        <f>VLOOKUP(A1725,'[3]Planilha Orçamentária'!A:K,2,0)</f>
        <v>92771</v>
      </c>
      <c r="C1725" s="253" t="str">
        <f>VLOOKUP(A1725,'[3]Planilha Orçamentária'!A:K,3,0)</f>
        <v>ARMAÇÃO DE LAJE DE ESTRUTURA CONVENCIONAL DE CONCRETO ARMADO UTILIZANDO AÇO CA-50 DE 10,0 MM - MONTAGEM. AF_06/2022</v>
      </c>
      <c r="D1725" s="254" t="str">
        <f>VLOOKUP(A1725,'[3]Planilha Orçamentária'!A:K,4,0)</f>
        <v>KG</v>
      </c>
      <c r="E1725" s="255"/>
      <c r="F1725" s="256"/>
      <c r="G1725" s="256"/>
      <c r="H1725" s="256"/>
      <c r="I1725" s="256"/>
      <c r="J1725" s="257">
        <f>ROUND(SUM(J1726:J1727),2)</f>
        <v>972.67</v>
      </c>
    </row>
    <row r="1726" spans="1:10">
      <c r="A1726" s="258"/>
      <c r="B1726" s="258"/>
      <c r="C1726" s="259" t="s">
        <v>2260</v>
      </c>
      <c r="D1726" s="258"/>
      <c r="E1726" s="279"/>
      <c r="F1726" s="263" t="s">
        <v>2064</v>
      </c>
      <c r="G1726" s="263"/>
      <c r="H1726" s="263"/>
      <c r="I1726" s="279" t="s">
        <v>2065</v>
      </c>
      <c r="J1726" s="258"/>
    </row>
    <row r="1727" spans="1:10" ht="28.5">
      <c r="A1727" s="258"/>
      <c r="B1727" s="258"/>
      <c r="C1727" s="221" t="s">
        <v>2066</v>
      </c>
      <c r="D1727" s="105"/>
      <c r="E1727" s="104"/>
      <c r="F1727" s="278">
        <f>F1718</f>
        <v>117.33</v>
      </c>
      <c r="G1727" s="278"/>
      <c r="H1727" s="278"/>
      <c r="I1727" s="278">
        <v>8.2899999999999991</v>
      </c>
      <c r="J1727" s="158">
        <f>ROUND(PRODUCT(E1727:I1727),2)</f>
        <v>972.67</v>
      </c>
    </row>
    <row r="1728" spans="1:10">
      <c r="A1728" s="535"/>
      <c r="B1728" s="536"/>
      <c r="C1728" s="536"/>
      <c r="D1728" s="536"/>
      <c r="E1728" s="536"/>
      <c r="F1728" s="536"/>
      <c r="G1728" s="536"/>
      <c r="H1728" s="536"/>
      <c r="I1728" s="536"/>
      <c r="J1728" s="537"/>
    </row>
    <row r="1729" spans="1:10" ht="51">
      <c r="A1729" s="251" t="str">
        <f>'[3]Planilha Orçamentária'!A457</f>
        <v>1.8.6.4</v>
      </c>
      <c r="B1729" s="252" t="str">
        <f>VLOOKUP(A1729,'[3]Planilha Orçamentária'!A:K,2,0)</f>
        <v>CP-92268-29291149</v>
      </c>
      <c r="C1729" s="253" t="str">
        <f>VLOOKUP(A1729,'[3]Planilha Orçamentária'!A:K,3,0)</f>
        <v>FABRICAÇÃO DE FÔRMA PARA LAJES, EM CHAPA DE MADEIRA COMPENSADA PLASTIFICADA, E = 18 MM - EXCLUINDO O PAINEL DE MADEIRA COMPENSADA PLASTIFICADA DE 2200 x 1100 MM, E = *17* MM</v>
      </c>
      <c r="D1729" s="254" t="str">
        <f>VLOOKUP(A1729,'[3]Planilha Orçamentária'!A:K,4,0)</f>
        <v>M2</v>
      </c>
      <c r="E1729" s="255"/>
      <c r="F1729" s="256"/>
      <c r="G1729" s="256"/>
      <c r="H1729" s="256"/>
      <c r="I1729" s="256"/>
      <c r="J1729" s="257">
        <f>ROUND(SUM(J1730:J1731),2)</f>
        <v>70.400000000000006</v>
      </c>
    </row>
    <row r="1730" spans="1:10">
      <c r="A1730" s="258"/>
      <c r="B1730" s="258"/>
      <c r="C1730" s="259" t="s">
        <v>2260</v>
      </c>
      <c r="D1730" s="174"/>
      <c r="E1730" s="279"/>
      <c r="F1730" s="174" t="s">
        <v>2067</v>
      </c>
      <c r="G1730" s="174" t="s">
        <v>2002</v>
      </c>
      <c r="H1730" s="174" t="s">
        <v>1989</v>
      </c>
      <c r="I1730" s="174"/>
      <c r="J1730" s="258"/>
    </row>
    <row r="1731" spans="1:10" ht="28.5">
      <c r="A1731" s="258"/>
      <c r="B1731" s="258"/>
      <c r="C1731" s="280" t="s">
        <v>2068</v>
      </c>
      <c r="D1731" s="156"/>
      <c r="E1731" s="157"/>
      <c r="F1731" s="136">
        <f>1*4</f>
        <v>4</v>
      </c>
      <c r="G1731" s="136">
        <v>0.15</v>
      </c>
      <c r="H1731" s="136">
        <f>F1727</f>
        <v>117.33</v>
      </c>
      <c r="I1731" s="286"/>
      <c r="J1731" s="158">
        <f>ROUND(PRODUCT(E1731:I1731),2)</f>
        <v>70.400000000000006</v>
      </c>
    </row>
    <row r="1732" spans="1:10">
      <c r="A1732" s="535"/>
      <c r="B1732" s="536"/>
      <c r="C1732" s="536"/>
      <c r="D1732" s="536"/>
      <c r="E1732" s="536"/>
      <c r="F1732" s="536"/>
      <c r="G1732" s="536"/>
      <c r="H1732" s="536"/>
      <c r="I1732" s="536"/>
      <c r="J1732" s="537"/>
    </row>
    <row r="1733" spans="1:10" ht="51">
      <c r="A1733" s="251" t="str">
        <f>'[3]Planilha Orçamentária'!A458</f>
        <v>1.8.6.5</v>
      </c>
      <c r="B1733" s="252">
        <f>VLOOKUP(A1733,'[3]Planilha Orçamentária'!A:K,2,0)</f>
        <v>103320</v>
      </c>
      <c r="C1733" s="253" t="str">
        <f>VLOOKUP(A1733,'[3]Planilha Orçamentária'!A:K,3,0)</f>
        <v>ALVENARIA DE VEDAÇÃO DE BLOCOS VAZADOS DE CONCRETO DE 19X19X39 CM (ESPESSURA 19 CM) E ARGAMASSA DE ASSENTAMENTO COM PREPARO EM BETONEIRA. AF_12/2021</v>
      </c>
      <c r="D1733" s="254" t="str">
        <f>VLOOKUP(A1733,'[3]Planilha Orçamentária'!A:K,4,0)</f>
        <v>M2</v>
      </c>
      <c r="E1733" s="255"/>
      <c r="F1733" s="256"/>
      <c r="G1733" s="256"/>
      <c r="H1733" s="256"/>
      <c r="I1733" s="256"/>
      <c r="J1733" s="257">
        <f>ROUND(SUM(J1734:J1735),2)</f>
        <v>93.86</v>
      </c>
    </row>
    <row r="1734" spans="1:10">
      <c r="A1734" s="258"/>
      <c r="B1734" s="258"/>
      <c r="C1734" s="259" t="s">
        <v>2260</v>
      </c>
      <c r="D1734" s="174"/>
      <c r="E1734" s="279"/>
      <c r="F1734" s="174" t="s">
        <v>1989</v>
      </c>
      <c r="G1734" s="174"/>
      <c r="H1734" s="174" t="s">
        <v>2069</v>
      </c>
      <c r="I1734" s="174" t="s">
        <v>2070</v>
      </c>
      <c r="J1734" s="258"/>
    </row>
    <row r="1735" spans="1:10" ht="14.25">
      <c r="A1735" s="258"/>
      <c r="B1735" s="258"/>
      <c r="C1735" s="280" t="s">
        <v>2071</v>
      </c>
      <c r="D1735" s="156"/>
      <c r="E1735" s="157"/>
      <c r="F1735" s="136">
        <f>H1731</f>
        <v>117.33</v>
      </c>
      <c r="G1735" s="136"/>
      <c r="H1735" s="136">
        <v>0.4</v>
      </c>
      <c r="I1735" s="136">
        <v>2</v>
      </c>
      <c r="J1735" s="158">
        <f>ROUND(PRODUCT(E1735:I1735),2)</f>
        <v>93.86</v>
      </c>
    </row>
    <row r="1736" spans="1:10">
      <c r="A1736" s="535"/>
      <c r="B1736" s="536"/>
      <c r="C1736" s="536"/>
      <c r="D1736" s="536"/>
      <c r="E1736" s="536"/>
      <c r="F1736" s="536"/>
      <c r="G1736" s="536"/>
      <c r="H1736" s="536"/>
      <c r="I1736" s="536"/>
      <c r="J1736" s="537"/>
    </row>
    <row r="1737" spans="1:10" ht="51">
      <c r="A1737" s="251" t="str">
        <f>'[3]Planilha Orçamentária'!A459</f>
        <v>1.8.6.6</v>
      </c>
      <c r="B1737" s="252">
        <f>VLOOKUP(A1737,'[3]Planilha Orçamentária'!A:K,2,0)</f>
        <v>87879</v>
      </c>
      <c r="C1737" s="253" t="str">
        <f>VLOOKUP(A1737,'[3]Planilha Orçamentária'!A:K,3,0)</f>
        <v>CHAPISCO APLICADO EM ALVENARIAS E ESTRUTURAS DE CONCRETO INTERNAS, COM COLHER DE PEDREIRO.  ARGAMASSA TRAÇO 1:3 COM PREPARO EM BETONEIRA 400L. AF_06/2014</v>
      </c>
      <c r="D1737" s="254" t="str">
        <f>VLOOKUP(A1737,'[3]Planilha Orçamentária'!A:K,4,0)</f>
        <v>M2</v>
      </c>
      <c r="E1737" s="255"/>
      <c r="F1737" s="256"/>
      <c r="G1737" s="256"/>
      <c r="H1737" s="256"/>
      <c r="I1737" s="256"/>
      <c r="J1737" s="257">
        <f>ROUND(SUM(J1738:J1739),2)</f>
        <v>93.86</v>
      </c>
    </row>
    <row r="1738" spans="1:10">
      <c r="A1738" s="258"/>
      <c r="B1738" s="258"/>
      <c r="C1738" s="259" t="s">
        <v>2260</v>
      </c>
      <c r="D1738" s="258"/>
      <c r="E1738" s="258"/>
      <c r="F1738" s="258"/>
      <c r="G1738" s="258"/>
      <c r="H1738" s="136"/>
      <c r="I1738" s="287"/>
      <c r="J1738" s="258"/>
    </row>
    <row r="1739" spans="1:10" ht="14.25">
      <c r="A1739" s="258"/>
      <c r="B1739" s="258"/>
      <c r="C1739" s="280" t="s">
        <v>2072</v>
      </c>
      <c r="D1739" s="156"/>
      <c r="E1739" s="157"/>
      <c r="F1739" s="136"/>
      <c r="G1739" s="136"/>
      <c r="H1739" s="136"/>
      <c r="I1739" s="288">
        <f>J1733</f>
        <v>93.86</v>
      </c>
      <c r="J1739" s="158">
        <f>ROUND(PRODUCT(E1739:I1739),2)</f>
        <v>93.86</v>
      </c>
    </row>
    <row r="1740" spans="1:10">
      <c r="A1740" s="535"/>
      <c r="B1740" s="536"/>
      <c r="C1740" s="536"/>
      <c r="D1740" s="536"/>
      <c r="E1740" s="536"/>
      <c r="F1740" s="536"/>
      <c r="G1740" s="536"/>
      <c r="H1740" s="536"/>
      <c r="I1740" s="536"/>
      <c r="J1740" s="537"/>
    </row>
    <row r="1741" spans="1:10" ht="63.75">
      <c r="A1741" s="251" t="str">
        <f>'[3]Planilha Orçamentária'!A460</f>
        <v>1.8.6.7</v>
      </c>
      <c r="B1741" s="252">
        <f>VLOOKUP(A1741,'[3]Planilha Orçamentária'!A:K,2,0)</f>
        <v>87547</v>
      </c>
      <c r="C1741" s="253" t="str">
        <f>VLOOKUP(A1741,'[3]Planilha Orçamentária'!A:K,3,0)</f>
        <v>MASSA ÚNICA, PARA RECEBIMENTO DE PINTURA, EM ARGAMASSA TRAÇO 1:2:8, PREPARO MECÂNICO COM BETONEIRA 400L, APLICADA MANUALMENTE EM FACES INTERNAS DE PAREDES, ESPESSURA DE 10MM, COM EXECUÇÃO DE TALISCAS. AF_06/2014</v>
      </c>
      <c r="D1741" s="254" t="str">
        <f>VLOOKUP(A1741,'[3]Planilha Orçamentária'!A:K,4,0)</f>
        <v>M2</v>
      </c>
      <c r="E1741" s="255"/>
      <c r="F1741" s="256"/>
      <c r="G1741" s="256"/>
      <c r="H1741" s="256"/>
      <c r="I1741" s="256"/>
      <c r="J1741" s="257">
        <f>ROUND(SUM(J1742:J1743),2)</f>
        <v>93.86</v>
      </c>
    </row>
    <row r="1742" spans="1:10">
      <c r="A1742" s="258"/>
      <c r="B1742" s="258"/>
      <c r="C1742" s="259" t="s">
        <v>2260</v>
      </c>
      <c r="D1742" s="258"/>
      <c r="E1742" s="258"/>
      <c r="F1742" s="258"/>
      <c r="G1742" s="258"/>
      <c r="H1742" s="136"/>
      <c r="I1742" s="287"/>
      <c r="J1742" s="258"/>
    </row>
    <row r="1743" spans="1:10" ht="14.25">
      <c r="A1743" s="258"/>
      <c r="B1743" s="258"/>
      <c r="C1743" s="280" t="s">
        <v>2072</v>
      </c>
      <c r="D1743" s="156"/>
      <c r="E1743" s="157"/>
      <c r="F1743" s="136"/>
      <c r="G1743" s="136"/>
      <c r="H1743" s="136"/>
      <c r="I1743" s="288">
        <f>J1737</f>
        <v>93.86</v>
      </c>
      <c r="J1743" s="158">
        <f>ROUND(PRODUCT(E1743:I1743),2)</f>
        <v>93.86</v>
      </c>
    </row>
    <row r="1744" spans="1:10">
      <c r="A1744" s="535"/>
      <c r="B1744" s="536"/>
      <c r="C1744" s="536"/>
      <c r="D1744" s="536"/>
      <c r="E1744" s="536"/>
      <c r="F1744" s="536"/>
      <c r="G1744" s="536"/>
      <c r="H1744" s="536"/>
      <c r="I1744" s="536"/>
      <c r="J1744" s="537"/>
    </row>
    <row r="1745" spans="1:10" ht="38.25">
      <c r="A1745" s="251" t="str">
        <f>'[3]Planilha Orçamentária'!A461</f>
        <v>1.8.6.8</v>
      </c>
      <c r="B1745" s="252">
        <f>VLOOKUP(A1745,'[3]Planilha Orçamentária'!A:K,2,0)</f>
        <v>94975</v>
      </c>
      <c r="C1745" s="253" t="str">
        <f>VLOOKUP(A1745,'[3]Planilha Orçamentária'!A:K,3,0)</f>
        <v>CONCRETO FCK = 15MPA, TRAÇO 1:3,4:3,5 (EM MASSA SECA DE CIMENTO/ AREIA MÉDIA/ BRITA 1) - PREPARO MANUAL. AF_05/2021</v>
      </c>
      <c r="D1745" s="254" t="str">
        <f>VLOOKUP(A1745,'[3]Planilha Orçamentária'!A:K,4,0)</f>
        <v>M3</v>
      </c>
      <c r="E1745" s="255"/>
      <c r="F1745" s="256"/>
      <c r="G1745" s="256"/>
      <c r="H1745" s="256"/>
      <c r="I1745" s="256"/>
      <c r="J1745" s="257">
        <f>ROUND(SUM(J1746:J1748),2)</f>
        <v>9.98</v>
      </c>
    </row>
    <row r="1746" spans="1:10">
      <c r="A1746" s="258"/>
      <c r="B1746" s="258"/>
      <c r="C1746" s="259" t="s">
        <v>2260</v>
      </c>
      <c r="D1746" s="258"/>
      <c r="E1746" s="258"/>
      <c r="F1746" s="258" t="s">
        <v>1989</v>
      </c>
      <c r="G1746" s="258"/>
      <c r="H1746" s="136"/>
      <c r="I1746" s="287"/>
      <c r="J1746" s="258"/>
    </row>
    <row r="1747" spans="1:10" ht="28.5">
      <c r="A1747" s="258"/>
      <c r="B1747" s="258"/>
      <c r="C1747" s="221" t="s">
        <v>2048</v>
      </c>
      <c r="D1747" s="289"/>
      <c r="E1747" s="290" t="s">
        <v>2073</v>
      </c>
      <c r="F1747" s="290" t="s">
        <v>2074</v>
      </c>
      <c r="G1747" s="282"/>
      <c r="H1747" s="290" t="s">
        <v>2075</v>
      </c>
      <c r="I1747" s="287"/>
      <c r="J1747" s="258"/>
    </row>
    <row r="1748" spans="1:10" ht="28.5">
      <c r="A1748" s="258"/>
      <c r="B1748" s="258"/>
      <c r="C1748" s="280" t="s">
        <v>2076</v>
      </c>
      <c r="D1748" s="289"/>
      <c r="E1748" s="291">
        <f>0.294*0.14*0.19</f>
        <v>7.8203999999999999E-3</v>
      </c>
      <c r="F1748" s="282">
        <v>13.6</v>
      </c>
      <c r="G1748" s="292"/>
      <c r="H1748" s="136">
        <f>J1733</f>
        <v>93.86</v>
      </c>
      <c r="I1748" s="287"/>
      <c r="J1748" s="158">
        <f>ROUND(PRODUCT(E1748:I1748),2)</f>
        <v>9.98</v>
      </c>
    </row>
    <row r="1749" spans="1:10">
      <c r="A1749" s="535"/>
      <c r="B1749" s="536"/>
      <c r="C1749" s="536"/>
      <c r="D1749" s="536"/>
      <c r="E1749" s="536"/>
      <c r="F1749" s="536"/>
      <c r="G1749" s="536"/>
      <c r="H1749" s="536"/>
      <c r="I1749" s="536"/>
      <c r="J1749" s="537"/>
    </row>
    <row r="1750" spans="1:10" ht="25.5">
      <c r="A1750" s="251" t="str">
        <f>'[3]Planilha Orçamentária'!A462</f>
        <v>1.8.6.9</v>
      </c>
      <c r="B1750" s="252" t="str">
        <f>VLOOKUP(A1750,'[3]Planilha Orçamentária'!A:K,2,0)</f>
        <v>CP-74157/004-48264518</v>
      </c>
      <c r="C1750" s="253" t="str">
        <f>VLOOKUP(A1750,'[3]Planilha Orçamentária'!A:K,3,0)</f>
        <v>LANCAMENTO/APLICACAO MANUAL DE CONCRETO EM FUNDACOES (concreto magro)</v>
      </c>
      <c r="D1750" s="254" t="str">
        <f>VLOOKUP(A1750,'[3]Planilha Orçamentária'!A:K,4,0)</f>
        <v>M3</v>
      </c>
      <c r="E1750" s="255"/>
      <c r="F1750" s="256"/>
      <c r="G1750" s="256"/>
      <c r="H1750" s="256"/>
      <c r="I1750" s="256"/>
      <c r="J1750" s="257">
        <f>ROUND(SUM(J1751:J1752),2)</f>
        <v>36.659999999999997</v>
      </c>
    </row>
    <row r="1751" spans="1:10">
      <c r="A1751" s="258"/>
      <c r="B1751" s="258"/>
      <c r="C1751" s="259" t="s">
        <v>2260</v>
      </c>
      <c r="D1751" s="258"/>
      <c r="E1751" s="258"/>
      <c r="F1751" s="258"/>
      <c r="G1751" s="258"/>
      <c r="H1751" s="136"/>
      <c r="I1751" s="287"/>
      <c r="J1751" s="258"/>
    </row>
    <row r="1752" spans="1:10" ht="14.25">
      <c r="A1752" s="258"/>
      <c r="B1752" s="258"/>
      <c r="C1752" s="280" t="s">
        <v>2261</v>
      </c>
      <c r="D1752" s="156"/>
      <c r="E1752" s="157"/>
      <c r="F1752" s="136"/>
      <c r="G1752" s="136"/>
      <c r="H1752" s="136"/>
      <c r="I1752" s="136">
        <f>J1745+J1721+J1716</f>
        <v>36.659999999999997</v>
      </c>
      <c r="J1752" s="158">
        <f>ROUND(PRODUCT(E1752:I1752),2)</f>
        <v>36.659999999999997</v>
      </c>
    </row>
    <row r="1753" spans="1:10">
      <c r="A1753" s="94" t="str">
        <f>'[3]Planilha Orçamentária'!A463</f>
        <v>1.8.7</v>
      </c>
      <c r="B1753" s="95"/>
      <c r="C1753" s="96" t="str">
        <f>VLOOKUP(A1753,'[3]Planilha Orçamentária'!A:K,3,0)</f>
        <v>SINALIZAÇÃO</v>
      </c>
      <c r="D1753" s="97"/>
      <c r="E1753" s="98"/>
      <c r="F1753" s="99"/>
      <c r="G1753" s="99"/>
      <c r="H1753" s="99"/>
      <c r="I1753" s="100"/>
      <c r="J1753" s="131"/>
    </row>
    <row r="1754" spans="1:10" ht="25.5">
      <c r="A1754" s="251" t="str">
        <f>'[3]Planilha Orçamentária'!A464</f>
        <v>1.8.7.1</v>
      </c>
      <c r="B1754" s="252">
        <f>VLOOKUP(A1754,'[3]Planilha Orçamentária'!A:K,2,0)</f>
        <v>5213416</v>
      </c>
      <c r="C1754" s="253" t="str">
        <f>VLOOKUP(A1754,'[3]Planilha Orçamentária'!A:K,3,0)</f>
        <v>Confecção de placa em aço nº 16 galvanizado, com película tipo I + I</v>
      </c>
      <c r="D1754" s="254" t="str">
        <f>VLOOKUP(A1754,'[3]Planilha Orçamentária'!A:K,4,0)</f>
        <v xml:space="preserve">M2    </v>
      </c>
      <c r="E1754" s="255"/>
      <c r="F1754" s="256"/>
      <c r="G1754" s="256"/>
      <c r="H1754" s="256"/>
      <c r="I1754" s="256"/>
      <c r="J1754" s="257">
        <f>ROUND(SUM(J1755:J1756),2)</f>
        <v>0.6</v>
      </c>
    </row>
    <row r="1755" spans="1:10" ht="25.5">
      <c r="A1755" s="293"/>
      <c r="B1755" s="294"/>
      <c r="C1755" s="244" t="s">
        <v>2262</v>
      </c>
      <c r="D1755" s="295"/>
      <c r="E1755" s="296"/>
      <c r="F1755" s="297"/>
      <c r="G1755" s="297"/>
      <c r="H1755" s="157" t="s">
        <v>2003</v>
      </c>
      <c r="I1755" s="408" t="s">
        <v>1991</v>
      </c>
      <c r="J1755" s="158"/>
    </row>
    <row r="1756" spans="1:10">
      <c r="A1756" s="293"/>
      <c r="B1756" s="294"/>
      <c r="C1756" s="343" t="s">
        <v>2229</v>
      </c>
      <c r="D1756" s="105"/>
      <c r="E1756" s="157"/>
      <c r="F1756" s="111"/>
      <c r="G1756" s="111"/>
      <c r="H1756" s="157">
        <f>ROUNDUP(((4.828427*0.35*0.35)),2)</f>
        <v>0.6</v>
      </c>
      <c r="I1756" s="157">
        <v>1</v>
      </c>
      <c r="J1756" s="158">
        <f t="shared" ref="J1756" si="114">ROUND(PRODUCT(E1756:I1756),2)</f>
        <v>0.6</v>
      </c>
    </row>
    <row r="1757" spans="1:10">
      <c r="A1757" s="538"/>
      <c r="B1757" s="539"/>
      <c r="C1757" s="539"/>
      <c r="D1757" s="539"/>
      <c r="E1757" s="539"/>
      <c r="F1757" s="539"/>
      <c r="G1757" s="539"/>
      <c r="H1757" s="539"/>
      <c r="I1757" s="539"/>
      <c r="J1757" s="539"/>
    </row>
    <row r="1758" spans="1:10" ht="25.5">
      <c r="A1758" s="132" t="str">
        <f>'[3]Planilha Orçamentária'!A465</f>
        <v>1.8.7.2</v>
      </c>
      <c r="B1758" s="103">
        <f>VLOOKUP(A1758,'[3]Planilha Orçamentária'!A:K,2,0)</f>
        <v>5213421</v>
      </c>
      <c r="C1758" s="276" t="str">
        <f>VLOOKUP(A1758,'[3]Planilha Orçamentária'!A:K,3,0)</f>
        <v>Confecção de placa em aço nº 16 galvanizado, com película tipo I + IV</v>
      </c>
      <c r="D1758" s="105" t="str">
        <f>VLOOKUP(A1758,'[3]Planilha Orçamentária'!A:K,4,0)</f>
        <v xml:space="preserve">M2    </v>
      </c>
      <c r="E1758" s="104"/>
      <c r="F1758" s="111"/>
      <c r="G1758" s="111"/>
      <c r="H1758" s="111"/>
      <c r="I1758" s="111"/>
      <c r="J1758" s="107">
        <f>ROUND(SUM(J1759:J1762),2)</f>
        <v>0.9</v>
      </c>
    </row>
    <row r="1759" spans="1:10" ht="25.5">
      <c r="A1759" s="138"/>
      <c r="B1759" s="138"/>
      <c r="C1759" s="244" t="s">
        <v>2262</v>
      </c>
      <c r="D1759" s="307"/>
      <c r="E1759" s="313"/>
      <c r="F1759" s="116"/>
      <c r="G1759" s="116"/>
      <c r="H1759" s="157" t="s">
        <v>2003</v>
      </c>
      <c r="I1759" s="408" t="s">
        <v>1991</v>
      </c>
      <c r="J1759" s="118"/>
    </row>
    <row r="1760" spans="1:10">
      <c r="A1760" s="314"/>
      <c r="B1760" s="314"/>
      <c r="C1760" s="244" t="s">
        <v>2079</v>
      </c>
      <c r="D1760" s="307"/>
      <c r="E1760" s="116"/>
      <c r="F1760" s="116"/>
      <c r="G1760" s="116"/>
      <c r="H1760" s="116">
        <v>0.2</v>
      </c>
      <c r="I1760" s="157">
        <v>2</v>
      </c>
      <c r="J1760" s="158">
        <f t="shared" ref="J1760:J1762" si="115">ROUND(PRODUCT(E1760:I1760),2)</f>
        <v>0.4</v>
      </c>
    </row>
    <row r="1761" spans="1:10">
      <c r="A1761" s="138"/>
      <c r="B1761" s="138"/>
      <c r="C1761" s="155" t="s">
        <v>2263</v>
      </c>
      <c r="D1761" s="307"/>
      <c r="E1761" s="116"/>
      <c r="F1761" s="116"/>
      <c r="G1761" s="116"/>
      <c r="H1761" s="116">
        <f>0.5*0.5</f>
        <v>0.25</v>
      </c>
      <c r="I1761" s="308">
        <v>1</v>
      </c>
      <c r="J1761" s="158">
        <f t="shared" si="115"/>
        <v>0.25</v>
      </c>
    </row>
    <row r="1762" spans="1:10">
      <c r="A1762" s="138"/>
      <c r="B1762" s="138"/>
      <c r="C1762" s="155" t="s">
        <v>2081</v>
      </c>
      <c r="D1762" s="307"/>
      <c r="E1762" s="116"/>
      <c r="F1762" s="116"/>
      <c r="G1762" s="116"/>
      <c r="H1762" s="116">
        <f>0.5*0.5</f>
        <v>0.25</v>
      </c>
      <c r="I1762" s="308">
        <v>1</v>
      </c>
      <c r="J1762" s="158">
        <f t="shared" si="115"/>
        <v>0.25</v>
      </c>
    </row>
    <row r="1763" spans="1:10">
      <c r="A1763" s="524"/>
      <c r="B1763" s="524"/>
      <c r="C1763" s="524"/>
      <c r="D1763" s="524"/>
      <c r="E1763" s="524"/>
      <c r="F1763" s="524"/>
      <c r="G1763" s="524"/>
      <c r="H1763" s="524"/>
      <c r="I1763" s="524"/>
      <c r="J1763" s="525"/>
    </row>
    <row r="1764" spans="1:10" ht="38.25">
      <c r="A1764" s="132" t="str">
        <f>'[3]Planilha Orçamentária'!A466</f>
        <v>1.8.7.3</v>
      </c>
      <c r="B1764" s="103">
        <f>VLOOKUP(A1764,'[3]Planilha Orçamentária'!A:K,2,0)</f>
        <v>5216111</v>
      </c>
      <c r="C1764" s="276" t="str">
        <f>VLOOKUP(A1764,'[3]Planilha Orçamentária'!A:K,3,0)</f>
        <v>FORNECIMENTO E IMPLANTAÇÃO DE SUPORTE E TRAVESSA PARA PLACA DE SINALIZAÇÃO EM MADEIRA DE LEI TRATADA 8 X 8 CM</v>
      </c>
      <c r="D1764" s="105" t="str">
        <f>VLOOKUP(A1764,'[3]Planilha Orçamentária'!A:K,4,0)</f>
        <v>UND</v>
      </c>
      <c r="E1764" s="104"/>
      <c r="F1764" s="111"/>
      <c r="G1764" s="111"/>
      <c r="H1764" s="111"/>
      <c r="I1764" s="111"/>
      <c r="J1764" s="107">
        <f>ROUND(SUM(J1766:J1766),2)</f>
        <v>3</v>
      </c>
    </row>
    <row r="1765" spans="1:10">
      <c r="A1765" s="251"/>
      <c r="B1765" s="252"/>
      <c r="C1765" s="244" t="s">
        <v>2262</v>
      </c>
      <c r="D1765" s="105"/>
      <c r="E1765" s="104"/>
      <c r="F1765" s="111"/>
      <c r="G1765" s="111"/>
      <c r="H1765" s="111"/>
      <c r="I1765" s="106" t="s">
        <v>1446</v>
      </c>
      <c r="J1765" s="257"/>
    </row>
    <row r="1766" spans="1:10">
      <c r="A1766" s="314"/>
      <c r="B1766" s="314"/>
      <c r="C1766" s="244" t="s">
        <v>2046</v>
      </c>
      <c r="D1766" s="307"/>
      <c r="E1766" s="313"/>
      <c r="F1766" s="116"/>
      <c r="G1766" s="116"/>
      <c r="H1766" s="157"/>
      <c r="I1766" s="157">
        <v>3</v>
      </c>
      <c r="J1766" s="306">
        <f>ROUND(PRODUCT(E1766:I1766),2)</f>
        <v>3</v>
      </c>
    </row>
    <row r="1767" spans="1:10">
      <c r="A1767" s="523"/>
      <c r="B1767" s="524"/>
      <c r="C1767" s="524"/>
      <c r="D1767" s="524"/>
      <c r="E1767" s="524"/>
      <c r="F1767" s="524"/>
      <c r="G1767" s="524"/>
      <c r="H1767" s="524"/>
      <c r="I1767" s="524"/>
      <c r="J1767" s="525"/>
    </row>
    <row r="1768" spans="1:10" ht="25.5">
      <c r="A1768" s="251" t="str">
        <f>'[3]Planilha Orçamentária'!A467</f>
        <v>1.8.7.4</v>
      </c>
      <c r="B1768" s="252" t="str">
        <f>VLOOKUP(A1768,'[3]Planilha Orçamentária'!A:K,2,0)</f>
        <v>COMP-58084869</v>
      </c>
      <c r="C1768" s="253" t="str">
        <f>VLOOKUP(A1768,'[3]Planilha Orçamentária'!A:K,3,0)</f>
        <v>PLACA ESMALTADA PARA IDENTIFICAÇÃO NR DE RUA, DIMENSÕES 45X25CM</v>
      </c>
      <c r="D1768" s="254" t="str">
        <f>VLOOKUP(A1768,'[3]Planilha Orçamentária'!A:K,4,0)</f>
        <v>UND</v>
      </c>
      <c r="E1768" s="255"/>
      <c r="F1768" s="256"/>
      <c r="G1768" s="256"/>
      <c r="H1768" s="256"/>
      <c r="I1768" s="256"/>
      <c r="J1768" s="257">
        <f>ROUND(SUM(J1769:J1770),2)</f>
        <v>2</v>
      </c>
    </row>
    <row r="1769" spans="1:10">
      <c r="A1769" s="132"/>
      <c r="B1769" s="108"/>
      <c r="C1769" s="244" t="s">
        <v>2262</v>
      </c>
      <c r="D1769" s="105"/>
      <c r="E1769" s="104"/>
      <c r="F1769" s="111"/>
      <c r="G1769" s="111"/>
      <c r="H1769" s="111"/>
      <c r="I1769" s="106" t="s">
        <v>1446</v>
      </c>
      <c r="J1769" s="122"/>
    </row>
    <row r="1770" spans="1:10">
      <c r="A1770" s="132"/>
      <c r="B1770" s="108"/>
      <c r="C1770" s="244" t="s">
        <v>2046</v>
      </c>
      <c r="D1770" s="105"/>
      <c r="E1770" s="104"/>
      <c r="F1770" s="111"/>
      <c r="G1770" s="111"/>
      <c r="H1770" s="111"/>
      <c r="I1770" s="157">
        <v>2</v>
      </c>
      <c r="J1770" s="306">
        <f>ROUND(PRODUCT(E1770:I1770),2)</f>
        <v>2</v>
      </c>
    </row>
    <row r="1771" spans="1:10">
      <c r="A1771" s="559"/>
      <c r="B1771" s="560"/>
      <c r="C1771" s="560"/>
      <c r="D1771" s="560"/>
      <c r="E1771" s="560"/>
      <c r="F1771" s="560"/>
      <c r="G1771" s="560"/>
      <c r="H1771" s="560"/>
      <c r="I1771" s="560"/>
      <c r="J1771" s="560"/>
    </row>
    <row r="1772" spans="1:10" ht="51">
      <c r="A1772" s="145" t="str">
        <f>'[3]Planilha Orçamentária'!A468</f>
        <v>1.8.7.5</v>
      </c>
      <c r="B1772" s="146">
        <f>VLOOKUP(A1772,'[3]Planilha Orçamentária'!A:K,2,0)</f>
        <v>102512</v>
      </c>
      <c r="C1772" s="411" t="str">
        <f>VLOOKUP(A1772,'[3]Planilha Orçamentária'!A:K,3,0)</f>
        <v>PINTURA DE EIXO VIÁRIO SOBRE ASFALTO COM TINTA RETRORREFLETIVA A BASE DE RESINA ACRÍLICA COM MICROESFERAS DE VIDRO, APLICAÇÃO MECÂNICA COM DEMARCADORA AUTOPROPELIDA. AF_05/2021</v>
      </c>
      <c r="D1772" s="148" t="str">
        <f>VLOOKUP(A1772,'[3]Planilha Orçamentária'!A:K,4,0)</f>
        <v>M</v>
      </c>
      <c r="E1772" s="147"/>
      <c r="F1772" s="160"/>
      <c r="G1772" s="160"/>
      <c r="H1772" s="160"/>
      <c r="I1772" s="160"/>
      <c r="J1772" s="150">
        <f>ROUND(SUM(J1774:J1774),2)</f>
        <v>284.02</v>
      </c>
    </row>
    <row r="1773" spans="1:10">
      <c r="A1773" s="151"/>
      <c r="B1773" s="152"/>
      <c r="C1773" s="244" t="s">
        <v>2262</v>
      </c>
      <c r="D1773" s="148"/>
      <c r="E1773" s="147"/>
      <c r="F1773" s="161" t="s">
        <v>1989</v>
      </c>
      <c r="G1773" s="160"/>
      <c r="H1773" s="160"/>
      <c r="I1773" s="106"/>
      <c r="J1773" s="150"/>
    </row>
    <row r="1774" spans="1:10">
      <c r="A1774" s="314"/>
      <c r="B1774" s="314"/>
      <c r="C1774" s="244" t="s">
        <v>2046</v>
      </c>
      <c r="D1774" s="262"/>
      <c r="E1774" s="358"/>
      <c r="F1774" s="157">
        <v>284.02</v>
      </c>
      <c r="G1774" s="157"/>
      <c r="H1774" s="157"/>
      <c r="I1774" s="157"/>
      <c r="J1774" s="128">
        <f>ROUND(PRODUCT(E1774:I1774),2)</f>
        <v>284.02</v>
      </c>
    </row>
    <row r="1775" spans="1:10">
      <c r="A1775" s="524"/>
      <c r="B1775" s="524"/>
      <c r="C1775" s="524"/>
      <c r="D1775" s="524"/>
      <c r="E1775" s="524"/>
      <c r="F1775" s="524"/>
      <c r="G1775" s="524"/>
      <c r="H1775" s="524"/>
      <c r="I1775" s="524"/>
      <c r="J1775" s="525"/>
    </row>
    <row r="1776" spans="1:10" ht="51">
      <c r="A1776" s="145" t="str">
        <f>'[3]Planilha Orçamentária'!A469</f>
        <v>1.8.7.6</v>
      </c>
      <c r="B1776" s="146">
        <f>VLOOKUP(A1776,'[3]Planilha Orçamentária'!A:K,2,0)</f>
        <v>102509</v>
      </c>
      <c r="C1776" s="411" t="str">
        <f>VLOOKUP(A1776,'[3]Planilha Orçamentária'!A:K,3,0)</f>
        <v>PINTURA DE FAIXA DE PEDESTRE OU ZEBRADA TINTA RETRORREFLETIVA A BASE DE RESINA ACRÍLICA COM MICROESFERAS DE VIDRO, E = 30 CM, APLICAÇÃO MANUAL. AF_05/2021</v>
      </c>
      <c r="D1776" s="148" t="str">
        <f>VLOOKUP(A1776,'[3]Planilha Orçamentária'!A:K,4,0)</f>
        <v>M2</v>
      </c>
      <c r="E1776" s="147"/>
      <c r="F1776" s="160"/>
      <c r="G1776" s="160"/>
      <c r="H1776" s="160"/>
      <c r="I1776" s="160"/>
      <c r="J1776" s="150">
        <f>ROUND(SUM(J1778:J1778),2)</f>
        <v>12.4</v>
      </c>
    </row>
    <row r="1777" spans="1:10">
      <c r="A1777" s="151"/>
      <c r="B1777" s="152"/>
      <c r="C1777" s="244" t="s">
        <v>2262</v>
      </c>
      <c r="D1777" s="148"/>
      <c r="E1777" s="147"/>
      <c r="F1777" s="161"/>
      <c r="G1777" s="160"/>
      <c r="H1777" s="160"/>
      <c r="I1777" s="106" t="s">
        <v>2003</v>
      </c>
      <c r="J1777" s="150"/>
    </row>
    <row r="1778" spans="1:10">
      <c r="A1778" s="314"/>
      <c r="B1778" s="314"/>
      <c r="C1778" s="244" t="s">
        <v>2046</v>
      </c>
      <c r="D1778" s="262"/>
      <c r="E1778" s="358"/>
      <c r="F1778" s="157"/>
      <c r="G1778" s="157"/>
      <c r="H1778" s="157"/>
      <c r="I1778" s="157">
        <v>12.4</v>
      </c>
      <c r="J1778" s="128">
        <f>ROUND(PRODUCT(E1778:I1778),2)</f>
        <v>12.4</v>
      </c>
    </row>
    <row r="1779" spans="1:10">
      <c r="A1779" s="524"/>
      <c r="B1779" s="524"/>
      <c r="C1779" s="524"/>
      <c r="D1779" s="524"/>
      <c r="E1779" s="524"/>
      <c r="F1779" s="524"/>
      <c r="G1779" s="524"/>
      <c r="H1779" s="524"/>
      <c r="I1779" s="524"/>
      <c r="J1779" s="525"/>
    </row>
    <row r="1780" spans="1:10">
      <c r="A1780" s="94" t="str">
        <f>'[3]Planilha Orçamentária'!A470</f>
        <v>1.8.8</v>
      </c>
      <c r="B1780" s="95"/>
      <c r="C1780" s="96" t="str">
        <f>VLOOKUP(A1780,'[3]Planilha Orçamentária'!A:K,3,0)</f>
        <v>ACESSIBILIDADE</v>
      </c>
      <c r="D1780" s="96"/>
      <c r="E1780" s="129"/>
      <c r="F1780" s="130"/>
      <c r="G1780" s="130"/>
      <c r="H1780" s="130"/>
      <c r="I1780" s="130"/>
      <c r="J1780" s="131"/>
    </row>
    <row r="1781" spans="1:10" ht="51">
      <c r="A1781" s="132" t="str">
        <f>'[3]Planilha Orçamentária'!A471</f>
        <v>1.8.8.1</v>
      </c>
      <c r="B1781" s="108" t="str">
        <f>VLOOKUP(A1781,'[3]Planilha Orçamentária'!A:K,2,0)</f>
        <v>CP-S12039-81921471</v>
      </c>
      <c r="C1781" s="276" t="str">
        <f>VLOOKUP(A1781,'[3]Planilha Orçamentária'!A:K,3,0)</f>
        <v>Piso tátil direcional e/ou alerta, de concreto, na cor natural, p/deficientes visuais, dimensões 40x40cm, aplicado com argamassa industrializada ac-ii, rejuntado, exclusive regularização de base</v>
      </c>
      <c r="D1781" s="105" t="str">
        <f>VLOOKUP(A1781,'[3]Planilha Orçamentária'!A:K,4,0)</f>
        <v>M2</v>
      </c>
      <c r="E1781" s="104"/>
      <c r="F1781" s="111"/>
      <c r="G1781" s="111"/>
      <c r="H1781" s="111"/>
      <c r="I1781" s="111"/>
      <c r="J1781" s="122">
        <f>ROUND(SUM(J1782:J1784),2)</f>
        <v>9.6</v>
      </c>
    </row>
    <row r="1782" spans="1:10">
      <c r="A1782" s="138"/>
      <c r="B1782" s="138"/>
      <c r="C1782" s="244" t="s">
        <v>2262</v>
      </c>
      <c r="D1782" s="137"/>
      <c r="E1782" s="138"/>
      <c r="F1782" s="325"/>
      <c r="G1782" s="325"/>
      <c r="H1782" s="325"/>
      <c r="I1782" s="357" t="s">
        <v>2003</v>
      </c>
      <c r="J1782" s="325"/>
    </row>
    <row r="1783" spans="1:10">
      <c r="A1783" s="138"/>
      <c r="B1783" s="138"/>
      <c r="C1783" s="244" t="s">
        <v>2161</v>
      </c>
      <c r="D1783" s="137"/>
      <c r="E1783" s="138"/>
      <c r="F1783" s="325"/>
      <c r="G1783" s="325"/>
      <c r="H1783" s="325"/>
      <c r="I1783" s="325">
        <v>1.44</v>
      </c>
      <c r="J1783" s="128">
        <f>ROUND(PRODUCT(E1783:I1783),2)</f>
        <v>1.44</v>
      </c>
    </row>
    <row r="1784" spans="1:10">
      <c r="A1784" s="138"/>
      <c r="B1784" s="138"/>
      <c r="C1784" s="138"/>
      <c r="D1784" s="138"/>
      <c r="E1784" s="138"/>
      <c r="F1784" s="138"/>
      <c r="G1784" s="138"/>
      <c r="H1784" s="138"/>
      <c r="I1784" s="138">
        <v>8.16</v>
      </c>
      <c r="J1784" s="128">
        <f>ROUND(PRODUCT(E1784:I1784),2)</f>
        <v>8.16</v>
      </c>
    </row>
    <row r="1785" spans="1:10">
      <c r="A1785" s="558"/>
      <c r="B1785" s="558"/>
      <c r="C1785" s="558"/>
      <c r="D1785" s="558"/>
      <c r="E1785" s="558"/>
      <c r="F1785" s="558"/>
      <c r="G1785" s="558"/>
      <c r="H1785" s="558"/>
      <c r="I1785" s="558"/>
      <c r="J1785" s="558"/>
    </row>
    <row r="1786" spans="1:10">
      <c r="A1786" s="94" t="str">
        <f>'[3]Planilha Orçamentária'!A472</f>
        <v>1.8.9</v>
      </c>
      <c r="B1786" s="95"/>
      <c r="C1786" s="96" t="str">
        <f>VLOOKUP(A1786,'[3]Planilha Orçamentária'!A:K,3,0)</f>
        <v>MATERIAIS</v>
      </c>
      <c r="D1786" s="96"/>
      <c r="E1786" s="129"/>
      <c r="F1786" s="130"/>
      <c r="G1786" s="130"/>
      <c r="H1786" s="130"/>
      <c r="I1786" s="130"/>
      <c r="J1786" s="131"/>
    </row>
    <row r="1787" spans="1:10" ht="51">
      <c r="A1787" s="145" t="str">
        <f>'[3]Planilha Orçamentária'!A473</f>
        <v>1.8.9.1</v>
      </c>
      <c r="B1787" s="146">
        <f>VLOOKUP(A1787,'[3]Planilha Orçamentária'!A:K,2,0)</f>
        <v>10775</v>
      </c>
      <c r="C1787" s="147" t="str">
        <f>VLOOKUP(A1787,'[3]Planilha Orçamentária'!A:K,3,0)</f>
        <v xml:space="preserve">LOCACAO DE CONTAINER 2,30 X 6,00 M, ALT. 2,50 M, COM 1 SANITARIO, PARA ESCRITORIO, COMPLETO, SEM DIVISORIAS INTERNAS (NAO INCLUI MOBILIZACAO/DESMOBILIZACAO)                                                                                                                                                                                                                                                                                                                                              </v>
      </c>
      <c r="D1787" s="148" t="str">
        <f>VLOOKUP(A1787,'[3]Planilha Orçamentária'!A:K,4,0)</f>
        <v xml:space="preserve">MES   </v>
      </c>
      <c r="E1787" s="147"/>
      <c r="F1787" s="160"/>
      <c r="G1787" s="160"/>
      <c r="H1787" s="160"/>
      <c r="I1787" s="160"/>
      <c r="J1787" s="218">
        <f>ROUND(SUM(J1789:J1789),2)</f>
        <v>2</v>
      </c>
    </row>
    <row r="1788" spans="1:10" ht="25.5">
      <c r="A1788" s="151"/>
      <c r="B1788" s="152"/>
      <c r="C1788" s="168"/>
      <c r="D1788" s="166"/>
      <c r="E1788" s="168"/>
      <c r="F1788" s="320"/>
      <c r="G1788" s="149"/>
      <c r="H1788" s="149"/>
      <c r="I1788" s="106" t="s">
        <v>1992</v>
      </c>
      <c r="J1788" s="321"/>
    </row>
    <row r="1789" spans="1:10">
      <c r="A1789" s="123"/>
      <c r="B1789" s="123"/>
      <c r="C1789" s="155"/>
      <c r="D1789" s="185"/>
      <c r="E1789" s="116"/>
      <c r="F1789" s="126"/>
      <c r="G1789" s="116"/>
      <c r="H1789" s="116"/>
      <c r="I1789" s="116">
        <f>I1607</f>
        <v>2</v>
      </c>
      <c r="J1789" s="128">
        <f>ROUND(PRODUCT(E1789:I1789),2)</f>
        <v>2</v>
      </c>
    </row>
    <row r="1790" spans="1:10">
      <c r="A1790" s="531"/>
      <c r="B1790" s="531"/>
      <c r="C1790" s="531"/>
      <c r="D1790" s="531"/>
      <c r="E1790" s="531"/>
      <c r="F1790" s="531"/>
      <c r="G1790" s="531"/>
      <c r="H1790" s="531"/>
      <c r="I1790" s="531"/>
      <c r="J1790" s="531"/>
    </row>
    <row r="1791" spans="1:10" ht="38.25">
      <c r="A1791" s="145" t="str">
        <f>'[3]Planilha Orçamentária'!A474</f>
        <v>1.8.9.2</v>
      </c>
      <c r="B1791" s="146">
        <f>VLOOKUP(A1791,'[3]Planilha Orçamentária'!A:K,2,0)</f>
        <v>10776</v>
      </c>
      <c r="C1791" s="147" t="str">
        <f>VLOOKUP(A1791,'[3]Planilha Orçamentária'!A:K,3,0)</f>
        <v xml:space="preserve">LOCACAO DE CONTAINER 2,30 X 6,00 M, ALT. 2,50 M, PARA ESCRITORIO, SEM DIVISORIAS INTERNAS E SEM SANITARIO (NAO INCLUI MOBILIZACAO/DESMOBILIZACAO)                                                                                                                                                                                                                                                                                                                                                         </v>
      </c>
      <c r="D1791" s="148" t="str">
        <f>VLOOKUP(A1791,'[3]Planilha Orçamentária'!A:K,4,0)</f>
        <v xml:space="preserve">MES   </v>
      </c>
      <c r="E1791" s="147"/>
      <c r="F1791" s="160"/>
      <c r="G1791" s="160"/>
      <c r="H1791" s="160"/>
      <c r="I1791" s="160"/>
      <c r="J1791" s="218">
        <f>ROUND(SUM(J1793:J1793),2)</f>
        <v>2</v>
      </c>
    </row>
    <row r="1792" spans="1:10" ht="25.5">
      <c r="A1792" s="151"/>
      <c r="B1792" s="152"/>
      <c r="C1792" s="168"/>
      <c r="D1792" s="166"/>
      <c r="E1792" s="168"/>
      <c r="F1792" s="320"/>
      <c r="G1792" s="149"/>
      <c r="H1792" s="149"/>
      <c r="I1792" s="106" t="s">
        <v>1992</v>
      </c>
      <c r="J1792" s="321"/>
    </row>
    <row r="1793" spans="1:10">
      <c r="A1793" s="123"/>
      <c r="B1793" s="123"/>
      <c r="C1793" s="155"/>
      <c r="D1793" s="185"/>
      <c r="E1793" s="116"/>
      <c r="F1793" s="126"/>
      <c r="G1793" s="116"/>
      <c r="H1793" s="116"/>
      <c r="I1793" s="116">
        <f>I1789</f>
        <v>2</v>
      </c>
      <c r="J1793" s="128">
        <f>ROUND(PRODUCT(E1793:I1793),2)</f>
        <v>2</v>
      </c>
    </row>
    <row r="1794" spans="1:10">
      <c r="A1794" s="531"/>
      <c r="B1794" s="531"/>
      <c r="C1794" s="531"/>
      <c r="D1794" s="531"/>
      <c r="E1794" s="531"/>
      <c r="F1794" s="531"/>
      <c r="G1794" s="531"/>
      <c r="H1794" s="531"/>
      <c r="I1794" s="531"/>
      <c r="J1794" s="531"/>
    </row>
    <row r="1795" spans="1:10" ht="38.25">
      <c r="A1795" s="132" t="str">
        <f>'[3]Planilha Orçamentária'!A475</f>
        <v>1.8.9.3</v>
      </c>
      <c r="B1795" s="108">
        <f>VLOOKUP(A1795,'[3]Planilha Orçamentária'!A:K,2,0)</f>
        <v>1518</v>
      </c>
      <c r="C1795" s="104" t="str">
        <f>VLOOKUP(A1795,'[3]Planilha Orçamentária'!A:K,3,0)</f>
        <v xml:space="preserve">CONCRETO BETUMINOSO USINADO A QUENTE (CBUQ) PARA PAVIMENTACAO ASFALTICA, PADRAO DNIT, FAIXA C, COM CAP 50/70 - AQUISICAO POSTO USINA                                                                                                                                                                                                                                                                                                                                                                      </v>
      </c>
      <c r="D1795" s="105" t="str">
        <f>VLOOKUP(A1795,'[3]Planilha Orçamentária'!A:K,4,0)</f>
        <v xml:space="preserve">T     </v>
      </c>
      <c r="E1795" s="104"/>
      <c r="F1795" s="111"/>
      <c r="G1795" s="111"/>
      <c r="H1795" s="111"/>
      <c r="I1795" s="111"/>
      <c r="J1795" s="122">
        <f>ROUND(SUM(J1796:J1797),2)</f>
        <v>73.650000000000006</v>
      </c>
    </row>
    <row r="1796" spans="1:10">
      <c r="A1796" s="174"/>
      <c r="B1796" s="174"/>
      <c r="C1796" s="159" t="s">
        <v>2255</v>
      </c>
      <c r="D1796" s="174"/>
      <c r="E1796" s="174" t="s">
        <v>1193</v>
      </c>
      <c r="F1796" s="174"/>
      <c r="G1796" s="174"/>
      <c r="H1796" s="174"/>
      <c r="I1796" s="174" t="s">
        <v>2007</v>
      </c>
      <c r="J1796" s="174"/>
    </row>
    <row r="1797" spans="1:10">
      <c r="A1797" s="174"/>
      <c r="B1797" s="174"/>
      <c r="C1797" s="322" t="s">
        <v>2083</v>
      </c>
      <c r="D1797" s="174"/>
      <c r="E1797" s="174">
        <v>2.5548000000000002</v>
      </c>
      <c r="F1797" s="174"/>
      <c r="G1797" s="174"/>
      <c r="H1797" s="174"/>
      <c r="I1797" s="286">
        <f>J1687</f>
        <v>28.83</v>
      </c>
      <c r="J1797" s="158">
        <f t="shared" ref="J1797" si="116">ROUND(PRODUCT(E1797:I1797),2)</f>
        <v>73.650000000000006</v>
      </c>
    </row>
    <row r="1798" spans="1:10">
      <c r="A1798" s="219"/>
      <c r="B1798" s="323"/>
      <c r="C1798" s="323"/>
      <c r="D1798" s="323"/>
      <c r="E1798" s="323"/>
      <c r="F1798" s="323"/>
      <c r="G1798" s="323"/>
      <c r="H1798" s="323"/>
      <c r="I1798" s="323"/>
      <c r="J1798" s="198"/>
    </row>
    <row r="1799" spans="1:10">
      <c r="A1799" s="132" t="str">
        <f>'[3]Planilha Orçamentária'!A476</f>
        <v>1.8.9.4</v>
      </c>
      <c r="B1799" s="108" t="str">
        <f>VLOOKUP(A1799,'[3]Planilha Orçamentária'!A:K,2,0)</f>
        <v>INS-185032</v>
      </c>
      <c r="C1799" s="104" t="str">
        <f>VLOOKUP(A1799,'[3]Planilha Orçamentária'!A:K,3,0)</f>
        <v>BRITA GRADUADA SIMPLES (BGS)</v>
      </c>
      <c r="D1799" s="105" t="str">
        <f>VLOOKUP(A1799,'[3]Planilha Orçamentária'!A:K,4,0)</f>
        <v>M3</v>
      </c>
      <c r="E1799" s="104"/>
      <c r="F1799" s="111"/>
      <c r="G1799" s="111"/>
      <c r="H1799" s="111"/>
      <c r="I1799" s="111"/>
      <c r="J1799" s="122">
        <f>ROUND(SUM(J1801:J1801),2)</f>
        <v>114.52</v>
      </c>
    </row>
    <row r="1800" spans="1:10">
      <c r="A1800" s="132"/>
      <c r="B1800" s="108"/>
      <c r="C1800" s="159" t="s">
        <v>2255</v>
      </c>
      <c r="D1800" s="105"/>
      <c r="E1800" s="174" t="s">
        <v>1193</v>
      </c>
      <c r="F1800" s="111"/>
      <c r="G1800" s="111"/>
      <c r="H1800" s="111"/>
      <c r="I1800" s="241" t="s">
        <v>2007</v>
      </c>
      <c r="J1800" s="122"/>
    </row>
    <row r="1801" spans="1:10">
      <c r="A1801" s="132"/>
      <c r="B1801" s="108"/>
      <c r="C1801" s="324" t="s">
        <v>2084</v>
      </c>
      <c r="D1801" s="137"/>
      <c r="E1801" s="325">
        <v>1</v>
      </c>
      <c r="F1801" s="106"/>
      <c r="G1801" s="106"/>
      <c r="H1801" s="106"/>
      <c r="I1801" s="286">
        <f>J1669</f>
        <v>114.52</v>
      </c>
      <c r="J1801" s="158">
        <f t="shared" ref="J1801" si="117">ROUND(PRODUCT(E1801:I1801),2)</f>
        <v>114.52</v>
      </c>
    </row>
    <row r="1802" spans="1:10">
      <c r="A1802" s="219"/>
      <c r="B1802" s="323"/>
      <c r="C1802" s="323"/>
      <c r="D1802" s="323"/>
      <c r="E1802" s="323"/>
      <c r="F1802" s="323"/>
      <c r="G1802" s="323"/>
      <c r="H1802" s="323"/>
      <c r="I1802" s="323"/>
      <c r="J1802" s="197"/>
    </row>
    <row r="1803" spans="1:10">
      <c r="A1803" s="132" t="str">
        <f>'[3]Planilha Orçamentária'!A477</f>
        <v>1.8.9.5</v>
      </c>
      <c r="B1803" s="108" t="str">
        <f>VLOOKUP(A1803,'[3]Planilha Orçamentária'!A:K,2,0)</f>
        <v>M0808</v>
      </c>
      <c r="C1803" s="104" t="str">
        <f>VLOOKUP(A1803,'[3]Planilha Orçamentária'!A:K,3,0)</f>
        <v>Brita 4</v>
      </c>
      <c r="D1803" s="105" t="str">
        <f>VLOOKUP(A1803,'[3]Planilha Orçamentária'!A:K,4,0)</f>
        <v>M3</v>
      </c>
      <c r="E1803" s="104"/>
      <c r="F1803" s="111"/>
      <c r="G1803" s="111"/>
      <c r="H1803" s="111"/>
      <c r="I1803" s="111"/>
      <c r="J1803" s="122">
        <f>ROUND(SUM(J1805:J1805),2)</f>
        <v>108.22</v>
      </c>
    </row>
    <row r="1804" spans="1:10">
      <c r="A1804" s="132"/>
      <c r="B1804" s="108"/>
      <c r="C1804" s="326"/>
      <c r="D1804" s="137"/>
      <c r="E1804" s="137" t="s">
        <v>2085</v>
      </c>
      <c r="F1804" s="174"/>
      <c r="G1804" s="174"/>
      <c r="H1804" s="174"/>
      <c r="I1804" s="174" t="s">
        <v>2007</v>
      </c>
      <c r="J1804" s="122"/>
    </row>
    <row r="1805" spans="1:10" ht="15">
      <c r="A1805" s="132"/>
      <c r="B1805" s="108"/>
      <c r="C1805" s="200" t="s">
        <v>2086</v>
      </c>
      <c r="D1805" s="137"/>
      <c r="E1805" s="327">
        <v>1.26</v>
      </c>
      <c r="F1805" s="174"/>
      <c r="G1805" s="174"/>
      <c r="H1805" s="174"/>
      <c r="I1805" s="286">
        <f>J1665</f>
        <v>85.89</v>
      </c>
      <c r="J1805" s="158">
        <f t="shared" ref="J1805" si="118">ROUND(PRODUCT(E1805:I1805),2)</f>
        <v>108.22</v>
      </c>
    </row>
    <row r="1806" spans="1:10">
      <c r="A1806" s="219"/>
      <c r="B1806" s="323"/>
      <c r="C1806" s="323"/>
      <c r="D1806" s="323"/>
      <c r="E1806" s="323"/>
      <c r="F1806" s="323"/>
      <c r="G1806" s="323"/>
      <c r="H1806" s="323"/>
      <c r="I1806" s="323"/>
      <c r="J1806" s="197"/>
    </row>
    <row r="1807" spans="1:10">
      <c r="A1807" s="132" t="str">
        <f>'[3]Planilha Orçamentária'!A478</f>
        <v>1.8.9.6</v>
      </c>
      <c r="B1807" s="108" t="str">
        <f>VLOOKUP(A1807,'[3]Planilha Orçamentária'!A:K,2,0)</f>
        <v>M1135</v>
      </c>
      <c r="C1807" s="104" t="str">
        <f>VLOOKUP(A1807,'[3]Planilha Orçamentária'!A:K,3,0)</f>
        <v>Pó de pedra</v>
      </c>
      <c r="D1807" s="105" t="str">
        <f>VLOOKUP(A1807,'[3]Planilha Orçamentária'!A:K,4,0)</f>
        <v>M3</v>
      </c>
      <c r="E1807" s="104"/>
      <c r="F1807" s="111"/>
      <c r="G1807" s="111"/>
      <c r="H1807" s="111"/>
      <c r="I1807" s="111"/>
      <c r="J1807" s="122">
        <f>ROUND(SUM(J1809:J1809),2)</f>
        <v>12.02</v>
      </c>
    </row>
    <row r="1808" spans="1:10">
      <c r="A1808" s="132"/>
      <c r="B1808" s="108"/>
      <c r="C1808" s="326"/>
      <c r="D1808" s="137"/>
      <c r="E1808" s="137" t="s">
        <v>2085</v>
      </c>
      <c r="F1808" s="174"/>
      <c r="G1808" s="174"/>
      <c r="H1808" s="174"/>
      <c r="I1808" s="174" t="s">
        <v>2007</v>
      </c>
      <c r="J1808" s="122"/>
    </row>
    <row r="1809" spans="1:10">
      <c r="A1809" s="132"/>
      <c r="B1809" s="108"/>
      <c r="C1809" s="200" t="s">
        <v>2086</v>
      </c>
      <c r="D1809" s="137"/>
      <c r="E1809" s="137">
        <v>0.14000000000000001</v>
      </c>
      <c r="F1809" s="174"/>
      <c r="G1809" s="174"/>
      <c r="H1809" s="174"/>
      <c r="I1809" s="286">
        <f>I1805</f>
        <v>85.89</v>
      </c>
      <c r="J1809" s="158">
        <f t="shared" ref="J1809" si="119">ROUND(PRODUCT(E1809:I1809),2)</f>
        <v>12.02</v>
      </c>
    </row>
    <row r="1810" spans="1:10">
      <c r="A1810" s="219"/>
      <c r="B1810" s="323"/>
      <c r="C1810" s="323"/>
      <c r="D1810" s="323"/>
      <c r="E1810" s="323"/>
      <c r="F1810" s="323"/>
      <c r="G1810" s="323"/>
      <c r="H1810" s="323"/>
      <c r="I1810" s="323"/>
      <c r="J1810" s="197"/>
    </row>
    <row r="1811" spans="1:10">
      <c r="A1811" s="132" t="str">
        <f>'[3]Planilha Orçamentária'!A479</f>
        <v>1.8.9.7</v>
      </c>
      <c r="B1811" s="108" t="str">
        <f>VLOOKUP(A1811,'[3]Planilha Orçamentária'!A:K,2,0)</f>
        <v>INS-711371</v>
      </c>
      <c r="C1811" s="104" t="str">
        <f>VLOOKUP(A1811,'[3]Planilha Orçamentária'!A:K,3,0)</f>
        <v>ASFALTO DILUÍDO CM - 30</v>
      </c>
      <c r="D1811" s="105" t="str">
        <f>VLOOKUP(A1811,'[3]Planilha Orçamentária'!A:K,4,0)</f>
        <v>KG</v>
      </c>
      <c r="E1811" s="104"/>
      <c r="F1811" s="111"/>
      <c r="G1811" s="111"/>
      <c r="H1811" s="111"/>
      <c r="I1811" s="111"/>
      <c r="J1811" s="122">
        <f>ROUND(SUM(J1813:J1813),2)</f>
        <v>692.08</v>
      </c>
    </row>
    <row r="1812" spans="1:10">
      <c r="A1812" s="132"/>
      <c r="B1812" s="108"/>
      <c r="C1812" s="361"/>
      <c r="D1812" s="180"/>
      <c r="E1812" s="174" t="s">
        <v>2085</v>
      </c>
      <c r="F1812" s="161"/>
      <c r="G1812" s="161"/>
      <c r="H1812" s="161"/>
      <c r="I1812" s="210" t="s">
        <v>2003</v>
      </c>
      <c r="J1812" s="122"/>
    </row>
    <row r="1813" spans="1:10">
      <c r="A1813" s="132"/>
      <c r="B1813" s="108"/>
      <c r="C1813" s="324" t="s">
        <v>2087</v>
      </c>
      <c r="D1813" s="137"/>
      <c r="E1813" s="325">
        <v>1.2</v>
      </c>
      <c r="F1813" s="127"/>
      <c r="G1813" s="161"/>
      <c r="H1813" s="161"/>
      <c r="I1813" s="212">
        <f>J1681</f>
        <v>576.73</v>
      </c>
      <c r="J1813" s="158">
        <f t="shared" ref="J1813" si="120">ROUND(PRODUCT(E1813:I1813),2)</f>
        <v>692.08</v>
      </c>
    </row>
    <row r="1814" spans="1:10">
      <c r="A1814" s="219"/>
      <c r="B1814" s="323"/>
      <c r="C1814" s="323"/>
      <c r="D1814" s="323"/>
      <c r="E1814" s="323"/>
      <c r="F1814" s="323"/>
      <c r="G1814" s="323"/>
      <c r="H1814" s="323"/>
      <c r="I1814" s="323"/>
      <c r="J1814" s="197"/>
    </row>
    <row r="1815" spans="1:10" ht="38.25">
      <c r="A1815" s="132" t="str">
        <f>'[3]Planilha Orçamentária'!A480</f>
        <v>1.8.9.8</v>
      </c>
      <c r="B1815" s="108">
        <f>VLOOKUP(A1815,'[3]Planilha Orçamentária'!A:K,2,0)</f>
        <v>34492</v>
      </c>
      <c r="C1815" s="104" t="str">
        <f>VLOOKUP(A1815,'[3]Planilha Orçamentária'!A:K,3,0)</f>
        <v xml:space="preserve">CONCRETO USINADO BOMBEAVEL, CLASSE DE RESISTENCIA C20, COM BRITA 0 E 1, SLUMP = 100 +/- 20 MM, EXCLUI SERVICO DE BOMBEAMENTO (NBR 8953)                                                                                                                                                                                                                                                                                                                                                                   </v>
      </c>
      <c r="D1815" s="105" t="str">
        <f>VLOOKUP(A1815,'[3]Planilha Orçamentária'!A:K,4,0)</f>
        <v xml:space="preserve">M3    </v>
      </c>
      <c r="E1815" s="104"/>
      <c r="F1815" s="111"/>
      <c r="G1815" s="111"/>
      <c r="H1815" s="111"/>
      <c r="I1815" s="111"/>
      <c r="J1815" s="122">
        <f>ROUND(SUM(J1817:J1817),2)</f>
        <v>30.33</v>
      </c>
    </row>
    <row r="1816" spans="1:10">
      <c r="A1816" s="132"/>
      <c r="B1816" s="108"/>
      <c r="C1816" s="159"/>
      <c r="D1816" s="174"/>
      <c r="E1816" s="137" t="s">
        <v>2085</v>
      </c>
      <c r="F1816" s="174"/>
      <c r="G1816" s="174"/>
      <c r="H1816" s="174"/>
      <c r="I1816" s="174" t="s">
        <v>2007</v>
      </c>
      <c r="J1816" s="122"/>
    </row>
    <row r="1817" spans="1:10">
      <c r="A1817" s="132"/>
      <c r="B1817" s="108"/>
      <c r="C1817" s="324" t="s">
        <v>2088</v>
      </c>
      <c r="D1817" s="137"/>
      <c r="E1817" s="325">
        <v>1.2130000000000001</v>
      </c>
      <c r="F1817" s="174"/>
      <c r="G1817" s="174"/>
      <c r="H1817" s="174"/>
      <c r="I1817" s="286">
        <f>J1705</f>
        <v>25</v>
      </c>
      <c r="J1817" s="158">
        <f t="shared" ref="J1817" si="121">ROUND(PRODUCT(E1817:I1817),2)</f>
        <v>30.33</v>
      </c>
    </row>
    <row r="1818" spans="1:10">
      <c r="A1818" s="219"/>
      <c r="B1818" s="323"/>
      <c r="C1818" s="323"/>
      <c r="D1818" s="323"/>
      <c r="E1818" s="323"/>
      <c r="F1818" s="323"/>
      <c r="G1818" s="323"/>
      <c r="H1818" s="323"/>
      <c r="I1818" s="323"/>
      <c r="J1818" s="197"/>
    </row>
    <row r="1819" spans="1:10" ht="38.25">
      <c r="A1819" s="132" t="str">
        <f>'[3]Planilha Orçamentária'!A481</f>
        <v>1.8.9.9</v>
      </c>
      <c r="B1819" s="108">
        <f>VLOOKUP(A1819,'[3]Planilha Orçamentária'!A:K,2,0)</f>
        <v>1345</v>
      </c>
      <c r="C1819" s="104" t="str">
        <f>VLOOKUP(A1819,'[3]Planilha Orçamentária'!A:K,3,0)</f>
        <v xml:space="preserve">CHAPA/PAINEL DE MADEIRA COMPENSADA PLASTIFICADA (MADEIRITE PLASTIFICADO) PARA FORMA DE CONCRETO, DE 2200 x 1100 MM, E = *17* MM                                                                                                                                                                                                                                                                                                                                                                           </v>
      </c>
      <c r="D1819" s="105" t="str">
        <f>VLOOKUP(A1819,'[3]Planilha Orçamentária'!A:K,4,0)</f>
        <v xml:space="preserve">M2    </v>
      </c>
      <c r="E1819" s="104"/>
      <c r="F1819" s="111"/>
      <c r="G1819" s="111"/>
      <c r="H1819" s="111"/>
      <c r="I1819" s="111"/>
      <c r="J1819" s="122">
        <f>ROUND(SUM(J1821:J1821),2)</f>
        <v>73.92</v>
      </c>
    </row>
    <row r="1820" spans="1:10">
      <c r="A1820" s="132"/>
      <c r="B1820" s="108"/>
      <c r="C1820" s="159"/>
      <c r="D1820" s="174"/>
      <c r="E1820" s="137" t="s">
        <v>2085</v>
      </c>
      <c r="F1820" s="174"/>
      <c r="G1820" s="174"/>
      <c r="H1820" s="174"/>
      <c r="I1820" s="174" t="s">
        <v>2003</v>
      </c>
      <c r="J1820" s="122"/>
    </row>
    <row r="1821" spans="1:10">
      <c r="A1821" s="132"/>
      <c r="B1821" s="108"/>
      <c r="C1821" s="324" t="s">
        <v>2089</v>
      </c>
      <c r="D1821" s="137"/>
      <c r="E1821" s="325">
        <v>1.05</v>
      </c>
      <c r="F1821" s="174"/>
      <c r="G1821" s="174"/>
      <c r="H1821" s="174"/>
      <c r="I1821" s="286">
        <f>J1729</f>
        <v>70.400000000000006</v>
      </c>
      <c r="J1821" s="158">
        <f t="shared" ref="J1821" si="122">ROUND(PRODUCT(E1821:I1821),2)</f>
        <v>73.92</v>
      </c>
    </row>
    <row r="1822" spans="1:10">
      <c r="A1822" s="219"/>
      <c r="B1822" s="323"/>
      <c r="C1822" s="323"/>
      <c r="D1822" s="323"/>
      <c r="E1822" s="323"/>
      <c r="F1822" s="323"/>
      <c r="G1822" s="323"/>
      <c r="H1822" s="323"/>
      <c r="I1822" s="323"/>
      <c r="J1822" s="197"/>
    </row>
    <row r="1823" spans="1:10">
      <c r="A1823" s="93" t="str">
        <f>'[3]Planilha Orçamentária'!A482</f>
        <v>1.9</v>
      </c>
      <c r="B1823" s="526" t="str">
        <f>VLOOKUP(A1823,'[3]Planilha Orçamentária'!A:K,3,0)</f>
        <v>RUA DO FOGO - CURCURANA</v>
      </c>
      <c r="C1823" s="527"/>
      <c r="D1823" s="527"/>
      <c r="E1823" s="527"/>
      <c r="F1823" s="527"/>
      <c r="G1823" s="527"/>
      <c r="H1823" s="527"/>
      <c r="I1823" s="527"/>
      <c r="J1823" s="527"/>
    </row>
    <row r="1824" spans="1:10">
      <c r="A1824" s="94" t="str">
        <f>'[3]Planilha Orçamentária'!A483</f>
        <v>1.9.1</v>
      </c>
      <c r="B1824" s="95"/>
      <c r="C1824" s="96" t="str">
        <f>VLOOKUP(A1824,'[3]Planilha Orçamentária'!A:K,3,0)</f>
        <v>INSTALAÇÕES PROVISÓRIAS</v>
      </c>
      <c r="D1824" s="97"/>
      <c r="E1824" s="98"/>
      <c r="F1824" s="99"/>
      <c r="G1824" s="99"/>
      <c r="H1824" s="99"/>
      <c r="I1824" s="100"/>
      <c r="J1824" s="101"/>
    </row>
    <row r="1825" spans="1:10" ht="25.5">
      <c r="A1825" s="102" t="str">
        <f>'[3]Planilha Orçamentária'!A484</f>
        <v>1.9.1.1</v>
      </c>
      <c r="B1825" s="103" t="str">
        <f>VLOOKUP(A1825,'[3]Planilha Orçamentária'!A:K,2,0)</f>
        <v>CP-74209/001-15055090</v>
      </c>
      <c r="C1825" s="104" t="str">
        <f>VLOOKUP(A1825,'[3]Planilha Orçamentária'!A:K,3,0)</f>
        <v>PLACA DE OBRA EM CHAPA DE ACO GALVANIZADO</v>
      </c>
      <c r="D1825" s="105" t="str">
        <f>VLOOKUP(A1825,'[3]Planilha Orçamentária'!A:K,4,0)</f>
        <v xml:space="preserve">M2    </v>
      </c>
      <c r="E1825" s="104"/>
      <c r="F1825" s="106" t="s">
        <v>1989</v>
      </c>
      <c r="G1825" s="106" t="s">
        <v>1990</v>
      </c>
      <c r="H1825" s="106"/>
      <c r="I1825" s="106" t="s">
        <v>1991</v>
      </c>
      <c r="J1825" s="107">
        <f>ROUND(SUM(J1827:J1827),2)</f>
        <v>8</v>
      </c>
    </row>
    <row r="1826" spans="1:10">
      <c r="A1826" s="102"/>
      <c r="B1826" s="103"/>
      <c r="C1826" s="110"/>
      <c r="D1826" s="109"/>
      <c r="E1826" s="110"/>
      <c r="F1826" s="111"/>
      <c r="G1826" s="111"/>
      <c r="H1826" s="111"/>
      <c r="I1826" s="111"/>
      <c r="J1826" s="107"/>
    </row>
    <row r="1827" spans="1:10">
      <c r="A1827" s="102"/>
      <c r="B1827" s="123"/>
      <c r="C1827" s="328"/>
      <c r="D1827" s="114"/>
      <c r="E1827" s="115"/>
      <c r="F1827" s="116">
        <v>2</v>
      </c>
      <c r="G1827" s="116">
        <v>4</v>
      </c>
      <c r="H1827" s="117"/>
      <c r="I1827" s="116">
        <v>1</v>
      </c>
      <c r="J1827" s="118">
        <f>ROUND(PRODUCT(E1827:I1827),2)</f>
        <v>8</v>
      </c>
    </row>
    <row r="1828" spans="1:10">
      <c r="A1828" s="553"/>
      <c r="B1828" s="554"/>
      <c r="C1828" s="554"/>
      <c r="D1828" s="554"/>
      <c r="E1828" s="554"/>
      <c r="F1828" s="554"/>
      <c r="G1828" s="554"/>
      <c r="H1828" s="554"/>
      <c r="I1828" s="554"/>
      <c r="J1828" s="555"/>
    </row>
    <row r="1829" spans="1:10" ht="25.5">
      <c r="A1829" s="102" t="str">
        <f>'[3]Planilha Orçamentária'!A485</f>
        <v>1.9.1.2</v>
      </c>
      <c r="B1829" s="108" t="str">
        <f>VLOOKUP(A1829,'[3]Planilha Orçamentária'!A:K,2,0)</f>
        <v>COMP-07440249</v>
      </c>
      <c r="C1829" s="104" t="str">
        <f>VLOOKUP(A1829,'[3]Planilha Orçamentária'!A:K,3,0)</f>
        <v>BANHEIRO QUÍMICO, COM LOCAÇÃO, TRANSPORTE E LIMPEZA</v>
      </c>
      <c r="D1829" s="105" t="str">
        <f>VLOOKUP(A1829,'[3]Planilha Orçamentária'!A:K,4,0)</f>
        <v>MÊS</v>
      </c>
      <c r="E1829" s="104"/>
      <c r="F1829" s="111"/>
      <c r="G1829" s="111"/>
      <c r="H1829" s="111"/>
      <c r="I1829" s="111"/>
      <c r="J1829" s="122">
        <f>ROUND(SUM(J1831:J1831),2)</f>
        <v>2</v>
      </c>
    </row>
    <row r="1830" spans="1:10" ht="25.5">
      <c r="A1830" s="102"/>
      <c r="B1830" s="108"/>
      <c r="C1830" s="104"/>
      <c r="D1830" s="105"/>
      <c r="E1830" s="104"/>
      <c r="F1830" s="111"/>
      <c r="G1830" s="111"/>
      <c r="H1830" s="111"/>
      <c r="I1830" s="106" t="s">
        <v>1992</v>
      </c>
      <c r="J1830" s="122"/>
    </row>
    <row r="1831" spans="1:10">
      <c r="A1831" s="102"/>
      <c r="B1831" s="123"/>
      <c r="C1831" s="124"/>
      <c r="D1831" s="125"/>
      <c r="E1831" s="126"/>
      <c r="F1831" s="126"/>
      <c r="G1831" s="117"/>
      <c r="H1831" s="117"/>
      <c r="I1831" s="127">
        <v>2</v>
      </c>
      <c r="J1831" s="128">
        <f>ROUND(PRODUCT(E1831:I1831),2)</f>
        <v>2</v>
      </c>
    </row>
    <row r="1832" spans="1:10">
      <c r="A1832" s="102"/>
      <c r="B1832" s="123"/>
      <c r="C1832" s="124"/>
      <c r="D1832" s="125"/>
      <c r="E1832" s="126"/>
      <c r="F1832" s="126"/>
      <c r="G1832" s="117"/>
      <c r="H1832" s="117"/>
      <c r="I1832" s="127"/>
      <c r="J1832" s="128"/>
    </row>
    <row r="1833" spans="1:10">
      <c r="A1833" s="94" t="str">
        <f>'[3]Planilha Orçamentária'!A486</f>
        <v>1.9.2</v>
      </c>
      <c r="B1833" s="95"/>
      <c r="C1833" s="96" t="str">
        <f>VLOOKUP(A1833,'[3]Planilha Orçamentária'!A:K,3,0)</f>
        <v>ADMINISTRAÇÃO LOCAL</v>
      </c>
      <c r="D1833" s="96"/>
      <c r="E1833" s="129"/>
      <c r="F1833" s="130"/>
      <c r="G1833" s="130"/>
      <c r="H1833" s="130"/>
      <c r="I1833" s="130"/>
      <c r="J1833" s="131"/>
    </row>
    <row r="1834" spans="1:10" ht="25.5">
      <c r="A1834" s="132" t="str">
        <f>'[3]Planilha Orçamentária'!A487</f>
        <v>1.9.2.1</v>
      </c>
      <c r="B1834" s="103">
        <f>VLOOKUP(A1834,'[3]Planilha Orçamentária'!A:K,2,0)</f>
        <v>93565</v>
      </c>
      <c r="C1834" s="104" t="str">
        <f>VLOOKUP(A1834,'[3]Planilha Orçamentária'!A:K,3,0)</f>
        <v>ENGENHEIRO CIVIL DE OBRA JUNIOR COM ENCARGOS COMPLEMENTARES</v>
      </c>
      <c r="D1834" s="105" t="str">
        <f>VLOOKUP(A1834,'[3]Planilha Orçamentária'!A:K,4,0)</f>
        <v>MES</v>
      </c>
      <c r="E1834" s="133"/>
      <c r="F1834" s="134"/>
      <c r="G1834" s="134"/>
      <c r="H1834" s="134"/>
      <c r="I1834" s="134"/>
      <c r="J1834" s="107">
        <f>ROUND(SUM(J1836),2)</f>
        <v>0.25</v>
      </c>
    </row>
    <row r="1835" spans="1:10" ht="14.25">
      <c r="A1835" s="132"/>
      <c r="B1835" s="103"/>
      <c r="C1835" s="135"/>
      <c r="D1835" s="105"/>
      <c r="E1835" s="133"/>
      <c r="F1835" s="136"/>
      <c r="G1835" s="136"/>
      <c r="H1835" s="136"/>
      <c r="I1835" s="136"/>
      <c r="J1835" s="107"/>
    </row>
    <row r="1836" spans="1:10" ht="14.25">
      <c r="A1836" s="137"/>
      <c r="B1836" s="138"/>
      <c r="C1836" s="135" t="s">
        <v>2232</v>
      </c>
      <c r="D1836" s="139"/>
      <c r="E1836" s="136">
        <f>22/176</f>
        <v>0.125</v>
      </c>
      <c r="F1836" s="136"/>
      <c r="G1836" s="136"/>
      <c r="H1836" s="136"/>
      <c r="I1836" s="136">
        <f>I1831</f>
        <v>2</v>
      </c>
      <c r="J1836" s="118">
        <f>ROUND(PRODUCT(E1836:I1836),2)</f>
        <v>0.25</v>
      </c>
    </row>
    <row r="1837" spans="1:10" ht="14.25">
      <c r="A1837" s="137"/>
      <c r="B1837" s="138"/>
      <c r="C1837" s="135" t="s">
        <v>1994</v>
      </c>
      <c r="D1837" s="139"/>
      <c r="E1837" s="136"/>
      <c r="F1837" s="136"/>
      <c r="G1837" s="136"/>
      <c r="H1837" s="136"/>
      <c r="I1837" s="136"/>
      <c r="J1837" s="140"/>
    </row>
    <row r="1838" spans="1:10" ht="14.25">
      <c r="A1838" s="137"/>
      <c r="B1838" s="138"/>
      <c r="C1838" s="135" t="s">
        <v>1995</v>
      </c>
      <c r="D1838" s="141"/>
      <c r="E1838" s="142"/>
      <c r="F1838" s="127"/>
      <c r="G1838" s="117"/>
      <c r="H1838" s="117"/>
      <c r="I1838" s="143"/>
      <c r="J1838" s="144"/>
    </row>
    <row r="1839" spans="1:10">
      <c r="A1839" s="531"/>
      <c r="B1839" s="531"/>
      <c r="C1839" s="531"/>
      <c r="D1839" s="531"/>
      <c r="E1839" s="531"/>
      <c r="F1839" s="531"/>
      <c r="G1839" s="531"/>
      <c r="H1839" s="531"/>
      <c r="I1839" s="531"/>
      <c r="J1839" s="531"/>
    </row>
    <row r="1840" spans="1:10" ht="25.5">
      <c r="A1840" s="132" t="str">
        <f>'[3]Planilha Orçamentária'!A488</f>
        <v>1.9.2.2</v>
      </c>
      <c r="B1840" s="103">
        <f>VLOOKUP(A1840,'[3]Planilha Orçamentária'!A:K,2,0)</f>
        <v>93572</v>
      </c>
      <c r="C1840" s="104" t="str">
        <f>VLOOKUP(A1840,'[3]Planilha Orçamentária'!A:K,3,0)</f>
        <v>ENCARREGADO GERAL DE OBRAS COM ENCARGOS COMPLEMENTARES</v>
      </c>
      <c r="D1840" s="105" t="str">
        <f>VLOOKUP(A1840,'[3]Planilha Orçamentária'!A:K,4,0)</f>
        <v>MES</v>
      </c>
      <c r="E1840" s="133"/>
      <c r="F1840" s="134"/>
      <c r="G1840" s="134"/>
      <c r="H1840" s="134"/>
      <c r="I1840" s="134"/>
      <c r="J1840" s="107">
        <f>ROUND(SUM(J1842),2)</f>
        <v>1</v>
      </c>
    </row>
    <row r="1841" spans="1:10" ht="14.25">
      <c r="A1841" s="132"/>
      <c r="B1841" s="103"/>
      <c r="C1841" s="135"/>
      <c r="D1841" s="105"/>
      <c r="E1841" s="133"/>
      <c r="F1841" s="136"/>
      <c r="G1841" s="136"/>
      <c r="H1841" s="136"/>
      <c r="I1841" s="136"/>
      <c r="J1841" s="107"/>
    </row>
    <row r="1842" spans="1:10" ht="14.25">
      <c r="A1842" s="137"/>
      <c r="B1842" s="138"/>
      <c r="C1842" s="135" t="s">
        <v>2233</v>
      </c>
      <c r="D1842" s="139"/>
      <c r="E1842" s="136">
        <f>88/176</f>
        <v>0.5</v>
      </c>
      <c r="F1842" s="136"/>
      <c r="G1842" s="136"/>
      <c r="H1842" s="136"/>
      <c r="I1842" s="136">
        <f>I1831</f>
        <v>2</v>
      </c>
      <c r="J1842" s="118">
        <f>ROUND(PRODUCT(E1842:I1842),2)</f>
        <v>1</v>
      </c>
    </row>
    <row r="1843" spans="1:10" ht="14.25">
      <c r="A1843" s="137"/>
      <c r="B1843" s="138"/>
      <c r="C1843" s="135" t="s">
        <v>1997</v>
      </c>
      <c r="D1843" s="139"/>
      <c r="E1843" s="136"/>
      <c r="F1843" s="136"/>
      <c r="G1843" s="136"/>
      <c r="H1843" s="136"/>
      <c r="I1843" s="136"/>
      <c r="J1843" s="140"/>
    </row>
    <row r="1844" spans="1:10" ht="14.25">
      <c r="A1844" s="137"/>
      <c r="B1844" s="138"/>
      <c r="C1844" s="135" t="s">
        <v>1995</v>
      </c>
      <c r="D1844" s="141"/>
      <c r="E1844" s="142"/>
      <c r="F1844" s="127"/>
      <c r="G1844" s="117"/>
      <c r="H1844" s="117"/>
      <c r="I1844" s="143"/>
      <c r="J1844" s="144"/>
    </row>
    <row r="1845" spans="1:10">
      <c r="A1845" s="531"/>
      <c r="B1845" s="531"/>
      <c r="C1845" s="531"/>
      <c r="D1845" s="531"/>
      <c r="E1845" s="531"/>
      <c r="F1845" s="531"/>
      <c r="G1845" s="531"/>
      <c r="H1845" s="531"/>
      <c r="I1845" s="531"/>
      <c r="J1845" s="531"/>
    </row>
    <row r="1846" spans="1:10">
      <c r="A1846" s="94" t="str">
        <f>'[3]Planilha Orçamentária'!A489</f>
        <v>1.9.3</v>
      </c>
      <c r="B1846" s="95"/>
      <c r="C1846" s="96" t="str">
        <f>VLOOKUP(A1846,'[3]Planilha Orçamentária'!A:K,3,0)</f>
        <v>SERVIÇOS PRELIMINARES</v>
      </c>
      <c r="D1846" s="97"/>
      <c r="E1846" s="98"/>
      <c r="F1846" s="99"/>
      <c r="G1846" s="99"/>
      <c r="H1846" s="99"/>
      <c r="I1846" s="100"/>
      <c r="J1846" s="101"/>
    </row>
    <row r="1847" spans="1:10">
      <c r="A1847" s="145" t="str">
        <f>'[3]Planilha Orçamentária'!A490</f>
        <v>1.9.3.1</v>
      </c>
      <c r="B1847" s="146">
        <f>VLOOKUP(A1847,'[3]Planilha Orçamentária'!A:K,2,0)</f>
        <v>99064</v>
      </c>
      <c r="C1847" s="147" t="str">
        <f>VLOOKUP(A1847,'[3]Planilha Orçamentária'!A:K,3,0)</f>
        <v>LOCAÇÃO DE PAVIMENTAÇÃO. AF_10/2018</v>
      </c>
      <c r="D1847" s="148" t="str">
        <f>VLOOKUP(A1847,'[3]Planilha Orçamentária'!A:K,4,0)</f>
        <v>M</v>
      </c>
      <c r="E1847" s="147"/>
      <c r="F1847" s="136"/>
      <c r="G1847" s="149"/>
      <c r="H1847" s="149"/>
      <c r="I1847" s="149"/>
      <c r="J1847" s="150">
        <f>ROUND(SUM(J1849:J1850),2)</f>
        <v>118.58</v>
      </c>
    </row>
    <row r="1848" spans="1:10">
      <c r="A1848" s="151"/>
      <c r="B1848" s="152"/>
      <c r="C1848" s="147"/>
      <c r="D1848" s="148"/>
      <c r="E1848" s="147"/>
      <c r="F1848" s="106" t="s">
        <v>1989</v>
      </c>
      <c r="G1848" s="149"/>
      <c r="H1848" s="149"/>
      <c r="I1848" s="149"/>
      <c r="J1848" s="150"/>
    </row>
    <row r="1849" spans="1:10">
      <c r="A1849" s="174"/>
      <c r="B1849" s="174"/>
      <c r="C1849" s="200" t="s">
        <v>2264</v>
      </c>
      <c r="D1849" s="156"/>
      <c r="E1849" s="157"/>
      <c r="F1849" s="136">
        <f>[3]PARÂMETROS!B736</f>
        <v>118.58</v>
      </c>
      <c r="G1849" s="157"/>
      <c r="H1849" s="157"/>
      <c r="I1849" s="157"/>
      <c r="J1849" s="158">
        <f>ROUND(PRODUCT(E1849:I1849),2)</f>
        <v>118.58</v>
      </c>
    </row>
    <row r="1850" spans="1:10">
      <c r="A1850" s="531"/>
      <c r="B1850" s="531"/>
      <c r="C1850" s="531"/>
      <c r="D1850" s="531"/>
      <c r="E1850" s="531"/>
      <c r="F1850" s="531"/>
      <c r="G1850" s="531"/>
      <c r="H1850" s="531"/>
      <c r="I1850" s="531"/>
      <c r="J1850" s="531"/>
    </row>
    <row r="1851" spans="1:10" ht="25.5">
      <c r="A1851" s="145" t="str">
        <f>'[3]Planilha Orçamentária'!A491</f>
        <v>1.9.3.2</v>
      </c>
      <c r="B1851" s="199" t="str">
        <f>VLOOKUP(A1851,'[3]Planilha Orçamentária'!A:K,2,0)</f>
        <v>COMP-17562084</v>
      </c>
      <c r="C1851" s="147" t="str">
        <f>VLOOKUP(A1851,'[3]Planilha Orçamentária'!A:K,3,0)</f>
        <v>DEMOLIÇÃO MANUAL DE CONCRETO SIMPLES</v>
      </c>
      <c r="D1851" s="148" t="str">
        <f>VLOOKUP(A1851,'[3]Planilha Orçamentária'!A:K,4,0)</f>
        <v>M3</v>
      </c>
      <c r="E1851" s="147"/>
      <c r="F1851" s="160"/>
      <c r="G1851" s="160"/>
      <c r="H1851" s="160"/>
      <c r="I1851" s="160"/>
      <c r="J1851" s="150">
        <f>ROUND(SUM(J1853),2)</f>
        <v>8.36</v>
      </c>
    </row>
    <row r="1852" spans="1:10">
      <c r="A1852" s="123"/>
      <c r="B1852" s="123"/>
      <c r="C1852" s="415" t="s">
        <v>2265</v>
      </c>
      <c r="D1852" s="123"/>
      <c r="E1852" s="123"/>
      <c r="F1852" s="123"/>
      <c r="G1852" s="123"/>
      <c r="H1852" s="123" t="s">
        <v>2002</v>
      </c>
      <c r="I1852" s="106" t="s">
        <v>2003</v>
      </c>
      <c r="J1852" s="123"/>
    </row>
    <row r="1853" spans="1:10" ht="25.5">
      <c r="A1853" s="123"/>
      <c r="B1853" s="123"/>
      <c r="C1853" s="162" t="s">
        <v>2004</v>
      </c>
      <c r="D1853" s="123"/>
      <c r="E1853" s="123"/>
      <c r="F1853" s="157"/>
      <c r="G1853" s="157"/>
      <c r="H1853" s="157">
        <v>7.0000000000000007E-2</v>
      </c>
      <c r="I1853" s="157">
        <v>119.38</v>
      </c>
      <c r="J1853" s="128">
        <f>ROUND(PRODUCT(E1853:I1853),2)</f>
        <v>8.36</v>
      </c>
    </row>
    <row r="1854" spans="1:10">
      <c r="A1854" s="528"/>
      <c r="B1854" s="529"/>
      <c r="C1854" s="529"/>
      <c r="D1854" s="529"/>
      <c r="E1854" s="529"/>
      <c r="F1854" s="529"/>
      <c r="G1854" s="529"/>
      <c r="H1854" s="529"/>
      <c r="I1854" s="529"/>
      <c r="J1854" s="530"/>
    </row>
    <row r="1855" spans="1:10" ht="25.5">
      <c r="A1855" s="145" t="str">
        <f>'[3]Planilha Orçamentária'!A492</f>
        <v>1.9.3.3</v>
      </c>
      <c r="B1855" s="199" t="str">
        <f>VLOOKUP(A1855,'[3]Planilha Orçamentária'!A:K,2,0)</f>
        <v>COMP-01471766</v>
      </c>
      <c r="C1855" s="147" t="str">
        <f>VLOOKUP(A1855,'[3]Planilha Orçamentária'!A:K,3,0)</f>
        <v>DEMOLIÇÃO DE MEIO-FIO</v>
      </c>
      <c r="D1855" s="148" t="str">
        <f>VLOOKUP(A1855,'[3]Planilha Orçamentária'!A:K,4,0)</f>
        <v>M</v>
      </c>
      <c r="E1855" s="147"/>
      <c r="F1855" s="160"/>
      <c r="G1855" s="160"/>
      <c r="H1855" s="160"/>
      <c r="I1855" s="160"/>
      <c r="J1855" s="150">
        <f>ROUND(SUM(J1857),2)</f>
        <v>19.7</v>
      </c>
    </row>
    <row r="1856" spans="1:10">
      <c r="A1856" s="123"/>
      <c r="B1856" s="123"/>
      <c r="C1856" s="415" t="s">
        <v>2265</v>
      </c>
      <c r="D1856" s="123"/>
      <c r="E1856" s="123"/>
      <c r="F1856" s="123" t="s">
        <v>1989</v>
      </c>
      <c r="G1856" s="123"/>
      <c r="H1856" s="123"/>
      <c r="I1856" s="106"/>
      <c r="J1856" s="123"/>
    </row>
    <row r="1857" spans="1:10" ht="25.5">
      <c r="A1857" s="123"/>
      <c r="B1857" s="123"/>
      <c r="C1857" s="162" t="s">
        <v>2005</v>
      </c>
      <c r="D1857" s="123"/>
      <c r="E1857" s="123"/>
      <c r="F1857" s="123">
        <v>19.7</v>
      </c>
      <c r="G1857" s="123"/>
      <c r="H1857" s="123"/>
      <c r="I1857" s="157"/>
      <c r="J1857" s="128">
        <f>ROUND(PRODUCT(E1857:I1857),2)</f>
        <v>19.7</v>
      </c>
    </row>
    <row r="1858" spans="1:10">
      <c r="A1858" s="528"/>
      <c r="B1858" s="529"/>
      <c r="C1858" s="529"/>
      <c r="D1858" s="529"/>
      <c r="E1858" s="529"/>
      <c r="F1858" s="529"/>
      <c r="G1858" s="529"/>
      <c r="H1858" s="529"/>
      <c r="I1858" s="529"/>
      <c r="J1858" s="530"/>
    </row>
    <row r="1859" spans="1:10" ht="51">
      <c r="A1859" s="145" t="str">
        <f>'[3]Planilha Orçamentária'!A493</f>
        <v>1.9.3.4</v>
      </c>
      <c r="B1859" s="199" t="str">
        <f>VLOOKUP(A1859,'[3]Planilha Orçamentária'!A:K,2,0)</f>
        <v>COMP-35145154</v>
      </c>
      <c r="C1859" s="147" t="str">
        <f>VLOOKUP(A1859,'[3]Planilha Orçamentária'!A:K,3,0)</f>
        <v>CARGA E DESCARGA MECANICA DE SOLO UTILIZANDO CAMINHAO BASCULANTE 14,0M3/36T E PA CARREGADEIRA SOBRE PNEUS 128 HP, CAPACIDADE DA CAÇAMBA 1,7 A 2,8 M3, PESO OPERACIONAL 11632 KH</v>
      </c>
      <c r="D1859" s="148" t="str">
        <f>VLOOKUP(A1859,'[3]Planilha Orçamentária'!A:K,4,0)</f>
        <v>M3</v>
      </c>
      <c r="E1859" s="147"/>
      <c r="F1859" s="160"/>
      <c r="G1859" s="160"/>
      <c r="H1859" s="160"/>
      <c r="I1859" s="160"/>
      <c r="J1859" s="150">
        <f>ROUND(SUM(J1861:J1863),2)</f>
        <v>11.56</v>
      </c>
    </row>
    <row r="1860" spans="1:10">
      <c r="A1860" s="123"/>
      <c r="B1860" s="123"/>
      <c r="C1860" s="165"/>
      <c r="D1860" s="166"/>
      <c r="E1860" s="162" t="s">
        <v>2006</v>
      </c>
      <c r="F1860" s="149"/>
      <c r="G1860" s="149"/>
      <c r="H1860" s="149"/>
      <c r="I1860" s="161" t="s">
        <v>2007</v>
      </c>
      <c r="J1860" s="123"/>
    </row>
    <row r="1861" spans="1:10">
      <c r="A1861" s="123"/>
      <c r="B1861" s="123"/>
      <c r="C1861" s="165" t="s">
        <v>2008</v>
      </c>
      <c r="D1861" s="166"/>
      <c r="E1861" s="162">
        <v>1.25</v>
      </c>
      <c r="F1861" s="149"/>
      <c r="G1861" s="149"/>
      <c r="H1861" s="149"/>
      <c r="I1861" s="167">
        <f>J1851</f>
        <v>8.36</v>
      </c>
      <c r="J1861" s="128">
        <f>ROUND(PRODUCT(E1861:I1861),2)</f>
        <v>10.45</v>
      </c>
    </row>
    <row r="1862" spans="1:10">
      <c r="A1862" s="123"/>
      <c r="B1862" s="123"/>
      <c r="C1862" s="165"/>
      <c r="D1862" s="148"/>
      <c r="E1862" s="162" t="s">
        <v>2006</v>
      </c>
      <c r="F1862" s="161" t="s">
        <v>1989</v>
      </c>
      <c r="G1862" s="161" t="s">
        <v>1990</v>
      </c>
      <c r="H1862" s="161" t="s">
        <v>2002</v>
      </c>
      <c r="I1862" s="167"/>
      <c r="J1862" s="128"/>
    </row>
    <row r="1863" spans="1:10">
      <c r="A1863" s="123"/>
      <c r="B1863" s="123"/>
      <c r="C1863" s="165" t="s">
        <v>2009</v>
      </c>
      <c r="D1863" s="148"/>
      <c r="E1863" s="162">
        <v>1.25</v>
      </c>
      <c r="F1863" s="157">
        <f>J1855</f>
        <v>19.7</v>
      </c>
      <c r="G1863" s="157">
        <v>0.15</v>
      </c>
      <c r="H1863" s="157">
        <v>0.3</v>
      </c>
      <c r="I1863" s="167"/>
      <c r="J1863" s="128">
        <f>ROUND(PRODUCT(E1863:I1863),2)</f>
        <v>1.1100000000000001</v>
      </c>
    </row>
    <row r="1864" spans="1:10">
      <c r="A1864" s="528"/>
      <c r="B1864" s="529"/>
      <c r="C1864" s="529"/>
      <c r="D1864" s="529"/>
      <c r="E1864" s="529"/>
      <c r="F1864" s="529"/>
      <c r="G1864" s="529"/>
      <c r="H1864" s="529"/>
      <c r="I1864" s="529"/>
      <c r="J1864" s="530"/>
    </row>
    <row r="1865" spans="1:10" ht="38.25">
      <c r="A1865" s="145" t="str">
        <f>'[3]Planilha Orçamentária'!A494</f>
        <v>1.9.3.5</v>
      </c>
      <c r="B1865" s="199">
        <f>VLOOKUP(A1865,'[3]Planilha Orçamentária'!A:K,2,0)</f>
        <v>95876</v>
      </c>
      <c r="C1865" s="147" t="str">
        <f>VLOOKUP(A1865,'[3]Planilha Orçamentária'!A:K,3,0)</f>
        <v>TRANSPORTE COM CAMINHÃO BASCULANTE DE 14 M³, EM VIA URBANA PAVIMENTADA, DMT ATÉ 30 KM (UNIDADE: M3XKM). AF_07/2020</v>
      </c>
      <c r="D1865" s="148" t="str">
        <f>VLOOKUP(A1865,'[3]Planilha Orçamentária'!A:K,4,0)</f>
        <v>M3XKM</v>
      </c>
      <c r="E1865" s="147"/>
      <c r="F1865" s="160"/>
      <c r="G1865" s="160"/>
      <c r="H1865" s="160"/>
      <c r="I1865" s="160"/>
      <c r="J1865" s="150">
        <f>ROUND(SUM(J1867),2)</f>
        <v>123.69</v>
      </c>
    </row>
    <row r="1866" spans="1:10">
      <c r="A1866" s="123"/>
      <c r="B1866" s="123"/>
      <c r="C1866" s="171" t="s">
        <v>2266</v>
      </c>
      <c r="D1866" s="189"/>
      <c r="E1866" s="208" t="s">
        <v>2011</v>
      </c>
      <c r="F1866" s="123"/>
      <c r="G1866" s="123"/>
      <c r="H1866" s="123"/>
      <c r="I1866" s="106" t="s">
        <v>2007</v>
      </c>
      <c r="J1866" s="123"/>
    </row>
    <row r="1867" spans="1:10">
      <c r="A1867" s="123"/>
      <c r="B1867" s="123"/>
      <c r="C1867" s="155" t="s">
        <v>2267</v>
      </c>
      <c r="D1867" s="156"/>
      <c r="E1867" s="162">
        <v>10.7</v>
      </c>
      <c r="F1867" s="123"/>
      <c r="G1867" s="123"/>
      <c r="H1867" s="123"/>
      <c r="I1867" s="157">
        <f>J1859</f>
        <v>11.56</v>
      </c>
      <c r="J1867" s="128">
        <f>ROUND(PRODUCT(E1867:I1867),2)</f>
        <v>123.69</v>
      </c>
    </row>
    <row r="1868" spans="1:10">
      <c r="A1868" s="528"/>
      <c r="B1868" s="529"/>
      <c r="C1868" s="529"/>
      <c r="D1868" s="529"/>
      <c r="E1868" s="529"/>
      <c r="F1868" s="529"/>
      <c r="G1868" s="529"/>
      <c r="H1868" s="529"/>
      <c r="I1868" s="529"/>
      <c r="J1868" s="530"/>
    </row>
    <row r="1869" spans="1:10">
      <c r="A1869" s="94" t="str">
        <f>'[3]Planilha Orçamentária'!A495</f>
        <v>1.9.4</v>
      </c>
      <c r="B1869" s="95"/>
      <c r="C1869" s="96" t="str">
        <f>VLOOKUP(A1869,'[3]Planilha Orçamentária'!A:K,3,0)</f>
        <v>TERRAPLENAGEM</v>
      </c>
      <c r="D1869" s="97"/>
      <c r="E1869" s="98"/>
      <c r="F1869" s="99"/>
      <c r="G1869" s="99"/>
      <c r="H1869" s="99"/>
      <c r="I1869" s="100"/>
      <c r="J1869" s="173"/>
    </row>
    <row r="1870" spans="1:10" ht="38.25">
      <c r="A1870" s="132" t="str">
        <f>'[3]Planilha Orçamentária'!A496</f>
        <v>1.9.4.1</v>
      </c>
      <c r="B1870" s="103" t="str">
        <f>VLOOKUP(A1870,'[3]Planilha Orçamentária'!A:K,2,0)</f>
        <v>CP-74205/001-17324935</v>
      </c>
      <c r="C1870" s="104" t="str">
        <f>VLOOKUP(A1870,'[3]Planilha Orçamentária'!A:K,3,0)</f>
        <v>ESCAVAÇÃO MECÂNICA DE MATERIAL 1A. CATEGORIA, PROVENIENTE DE CORTE DE SUBLEITO (C/TRATOR ESTEIRAS  160HP)</v>
      </c>
      <c r="D1870" s="105" t="str">
        <f>VLOOKUP(A1870,'[3]Planilha Orçamentária'!A:K,4,0)</f>
        <v>M3</v>
      </c>
      <c r="E1870" s="104"/>
      <c r="F1870" s="111"/>
      <c r="G1870" s="111"/>
      <c r="H1870" s="111"/>
      <c r="I1870" s="111"/>
      <c r="J1870" s="107">
        <f>ROUND(SUM(J1872:J1872),2)</f>
        <v>598.61</v>
      </c>
    </row>
    <row r="1871" spans="1:10">
      <c r="A1871" s="132"/>
      <c r="B1871" s="103"/>
      <c r="C1871" s="165" t="s">
        <v>2268</v>
      </c>
      <c r="D1871" s="105"/>
      <c r="E1871" s="104"/>
      <c r="F1871" s="111"/>
      <c r="G1871" s="111"/>
      <c r="H1871" s="111"/>
      <c r="I1871" s="106" t="s">
        <v>2007</v>
      </c>
      <c r="J1871" s="107"/>
    </row>
    <row r="1872" spans="1:10">
      <c r="A1872" s="174"/>
      <c r="B1872" s="175"/>
      <c r="C1872" s="155" t="s">
        <v>2097</v>
      </c>
      <c r="D1872" s="156"/>
      <c r="E1872" s="157"/>
      <c r="F1872" s="157"/>
      <c r="G1872" s="157"/>
      <c r="H1872" s="157"/>
      <c r="I1872" s="157">
        <f>[3]PARÂMETROS!G738</f>
        <v>598.61</v>
      </c>
      <c r="J1872" s="176">
        <f>ROUND(PRODUCT(E1872:I1872),2)</f>
        <v>598.61</v>
      </c>
    </row>
    <row r="1873" spans="1:10">
      <c r="A1873" s="549"/>
      <c r="B1873" s="549"/>
      <c r="C1873" s="549"/>
      <c r="D1873" s="549"/>
      <c r="E1873" s="549"/>
      <c r="F1873" s="549"/>
      <c r="G1873" s="549"/>
      <c r="H1873" s="549"/>
      <c r="I1873" s="549"/>
      <c r="J1873" s="549"/>
    </row>
    <row r="1874" spans="1:10" ht="51">
      <c r="A1874" s="177" t="str">
        <f>'[3]Planilha Orçamentária'!A497</f>
        <v>1.9.4.2</v>
      </c>
      <c r="B1874" s="178" t="str">
        <f>VLOOKUP(A1874,'[3]Planilha Orçamentária'!A:K,2,0)</f>
        <v>COMP-35145154</v>
      </c>
      <c r="C1874" s="179" t="str">
        <f>VLOOKUP(A1874,'[3]Planilha Orçamentária'!A:K,3,0)</f>
        <v>CARGA E DESCARGA MECANICA DE SOLO UTILIZANDO CAMINHAO BASCULANTE 14,0M3/36T E PA CARREGADEIRA SOBRE PNEUS 128 HP, CAPACIDADE DA CAÇAMBA 1,7 A 2,8 M3, PESO OPERACIONAL 11632 KH</v>
      </c>
      <c r="D1874" s="180" t="str">
        <f>VLOOKUP(A1874,'[3]Planilha Orçamentária'!A:K,4,0)</f>
        <v>M3</v>
      </c>
      <c r="E1874" s="179"/>
      <c r="F1874" s="181"/>
      <c r="G1874" s="181"/>
      <c r="H1874" s="181"/>
      <c r="I1874" s="181"/>
      <c r="J1874" s="107">
        <f>ROUND(SUM(J1876:J1876),2)</f>
        <v>748.26</v>
      </c>
    </row>
    <row r="1875" spans="1:10">
      <c r="A1875" s="177"/>
      <c r="B1875" s="178"/>
      <c r="C1875" s="155" t="s">
        <v>2015</v>
      </c>
      <c r="D1875" s="180"/>
      <c r="E1875" s="184" t="s">
        <v>2006</v>
      </c>
      <c r="F1875" s="332"/>
      <c r="G1875" s="332"/>
      <c r="H1875" s="332"/>
      <c r="I1875" s="332" t="s">
        <v>2007</v>
      </c>
      <c r="J1875" s="182"/>
    </row>
    <row r="1876" spans="1:10">
      <c r="A1876" s="177"/>
      <c r="B1876" s="178"/>
      <c r="C1876" s="155" t="s">
        <v>2016</v>
      </c>
      <c r="D1876" s="156"/>
      <c r="E1876" s="157">
        <v>1.25</v>
      </c>
      <c r="F1876" s="116"/>
      <c r="G1876" s="116"/>
      <c r="H1876" s="116"/>
      <c r="I1876" s="116">
        <f>J1870</f>
        <v>598.61</v>
      </c>
      <c r="J1876" s="176">
        <f>ROUND(PRODUCT(E1876:I1876),2)</f>
        <v>748.26</v>
      </c>
    </row>
    <row r="1877" spans="1:10">
      <c r="A1877" s="549"/>
      <c r="B1877" s="549"/>
      <c r="C1877" s="549"/>
      <c r="D1877" s="549"/>
      <c r="E1877" s="549"/>
      <c r="F1877" s="549"/>
      <c r="G1877" s="549"/>
      <c r="H1877" s="549"/>
      <c r="I1877" s="549"/>
      <c r="J1877" s="549"/>
    </row>
    <row r="1878" spans="1:10" ht="38.25">
      <c r="A1878" s="186" t="str">
        <f>'[3]Planilha Orçamentária'!A498</f>
        <v>1.9.4.3</v>
      </c>
      <c r="B1878" s="187">
        <f>VLOOKUP(A1878,'[3]Planilha Orçamentária'!A:K,2,0)</f>
        <v>95876</v>
      </c>
      <c r="C1878" s="188" t="str">
        <f>VLOOKUP(A1878,'[3]Planilha Orçamentária'!A:K,3,0)</f>
        <v>TRANSPORTE COM CAMINHÃO BASCULANTE DE 14 M³, EM VIA URBANA PAVIMENTADA, DMT ATÉ 30 KM (UNIDADE: M3XKM). AF_07/2020</v>
      </c>
      <c r="D1878" s="189" t="str">
        <f>VLOOKUP(A1878,'[3]Planilha Orçamentária'!A:K,4,0)</f>
        <v>M3XKM</v>
      </c>
      <c r="E1878" s="188"/>
      <c r="F1878" s="160"/>
      <c r="G1878" s="160"/>
      <c r="H1878" s="160"/>
      <c r="I1878" s="160"/>
      <c r="J1878" s="122">
        <f>ROUND(SUM(J1880:J1880),2)</f>
        <v>8006.38</v>
      </c>
    </row>
    <row r="1879" spans="1:10">
      <c r="A1879" s="186"/>
      <c r="B1879" s="187"/>
      <c r="C1879" s="171" t="s">
        <v>2266</v>
      </c>
      <c r="D1879" s="189"/>
      <c r="E1879" s="208" t="s">
        <v>2011</v>
      </c>
      <c r="F1879" s="160"/>
      <c r="G1879" s="160"/>
      <c r="H1879" s="161"/>
      <c r="I1879" s="161" t="s">
        <v>2007</v>
      </c>
      <c r="J1879" s="150"/>
    </row>
    <row r="1880" spans="1:10">
      <c r="A1880" s="186"/>
      <c r="B1880" s="187"/>
      <c r="C1880" s="155" t="s">
        <v>2267</v>
      </c>
      <c r="D1880" s="156"/>
      <c r="E1880" s="162">
        <v>10.7</v>
      </c>
      <c r="F1880" s="207"/>
      <c r="G1880" s="207"/>
      <c r="H1880" s="207"/>
      <c r="I1880" s="195">
        <f>J1874</f>
        <v>748.26</v>
      </c>
      <c r="J1880" s="196">
        <f>ROUND(PRODUCT(E1880:I1880),2)</f>
        <v>8006.38</v>
      </c>
    </row>
    <row r="1881" spans="1:10">
      <c r="A1881" s="532"/>
      <c r="B1881" s="533"/>
      <c r="C1881" s="533"/>
      <c r="D1881" s="533"/>
      <c r="E1881" s="533"/>
      <c r="F1881" s="533"/>
      <c r="G1881" s="533"/>
      <c r="H1881" s="533"/>
      <c r="I1881" s="533"/>
      <c r="J1881" s="534"/>
    </row>
    <row r="1882" spans="1:10">
      <c r="A1882" s="94" t="str">
        <f>'[3]Planilha Orçamentária'!A499</f>
        <v>1.9.5</v>
      </c>
      <c r="B1882" s="95"/>
      <c r="C1882" s="96" t="str">
        <f>VLOOKUP(A1882,'[3]Planilha Orçamentária'!A:K,3,0)</f>
        <v>PAVIMENTAÇÃO</v>
      </c>
      <c r="D1882" s="97"/>
      <c r="E1882" s="98"/>
      <c r="F1882" s="99"/>
      <c r="G1882" s="99"/>
      <c r="H1882" s="99"/>
      <c r="I1882" s="100"/>
      <c r="J1882" s="131"/>
    </row>
    <row r="1883" spans="1:10" ht="25.5">
      <c r="A1883" s="145" t="str">
        <f>'[3]Planilha Orçamentária'!A500</f>
        <v>1.9.5.1</v>
      </c>
      <c r="B1883" s="199">
        <f>VLOOKUP(A1883,'[3]Planilha Orçamentária'!A:K,2,0)</f>
        <v>100576</v>
      </c>
      <c r="C1883" s="147" t="str">
        <f>VLOOKUP(A1883,'[3]Planilha Orçamentária'!A:K,3,0)</f>
        <v>REGULARIZAÇÃO E COMPACTAÇÃO DE SUBLEITO DE SOLO  PREDOMINANTEMENTE ARGILOSO. AF_11/2019</v>
      </c>
      <c r="D1883" s="148" t="str">
        <f>VLOOKUP(A1883,'[3]Planilha Orçamentária'!A:K,4,0)</f>
        <v>M2</v>
      </c>
      <c r="E1883" s="147"/>
      <c r="F1883" s="160"/>
      <c r="G1883" s="160"/>
      <c r="H1883" s="160"/>
      <c r="I1883" s="160"/>
      <c r="J1883" s="150">
        <f>ROUND(SUM(J1885:J1885),2)</f>
        <v>948.64</v>
      </c>
    </row>
    <row r="1884" spans="1:10">
      <c r="A1884" s="145"/>
      <c r="B1884" s="199"/>
      <c r="C1884" s="159" t="s">
        <v>2269</v>
      </c>
      <c r="D1884" s="148"/>
      <c r="E1884" s="147"/>
      <c r="F1884" s="161" t="s">
        <v>1989</v>
      </c>
      <c r="G1884" s="161" t="s">
        <v>1990</v>
      </c>
      <c r="H1884" s="160"/>
      <c r="I1884" s="161"/>
      <c r="J1884" s="150"/>
    </row>
    <row r="1885" spans="1:10" ht="25.5">
      <c r="A1885" s="145"/>
      <c r="B1885" s="199"/>
      <c r="C1885" s="200" t="s">
        <v>2019</v>
      </c>
      <c r="D1885" s="185"/>
      <c r="E1885" s="116"/>
      <c r="F1885" s="207">
        <f>(5*20)+(18.58)</f>
        <v>118.58</v>
      </c>
      <c r="G1885" s="161">
        <f>7+1</f>
        <v>8</v>
      </c>
      <c r="H1885" s="160"/>
      <c r="I1885" s="161"/>
      <c r="J1885" s="158">
        <f>ROUND(PRODUCT(E1885:I1885),2)</f>
        <v>948.64</v>
      </c>
    </row>
    <row r="1886" spans="1:10">
      <c r="A1886" s="550"/>
      <c r="B1886" s="551"/>
      <c r="C1886" s="551"/>
      <c r="D1886" s="551"/>
      <c r="E1886" s="551"/>
      <c r="F1886" s="551"/>
      <c r="G1886" s="551"/>
      <c r="H1886" s="551"/>
      <c r="I1886" s="551"/>
      <c r="J1886" s="552"/>
    </row>
    <row r="1887" spans="1:10" ht="25.5">
      <c r="A1887" s="145" t="str">
        <f>'[3]Planilha Orçamentária'!A501</f>
        <v>1.9.5.2</v>
      </c>
      <c r="B1887" s="199" t="str">
        <f>VLOOKUP(A1887,'[3]Planilha Orçamentária'!A:K,2,0)</f>
        <v>COMP-47176600</v>
      </c>
      <c r="C1887" s="147" t="str">
        <f>VLOOKUP(A1887,'[3]Planilha Orçamentária'!A:K,3,0)</f>
        <v xml:space="preserve">EXEC. DE ATERRO COM AREIA COM ADENSAMENTO HIDRAULICO </v>
      </c>
      <c r="D1887" s="148" t="str">
        <f>VLOOKUP(A1887,'[3]Planilha Orçamentária'!A:K,4,0)</f>
        <v xml:space="preserve">M3    </v>
      </c>
      <c r="E1887" s="147"/>
      <c r="F1887" s="160"/>
      <c r="G1887" s="160"/>
      <c r="H1887" s="160"/>
      <c r="I1887" s="160"/>
      <c r="J1887" s="150">
        <f>ROUND(SUM(J1889:J1889),2)</f>
        <v>124.51</v>
      </c>
    </row>
    <row r="1888" spans="1:10">
      <c r="A1888" s="145"/>
      <c r="B1888" s="199"/>
      <c r="C1888" s="159" t="s">
        <v>2269</v>
      </c>
      <c r="D1888" s="148"/>
      <c r="E1888" s="147"/>
      <c r="F1888" s="161" t="s">
        <v>1989</v>
      </c>
      <c r="G1888" s="161" t="s">
        <v>1990</v>
      </c>
      <c r="H1888" s="161" t="s">
        <v>2002</v>
      </c>
      <c r="I1888" s="161"/>
      <c r="J1888" s="150"/>
    </row>
    <row r="1889" spans="1:10" ht="28.5">
      <c r="A1889" s="145"/>
      <c r="B1889" s="199"/>
      <c r="C1889" s="204" t="s">
        <v>2020</v>
      </c>
      <c r="D1889" s="185"/>
      <c r="E1889" s="116"/>
      <c r="F1889" s="207">
        <f>(5*20)+(18.58)</f>
        <v>118.58</v>
      </c>
      <c r="G1889" s="207">
        <f>7+1-1</f>
        <v>7</v>
      </c>
      <c r="H1889" s="207">
        <v>0.15</v>
      </c>
      <c r="I1889" s="161"/>
      <c r="J1889" s="158">
        <f>ROUND(PRODUCT(E1889:I1889),2)</f>
        <v>124.51</v>
      </c>
    </row>
    <row r="1890" spans="1:10">
      <c r="A1890" s="550"/>
      <c r="B1890" s="551"/>
      <c r="C1890" s="551"/>
      <c r="D1890" s="551"/>
      <c r="E1890" s="551"/>
      <c r="F1890" s="551"/>
      <c r="G1890" s="551"/>
      <c r="H1890" s="551"/>
      <c r="I1890" s="551"/>
      <c r="J1890" s="552"/>
    </row>
    <row r="1891" spans="1:10" ht="38.25">
      <c r="A1891" s="186" t="str">
        <f>'[3]Planilha Orçamentária'!A502</f>
        <v>1.9.5.3</v>
      </c>
      <c r="B1891" s="187" t="str">
        <f>VLOOKUP(A1891,'[3]Planilha Orçamentária'!A:K,2,0)</f>
        <v>COMP-28881239</v>
      </c>
      <c r="C1891" s="188" t="str">
        <f>VLOOKUP(A1891,'[3]Planilha Orçamentária'!A:K,3,0)</f>
        <v>Base ou sub-base de macadame hidráulico com brita comercial - EXCLUSIVE MATERIAL, CARGA E TRANSPORTE - NÃO DESONERADO</v>
      </c>
      <c r="D1891" s="189" t="str">
        <f>VLOOKUP(A1891,'[3]Planilha Orçamentária'!A:K,4,0)</f>
        <v>M3</v>
      </c>
      <c r="E1891" s="188"/>
      <c r="F1891" s="190"/>
      <c r="G1891" s="190"/>
      <c r="H1891" s="190"/>
      <c r="I1891" s="190"/>
      <c r="J1891" s="203">
        <f>ROUND(SUM(J1893:J1893),2)</f>
        <v>124.51</v>
      </c>
    </row>
    <row r="1892" spans="1:10">
      <c r="A1892" s="186"/>
      <c r="B1892" s="187"/>
      <c r="C1892" s="159" t="s">
        <v>2269</v>
      </c>
      <c r="D1892" s="148"/>
      <c r="E1892" s="147"/>
      <c r="F1892" s="161" t="s">
        <v>1989</v>
      </c>
      <c r="G1892" s="161" t="s">
        <v>1990</v>
      </c>
      <c r="H1892" s="161" t="s">
        <v>2002</v>
      </c>
      <c r="I1892" s="161"/>
      <c r="J1892" s="203"/>
    </row>
    <row r="1893" spans="1:10" ht="28.5">
      <c r="A1893" s="186"/>
      <c r="B1893" s="187"/>
      <c r="C1893" s="204" t="s">
        <v>2020</v>
      </c>
      <c r="D1893" s="148"/>
      <c r="E1893" s="147"/>
      <c r="F1893" s="167">
        <f>F1885</f>
        <v>118.58</v>
      </c>
      <c r="G1893" s="207">
        <f>7+1-1</f>
        <v>7</v>
      </c>
      <c r="H1893" s="207">
        <v>0.15</v>
      </c>
      <c r="I1893" s="167"/>
      <c r="J1893" s="176">
        <f>ROUND(PRODUCT(E1893:I1893),2)</f>
        <v>124.51</v>
      </c>
    </row>
    <row r="1894" spans="1:10">
      <c r="A1894" s="205"/>
      <c r="B1894" s="206"/>
      <c r="C1894" s="171"/>
      <c r="D1894" s="189"/>
      <c r="E1894" s="188"/>
      <c r="F1894" s="207"/>
      <c r="G1894" s="207"/>
      <c r="H1894" s="208"/>
      <c r="I1894" s="209"/>
      <c r="J1894" s="196"/>
    </row>
    <row r="1895" spans="1:10" ht="38.25">
      <c r="A1895" s="177" t="str">
        <f>'[3]Planilha Orçamentária'!A503</f>
        <v>1.9.5.4</v>
      </c>
      <c r="B1895" s="178" t="str">
        <f>VLOOKUP(A1895,'[3]Planilha Orçamentária'!A:K,2,0)</f>
        <v>CP-96396-26507981</v>
      </c>
      <c r="C1895" s="179" t="str">
        <f>VLOOKUP(A1895,'[3]Planilha Orçamentária'!A:K,3,0)</f>
        <v>EXECUÇÃO E COMPACTAÇÃO DE BASE E OU SUB BASE PARA PAVIMENTAÇÃO DE BRITA GRADUADA SIMPLES - EXCLUSIVE MATERIAL, CARGA E TRANSPORTE</v>
      </c>
      <c r="D1895" s="180" t="str">
        <f>VLOOKUP(A1895,'[3]Planilha Orçamentária'!A:K,4,0)</f>
        <v>M3</v>
      </c>
      <c r="E1895" s="179"/>
      <c r="F1895" s="181"/>
      <c r="G1895" s="181"/>
      <c r="H1895" s="181"/>
      <c r="I1895" s="181"/>
      <c r="J1895" s="182">
        <f>ROUND(SUM(J1897:J1897),2)</f>
        <v>142.30000000000001</v>
      </c>
    </row>
    <row r="1896" spans="1:10">
      <c r="A1896" s="177"/>
      <c r="B1896" s="178"/>
      <c r="C1896" s="159" t="s">
        <v>2269</v>
      </c>
      <c r="D1896" s="180"/>
      <c r="E1896" s="184"/>
      <c r="F1896" s="161" t="s">
        <v>1989</v>
      </c>
      <c r="G1896" s="161" t="s">
        <v>1990</v>
      </c>
      <c r="H1896" s="161" t="s">
        <v>2002</v>
      </c>
      <c r="I1896" s="210"/>
      <c r="J1896" s="182"/>
    </row>
    <row r="1897" spans="1:10" ht="28.5">
      <c r="A1897" s="123"/>
      <c r="B1897" s="211"/>
      <c r="C1897" s="204" t="s">
        <v>2020</v>
      </c>
      <c r="D1897" s="185"/>
      <c r="E1897" s="127"/>
      <c r="F1897" s="127">
        <f>F1893</f>
        <v>118.58</v>
      </c>
      <c r="G1897" s="161">
        <f>7-1</f>
        <v>6</v>
      </c>
      <c r="H1897" s="161">
        <v>0.2</v>
      </c>
      <c r="I1897" s="212"/>
      <c r="J1897" s="118">
        <f>ROUND(PRODUCT(E1897:I1897),2)</f>
        <v>142.30000000000001</v>
      </c>
    </row>
    <row r="1898" spans="1:10">
      <c r="A1898" s="546"/>
      <c r="B1898" s="547"/>
      <c r="C1898" s="547"/>
      <c r="D1898" s="547"/>
      <c r="E1898" s="547"/>
      <c r="F1898" s="547"/>
      <c r="G1898" s="547"/>
      <c r="H1898" s="547"/>
      <c r="I1898" s="547"/>
      <c r="J1898" s="548"/>
    </row>
    <row r="1899" spans="1:10" ht="51">
      <c r="A1899" s="132" t="str">
        <f>'[3]Planilha Orçamentária'!A504</f>
        <v>1.9.5.5</v>
      </c>
      <c r="B1899" s="108" t="str">
        <f>VLOOKUP(A1899,'[3]Planilha Orçamentária'!A:K,2,0)</f>
        <v>COMP-35145154</v>
      </c>
      <c r="C1899" s="104" t="str">
        <f>VLOOKUP(A1899,'[3]Planilha Orçamentária'!A:K,3,0)</f>
        <v>CARGA E DESCARGA MECANICA DE SOLO UTILIZANDO CAMINHAO BASCULANTE 14,0M3/36T E PA CARREGADEIRA SOBRE PNEUS 128 HP, CAPACIDADE DA CAÇAMBA 1,7 A 2,8 M3, PESO OPERACIONAL 11632 KH</v>
      </c>
      <c r="D1899" s="105" t="str">
        <f>VLOOKUP(A1899,'[3]Planilha Orçamentária'!A:K,4,0)</f>
        <v>M3</v>
      </c>
      <c r="E1899" s="104"/>
      <c r="F1899" s="111"/>
      <c r="G1899" s="111"/>
      <c r="H1899" s="111"/>
      <c r="I1899" s="111"/>
      <c r="J1899" s="122">
        <f>ROUND(SUM(J1901:J1901),2)</f>
        <v>333.51</v>
      </c>
    </row>
    <row r="1900" spans="1:10" ht="25.5">
      <c r="A1900" s="132"/>
      <c r="B1900" s="108"/>
      <c r="C1900" s="147"/>
      <c r="D1900" s="148"/>
      <c r="E1900" s="220" t="s">
        <v>2006</v>
      </c>
      <c r="F1900" s="106"/>
      <c r="G1900" s="111"/>
      <c r="H1900" s="111"/>
      <c r="I1900" s="143" t="s">
        <v>2022</v>
      </c>
      <c r="J1900" s="122"/>
    </row>
    <row r="1901" spans="1:10" ht="14.25">
      <c r="A1901" s="132"/>
      <c r="B1901" s="108"/>
      <c r="C1901" s="221" t="s">
        <v>2023</v>
      </c>
      <c r="D1901" s="156"/>
      <c r="E1901" s="106">
        <v>1.25</v>
      </c>
      <c r="F1901" s="238"/>
      <c r="G1901" s="205"/>
      <c r="H1901" s="205"/>
      <c r="I1901" s="239">
        <f>J1895+J1891</f>
        <v>266.81</v>
      </c>
      <c r="J1901" s="342">
        <f t="shared" ref="J1901" si="123">ROUND(PRODUCT(E1901:I1901),2)</f>
        <v>333.51</v>
      </c>
    </row>
    <row r="1902" spans="1:10">
      <c r="A1902" s="549"/>
      <c r="B1902" s="549"/>
      <c r="C1902" s="549"/>
      <c r="D1902" s="549"/>
      <c r="E1902" s="549"/>
      <c r="F1902" s="549"/>
      <c r="G1902" s="549"/>
      <c r="H1902" s="549"/>
      <c r="I1902" s="549"/>
      <c r="J1902" s="549"/>
    </row>
    <row r="1903" spans="1:10" ht="25.5">
      <c r="A1903" s="132" t="str">
        <f>'[3]Planilha Orçamentária'!A505</f>
        <v>1.9.5.6</v>
      </c>
      <c r="B1903" s="108" t="str">
        <f>VLOOKUP(A1903,'[3]Planilha Orçamentária'!A:K,2,0)</f>
        <v>COMP-83526730</v>
      </c>
      <c r="C1903" s="104" t="str">
        <f>VLOOKUP(A1903,'[3]Planilha Orçamentária'!A:K,3,0)</f>
        <v>TRANSPORTE COMERCIAL DE BRITA</v>
      </c>
      <c r="D1903" s="105" t="str">
        <f>VLOOKUP(A1903,'[3]Planilha Orçamentária'!A:K,4,0)</f>
        <v>M3XKM</v>
      </c>
      <c r="E1903" s="104"/>
      <c r="F1903" s="111"/>
      <c r="G1903" s="111"/>
      <c r="H1903" s="111"/>
      <c r="I1903" s="111"/>
      <c r="J1903" s="122">
        <f>ROUND(SUM(J1905:J1905),2)</f>
        <v>4235.58</v>
      </c>
    </row>
    <row r="1904" spans="1:10">
      <c r="A1904" s="132"/>
      <c r="B1904" s="108"/>
      <c r="C1904" s="159" t="s">
        <v>2270</v>
      </c>
      <c r="D1904" s="105"/>
      <c r="E1904" s="165" t="s">
        <v>2011</v>
      </c>
      <c r="F1904" s="106"/>
      <c r="G1904" s="106"/>
      <c r="H1904" s="106"/>
      <c r="I1904" s="106" t="s">
        <v>2007</v>
      </c>
      <c r="J1904" s="122"/>
    </row>
    <row r="1905" spans="1:10" ht="14.25">
      <c r="A1905" s="132"/>
      <c r="B1905" s="108"/>
      <c r="C1905" s="204" t="s">
        <v>2271</v>
      </c>
      <c r="D1905" s="174"/>
      <c r="E1905" s="239">
        <v>12.7</v>
      </c>
      <c r="F1905" s="223"/>
      <c r="G1905" s="174"/>
      <c r="H1905" s="174"/>
      <c r="I1905" s="224">
        <f>J1899</f>
        <v>333.51</v>
      </c>
      <c r="J1905" s="342">
        <f t="shared" ref="J1905" si="124">ROUND(PRODUCT(E1905:I1905),2)</f>
        <v>4235.58</v>
      </c>
    </row>
    <row r="1906" spans="1:10">
      <c r="A1906" s="549"/>
      <c r="B1906" s="549"/>
      <c r="C1906" s="549"/>
      <c r="D1906" s="549"/>
      <c r="E1906" s="549"/>
      <c r="F1906" s="549"/>
      <c r="G1906" s="549"/>
      <c r="H1906" s="549"/>
      <c r="I1906" s="549"/>
      <c r="J1906" s="549"/>
    </row>
    <row r="1907" spans="1:10" ht="25.5">
      <c r="A1907" s="186" t="str">
        <f>'[3]Planilha Orçamentária'!A506</f>
        <v>1.9.5.7</v>
      </c>
      <c r="B1907" s="187" t="str">
        <f>VLOOKUP(A1907,'[3]Planilha Orçamentária'!A:K,2,0)</f>
        <v>CP-96401-52745838</v>
      </c>
      <c r="C1907" s="188" t="str">
        <f>VLOOKUP(A1907,'[3]Planilha Orçamentária'!A:K,3,0)</f>
        <v>EXECUÇÃO DE IMPRIMAÇÃO COM ASFALTO DILUÍDO CM-30, EXCLUSIVE MATERIAL.</v>
      </c>
      <c r="D1907" s="189" t="str">
        <f>VLOOKUP(A1907,'[3]Planilha Orçamentária'!A:K,4,0)</f>
        <v>M2</v>
      </c>
      <c r="E1907" s="188"/>
      <c r="F1907" s="190"/>
      <c r="G1907" s="190"/>
      <c r="H1907" s="190"/>
      <c r="I1907" s="190"/>
      <c r="J1907" s="150">
        <f>ROUND(SUM(J1909:J1911),2)</f>
        <v>668.67</v>
      </c>
    </row>
    <row r="1908" spans="1:10">
      <c r="A1908" s="186"/>
      <c r="B1908" s="187"/>
      <c r="C1908" s="159" t="s">
        <v>2269</v>
      </c>
      <c r="D1908" s="189"/>
      <c r="E1908" s="188"/>
      <c r="F1908" s="190"/>
      <c r="G1908" s="190"/>
      <c r="H1908" s="208"/>
      <c r="I1908" s="161" t="s">
        <v>2003</v>
      </c>
      <c r="J1908" s="150"/>
    </row>
    <row r="1909" spans="1:10" ht="28.5">
      <c r="A1909" s="174"/>
      <c r="B1909" s="174"/>
      <c r="C1909" s="221" t="s">
        <v>2027</v>
      </c>
      <c r="D1909" s="174"/>
      <c r="E1909" s="174"/>
      <c r="F1909" s="223"/>
      <c r="G1909" s="174"/>
      <c r="H1909" s="224"/>
      <c r="I1909" s="224">
        <f>[3]PARÂMETROS!F748</f>
        <v>801.92</v>
      </c>
      <c r="J1909" s="158">
        <f>ROUND(PRODUCT(E1909:I1909),2)</f>
        <v>801.92</v>
      </c>
    </row>
    <row r="1910" spans="1:10" ht="14.25">
      <c r="A1910" s="174"/>
      <c r="B1910" s="174"/>
      <c r="C1910" s="221"/>
      <c r="D1910" s="174"/>
      <c r="E1910" s="174"/>
      <c r="F1910" s="161" t="s">
        <v>1989</v>
      </c>
      <c r="G1910" s="161" t="s">
        <v>1990</v>
      </c>
      <c r="H1910" s="224"/>
      <c r="I1910" s="224"/>
      <c r="J1910" s="158"/>
    </row>
    <row r="1911" spans="1:10" ht="14.25">
      <c r="A1911" s="174"/>
      <c r="B1911" s="174"/>
      <c r="C1911" s="221" t="s">
        <v>2028</v>
      </c>
      <c r="D1911" s="174"/>
      <c r="E1911" s="174">
        <v>-1</v>
      </c>
      <c r="F1911" s="223">
        <v>133.25</v>
      </c>
      <c r="G1911" s="174">
        <v>1</v>
      </c>
      <c r="H1911" s="224"/>
      <c r="I1911" s="224"/>
      <c r="J1911" s="158">
        <f>ROUND(PRODUCT(E1911:I1911),2)</f>
        <v>-133.25</v>
      </c>
    </row>
    <row r="1912" spans="1:10">
      <c r="A1912" s="549"/>
      <c r="B1912" s="549"/>
      <c r="C1912" s="549"/>
      <c r="D1912" s="549"/>
      <c r="E1912" s="549"/>
      <c r="F1912" s="549"/>
      <c r="G1912" s="549"/>
      <c r="H1912" s="549"/>
      <c r="I1912" s="549"/>
      <c r="J1912" s="549"/>
    </row>
    <row r="1913" spans="1:10" ht="38.25">
      <c r="A1913" s="225" t="str">
        <f>'[3]Planilha Orçamentária'!A507</f>
        <v>1.9.5.8</v>
      </c>
      <c r="B1913" s="226" t="str">
        <f>VLOOKUP(A1913,'[3]Planilha Orçamentária'!A:K,2,0)</f>
        <v>CP-95995-51339760</v>
      </c>
      <c r="C1913" s="227" t="str">
        <f>VLOOKUP(A1913,'[3]Planilha Orçamentária'!A:K,3,0)</f>
        <v>EXECUÇÃO DE PAVIMENTO COM APLICAÇÃO DE CONCRETO ASFÁLTICO, CAMADA DE ROLAMENTO - EXCLUSIVE CARGA E TRANSPORTE E CONCRETO BETUMINOSO</v>
      </c>
      <c r="D1913" s="228" t="str">
        <f>VLOOKUP(A1913,'[3]Planilha Orçamentária'!A:K,4,0)</f>
        <v>M3</v>
      </c>
      <c r="E1913" s="227"/>
      <c r="F1913" s="229"/>
      <c r="G1913" s="229"/>
      <c r="H1913" s="229"/>
      <c r="I1913" s="229"/>
      <c r="J1913" s="182">
        <f>ROUND(SUM(J1914:J1917),2)</f>
        <v>33.44</v>
      </c>
    </row>
    <row r="1914" spans="1:10">
      <c r="A1914" s="329"/>
      <c r="B1914" s="416"/>
      <c r="C1914" s="162" t="s">
        <v>2269</v>
      </c>
      <c r="D1914" s="254"/>
      <c r="E1914" s="359"/>
      <c r="F1914" s="320"/>
      <c r="G1914" s="320"/>
      <c r="H1914" s="320" t="s">
        <v>2002</v>
      </c>
      <c r="I1914" s="169" t="s">
        <v>2003</v>
      </c>
      <c r="J1914" s="306"/>
    </row>
    <row r="1915" spans="1:10" ht="14.25">
      <c r="A1915" s="174"/>
      <c r="B1915" s="174"/>
      <c r="C1915" s="221" t="s">
        <v>2029</v>
      </c>
      <c r="D1915" s="174"/>
      <c r="E1915" s="224"/>
      <c r="F1915" s="223"/>
      <c r="G1915" s="174"/>
      <c r="H1915" s="174">
        <v>0.05</v>
      </c>
      <c r="I1915" s="224">
        <f>J1909</f>
        <v>801.92</v>
      </c>
      <c r="J1915" s="158">
        <f>ROUND(PRODUCT(E1915:I1915),2)</f>
        <v>40.1</v>
      </c>
    </row>
    <row r="1916" spans="1:10" ht="14.25">
      <c r="A1916" s="174"/>
      <c r="B1916" s="174"/>
      <c r="C1916" s="221"/>
      <c r="D1916" s="174"/>
      <c r="E1916" s="174"/>
      <c r="F1916" s="161" t="s">
        <v>1989</v>
      </c>
      <c r="G1916" s="161" t="s">
        <v>1990</v>
      </c>
      <c r="H1916" s="106" t="s">
        <v>2002</v>
      </c>
      <c r="I1916" s="224"/>
      <c r="J1916" s="158"/>
    </row>
    <row r="1917" spans="1:10" ht="14.25">
      <c r="A1917" s="174"/>
      <c r="B1917" s="174"/>
      <c r="C1917" s="221" t="s">
        <v>2028</v>
      </c>
      <c r="D1917" s="174"/>
      <c r="E1917" s="174">
        <v>-1</v>
      </c>
      <c r="F1917" s="223">
        <f>F1911</f>
        <v>133.25</v>
      </c>
      <c r="G1917" s="174">
        <v>1</v>
      </c>
      <c r="H1917" s="174">
        <v>0.05</v>
      </c>
      <c r="I1917" s="224"/>
      <c r="J1917" s="158">
        <f>ROUND(PRODUCT(E1917:I1917),2)</f>
        <v>-6.66</v>
      </c>
    </row>
    <row r="1918" spans="1:10">
      <c r="A1918" s="546"/>
      <c r="B1918" s="547"/>
      <c r="C1918" s="547"/>
      <c r="D1918" s="547"/>
      <c r="E1918" s="547"/>
      <c r="F1918" s="547"/>
      <c r="G1918" s="547"/>
      <c r="H1918" s="547"/>
      <c r="I1918" s="547"/>
      <c r="J1918" s="547"/>
    </row>
    <row r="1919" spans="1:10" ht="38.25">
      <c r="A1919" s="132" t="str">
        <f>'[3]Planilha Orçamentária'!A508</f>
        <v>1.9.5.9</v>
      </c>
      <c r="B1919" s="108" t="str">
        <f>VLOOKUP(A1919,'[3]Planilha Orçamentária'!A:K,2,0)</f>
        <v>COMP-10034101</v>
      </c>
      <c r="C1919" s="104" t="str">
        <f>VLOOKUP(A1919,'[3]Planilha Orçamentária'!A:K,3,0)</f>
        <v>CARGA, MANOBRAS E DESCARGA DE MISTURA BETUMINOSA A QUENTE, COM CAMINHAO BASCULANTE 6 M3, DESCARGA EM VIBRO-ACABADORA</v>
      </c>
      <c r="D1919" s="105" t="str">
        <f>VLOOKUP(A1919,'[3]Planilha Orçamentária'!A:K,4,0)</f>
        <v>M3</v>
      </c>
      <c r="E1919" s="104"/>
      <c r="F1919" s="111"/>
      <c r="G1919" s="111"/>
      <c r="H1919" s="111"/>
      <c r="I1919" s="111"/>
      <c r="J1919" s="122">
        <f>ROUND(SUM(J1921:J1921),2)</f>
        <v>33.44</v>
      </c>
    </row>
    <row r="1920" spans="1:10" ht="14.25">
      <c r="A1920" s="132"/>
      <c r="B1920" s="108"/>
      <c r="C1920" s="204"/>
      <c r="D1920" s="105"/>
      <c r="E1920" s="104"/>
      <c r="F1920" s="106"/>
      <c r="G1920" s="111"/>
      <c r="H1920" s="111"/>
      <c r="I1920" s="143" t="s">
        <v>2007</v>
      </c>
      <c r="J1920" s="122"/>
    </row>
    <row r="1921" spans="1:10" ht="14.25">
      <c r="A1921" s="225"/>
      <c r="B1921" s="236"/>
      <c r="C1921" s="237" t="s">
        <v>2030</v>
      </c>
      <c r="D1921" s="205"/>
      <c r="E1921" s="205"/>
      <c r="F1921" s="238"/>
      <c r="G1921" s="205"/>
      <c r="H1921" s="205"/>
      <c r="I1921" s="239">
        <f>J1913</f>
        <v>33.44</v>
      </c>
      <c r="J1921" s="128">
        <f t="shared" ref="J1921" si="125">ROUND(PRODUCT(E1921:I1921),2)</f>
        <v>33.44</v>
      </c>
    </row>
    <row r="1922" spans="1:10">
      <c r="A1922" s="528"/>
      <c r="B1922" s="529"/>
      <c r="C1922" s="529"/>
      <c r="D1922" s="529"/>
      <c r="E1922" s="529"/>
      <c r="F1922" s="529"/>
      <c r="G1922" s="529"/>
      <c r="H1922" s="529"/>
      <c r="I1922" s="529"/>
      <c r="J1922" s="529"/>
    </row>
    <row r="1923" spans="1:10" ht="25.5">
      <c r="A1923" s="132" t="str">
        <f>'[3]Planilha Orçamentária'!A509</f>
        <v>1.9.5.10</v>
      </c>
      <c r="B1923" s="108" t="str">
        <f>VLOOKUP(A1923,'[3]Planilha Orçamentária'!A:K,2,0)</f>
        <v>CP-95303-56931542</v>
      </c>
      <c r="C1923" s="104" t="str">
        <f>VLOOKUP(A1923,'[3]Planilha Orçamentária'!A:K,3,0)</f>
        <v>TRANSPORTE COM CAMINHÃO BASCULANTE 10 M3 DE MASSA ASFALTICA PARA PAVIMENTAÇÃO URBANA</v>
      </c>
      <c r="D1923" s="105" t="str">
        <f>VLOOKUP(A1923,'[3]Planilha Orçamentária'!A:K,4,0)</f>
        <v>M3XKM</v>
      </c>
      <c r="E1923" s="104"/>
      <c r="F1923" s="111"/>
      <c r="G1923" s="111"/>
      <c r="H1923" s="111"/>
      <c r="I1923" s="111"/>
      <c r="J1923" s="122">
        <f>ROUND(SUM(J1925:J1925),2)</f>
        <v>759.09</v>
      </c>
    </row>
    <row r="1924" spans="1:10" ht="25.5">
      <c r="A1924" s="132"/>
      <c r="B1924" s="108"/>
      <c r="C1924" s="159" t="s">
        <v>2272</v>
      </c>
      <c r="D1924" s="241"/>
      <c r="E1924" s="165" t="s">
        <v>2011</v>
      </c>
      <c r="F1924" s="106"/>
      <c r="G1924" s="106"/>
      <c r="H1924" s="160"/>
      <c r="I1924" s="167" t="s">
        <v>2025</v>
      </c>
      <c r="J1924" s="122"/>
    </row>
    <row r="1925" spans="1:10" ht="14.25">
      <c r="A1925" s="225"/>
      <c r="B1925" s="236"/>
      <c r="C1925" s="221" t="s">
        <v>2273</v>
      </c>
      <c r="D1925" s="241"/>
      <c r="E1925" s="127">
        <v>22.7</v>
      </c>
      <c r="F1925" s="106"/>
      <c r="G1925" s="242"/>
      <c r="H1925" s="160"/>
      <c r="I1925" s="243">
        <f>J1919</f>
        <v>33.44</v>
      </c>
      <c r="J1925" s="128">
        <f t="shared" ref="J1925" si="126">ROUND(PRODUCT(E1925:I1925),2)</f>
        <v>759.09</v>
      </c>
    </row>
    <row r="1926" spans="1:10">
      <c r="A1926" s="528"/>
      <c r="B1926" s="529"/>
      <c r="C1926" s="529"/>
      <c r="D1926" s="529"/>
      <c r="E1926" s="529"/>
      <c r="F1926" s="529"/>
      <c r="G1926" s="529"/>
      <c r="H1926" s="529"/>
      <c r="I1926" s="529"/>
      <c r="J1926" s="529"/>
    </row>
    <row r="1927" spans="1:10" ht="25.5">
      <c r="A1927" s="132" t="str">
        <f>'[3]Planilha Orçamentária'!A510</f>
        <v>1.9.5.11</v>
      </c>
      <c r="B1927" s="108" t="str">
        <f>VLOOKUP(A1927,'[3]Planilha Orçamentária'!A:K,2,0)</f>
        <v>CP-97084-89637704</v>
      </c>
      <c r="C1927" s="104" t="str">
        <f>VLOOKUP(A1927,'[3]Planilha Orçamentária'!A:K,3,0)</f>
        <v>REGULARIZACAO E COMPACTAÇÃO MANUAL DE TERRENO COM PLACA VIBRATÓRIA</v>
      </c>
      <c r="D1927" s="105" t="str">
        <f>VLOOKUP(A1927,'[3]Planilha Orçamentária'!A:K,4,0)</f>
        <v>M2</v>
      </c>
      <c r="E1927" s="104"/>
      <c r="F1927" s="111"/>
      <c r="G1927" s="111"/>
      <c r="H1927" s="111"/>
      <c r="I1927" s="111"/>
      <c r="J1927" s="122">
        <f>ROUND(SUM(J1929:J1929),2)</f>
        <v>564.66999999999996</v>
      </c>
    </row>
    <row r="1928" spans="1:10">
      <c r="A1928" s="132"/>
      <c r="B1928" s="108"/>
      <c r="C1928" s="159" t="s">
        <v>2269</v>
      </c>
      <c r="D1928" s="105"/>
      <c r="E1928" s="104"/>
      <c r="F1928" s="106"/>
      <c r="G1928" s="111"/>
      <c r="H1928" s="111"/>
      <c r="I1928" s="161" t="s">
        <v>2003</v>
      </c>
      <c r="J1928" s="122"/>
    </row>
    <row r="1929" spans="1:10">
      <c r="A1929" s="225"/>
      <c r="B1929" s="236"/>
      <c r="C1929" s="244" t="s">
        <v>2033</v>
      </c>
      <c r="D1929" s="174"/>
      <c r="E1929" s="174"/>
      <c r="F1929" s="223"/>
      <c r="G1929" s="143"/>
      <c r="H1929" s="143"/>
      <c r="I1929" s="127">
        <v>564.66999999999996</v>
      </c>
      <c r="J1929" s="128">
        <f t="shared" ref="J1929" si="127">ROUND(PRODUCT(E1929:I1929),2)</f>
        <v>564.66999999999996</v>
      </c>
    </row>
    <row r="1930" spans="1:10">
      <c r="A1930" s="528"/>
      <c r="B1930" s="529"/>
      <c r="C1930" s="529"/>
      <c r="D1930" s="529"/>
      <c r="E1930" s="529"/>
      <c r="F1930" s="529"/>
      <c r="G1930" s="529"/>
      <c r="H1930" s="529"/>
      <c r="I1930" s="529"/>
      <c r="J1930" s="529"/>
    </row>
    <row r="1931" spans="1:10" ht="51">
      <c r="A1931" s="132" t="str">
        <f>'[3]Planilha Orçamentária'!A511</f>
        <v>1.9.5.12</v>
      </c>
      <c r="B1931" s="108" t="str">
        <f>VLOOKUP(A1931,'[3]Planilha Orçamentária'!A:K,2,0)</f>
        <v>CP-94991-12549457</v>
      </c>
      <c r="C1931" s="104" t="str">
        <f>VLOOKUP(A1931,'[3]Planilha Orçamentária'!A:K,3,0)</f>
        <v>EXECUÇÃO DE PASSEIO (CALÇADA) OU PISO DE CONCRETO COM CONCRETO MOLDADO IN LOCO, USINADO, ACABAMENTO CONVENCIONAL, NÃO ARMADO - EXCLUINDO O CONCRETO USINADO 20MPA</v>
      </c>
      <c r="D1931" s="105" t="str">
        <f>VLOOKUP(A1931,'[3]Planilha Orçamentária'!A:K,4,0)</f>
        <v>M3</v>
      </c>
      <c r="E1931" s="104"/>
      <c r="F1931" s="111"/>
      <c r="G1931" s="111"/>
      <c r="H1931" s="111"/>
      <c r="I1931" s="111"/>
      <c r="J1931" s="122">
        <f>ROUND(SUM(J1933:J1934),2)</f>
        <v>36.14</v>
      </c>
    </row>
    <row r="1932" spans="1:10">
      <c r="A1932" s="132"/>
      <c r="B1932" s="108"/>
      <c r="C1932" s="159" t="s">
        <v>2269</v>
      </c>
      <c r="D1932" s="105"/>
      <c r="E1932" s="104"/>
      <c r="F1932" s="106"/>
      <c r="G1932" s="111"/>
      <c r="H1932" s="111"/>
      <c r="I1932" s="111"/>
      <c r="J1932" s="122"/>
    </row>
    <row r="1933" spans="1:10">
      <c r="A1933" s="225"/>
      <c r="B1933" s="236"/>
      <c r="C1933" s="244" t="s">
        <v>2033</v>
      </c>
      <c r="D1933" s="174"/>
      <c r="E1933" s="174"/>
      <c r="F1933" s="223"/>
      <c r="G1933" s="143"/>
      <c r="H1933" s="143">
        <v>7.0000000000000007E-2</v>
      </c>
      <c r="I1933" s="127">
        <f>J1927</f>
        <v>564.66999999999996</v>
      </c>
      <c r="J1933" s="128">
        <f t="shared" ref="J1933:J1934" si="128">ROUND(PRODUCT(E1933:I1933),2)</f>
        <v>39.53</v>
      </c>
    </row>
    <row r="1934" spans="1:10">
      <c r="A1934" s="132"/>
      <c r="B1934" s="108"/>
      <c r="C1934" s="155" t="s">
        <v>2034</v>
      </c>
      <c r="D1934" s="174"/>
      <c r="E1934" s="174">
        <v>-1</v>
      </c>
      <c r="F1934" s="223"/>
      <c r="G1934" s="143"/>
      <c r="H1934" s="143">
        <v>7.0000000000000007E-2</v>
      </c>
      <c r="I1934" s="127">
        <f>J2053</f>
        <v>48.36</v>
      </c>
      <c r="J1934" s="128">
        <f t="shared" si="128"/>
        <v>-3.39</v>
      </c>
    </row>
    <row r="1935" spans="1:10">
      <c r="A1935" s="528"/>
      <c r="B1935" s="529"/>
      <c r="C1935" s="529"/>
      <c r="D1935" s="529"/>
      <c r="E1935" s="529"/>
      <c r="F1935" s="529"/>
      <c r="G1935" s="529"/>
      <c r="H1935" s="529"/>
      <c r="I1935" s="529"/>
      <c r="J1935" s="529"/>
    </row>
    <row r="1936" spans="1:10" ht="63.75">
      <c r="A1936" s="132" t="str">
        <f>'[3]Planilha Orçamentária'!A512</f>
        <v>1.9.5.13</v>
      </c>
      <c r="B1936" s="108">
        <f>VLOOKUP(A1936,'[3]Planilha Orçamentária'!A:K,2,0)</f>
        <v>94273</v>
      </c>
      <c r="C1936" s="104" t="str">
        <f>VLOOKUP(A1936,'[3]Planilha Orçamentária'!A:K,3,0)</f>
        <v>ASSENTAMENTO DE GUIA (MEIO-FIO) EM TRECHO RETO, CONFECCIONADA EM CONCRETO PRÉ-FABRICADO, DIMENSÕES 100X15X13X30 CM (COMPRIMENTO X BASE INFERIOR X BASE SUPERIOR X ALTURA), PARA VIAS URBANAS (USO VIÁRIO). AF_06/2016</v>
      </c>
      <c r="D1936" s="105" t="str">
        <f>VLOOKUP(A1936,'[3]Planilha Orçamentária'!A:K,4,0)</f>
        <v>M</v>
      </c>
      <c r="E1936" s="104"/>
      <c r="F1936" s="111"/>
      <c r="G1936" s="111"/>
      <c r="H1936" s="111"/>
      <c r="I1936" s="111"/>
      <c r="J1936" s="122">
        <f>ROUND(SUM(J1938:J1939),2)</f>
        <v>270.06</v>
      </c>
    </row>
    <row r="1937" spans="1:10">
      <c r="A1937" s="132"/>
      <c r="B1937" s="108"/>
      <c r="C1937" s="159" t="s">
        <v>2269</v>
      </c>
      <c r="D1937" s="105"/>
      <c r="E1937" s="104"/>
      <c r="F1937" s="106" t="s">
        <v>1989</v>
      </c>
      <c r="G1937" s="111"/>
      <c r="H1937" s="111"/>
      <c r="I1937" s="111"/>
      <c r="J1937" s="122"/>
    </row>
    <row r="1938" spans="1:10" ht="25.5">
      <c r="A1938" s="225"/>
      <c r="B1938" s="236"/>
      <c r="C1938" s="245" t="s">
        <v>2035</v>
      </c>
      <c r="D1938" s="228"/>
      <c r="E1938" s="227"/>
      <c r="F1938" s="246">
        <f>236.43-F1943</f>
        <v>218.36</v>
      </c>
      <c r="G1938" s="229"/>
      <c r="H1938" s="229"/>
      <c r="I1938" s="229"/>
      <c r="J1938" s="128">
        <f t="shared" ref="J1938:J1939" si="129">ROUND(PRODUCT(E1938:I1938),2)</f>
        <v>218.36</v>
      </c>
    </row>
    <row r="1939" spans="1:10">
      <c r="A1939" s="132"/>
      <c r="B1939" s="108"/>
      <c r="C1939" s="247" t="s">
        <v>2036</v>
      </c>
      <c r="D1939" s="105"/>
      <c r="E1939" s="104"/>
      <c r="F1939" s="223">
        <f>[3]PARÂMETROS!B752</f>
        <v>51.7</v>
      </c>
      <c r="G1939" s="111"/>
      <c r="H1939" s="111"/>
      <c r="I1939" s="111"/>
      <c r="J1939" s="128">
        <f t="shared" si="129"/>
        <v>51.7</v>
      </c>
    </row>
    <row r="1940" spans="1:10">
      <c r="A1940" s="528"/>
      <c r="B1940" s="529"/>
      <c r="C1940" s="529"/>
      <c r="D1940" s="529"/>
      <c r="E1940" s="529"/>
      <c r="F1940" s="529"/>
      <c r="G1940" s="529"/>
      <c r="H1940" s="529"/>
      <c r="I1940" s="529"/>
      <c r="J1940" s="529"/>
    </row>
    <row r="1941" spans="1:10" ht="63.75">
      <c r="A1941" s="132" t="str">
        <f>'[3]Planilha Orçamentária'!A513</f>
        <v>1.9.5.14</v>
      </c>
      <c r="B1941" s="108">
        <f>VLOOKUP(A1941,'[3]Planilha Orçamentária'!A:K,2,0)</f>
        <v>94274</v>
      </c>
      <c r="C1941" s="104" t="str">
        <f>VLOOKUP(A1941,'[3]Planilha Orçamentária'!A:K,3,0)</f>
        <v>ASSENTAMENTO DE GUIA (MEIO-FIO) EM TRECHO CURVO, CONFECCIONADA EM CONCRETO PRÉ-FABRICADO, DIMENSÕES 100X15X13X30 CM (COMPRIMENTO X BASE INFERIOR X BASE SUPERIOR X ALTURA), PARA VIAS URBANAS (USO VIÁRIO). AF_06/2016</v>
      </c>
      <c r="D1941" s="105" t="str">
        <f>VLOOKUP(A1941,'[3]Planilha Orçamentária'!A:K,4,0)</f>
        <v>M</v>
      </c>
      <c r="E1941" s="104"/>
      <c r="F1941" s="111"/>
      <c r="G1941" s="111"/>
      <c r="H1941" s="111"/>
      <c r="I1941" s="111"/>
      <c r="J1941" s="122">
        <f>ROUND(SUM(J1943:J1943),2)</f>
        <v>18.07</v>
      </c>
    </row>
    <row r="1942" spans="1:10">
      <c r="A1942" s="132"/>
      <c r="B1942" s="108"/>
      <c r="C1942" s="159" t="s">
        <v>2269</v>
      </c>
      <c r="D1942" s="105"/>
      <c r="E1942" s="104"/>
      <c r="F1942" s="106" t="s">
        <v>1989</v>
      </c>
      <c r="G1942" s="111"/>
      <c r="H1942" s="111"/>
      <c r="I1942" s="111"/>
      <c r="J1942" s="122"/>
    </row>
    <row r="1943" spans="1:10">
      <c r="A1943" s="225"/>
      <c r="B1943" s="236"/>
      <c r="C1943" s="245" t="s">
        <v>2037</v>
      </c>
      <c r="D1943" s="228"/>
      <c r="E1943" s="227"/>
      <c r="F1943" s="246">
        <f>1.89+0.35+4.35+3.93+4.08+3.47</f>
        <v>18.07</v>
      </c>
      <c r="G1943" s="229"/>
      <c r="H1943" s="229"/>
      <c r="I1943" s="229"/>
      <c r="J1943" s="128">
        <f t="shared" ref="J1943" si="130">ROUND(PRODUCT(E1943:I1943),2)</f>
        <v>18.07</v>
      </c>
    </row>
    <row r="1944" spans="1:10">
      <c r="A1944" s="528"/>
      <c r="B1944" s="529"/>
      <c r="C1944" s="529"/>
      <c r="D1944" s="529"/>
      <c r="E1944" s="529"/>
      <c r="F1944" s="529"/>
      <c r="G1944" s="529"/>
      <c r="H1944" s="529"/>
      <c r="I1944" s="529"/>
      <c r="J1944" s="529"/>
    </row>
    <row r="1945" spans="1:10" ht="76.5">
      <c r="A1945" s="132" t="str">
        <f>'[3]Planilha Orçamentária'!A514</f>
        <v>1.9.5.15</v>
      </c>
      <c r="B1945" s="108">
        <f>VLOOKUP(A1945,'[3]Planilha Orçamentária'!A:K,2,0)</f>
        <v>94275</v>
      </c>
      <c r="C1945" s="104" t="str">
        <f>VLOOKUP(A1945,'[3]Planilha Orçamentária'!A:K,3,0)</f>
        <v>ASSENTAMENTO DE GUIA (MEIO-FIO) EM TRECHO RETO, CONFECCIONADA EM CONCRETO PRÉ-FABRICADO, DIMENSÕES 100X15X13X20 CM (COMPRIMENTO X BASE INFERIOR X BASE SUPERIOR X ALTURA), PARA URBANIZAÇÃO INTERNA DE EMPREENDIMENTOS. AF_06/2016_P</v>
      </c>
      <c r="D1945" s="105" t="str">
        <f>VLOOKUP(A1945,'[3]Planilha Orçamentária'!A:K,4,0)</f>
        <v>M</v>
      </c>
      <c r="E1945" s="104"/>
      <c r="F1945" s="111"/>
      <c r="G1945" s="111"/>
      <c r="H1945" s="111"/>
      <c r="I1945" s="111"/>
      <c r="J1945" s="122">
        <f>ROUND(SUM(J1947:J1947),2)</f>
        <v>98</v>
      </c>
    </row>
    <row r="1946" spans="1:10">
      <c r="A1946" s="132"/>
      <c r="B1946" s="108"/>
      <c r="C1946" s="159" t="s">
        <v>2269</v>
      </c>
      <c r="D1946" s="105"/>
      <c r="E1946" s="104"/>
      <c r="F1946" s="106" t="s">
        <v>1989</v>
      </c>
      <c r="G1946" s="111"/>
      <c r="H1946" s="111"/>
      <c r="I1946" s="111"/>
      <c r="J1946" s="122"/>
    </row>
    <row r="1947" spans="1:10" ht="25.5">
      <c r="A1947" s="225"/>
      <c r="B1947" s="236"/>
      <c r="C1947" s="245" t="s">
        <v>2038</v>
      </c>
      <c r="D1947" s="228"/>
      <c r="E1947" s="227"/>
      <c r="F1947" s="246">
        <f>[3]PARÂMETROS!B756</f>
        <v>98</v>
      </c>
      <c r="G1947" s="229"/>
      <c r="H1947" s="229"/>
      <c r="I1947" s="229"/>
      <c r="J1947" s="128">
        <f t="shared" ref="J1947" si="131">ROUND(PRODUCT(E1947:I1947),2)</f>
        <v>98</v>
      </c>
    </row>
    <row r="1948" spans="1:10">
      <c r="A1948" s="528"/>
      <c r="B1948" s="529"/>
      <c r="C1948" s="529"/>
      <c r="D1948" s="529"/>
      <c r="E1948" s="529"/>
      <c r="F1948" s="529"/>
      <c r="G1948" s="529"/>
      <c r="H1948" s="529"/>
      <c r="I1948" s="529"/>
      <c r="J1948" s="529"/>
    </row>
    <row r="1949" spans="1:10" ht="38.25">
      <c r="A1949" s="132" t="str">
        <f>'[3]Planilha Orçamentária'!A515</f>
        <v>1.9.5.16</v>
      </c>
      <c r="B1949" s="108">
        <f>VLOOKUP(A1949,'[3]Planilha Orçamentária'!A:K,2,0)</f>
        <v>94287</v>
      </c>
      <c r="C1949" s="104" t="str">
        <f>VLOOKUP(A1949,'[3]Planilha Orçamentária'!A:K,3,0)</f>
        <v>EXECUÇÃO DE SARJETA DE CONCRETO USINADO, MOLDADA  IN LOCO  EM TRECHO RETO, 30 CM BASE X 10 CM ALTURA. AF_06/2016</v>
      </c>
      <c r="D1949" s="105" t="str">
        <f>VLOOKUP(A1949,'[3]Planilha Orçamentária'!A:K,4,0)</f>
        <v>M</v>
      </c>
      <c r="E1949" s="104"/>
      <c r="F1949" s="111"/>
      <c r="G1949" s="111"/>
      <c r="H1949" s="111"/>
      <c r="I1949" s="111"/>
      <c r="J1949" s="122">
        <f>ROUND(SUM(J1951:J1951),2)</f>
        <v>1.1499999999999999</v>
      </c>
    </row>
    <row r="1950" spans="1:10">
      <c r="A1950" s="132"/>
      <c r="B1950" s="108"/>
      <c r="C1950" s="159" t="s">
        <v>2269</v>
      </c>
      <c r="D1950" s="105"/>
      <c r="E1950" s="104"/>
      <c r="F1950" s="106" t="s">
        <v>1989</v>
      </c>
      <c r="G1950" s="111"/>
      <c r="H1950" s="111"/>
      <c r="I1950" s="111"/>
      <c r="J1950" s="122"/>
    </row>
    <row r="1951" spans="1:10">
      <c r="A1951" s="225"/>
      <c r="B1951" s="236"/>
      <c r="C1951" s="245" t="s">
        <v>2274</v>
      </c>
      <c r="D1951" s="228"/>
      <c r="E1951" s="227"/>
      <c r="F1951" s="246">
        <f>(3.87/0.3)-F1955</f>
        <v>1.1500000000000004</v>
      </c>
      <c r="G1951" s="229"/>
      <c r="H1951" s="229"/>
      <c r="I1951" s="229"/>
      <c r="J1951" s="128">
        <f t="shared" ref="J1951" si="132">ROUND(PRODUCT(E1951:I1951),2)</f>
        <v>1.1499999999999999</v>
      </c>
    </row>
    <row r="1952" spans="1:10">
      <c r="A1952" s="528"/>
      <c r="B1952" s="529"/>
      <c r="C1952" s="529"/>
      <c r="D1952" s="529"/>
      <c r="E1952" s="529"/>
      <c r="F1952" s="529"/>
      <c r="G1952" s="529"/>
      <c r="H1952" s="529"/>
      <c r="I1952" s="529"/>
      <c r="J1952" s="529"/>
    </row>
    <row r="1953" spans="1:10" ht="38.25">
      <c r="A1953" s="132" t="str">
        <f>'[3]Planilha Orçamentária'!A516</f>
        <v>1.9.5.17</v>
      </c>
      <c r="B1953" s="108">
        <f>VLOOKUP(A1953,'[3]Planilha Orçamentária'!A:K,2,0)</f>
        <v>94288</v>
      </c>
      <c r="C1953" s="104" t="str">
        <f>VLOOKUP(A1953,'[3]Planilha Orçamentária'!A:K,3,0)</f>
        <v>EXECUÇÃO DE SARJETA DE CONCRETO USINADO, MOLDADA  IN LOCO  EM TRECHO CURVO, 30 CM BASE X 10 CM ALTURA. AF_06/2016</v>
      </c>
      <c r="D1953" s="105" t="str">
        <f>VLOOKUP(A1953,'[3]Planilha Orçamentária'!A:K,4,0)</f>
        <v>M</v>
      </c>
      <c r="E1953" s="104"/>
      <c r="F1953" s="111"/>
      <c r="G1953" s="111"/>
      <c r="H1953" s="111"/>
      <c r="I1953" s="111"/>
      <c r="J1953" s="122">
        <f>ROUND(SUM(J1955:J1955),2)</f>
        <v>11.75</v>
      </c>
    </row>
    <row r="1954" spans="1:10">
      <c r="A1954" s="132"/>
      <c r="B1954" s="108"/>
      <c r="C1954" s="159" t="s">
        <v>2269</v>
      </c>
      <c r="D1954" s="105"/>
      <c r="E1954" s="104"/>
      <c r="F1954" s="106" t="s">
        <v>1989</v>
      </c>
      <c r="G1954" s="111"/>
      <c r="H1954" s="111"/>
      <c r="I1954" s="111"/>
      <c r="J1954" s="122"/>
    </row>
    <row r="1955" spans="1:10">
      <c r="A1955" s="225"/>
      <c r="B1955" s="236"/>
      <c r="C1955" s="245" t="s">
        <v>2044</v>
      </c>
      <c r="D1955" s="228"/>
      <c r="E1955" s="227"/>
      <c r="F1955" s="246">
        <f>3.47+4.35+3.93</f>
        <v>11.75</v>
      </c>
      <c r="G1955" s="229"/>
      <c r="H1955" s="229"/>
      <c r="I1955" s="229"/>
      <c r="J1955" s="128">
        <f t="shared" ref="J1955" si="133">ROUND(PRODUCT(E1955:I1955),2)</f>
        <v>11.75</v>
      </c>
    </row>
    <row r="1956" spans="1:10">
      <c r="A1956" s="528"/>
      <c r="B1956" s="529"/>
      <c r="C1956" s="529"/>
      <c r="D1956" s="529"/>
      <c r="E1956" s="529"/>
      <c r="F1956" s="529"/>
      <c r="G1956" s="529"/>
      <c r="H1956" s="529"/>
      <c r="I1956" s="529"/>
      <c r="J1956" s="529"/>
    </row>
    <row r="1957" spans="1:10" ht="25.5">
      <c r="A1957" s="132" t="str">
        <f>'[3]Planilha Orçamentária'!A517</f>
        <v>1.9.5.18</v>
      </c>
      <c r="B1957" s="108">
        <f>VLOOKUP(A1957,'[3]Planilha Orçamentária'!A:K,2,0)</f>
        <v>98511</v>
      </c>
      <c r="C1957" s="104" t="str">
        <f>VLOOKUP(A1957,'[3]Planilha Orçamentária'!A:K,3,0)</f>
        <v>PLANTIO DE ÁRVORE ORNAMENTAL COM ALTURA DE MUDA MAIOR QUE 2,00 M E MENOR OU IGUAL A 4,00 M. AF_05/2018</v>
      </c>
      <c r="D1957" s="105" t="str">
        <f>VLOOKUP(A1957,'[3]Planilha Orçamentária'!A:K,4,0)</f>
        <v>UN</v>
      </c>
      <c r="E1957" s="104"/>
      <c r="F1957" s="111"/>
      <c r="G1957" s="111"/>
      <c r="H1957" s="111"/>
      <c r="I1957" s="111"/>
      <c r="J1957" s="122">
        <f>ROUND(SUM(J1959:J1959),2)</f>
        <v>16</v>
      </c>
    </row>
    <row r="1958" spans="1:10">
      <c r="A1958" s="132"/>
      <c r="B1958" s="108"/>
      <c r="C1958" s="159" t="s">
        <v>2269</v>
      </c>
      <c r="D1958" s="105"/>
      <c r="E1958" s="104"/>
      <c r="F1958" s="106"/>
      <c r="G1958" s="111"/>
      <c r="H1958" s="111"/>
      <c r="I1958" s="106" t="s">
        <v>2045</v>
      </c>
      <c r="J1958" s="122"/>
    </row>
    <row r="1959" spans="1:10">
      <c r="A1959" s="225"/>
      <c r="B1959" s="236"/>
      <c r="C1959" s="244" t="s">
        <v>2046</v>
      </c>
      <c r="D1959" s="228"/>
      <c r="E1959" s="227"/>
      <c r="F1959" s="246"/>
      <c r="G1959" s="229"/>
      <c r="H1959" s="229"/>
      <c r="I1959" s="246">
        <v>16</v>
      </c>
      <c r="J1959" s="128">
        <f t="shared" ref="J1959" si="134">ROUND(PRODUCT(E1959:I1959),2)</f>
        <v>16</v>
      </c>
    </row>
    <row r="1960" spans="1:10">
      <c r="A1960" s="528"/>
      <c r="B1960" s="529"/>
      <c r="C1960" s="529"/>
      <c r="D1960" s="529"/>
      <c r="E1960" s="529"/>
      <c r="F1960" s="529"/>
      <c r="G1960" s="529"/>
      <c r="H1960" s="529"/>
      <c r="I1960" s="529"/>
      <c r="J1960" s="529"/>
    </row>
    <row r="1961" spans="1:10">
      <c r="A1961" s="132" t="str">
        <f>'[3]Planilha Orçamentária'!A518</f>
        <v>1.9.5.19</v>
      </c>
      <c r="B1961" s="108">
        <f>VLOOKUP(A1961,'[3]Planilha Orçamentária'!A:K,2,0)</f>
        <v>98504</v>
      </c>
      <c r="C1961" s="104" t="str">
        <f>VLOOKUP(A1961,'[3]Planilha Orçamentária'!A:K,3,0)</f>
        <v>PLANTIO DE GRAMA BATATAIS EM PLACAS. AF_05/2018</v>
      </c>
      <c r="D1961" s="105" t="str">
        <f>VLOOKUP(A1961,'[3]Planilha Orçamentária'!A:K,4,0)</f>
        <v>M2</v>
      </c>
      <c r="E1961" s="104"/>
      <c r="F1961" s="111"/>
      <c r="G1961" s="111"/>
      <c r="H1961" s="111"/>
      <c r="I1961" s="111"/>
      <c r="J1961" s="122">
        <f>ROUND(SUM(J1963:J1963),2)</f>
        <v>79.849999999999994</v>
      </c>
    </row>
    <row r="1962" spans="1:10">
      <c r="A1962" s="132"/>
      <c r="B1962" s="108"/>
      <c r="C1962" s="159" t="s">
        <v>2269</v>
      </c>
      <c r="D1962" s="105"/>
      <c r="E1962" s="104"/>
      <c r="F1962" s="106"/>
      <c r="G1962" s="111"/>
      <c r="H1962" s="111"/>
      <c r="I1962" s="106" t="s">
        <v>2003</v>
      </c>
      <c r="J1962" s="122"/>
    </row>
    <row r="1963" spans="1:10">
      <c r="A1963" s="225"/>
      <c r="B1963" s="236"/>
      <c r="C1963" s="244" t="s">
        <v>2046</v>
      </c>
      <c r="D1963" s="228"/>
      <c r="E1963" s="227"/>
      <c r="F1963" s="246"/>
      <c r="G1963" s="229"/>
      <c r="H1963" s="229"/>
      <c r="I1963" s="246">
        <v>79.849999999999994</v>
      </c>
      <c r="J1963" s="128">
        <f t="shared" ref="J1963" si="135">ROUND(PRODUCT(E1963:I1963),2)</f>
        <v>79.849999999999994</v>
      </c>
    </row>
    <row r="1964" spans="1:10">
      <c r="A1964" s="528"/>
      <c r="B1964" s="529"/>
      <c r="C1964" s="529"/>
      <c r="D1964" s="529"/>
      <c r="E1964" s="529"/>
      <c r="F1964" s="529"/>
      <c r="G1964" s="529"/>
      <c r="H1964" s="529"/>
      <c r="I1964" s="529"/>
      <c r="J1964" s="529"/>
    </row>
    <row r="1965" spans="1:10">
      <c r="A1965" s="94" t="str">
        <f>'[3]Planilha Orçamentária'!A519</f>
        <v>1.9.6</v>
      </c>
      <c r="B1965" s="95"/>
      <c r="C1965" s="96" t="str">
        <f>VLOOKUP(A1965,'[3]Planilha Orçamentária'!A:K,3,0)</f>
        <v>DRENAGEM</v>
      </c>
      <c r="D1965" s="97"/>
      <c r="E1965" s="98"/>
      <c r="F1965" s="99"/>
      <c r="G1965" s="99"/>
      <c r="H1965" s="99"/>
      <c r="I1965" s="100"/>
      <c r="J1965" s="131"/>
    </row>
    <row r="1966" spans="1:10" ht="63.75">
      <c r="A1966" s="251" t="str">
        <f>'[3]Planilha Orçamentária'!A520</f>
        <v>1.9.6.1</v>
      </c>
      <c r="B1966" s="252">
        <f>VLOOKUP(A1966,'[3]Planilha Orçamentária'!A:K,2,0)</f>
        <v>90091</v>
      </c>
      <c r="C1966" s="253" t="str">
        <f>VLOOKUP(A1966,'[3]Planilha Orçamentária'!A:K,3,0)</f>
        <v>ESCAVAÇÃO MECANIZADA DE VALA COM PROF. ATÉ 1,5 M (MÉDIA MONTANTE E JUSANTE/UMA COMPOSIÇÃO POR TRECHO), ESCAVADEIRA (0,8 M3), LARG. DE 1,5 M A 2,5 M, EM SOLO DE 1A CATEGORIA, LOCAIS COM BAIXO NÍVEL DE INTERFERÊNCIA. AF_02/2021</v>
      </c>
      <c r="D1966" s="254" t="str">
        <f>VLOOKUP(A1966,'[3]Planilha Orçamentária'!A:K,4,0)</f>
        <v>M3</v>
      </c>
      <c r="E1966" s="255"/>
      <c r="F1966" s="256"/>
      <c r="G1966" s="256"/>
      <c r="H1966" s="256"/>
      <c r="I1966" s="256"/>
      <c r="J1966" s="257">
        <f>ROUND(SUM(J1967:J1971),2)</f>
        <v>21.32</v>
      </c>
    </row>
    <row r="1967" spans="1:10">
      <c r="A1967" s="258"/>
      <c r="B1967" s="258"/>
      <c r="C1967" s="259" t="s">
        <v>2275</v>
      </c>
      <c r="D1967" s="258"/>
      <c r="E1967" s="258"/>
      <c r="F1967" s="161"/>
      <c r="G1967" s="161"/>
      <c r="H1967" s="161"/>
      <c r="I1967" s="258"/>
      <c r="J1967" s="258"/>
    </row>
    <row r="1968" spans="1:10" ht="14.25">
      <c r="A1968" s="258"/>
      <c r="B1968" s="258"/>
      <c r="C1968" s="204" t="s">
        <v>2048</v>
      </c>
      <c r="D1968" s="148"/>
      <c r="E1968" s="147"/>
      <c r="F1968" s="161" t="s">
        <v>1989</v>
      </c>
      <c r="G1968" s="161" t="s">
        <v>1990</v>
      </c>
      <c r="H1968" s="161" t="s">
        <v>2049</v>
      </c>
      <c r="I1968" s="161"/>
      <c r="J1968" s="158"/>
    </row>
    <row r="1969" spans="1:11" ht="42.75">
      <c r="A1969" s="258"/>
      <c r="B1969" s="258"/>
      <c r="C1969" s="260" t="s">
        <v>2276</v>
      </c>
      <c r="D1969" s="148"/>
      <c r="E1969" s="147"/>
      <c r="F1969" s="223">
        <v>133.25</v>
      </c>
      <c r="G1969" s="223">
        <f>1+0.6</f>
        <v>1.6</v>
      </c>
      <c r="H1969" s="223">
        <f>0.65-0.55</f>
        <v>9.9999999999999978E-2</v>
      </c>
      <c r="I1969" s="223"/>
      <c r="J1969" s="128">
        <f>ROUND(PRODUCT(E1969:I1969),2)</f>
        <v>21.32</v>
      </c>
      <c r="K1969" s="82" t="s">
        <v>2277</v>
      </c>
    </row>
    <row r="1970" spans="1:11">
      <c r="A1970" s="258"/>
      <c r="B1970" s="258"/>
      <c r="C1970" s="261" t="s">
        <v>2051</v>
      </c>
      <c r="D1970" s="262"/>
      <c r="E1970" s="263"/>
      <c r="F1970" s="264"/>
      <c r="G1970" s="264"/>
      <c r="H1970" s="263"/>
      <c r="I1970" s="263"/>
      <c r="J1970" s="158"/>
    </row>
    <row r="1971" spans="1:11">
      <c r="A1971" s="535"/>
      <c r="B1971" s="536"/>
      <c r="C1971" s="536"/>
      <c r="D1971" s="536"/>
      <c r="E1971" s="536"/>
      <c r="F1971" s="536"/>
      <c r="G1971" s="536"/>
      <c r="H1971" s="536"/>
      <c r="I1971" s="536"/>
      <c r="J1971" s="537"/>
    </row>
    <row r="1972" spans="1:11" ht="63.75">
      <c r="A1972" s="251" t="str">
        <f>'[3]Planilha Orçamentária'!A521</f>
        <v>1.9.6.2</v>
      </c>
      <c r="B1972" s="252">
        <f>VLOOKUP(A1972,'[3]Planilha Orçamentária'!A:K,2,0)</f>
        <v>93367</v>
      </c>
      <c r="C1972" s="253" t="str">
        <f>VLOOKUP(A1972,'[3]Planilha Orçamentária'!A:K,3,0)</f>
        <v>REATERRO MECANIZADO DE VALA COM ESCAVADEIRA HIDRÁULICA (CAPACIDADE DA CAÇAMBA: 0,8 M³ / POTÊNCIA: 111 HP), LARGURA DE 1,5 A 2,5 M, PROFUNDIDADE ATÉ 1,5 M, COM SOLO DE 1ª CATEGORIA EM LOCAIS COM BAIXO NÍVEL DE INTERFERÊNCIA. AF_04/2016</v>
      </c>
      <c r="D1972" s="254" t="str">
        <f>VLOOKUP(A1972,'[3]Planilha Orçamentária'!A:K,4,0)</f>
        <v>M3</v>
      </c>
      <c r="E1972" s="255"/>
      <c r="F1972" s="256"/>
      <c r="G1972" s="256"/>
      <c r="H1972" s="256"/>
      <c r="I1972" s="256"/>
      <c r="J1972" s="257">
        <f>ROUND(SUM(J1973:J1976),2)</f>
        <v>7.99</v>
      </c>
    </row>
    <row r="1973" spans="1:11">
      <c r="A1973" s="258"/>
      <c r="B1973" s="258"/>
      <c r="C1973" s="259" t="s">
        <v>2275</v>
      </c>
      <c r="D1973" s="258"/>
      <c r="E1973" s="258"/>
      <c r="F1973" s="258"/>
      <c r="G1973" s="258"/>
      <c r="H1973" s="258"/>
      <c r="I1973" s="258"/>
      <c r="J1973" s="258"/>
    </row>
    <row r="1974" spans="1:11" ht="25.5">
      <c r="A1974" s="258"/>
      <c r="B1974" s="258"/>
      <c r="C1974" s="267" t="s">
        <v>2053</v>
      </c>
      <c r="D1974" s="258"/>
      <c r="E1974" s="258"/>
      <c r="F1974" s="258"/>
      <c r="G1974" s="258"/>
      <c r="H1974" s="258"/>
      <c r="I1974" s="258"/>
      <c r="J1974" s="258"/>
    </row>
    <row r="1975" spans="1:11" ht="15">
      <c r="A1975" s="258"/>
      <c r="B1975" s="258"/>
      <c r="C1975" s="268" t="s">
        <v>2054</v>
      </c>
      <c r="D1975" s="258"/>
      <c r="E1975" s="258"/>
      <c r="F1975" s="269"/>
      <c r="G1975" s="269"/>
      <c r="H1975" s="269"/>
      <c r="I1975" s="263">
        <f>J1966</f>
        <v>21.32</v>
      </c>
      <c r="J1975" s="158">
        <f>ROUND(PRODUCT(E1975:I1975),2)</f>
        <v>21.32</v>
      </c>
    </row>
    <row r="1976" spans="1:11" ht="25.5">
      <c r="A1976" s="258"/>
      <c r="B1976" s="258"/>
      <c r="C1976" s="268" t="s">
        <v>2055</v>
      </c>
      <c r="D1976" s="270"/>
      <c r="E1976" s="270">
        <v>-1</v>
      </c>
      <c r="F1976" s="271">
        <f>F1969</f>
        <v>133.25</v>
      </c>
      <c r="G1976" s="123">
        <v>1</v>
      </c>
      <c r="H1976" s="272">
        <f>H1969</f>
        <v>9.9999999999999978E-2</v>
      </c>
      <c r="I1976" s="269"/>
      <c r="J1976" s="158">
        <f>ROUND(PRODUCT(E1976:I1976),2)</f>
        <v>-13.33</v>
      </c>
    </row>
    <row r="1977" spans="1:11">
      <c r="A1977" s="535"/>
      <c r="B1977" s="536"/>
      <c r="C1977" s="536"/>
      <c r="D1977" s="536"/>
      <c r="E1977" s="536"/>
      <c r="F1977" s="536"/>
      <c r="G1977" s="536"/>
      <c r="H1977" s="536"/>
      <c r="I1977" s="536"/>
      <c r="J1977" s="537"/>
    </row>
    <row r="1978" spans="1:11" ht="51">
      <c r="A1978" s="251" t="str">
        <f>'[3]Planilha Orçamentária'!A522</f>
        <v>1.9.6.3</v>
      </c>
      <c r="B1978" s="252" t="str">
        <f>VLOOKUP(A1978,'[3]Planilha Orçamentária'!A:K,2,0)</f>
        <v>COMP-35145154</v>
      </c>
      <c r="C1978" s="253" t="str">
        <f>VLOOKUP(A1978,'[3]Planilha Orçamentária'!A:K,3,0)</f>
        <v>CARGA E DESCARGA MECANICA DE SOLO UTILIZANDO CAMINHAO BASCULANTE 14,0M3/36T E PA CARREGADEIRA SOBRE PNEUS 128 HP, CAPACIDADE DA CAÇAMBA 1,7 A 2,8 M3, PESO OPERACIONAL 11632 KH</v>
      </c>
      <c r="D1978" s="254" t="str">
        <f>VLOOKUP(A1978,'[3]Planilha Orçamentária'!A:K,4,0)</f>
        <v>M3</v>
      </c>
      <c r="E1978" s="255"/>
      <c r="F1978" s="256"/>
      <c r="G1978" s="256"/>
      <c r="H1978" s="256"/>
      <c r="I1978" s="256"/>
      <c r="J1978" s="257">
        <f>ROUND(SUM(J1979:J1980),2)</f>
        <v>16.66</v>
      </c>
    </row>
    <row r="1979" spans="1:11" ht="25.5">
      <c r="A1979" s="258"/>
      <c r="B1979" s="258"/>
      <c r="C1979" s="159"/>
      <c r="D1979" s="148"/>
      <c r="E1979" s="159" t="s">
        <v>2006</v>
      </c>
      <c r="F1979" s="161"/>
      <c r="G1979" s="161"/>
      <c r="H1979" s="161"/>
      <c r="I1979" s="161" t="s">
        <v>2056</v>
      </c>
      <c r="J1979" s="258"/>
    </row>
    <row r="1980" spans="1:11" ht="14.25">
      <c r="A1980" s="258"/>
      <c r="B1980" s="258"/>
      <c r="C1980" s="273" t="s">
        <v>2057</v>
      </c>
      <c r="D1980" s="274"/>
      <c r="E1980" s="263">
        <v>1.25</v>
      </c>
      <c r="F1980" s="157"/>
      <c r="G1980" s="275"/>
      <c r="H1980" s="275"/>
      <c r="I1980" s="275">
        <f>J1966-J1972</f>
        <v>13.33</v>
      </c>
      <c r="J1980" s="158">
        <f>ROUND(PRODUCT(E1980:I1980),2)</f>
        <v>16.66</v>
      </c>
    </row>
    <row r="1981" spans="1:11">
      <c r="A1981" s="535"/>
      <c r="B1981" s="536"/>
      <c r="C1981" s="536"/>
      <c r="D1981" s="536"/>
      <c r="E1981" s="536"/>
      <c r="F1981" s="536"/>
      <c r="G1981" s="536"/>
      <c r="H1981" s="536"/>
      <c r="I1981" s="536"/>
      <c r="J1981" s="537"/>
    </row>
    <row r="1982" spans="1:11" ht="38.25">
      <c r="A1982" s="251" t="str">
        <f>'[3]Planilha Orçamentária'!A523</f>
        <v>1.9.6.4</v>
      </c>
      <c r="B1982" s="252">
        <f>VLOOKUP(A1982,'[3]Planilha Orçamentária'!A:K,2,0)</f>
        <v>95876</v>
      </c>
      <c r="C1982" s="276" t="str">
        <f>VLOOKUP(A1982,'[3]Planilha Orçamentária'!A:K,3,0)</f>
        <v>TRANSPORTE COM CAMINHÃO BASCULANTE DE 14 M³, EM VIA URBANA PAVIMENTADA, DMT ATÉ 30 KM (UNIDADE: M3XKM). AF_07/2020</v>
      </c>
      <c r="D1982" s="105" t="str">
        <f>VLOOKUP(A1982,'[3]Planilha Orçamentária'!A:K,4,0)</f>
        <v>M3XKM</v>
      </c>
      <c r="E1982" s="104"/>
      <c r="F1982" s="256"/>
      <c r="G1982" s="256"/>
      <c r="H1982" s="256"/>
      <c r="I1982" s="256"/>
      <c r="J1982" s="257">
        <f>ROUND(SUM(J1983:J1984),2)</f>
        <v>178.26</v>
      </c>
    </row>
    <row r="1983" spans="1:11">
      <c r="A1983" s="258"/>
      <c r="B1983" s="258"/>
      <c r="C1983" s="171" t="s">
        <v>2266</v>
      </c>
      <c r="D1983" s="189"/>
      <c r="E1983" s="208" t="s">
        <v>2011</v>
      </c>
      <c r="F1983" s="258"/>
      <c r="G1983" s="258"/>
      <c r="H1983" s="258"/>
      <c r="I1983" s="258" t="s">
        <v>2007</v>
      </c>
      <c r="J1983" s="258"/>
    </row>
    <row r="1984" spans="1:11">
      <c r="A1984" s="258"/>
      <c r="B1984" s="258"/>
      <c r="C1984" s="155" t="s">
        <v>2267</v>
      </c>
      <c r="D1984" s="156"/>
      <c r="E1984" s="162">
        <v>10.7</v>
      </c>
      <c r="F1984" s="258"/>
      <c r="G1984" s="258"/>
      <c r="H1984" s="258"/>
      <c r="I1984" s="278">
        <f>J1978</f>
        <v>16.66</v>
      </c>
      <c r="J1984" s="158">
        <f>ROUND(PRODUCT(E1984:I1984),2)</f>
        <v>178.26</v>
      </c>
    </row>
    <row r="1985" spans="1:10">
      <c r="A1985" s="535"/>
      <c r="B1985" s="536"/>
      <c r="C1985" s="536"/>
      <c r="D1985" s="536"/>
      <c r="E1985" s="536"/>
      <c r="F1985" s="536"/>
      <c r="G1985" s="536"/>
      <c r="H1985" s="536"/>
      <c r="I1985" s="536"/>
      <c r="J1985" s="537"/>
    </row>
    <row r="1986" spans="1:10" ht="38.25">
      <c r="A1986" s="251" t="str">
        <f>'[3]Planilha Orçamentária'!A524</f>
        <v>1.9.6.5</v>
      </c>
      <c r="B1986" s="252">
        <f>VLOOKUP(A1986,'[3]Planilha Orçamentária'!A:K,2,0)</f>
        <v>94971</v>
      </c>
      <c r="C1986" s="253" t="str">
        <f>VLOOKUP(A1986,'[3]Planilha Orçamentária'!A:K,3,0)</f>
        <v>CONCRETO FCK = 25MPA, TRAÇO 1:2,3:2,7 (EM MASSA SECA DE CIMENTO/ AREIA MÉDIA/ BRITA 1) - PREPARO MECÂNICO COM BETONEIRA 600 L. AF_05/2021</v>
      </c>
      <c r="D1986" s="254" t="str">
        <f>VLOOKUP(A1986,'[3]Planilha Orçamentária'!A:K,4,0)</f>
        <v>M3</v>
      </c>
      <c r="E1986" s="255"/>
      <c r="F1986" s="256"/>
      <c r="G1986" s="256"/>
      <c r="H1986" s="256"/>
      <c r="I1986" s="256"/>
      <c r="J1986" s="257">
        <f>ROUND(SUM(J1987:J1989),2)</f>
        <v>16.98</v>
      </c>
    </row>
    <row r="1987" spans="1:10" ht="28.5">
      <c r="A1987" s="258"/>
      <c r="B1987" s="258"/>
      <c r="C1987" s="221" t="s">
        <v>2060</v>
      </c>
      <c r="D1987" s="258"/>
      <c r="E1987" s="258"/>
      <c r="F1987" s="161"/>
      <c r="G1987" s="161"/>
      <c r="H1987" s="161"/>
      <c r="I1987" s="279"/>
      <c r="J1987" s="258"/>
    </row>
    <row r="1988" spans="1:10" ht="14.25">
      <c r="A1988" s="258"/>
      <c r="B1988" s="258"/>
      <c r="C1988" s="280" t="s">
        <v>2278</v>
      </c>
      <c r="D1988" s="123"/>
      <c r="E1988" s="123"/>
      <c r="F1988" s="281">
        <f>F1969</f>
        <v>133.25</v>
      </c>
      <c r="G1988" s="282">
        <v>1</v>
      </c>
      <c r="H1988" s="123">
        <v>0.15</v>
      </c>
      <c r="I1988" s="281"/>
      <c r="J1988" s="158">
        <f>ROUND(PRODUCT(E1988:I1988),2)</f>
        <v>19.989999999999998</v>
      </c>
    </row>
    <row r="1989" spans="1:10" ht="28.5">
      <c r="A1989" s="265"/>
      <c r="B1989" s="266"/>
      <c r="C1989" s="280" t="s">
        <v>2062</v>
      </c>
      <c r="D1989" s="123"/>
      <c r="E1989" s="123">
        <v>-1</v>
      </c>
      <c r="F1989" s="283">
        <v>1.8800000000000001E-2</v>
      </c>
      <c r="G1989" s="136">
        <f>F1988</f>
        <v>133.25</v>
      </c>
      <c r="H1989" s="136">
        <v>0.15</v>
      </c>
      <c r="I1989" s="136">
        <v>8</v>
      </c>
      <c r="J1989" s="158">
        <f>ROUND(PRODUCT(E1989:I1989),2)</f>
        <v>-3.01</v>
      </c>
    </row>
    <row r="1990" spans="1:10">
      <c r="A1990" s="535"/>
      <c r="B1990" s="536"/>
      <c r="C1990" s="536"/>
      <c r="D1990" s="536"/>
      <c r="E1990" s="536"/>
      <c r="F1990" s="536"/>
      <c r="G1990" s="536"/>
      <c r="H1990" s="536"/>
      <c r="I1990" s="536"/>
      <c r="J1990" s="537"/>
    </row>
    <row r="1991" spans="1:10" ht="38.25">
      <c r="A1991" s="251" t="str">
        <f>'[3]Planilha Orçamentária'!A525</f>
        <v>1.9.6.6</v>
      </c>
      <c r="B1991" s="252">
        <f>VLOOKUP(A1991,'[3]Planilha Orçamentária'!A:K,2,0)</f>
        <v>94974</v>
      </c>
      <c r="C1991" s="253" t="str">
        <f>VLOOKUP(A1991,'[3]Planilha Orçamentária'!A:K,3,0)</f>
        <v>CONCRETO MAGRO PARA LASTRO, TRAÇO 1:4,5:4,5 (EM MASSA SECA DE CIMENTO/ AREIA MÉDIA/ BRITA 1) - PREPARO MANUAL. AF_05/2021</v>
      </c>
      <c r="D1991" s="254" t="str">
        <f>VLOOKUP(A1991,'[3]Planilha Orçamentária'!A:K,4,0)</f>
        <v>M3</v>
      </c>
      <c r="E1991" s="255"/>
      <c r="F1991" s="256"/>
      <c r="G1991" s="256"/>
      <c r="H1991" s="256"/>
      <c r="I1991" s="279"/>
      <c r="J1991" s="257">
        <f>ROUND(SUM(J1992:J1993),2)</f>
        <v>13.33</v>
      </c>
    </row>
    <row r="1992" spans="1:10">
      <c r="A1992" s="258"/>
      <c r="B1992" s="258"/>
      <c r="C1992" s="259" t="s">
        <v>2275</v>
      </c>
      <c r="D1992" s="258"/>
      <c r="E1992" s="258"/>
      <c r="F1992" s="263" t="s">
        <v>1989</v>
      </c>
      <c r="G1992" s="263" t="s">
        <v>1990</v>
      </c>
      <c r="H1992" s="263" t="s">
        <v>2002</v>
      </c>
      <c r="I1992" s="279"/>
      <c r="J1992" s="258"/>
    </row>
    <row r="1993" spans="1:10" ht="14.25">
      <c r="A1993" s="258"/>
      <c r="B1993" s="258"/>
      <c r="C1993" s="284" t="s">
        <v>2063</v>
      </c>
      <c r="D1993" s="123"/>
      <c r="E1993" s="123"/>
      <c r="F1993" s="285">
        <f>F1969</f>
        <v>133.25</v>
      </c>
      <c r="G1993" s="282">
        <v>1</v>
      </c>
      <c r="H1993" s="123">
        <v>0.1</v>
      </c>
      <c r="I1993" s="278"/>
      <c r="J1993" s="158">
        <f>ROUND(PRODUCT(E1993:I1993),2)</f>
        <v>13.33</v>
      </c>
    </row>
    <row r="1994" spans="1:10">
      <c r="A1994" s="535"/>
      <c r="B1994" s="536"/>
      <c r="C1994" s="536"/>
      <c r="D1994" s="536"/>
      <c r="E1994" s="536"/>
      <c r="F1994" s="536"/>
      <c r="G1994" s="536"/>
      <c r="H1994" s="536"/>
      <c r="I1994" s="536"/>
      <c r="J1994" s="537"/>
    </row>
    <row r="1995" spans="1:10" ht="38.25">
      <c r="A1995" s="251" t="str">
        <f>'[3]Planilha Orçamentária'!A526</f>
        <v>1.9.6.7</v>
      </c>
      <c r="B1995" s="252">
        <f>VLOOKUP(A1995,'[3]Planilha Orçamentária'!A:K,2,0)</f>
        <v>92771</v>
      </c>
      <c r="C1995" s="253" t="str">
        <f>VLOOKUP(A1995,'[3]Planilha Orçamentária'!A:K,3,0)</f>
        <v>ARMAÇÃO DE LAJE DE ESTRUTURA CONVENCIONAL DE CONCRETO ARMADO UTILIZANDO AÇO CA-50 DE 10,0 MM - MONTAGEM. AF_06/2022</v>
      </c>
      <c r="D1995" s="254" t="str">
        <f>VLOOKUP(A1995,'[3]Planilha Orçamentária'!A:K,4,0)</f>
        <v>KG</v>
      </c>
      <c r="E1995" s="255"/>
      <c r="F1995" s="256"/>
      <c r="G1995" s="256"/>
      <c r="H1995" s="256"/>
      <c r="I1995" s="256"/>
      <c r="J1995" s="257">
        <f>ROUND(SUM(J1996:J1997),2)</f>
        <v>1104.6400000000001</v>
      </c>
    </row>
    <row r="1996" spans="1:10">
      <c r="A1996" s="258"/>
      <c r="B1996" s="258"/>
      <c r="C1996" s="259" t="s">
        <v>2275</v>
      </c>
      <c r="D1996" s="258"/>
      <c r="E1996" s="279"/>
      <c r="F1996" s="263" t="s">
        <v>2064</v>
      </c>
      <c r="G1996" s="263"/>
      <c r="H1996" s="263"/>
      <c r="I1996" s="279" t="s">
        <v>2065</v>
      </c>
      <c r="J1996" s="258"/>
    </row>
    <row r="1997" spans="1:10" ht="28.5">
      <c r="A1997" s="258"/>
      <c r="B1997" s="258"/>
      <c r="C1997" s="221" t="s">
        <v>2066</v>
      </c>
      <c r="D1997" s="105"/>
      <c r="E1997" s="104"/>
      <c r="F1997" s="278">
        <f>F1969</f>
        <v>133.25</v>
      </c>
      <c r="G1997" s="278"/>
      <c r="H1997" s="278"/>
      <c r="I1997" s="278">
        <v>8.2899999999999991</v>
      </c>
      <c r="J1997" s="158">
        <f>ROUND(PRODUCT(E1997:I1997),2)</f>
        <v>1104.6400000000001</v>
      </c>
    </row>
    <row r="1998" spans="1:10">
      <c r="A1998" s="535"/>
      <c r="B1998" s="536"/>
      <c r="C1998" s="536"/>
      <c r="D1998" s="536"/>
      <c r="E1998" s="536"/>
      <c r="F1998" s="536"/>
      <c r="G1998" s="536"/>
      <c r="H1998" s="536"/>
      <c r="I1998" s="536"/>
      <c r="J1998" s="537"/>
    </row>
    <row r="1999" spans="1:10" ht="51">
      <c r="A1999" s="251" t="str">
        <f>'[3]Planilha Orçamentária'!A527</f>
        <v>1.9.6.8</v>
      </c>
      <c r="B1999" s="252" t="str">
        <f>VLOOKUP(A1999,'[3]Planilha Orçamentária'!A:K,2,0)</f>
        <v>CP-92268-29291149</v>
      </c>
      <c r="C1999" s="253" t="str">
        <f>VLOOKUP(A1999,'[3]Planilha Orçamentária'!A:K,3,0)</f>
        <v>FABRICAÇÃO DE FÔRMA PARA LAJES, EM CHAPA DE MADEIRA COMPENSADA PLASTIFICADA, E = 18 MM - EXCLUINDO O PAINEL DE MADEIRA COMPENSADA PLASTIFICADA DE 2200 x 1100 MM, E = *17* MM</v>
      </c>
      <c r="D1999" s="254" t="str">
        <f>VLOOKUP(A1999,'[3]Planilha Orçamentária'!A:K,4,0)</f>
        <v>M2</v>
      </c>
      <c r="E1999" s="255"/>
      <c r="F1999" s="256"/>
      <c r="G1999" s="256"/>
      <c r="H1999" s="256"/>
      <c r="I1999" s="256"/>
      <c r="J1999" s="257">
        <f>ROUND(SUM(J2000:J2001),2)</f>
        <v>79.95</v>
      </c>
    </row>
    <row r="2000" spans="1:10">
      <c r="A2000" s="258"/>
      <c r="B2000" s="258"/>
      <c r="C2000" s="259" t="s">
        <v>2275</v>
      </c>
      <c r="D2000" s="174"/>
      <c r="E2000" s="279"/>
      <c r="F2000" s="174" t="s">
        <v>2067</v>
      </c>
      <c r="G2000" s="174" t="s">
        <v>2002</v>
      </c>
      <c r="H2000" s="174" t="s">
        <v>1989</v>
      </c>
      <c r="I2000" s="174"/>
      <c r="J2000" s="258"/>
    </row>
    <row r="2001" spans="1:10" ht="28.5">
      <c r="A2001" s="258"/>
      <c r="B2001" s="258"/>
      <c r="C2001" s="280" t="s">
        <v>2068</v>
      </c>
      <c r="D2001" s="156"/>
      <c r="E2001" s="157"/>
      <c r="F2001" s="136">
        <f>1*4</f>
        <v>4</v>
      </c>
      <c r="G2001" s="136">
        <v>0.15</v>
      </c>
      <c r="H2001" s="136">
        <f>F1997</f>
        <v>133.25</v>
      </c>
      <c r="I2001" s="286"/>
      <c r="J2001" s="158">
        <f>ROUND(PRODUCT(E2001:I2001),2)</f>
        <v>79.95</v>
      </c>
    </row>
    <row r="2002" spans="1:10">
      <c r="A2002" s="535"/>
      <c r="B2002" s="536"/>
      <c r="C2002" s="536"/>
      <c r="D2002" s="536"/>
      <c r="E2002" s="536"/>
      <c r="F2002" s="536"/>
      <c r="G2002" s="536"/>
      <c r="H2002" s="536"/>
      <c r="I2002" s="536"/>
      <c r="J2002" s="537"/>
    </row>
    <row r="2003" spans="1:10" ht="51">
      <c r="A2003" s="251" t="str">
        <f>'[3]Planilha Orçamentária'!A528</f>
        <v>1.9.6.9</v>
      </c>
      <c r="B2003" s="252">
        <f>VLOOKUP(A2003,'[3]Planilha Orçamentária'!A:K,2,0)</f>
        <v>103320</v>
      </c>
      <c r="C2003" s="253" t="str">
        <f>VLOOKUP(A2003,'[3]Planilha Orçamentária'!A:K,3,0)</f>
        <v>ALVENARIA DE VEDAÇÃO DE BLOCOS VAZADOS DE CONCRETO DE 19X19X39 CM (ESPESSURA 19 CM) E ARGAMASSA DE ASSENTAMENTO COM PREPARO EM BETONEIRA. AF_12/2021</v>
      </c>
      <c r="D2003" s="254" t="str">
        <f>VLOOKUP(A2003,'[3]Planilha Orçamentária'!A:K,4,0)</f>
        <v>M2</v>
      </c>
      <c r="E2003" s="255"/>
      <c r="F2003" s="256"/>
      <c r="G2003" s="256"/>
      <c r="H2003" s="256"/>
      <c r="I2003" s="256"/>
      <c r="J2003" s="257">
        <f>ROUND(SUM(J2004:J2005),2)</f>
        <v>133.25</v>
      </c>
    </row>
    <row r="2004" spans="1:10">
      <c r="A2004" s="258"/>
      <c r="B2004" s="258"/>
      <c r="C2004" s="259" t="s">
        <v>2275</v>
      </c>
      <c r="D2004" s="174"/>
      <c r="E2004" s="279"/>
      <c r="F2004" s="174" t="s">
        <v>1989</v>
      </c>
      <c r="G2004" s="174"/>
      <c r="H2004" s="174" t="s">
        <v>2069</v>
      </c>
      <c r="I2004" s="174" t="s">
        <v>2070</v>
      </c>
      <c r="J2004" s="258"/>
    </row>
    <row r="2005" spans="1:10" ht="14.25">
      <c r="A2005" s="258"/>
      <c r="B2005" s="258"/>
      <c r="C2005" s="280" t="s">
        <v>2071</v>
      </c>
      <c r="D2005" s="156"/>
      <c r="E2005" s="157"/>
      <c r="F2005" s="136">
        <f>H2001</f>
        <v>133.25</v>
      </c>
      <c r="G2005" s="136"/>
      <c r="H2005" s="136">
        <v>0.5</v>
      </c>
      <c r="I2005" s="136">
        <v>2</v>
      </c>
      <c r="J2005" s="158">
        <f>ROUND(PRODUCT(E2005:I2005),2)</f>
        <v>133.25</v>
      </c>
    </row>
    <row r="2006" spans="1:10">
      <c r="A2006" s="535"/>
      <c r="B2006" s="536"/>
      <c r="C2006" s="536"/>
      <c r="D2006" s="536"/>
      <c r="E2006" s="536"/>
      <c r="F2006" s="536"/>
      <c r="G2006" s="536"/>
      <c r="H2006" s="536"/>
      <c r="I2006" s="536"/>
      <c r="J2006" s="537"/>
    </row>
    <row r="2007" spans="1:10" ht="51">
      <c r="A2007" s="251" t="str">
        <f>'[3]Planilha Orçamentária'!A529</f>
        <v>1.9.6.10</v>
      </c>
      <c r="B2007" s="252">
        <f>VLOOKUP(A2007,'[3]Planilha Orçamentária'!A:K,2,0)</f>
        <v>87879</v>
      </c>
      <c r="C2007" s="253" t="str">
        <f>VLOOKUP(A2007,'[3]Planilha Orçamentária'!A:K,3,0)</f>
        <v>CHAPISCO APLICADO EM ALVENARIAS E ESTRUTURAS DE CONCRETO INTERNAS, COM COLHER DE PEDREIRO.  ARGAMASSA TRAÇO 1:3 COM PREPARO EM BETONEIRA 400L. AF_06/2014</v>
      </c>
      <c r="D2007" s="254" t="str">
        <f>VLOOKUP(A2007,'[3]Planilha Orçamentária'!A:K,4,0)</f>
        <v>M2</v>
      </c>
      <c r="E2007" s="255"/>
      <c r="F2007" s="256"/>
      <c r="G2007" s="256"/>
      <c r="H2007" s="256"/>
      <c r="I2007" s="256"/>
      <c r="J2007" s="257">
        <f>ROUND(SUM(J2008:J2009),2)</f>
        <v>133.25</v>
      </c>
    </row>
    <row r="2008" spans="1:10">
      <c r="A2008" s="258"/>
      <c r="B2008" s="258"/>
      <c r="C2008" s="259" t="s">
        <v>2275</v>
      </c>
      <c r="D2008" s="258"/>
      <c r="E2008" s="258"/>
      <c r="F2008" s="258"/>
      <c r="G2008" s="258"/>
      <c r="H2008" s="136"/>
      <c r="I2008" s="287"/>
      <c r="J2008" s="258"/>
    </row>
    <row r="2009" spans="1:10" ht="14.25">
      <c r="A2009" s="258"/>
      <c r="B2009" s="258"/>
      <c r="C2009" s="280" t="s">
        <v>2072</v>
      </c>
      <c r="D2009" s="156"/>
      <c r="E2009" s="157"/>
      <c r="F2009" s="136"/>
      <c r="G2009" s="136"/>
      <c r="H2009" s="136"/>
      <c r="I2009" s="288">
        <f>J2003</f>
        <v>133.25</v>
      </c>
      <c r="J2009" s="158">
        <f>ROUND(PRODUCT(E2009:I2009),2)</f>
        <v>133.25</v>
      </c>
    </row>
    <row r="2010" spans="1:10">
      <c r="A2010" s="535"/>
      <c r="B2010" s="536"/>
      <c r="C2010" s="536"/>
      <c r="D2010" s="536"/>
      <c r="E2010" s="536"/>
      <c r="F2010" s="536"/>
      <c r="G2010" s="536"/>
      <c r="H2010" s="536"/>
      <c r="I2010" s="536"/>
      <c r="J2010" s="537"/>
    </row>
    <row r="2011" spans="1:10" ht="63.75">
      <c r="A2011" s="251" t="str">
        <f>'[3]Planilha Orçamentária'!A530</f>
        <v>1.9.6.11</v>
      </c>
      <c r="B2011" s="252">
        <f>VLOOKUP(A2011,'[3]Planilha Orçamentária'!A:K,2,0)</f>
        <v>87547</v>
      </c>
      <c r="C2011" s="253" t="str">
        <f>VLOOKUP(A2011,'[3]Planilha Orçamentária'!A:K,3,0)</f>
        <v>MASSA ÚNICA, PARA RECEBIMENTO DE PINTURA, EM ARGAMASSA TRAÇO 1:2:8, PREPARO MECÂNICO COM BETONEIRA 400L, APLICADA MANUALMENTE EM FACES INTERNAS DE PAREDES, ESPESSURA DE 10MM, COM EXECUÇÃO DE TALISCAS. AF_06/2014</v>
      </c>
      <c r="D2011" s="254" t="str">
        <f>VLOOKUP(A2011,'[3]Planilha Orçamentária'!A:K,4,0)</f>
        <v>M2</v>
      </c>
      <c r="E2011" s="255"/>
      <c r="F2011" s="256"/>
      <c r="G2011" s="256"/>
      <c r="H2011" s="256"/>
      <c r="I2011" s="256"/>
      <c r="J2011" s="257">
        <f>ROUND(SUM(J2012:J2013),2)</f>
        <v>133.25</v>
      </c>
    </row>
    <row r="2012" spans="1:10">
      <c r="A2012" s="258"/>
      <c r="B2012" s="258"/>
      <c r="C2012" s="259" t="s">
        <v>2275</v>
      </c>
      <c r="D2012" s="258"/>
      <c r="E2012" s="258"/>
      <c r="F2012" s="258"/>
      <c r="G2012" s="258"/>
      <c r="H2012" s="136"/>
      <c r="I2012" s="287"/>
      <c r="J2012" s="258"/>
    </row>
    <row r="2013" spans="1:10" ht="14.25">
      <c r="A2013" s="258"/>
      <c r="B2013" s="258"/>
      <c r="C2013" s="280" t="s">
        <v>2072</v>
      </c>
      <c r="D2013" s="156"/>
      <c r="E2013" s="157"/>
      <c r="F2013" s="136"/>
      <c r="G2013" s="136"/>
      <c r="H2013" s="136"/>
      <c r="I2013" s="288">
        <f>J2007</f>
        <v>133.25</v>
      </c>
      <c r="J2013" s="158">
        <f>ROUND(PRODUCT(E2013:I2013),2)</f>
        <v>133.25</v>
      </c>
    </row>
    <row r="2014" spans="1:10">
      <c r="A2014" s="535"/>
      <c r="B2014" s="536"/>
      <c r="C2014" s="536"/>
      <c r="D2014" s="536"/>
      <c r="E2014" s="536"/>
      <c r="F2014" s="536"/>
      <c r="G2014" s="536"/>
      <c r="H2014" s="536"/>
      <c r="I2014" s="536"/>
      <c r="J2014" s="537"/>
    </row>
    <row r="2015" spans="1:10" ht="38.25">
      <c r="A2015" s="251" t="str">
        <f>'[3]Planilha Orçamentária'!A531</f>
        <v>1.9.6.12</v>
      </c>
      <c r="B2015" s="252">
        <f>VLOOKUP(A2015,'[3]Planilha Orçamentária'!A:K,2,0)</f>
        <v>94975</v>
      </c>
      <c r="C2015" s="253" t="str">
        <f>VLOOKUP(A2015,'[3]Planilha Orçamentária'!A:K,3,0)</f>
        <v>CONCRETO FCK = 15MPA, TRAÇO 1:3,4:3,5 (EM MASSA SECA DE CIMENTO/ AREIA MÉDIA/ BRITA 1) - PREPARO MANUAL. AF_05/2021</v>
      </c>
      <c r="D2015" s="254" t="str">
        <f>VLOOKUP(A2015,'[3]Planilha Orçamentária'!A:K,4,0)</f>
        <v>M3</v>
      </c>
      <c r="E2015" s="255"/>
      <c r="F2015" s="256"/>
      <c r="G2015" s="256"/>
      <c r="H2015" s="256"/>
      <c r="I2015" s="256"/>
      <c r="J2015" s="257">
        <f>ROUND(SUM(J2016:J2018),2)</f>
        <v>14.17</v>
      </c>
    </row>
    <row r="2016" spans="1:10">
      <c r="A2016" s="258"/>
      <c r="B2016" s="258"/>
      <c r="C2016" s="259" t="s">
        <v>2047</v>
      </c>
      <c r="D2016" s="258"/>
      <c r="E2016" s="258"/>
      <c r="F2016" s="258" t="s">
        <v>1989</v>
      </c>
      <c r="G2016" s="258"/>
      <c r="H2016" s="136"/>
      <c r="I2016" s="287"/>
      <c r="J2016" s="258"/>
    </row>
    <row r="2017" spans="1:11" ht="28.5">
      <c r="A2017" s="258"/>
      <c r="B2017" s="258"/>
      <c r="C2017" s="221" t="s">
        <v>2048</v>
      </c>
      <c r="D2017" s="289"/>
      <c r="E2017" s="290" t="s">
        <v>2073</v>
      </c>
      <c r="F2017" s="290" t="s">
        <v>2074</v>
      </c>
      <c r="G2017" s="282"/>
      <c r="H2017" s="290" t="s">
        <v>2075</v>
      </c>
      <c r="I2017" s="287"/>
      <c r="J2017" s="258"/>
    </row>
    <row r="2018" spans="1:11" ht="14.25">
      <c r="A2018" s="258"/>
      <c r="B2018" s="258"/>
      <c r="C2018" s="259" t="s">
        <v>2275</v>
      </c>
      <c r="D2018" s="289"/>
      <c r="E2018" s="291">
        <f>0.294*0.14*0.19</f>
        <v>7.8203999999999999E-3</v>
      </c>
      <c r="F2018" s="282">
        <v>13.6</v>
      </c>
      <c r="G2018" s="292"/>
      <c r="H2018" s="136">
        <f>J2003</f>
        <v>133.25</v>
      </c>
      <c r="I2018" s="287"/>
      <c r="J2018" s="158">
        <f>ROUND(PRODUCT(E2018:I2018),2)</f>
        <v>14.17</v>
      </c>
    </row>
    <row r="2019" spans="1:11">
      <c r="A2019" s="535"/>
      <c r="B2019" s="536"/>
      <c r="C2019" s="536"/>
      <c r="D2019" s="536"/>
      <c r="E2019" s="536"/>
      <c r="F2019" s="536"/>
      <c r="G2019" s="536"/>
      <c r="H2019" s="536"/>
      <c r="I2019" s="536"/>
      <c r="J2019" s="537"/>
    </row>
    <row r="2020" spans="1:11" ht="25.5">
      <c r="A2020" s="251" t="str">
        <f>'[3]Planilha Orçamentária'!A532</f>
        <v>1.9.6.13</v>
      </c>
      <c r="B2020" s="252" t="str">
        <f>VLOOKUP(A2020,'[3]Planilha Orçamentária'!A:K,2,0)</f>
        <v>CP-74157/004-48264518</v>
      </c>
      <c r="C2020" s="253" t="str">
        <f>VLOOKUP(A2020,'[3]Planilha Orçamentária'!A:K,3,0)</f>
        <v>LANCAMENTO/APLICACAO MANUAL DE CONCRETO EM FUNDACOES (concreto magro)</v>
      </c>
      <c r="D2020" s="254" t="str">
        <f>VLOOKUP(A2020,'[3]Planilha Orçamentária'!A:K,4,0)</f>
        <v>M3</v>
      </c>
      <c r="E2020" s="255"/>
      <c r="F2020" s="256"/>
      <c r="G2020" s="256"/>
      <c r="H2020" s="256"/>
      <c r="I2020" s="256"/>
      <c r="J2020" s="257">
        <f>ROUND(SUM(J2021:J2022),2)</f>
        <v>44.48</v>
      </c>
    </row>
    <row r="2021" spans="1:11">
      <c r="A2021" s="258"/>
      <c r="B2021" s="258"/>
      <c r="C2021" s="259" t="s">
        <v>2275</v>
      </c>
      <c r="D2021" s="258"/>
      <c r="E2021" s="258"/>
      <c r="F2021" s="258"/>
      <c r="G2021" s="258"/>
      <c r="H2021" s="136"/>
      <c r="I2021" s="287"/>
      <c r="J2021" s="258"/>
    </row>
    <row r="2022" spans="1:11" ht="14.25">
      <c r="A2022" s="258"/>
      <c r="B2022" s="258"/>
      <c r="C2022" s="280" t="s">
        <v>2279</v>
      </c>
      <c r="D2022" s="156"/>
      <c r="E2022" s="157"/>
      <c r="F2022" s="136"/>
      <c r="G2022" s="136"/>
      <c r="H2022" s="136"/>
      <c r="I2022" s="136">
        <f>J2015+J1991+J1986</f>
        <v>44.480000000000004</v>
      </c>
      <c r="J2022" s="158">
        <f>ROUND(PRODUCT(E2022:I2022),2)</f>
        <v>44.48</v>
      </c>
    </row>
    <row r="2023" spans="1:11">
      <c r="A2023" s="535"/>
      <c r="B2023" s="536"/>
      <c r="C2023" s="536"/>
      <c r="D2023" s="536"/>
      <c r="E2023" s="536"/>
      <c r="F2023" s="536"/>
      <c r="G2023" s="536"/>
      <c r="H2023" s="536"/>
      <c r="I2023" s="536"/>
      <c r="J2023" s="537"/>
    </row>
    <row r="2024" spans="1:11" ht="25.5">
      <c r="A2024" s="251" t="str">
        <f>'[3]Planilha Orçamentária'!A533</f>
        <v>1.9.6.14</v>
      </c>
      <c r="B2024" s="252">
        <f>VLOOKUP(A2024,'[3]Planilha Orçamentária'!A:K,2,0)</f>
        <v>2003450</v>
      </c>
      <c r="C2024" s="253" t="str">
        <f>VLOOKUP(A2024,'[3]Planilha Orçamentária'!A:K,3,0)</f>
        <v>Dissipador de energia - DEB 02 - areia extraída e brita e pedra de mão produzidas</v>
      </c>
      <c r="D2024" s="254" t="str">
        <f>VLOOKUP(A2024,'[3]Planilha Orçamentária'!A:K,4,0)</f>
        <v>UN</v>
      </c>
      <c r="E2024" s="255"/>
      <c r="F2024" s="256"/>
      <c r="G2024" s="256"/>
      <c r="H2024" s="256"/>
      <c r="I2024" s="256"/>
      <c r="J2024" s="257">
        <f>ROUND(SUM(J2025:J2026),2)</f>
        <v>1</v>
      </c>
    </row>
    <row r="2025" spans="1:11">
      <c r="A2025" s="258"/>
      <c r="B2025" s="258"/>
      <c r="C2025" s="259" t="s">
        <v>2275</v>
      </c>
      <c r="D2025" s="258"/>
      <c r="E2025" s="258"/>
      <c r="F2025" s="258"/>
      <c r="G2025" s="258"/>
      <c r="H2025" s="136"/>
      <c r="I2025" s="287" t="s">
        <v>2045</v>
      </c>
      <c r="J2025" s="258"/>
    </row>
    <row r="2026" spans="1:11" ht="14.25">
      <c r="A2026" s="258"/>
      <c r="B2026" s="258"/>
      <c r="C2026" s="280"/>
      <c r="D2026" s="156"/>
      <c r="E2026" s="157"/>
      <c r="F2026" s="136"/>
      <c r="G2026" s="136"/>
      <c r="H2026" s="136"/>
      <c r="I2026" s="136">
        <v>1</v>
      </c>
      <c r="J2026" s="158">
        <f>ROUND(PRODUCT(E2026:I2026),2)</f>
        <v>1</v>
      </c>
    </row>
    <row r="2027" spans="1:11" ht="14.25" customHeight="1">
      <c r="A2027" s="543"/>
      <c r="B2027" s="544"/>
      <c r="C2027" s="544"/>
      <c r="D2027" s="544"/>
      <c r="E2027" s="544"/>
      <c r="F2027" s="544"/>
      <c r="G2027" s="544"/>
      <c r="H2027" s="544"/>
      <c r="I2027" s="544"/>
      <c r="J2027" s="545"/>
    </row>
    <row r="2028" spans="1:11">
      <c r="A2028" s="94" t="str">
        <f>'[3]Planilha Orçamentária'!A534</f>
        <v>1.9.7</v>
      </c>
      <c r="B2028" s="95"/>
      <c r="C2028" s="96" t="str">
        <f>VLOOKUP(A2028,'[3]Planilha Orçamentária'!A:K,3,0)</f>
        <v>SINALIZAÇÃO</v>
      </c>
      <c r="D2028" s="97"/>
      <c r="E2028" s="98"/>
      <c r="F2028" s="99"/>
      <c r="G2028" s="99"/>
      <c r="H2028" s="99"/>
      <c r="I2028" s="100"/>
      <c r="J2028" s="131"/>
    </row>
    <row r="2029" spans="1:11" ht="25.5">
      <c r="A2029" s="132" t="str">
        <f>'[3]Planilha Orçamentária'!A535</f>
        <v>1.9.7.1</v>
      </c>
      <c r="B2029" s="103">
        <f>VLOOKUP(A2029,'[3]Planilha Orçamentária'!A:K,2,0)</f>
        <v>5213421</v>
      </c>
      <c r="C2029" s="276" t="str">
        <f>VLOOKUP(A2029,'[3]Planilha Orçamentária'!A:K,3,0)</f>
        <v>Confecção de placa em aço nº 16 galvanizado, com película tipo I + IV</v>
      </c>
      <c r="D2029" s="105" t="str">
        <f>VLOOKUP(A2029,'[3]Planilha Orçamentária'!A:K,4,0)</f>
        <v xml:space="preserve">M2    </v>
      </c>
      <c r="E2029" s="104"/>
      <c r="F2029" s="111"/>
      <c r="G2029" s="111"/>
      <c r="H2029" s="111"/>
      <c r="I2029" s="111"/>
      <c r="J2029" s="107">
        <f>ROUND(SUM(J2030:J2034),2)</f>
        <v>2.58</v>
      </c>
    </row>
    <row r="2030" spans="1:11" ht="25.5">
      <c r="A2030" s="138"/>
      <c r="B2030" s="138"/>
      <c r="C2030" s="244" t="s">
        <v>2280</v>
      </c>
      <c r="D2030" s="307"/>
      <c r="E2030" s="313"/>
      <c r="F2030" s="116"/>
      <c r="G2030" s="116"/>
      <c r="H2030" s="157" t="s">
        <v>2003</v>
      </c>
      <c r="I2030" s="408" t="s">
        <v>1991</v>
      </c>
      <c r="J2030" s="118"/>
    </row>
    <row r="2031" spans="1:11">
      <c r="A2031" s="314"/>
      <c r="B2031" s="314"/>
      <c r="C2031" s="244" t="s">
        <v>2079</v>
      </c>
      <c r="D2031" s="307"/>
      <c r="E2031" s="116"/>
      <c r="F2031" s="116"/>
      <c r="G2031" s="116"/>
      <c r="H2031" s="116">
        <v>0.2</v>
      </c>
      <c r="I2031" s="157">
        <v>2</v>
      </c>
      <c r="J2031" s="158">
        <f>ROUND(PRODUCT(E2031:I2031),2)</f>
        <v>0.4</v>
      </c>
      <c r="K2031" s="116"/>
    </row>
    <row r="2032" spans="1:11">
      <c r="A2032" s="314"/>
      <c r="B2032" s="314"/>
      <c r="C2032" s="244" t="s">
        <v>2281</v>
      </c>
      <c r="D2032" s="303"/>
      <c r="E2032" s="304"/>
      <c r="F2032" s="304"/>
      <c r="G2032" s="304"/>
      <c r="H2032" s="304">
        <f>3.14*0.25^2</f>
        <v>0.19625000000000001</v>
      </c>
      <c r="I2032" s="410">
        <v>3</v>
      </c>
      <c r="J2032" s="158">
        <f>ROUND(PRODUCT(E2032:I2032),2)</f>
        <v>0.59</v>
      </c>
      <c r="K2032" s="304"/>
    </row>
    <row r="2033" spans="1:11">
      <c r="A2033" s="314"/>
      <c r="B2033" s="314"/>
      <c r="C2033" s="409" t="s">
        <v>2081</v>
      </c>
      <c r="D2033" s="303"/>
      <c r="E2033" s="304"/>
      <c r="F2033" s="304"/>
      <c r="G2033" s="304"/>
      <c r="H2033" s="304">
        <f>0.5*0.5</f>
        <v>0.25</v>
      </c>
      <c r="I2033" s="410">
        <v>4</v>
      </c>
      <c r="J2033" s="158">
        <f>ROUND(PRODUCT(E2033:I2033),2)</f>
        <v>1</v>
      </c>
      <c r="K2033" s="304"/>
    </row>
    <row r="2034" spans="1:11" ht="14.25">
      <c r="A2034" s="314"/>
      <c r="B2034" s="314"/>
      <c r="C2034" s="390" t="s">
        <v>2116</v>
      </c>
      <c r="D2034" s="391"/>
      <c r="E2034" s="392"/>
      <c r="F2034" s="393"/>
      <c r="G2034" s="393"/>
      <c r="H2034" s="304">
        <f>3.14*0.25^2</f>
        <v>0.19625000000000001</v>
      </c>
      <c r="I2034" s="410">
        <v>3</v>
      </c>
      <c r="J2034" s="158">
        <f>ROUND(PRODUCT(E2034:I2034),2)</f>
        <v>0.59</v>
      </c>
    </row>
    <row r="2035" spans="1:11">
      <c r="A2035" s="524"/>
      <c r="B2035" s="524"/>
      <c r="C2035" s="524"/>
      <c r="D2035" s="524"/>
      <c r="E2035" s="524"/>
      <c r="F2035" s="524"/>
      <c r="G2035" s="524"/>
      <c r="H2035" s="524"/>
      <c r="I2035" s="524"/>
      <c r="J2035" s="525"/>
    </row>
    <row r="2036" spans="1:11" ht="38.25">
      <c r="A2036" s="132" t="str">
        <f>'[3]Planilha Orçamentária'!A536</f>
        <v>1.9.7.2</v>
      </c>
      <c r="B2036" s="103">
        <f>VLOOKUP(A2036,'[3]Planilha Orçamentária'!A:K,2,0)</f>
        <v>5216111</v>
      </c>
      <c r="C2036" s="276" t="str">
        <f>VLOOKUP(A2036,'[3]Planilha Orçamentária'!A:K,3,0)</f>
        <v>FORNECIMENTO E IMPLANTAÇÃO DE SUPORTE E TRAVESSA PARA PLACA DE SINALIZAÇÃO EM MADEIRA DE LEI TRATADA 8 X 8 CM</v>
      </c>
      <c r="D2036" s="105" t="str">
        <f>VLOOKUP(A2036,'[3]Planilha Orçamentária'!A:K,4,0)</f>
        <v>UND</v>
      </c>
      <c r="E2036" s="104"/>
      <c r="F2036" s="111"/>
      <c r="G2036" s="111"/>
      <c r="H2036" s="111"/>
      <c r="I2036" s="111"/>
      <c r="J2036" s="107">
        <f>ROUND(SUM(J2038:J2038),2)</f>
        <v>9</v>
      </c>
    </row>
    <row r="2037" spans="1:11">
      <c r="A2037" s="251"/>
      <c r="B2037" s="252"/>
      <c r="C2037" s="244" t="s">
        <v>2280</v>
      </c>
      <c r="D2037" s="105"/>
      <c r="E2037" s="104"/>
      <c r="F2037" s="111"/>
      <c r="G2037" s="111"/>
      <c r="H2037" s="111"/>
      <c r="I2037" s="106" t="s">
        <v>1446</v>
      </c>
      <c r="J2037" s="257"/>
    </row>
    <row r="2038" spans="1:11">
      <c r="A2038" s="314"/>
      <c r="B2038" s="314"/>
      <c r="C2038" s="244" t="s">
        <v>2046</v>
      </c>
      <c r="D2038" s="307"/>
      <c r="E2038" s="313"/>
      <c r="F2038" s="116"/>
      <c r="G2038" s="116"/>
      <c r="H2038" s="157"/>
      <c r="I2038" s="157">
        <v>9</v>
      </c>
      <c r="J2038" s="306">
        <f>ROUND(PRODUCT(E2038:I2038),2)</f>
        <v>9</v>
      </c>
    </row>
    <row r="2039" spans="1:11">
      <c r="A2039" s="523"/>
      <c r="B2039" s="524"/>
      <c r="C2039" s="524"/>
      <c r="D2039" s="524"/>
      <c r="E2039" s="524"/>
      <c r="F2039" s="524"/>
      <c r="G2039" s="524"/>
      <c r="H2039" s="524"/>
      <c r="I2039" s="524"/>
      <c r="J2039" s="525"/>
    </row>
    <row r="2040" spans="1:11" ht="25.5">
      <c r="A2040" s="251" t="str">
        <f>'[3]Planilha Orçamentária'!A537</f>
        <v>1.9.7.3</v>
      </c>
      <c r="B2040" s="252" t="str">
        <f>VLOOKUP(A2040,'[3]Planilha Orçamentária'!A:K,2,0)</f>
        <v>COMP-58084869</v>
      </c>
      <c r="C2040" s="253" t="str">
        <f>VLOOKUP(A2040,'[3]Planilha Orçamentária'!A:K,3,0)</f>
        <v>PLACA ESMALTADA PARA IDENTIFICAÇÃO NR DE RUA, DIMENSÕES 45X25CM</v>
      </c>
      <c r="D2040" s="254" t="str">
        <f>VLOOKUP(A2040,'[3]Planilha Orçamentária'!A:K,4,0)</f>
        <v>UND</v>
      </c>
      <c r="E2040" s="255"/>
      <c r="F2040" s="256"/>
      <c r="G2040" s="256"/>
      <c r="H2040" s="256"/>
      <c r="I2040" s="256"/>
      <c r="J2040" s="257">
        <f>ROUND(SUM(J2041:J2042),2)</f>
        <v>2</v>
      </c>
    </row>
    <row r="2041" spans="1:11">
      <c r="A2041" s="132"/>
      <c r="B2041" s="108"/>
      <c r="C2041" s="244" t="s">
        <v>2280</v>
      </c>
      <c r="D2041" s="105"/>
      <c r="E2041" s="104"/>
      <c r="F2041" s="111"/>
      <c r="G2041" s="111"/>
      <c r="H2041" s="111"/>
      <c r="I2041" s="106" t="s">
        <v>1446</v>
      </c>
      <c r="J2041" s="122"/>
    </row>
    <row r="2042" spans="1:11">
      <c r="A2042" s="132"/>
      <c r="B2042" s="108"/>
      <c r="C2042" s="244" t="s">
        <v>2046</v>
      </c>
      <c r="D2042" s="105"/>
      <c r="E2042" s="104"/>
      <c r="F2042" s="111"/>
      <c r="G2042" s="111"/>
      <c r="H2042" s="111"/>
      <c r="I2042" s="157">
        <v>2</v>
      </c>
      <c r="J2042" s="306">
        <f>ROUND(PRODUCT(E2042:I2042),2)</f>
        <v>2</v>
      </c>
    </row>
    <row r="2043" spans="1:11">
      <c r="A2043" s="559"/>
      <c r="B2043" s="560"/>
      <c r="C2043" s="560"/>
      <c r="D2043" s="560"/>
      <c r="E2043" s="560"/>
      <c r="F2043" s="560"/>
      <c r="G2043" s="560"/>
      <c r="H2043" s="560"/>
      <c r="I2043" s="560"/>
      <c r="J2043" s="560"/>
    </row>
    <row r="2044" spans="1:11" ht="51">
      <c r="A2044" s="145" t="str">
        <f>'[3]Planilha Orçamentária'!A538</f>
        <v>1.9.7.4</v>
      </c>
      <c r="B2044" s="146">
        <f>VLOOKUP(A2044,'[3]Planilha Orçamentária'!A:K,2,0)</f>
        <v>102512</v>
      </c>
      <c r="C2044" s="411" t="str">
        <f>VLOOKUP(A2044,'[3]Planilha Orçamentária'!A:K,3,0)</f>
        <v>PINTURA DE EIXO VIÁRIO SOBRE ASFALTO COM TINTA RETRORREFLETIVA A BASE DE RESINA ACRÍLICA COM MICROESFERAS DE VIDRO, APLICAÇÃO MECÂNICA COM DEMARCADORA AUTOPROPELIDA. AF_05/2021</v>
      </c>
      <c r="D2044" s="148" t="str">
        <f>VLOOKUP(A2044,'[3]Planilha Orçamentária'!A:K,4,0)</f>
        <v>M</v>
      </c>
      <c r="E2044" s="147"/>
      <c r="F2044" s="160"/>
      <c r="G2044" s="160"/>
      <c r="H2044" s="160"/>
      <c r="I2044" s="160"/>
      <c r="J2044" s="150">
        <f>ROUND(SUM(J2046:J2046),2)</f>
        <v>300.42</v>
      </c>
    </row>
    <row r="2045" spans="1:11">
      <c r="A2045" s="151"/>
      <c r="B2045" s="152"/>
      <c r="C2045" s="244" t="s">
        <v>2280</v>
      </c>
      <c r="D2045" s="148"/>
      <c r="E2045" s="147"/>
      <c r="F2045" s="161" t="s">
        <v>1989</v>
      </c>
      <c r="G2045" s="160"/>
      <c r="H2045" s="160"/>
      <c r="I2045" s="106"/>
      <c r="J2045" s="150"/>
    </row>
    <row r="2046" spans="1:11">
      <c r="A2046" s="314"/>
      <c r="B2046" s="314"/>
      <c r="C2046" s="244" t="s">
        <v>2046</v>
      </c>
      <c r="D2046" s="262"/>
      <c r="E2046" s="358"/>
      <c r="F2046" s="157">
        <v>300.42</v>
      </c>
      <c r="G2046" s="157"/>
      <c r="H2046" s="157"/>
      <c r="I2046" s="157"/>
      <c r="J2046" s="128">
        <f>ROUND(PRODUCT(E2046:I2046),2)</f>
        <v>300.42</v>
      </c>
    </row>
    <row r="2047" spans="1:11">
      <c r="A2047" s="524"/>
      <c r="B2047" s="524"/>
      <c r="C2047" s="524"/>
      <c r="D2047" s="524"/>
      <c r="E2047" s="524"/>
      <c r="F2047" s="524"/>
      <c r="G2047" s="524"/>
      <c r="H2047" s="524"/>
      <c r="I2047" s="524"/>
      <c r="J2047" s="525"/>
    </row>
    <row r="2048" spans="1:11" ht="51">
      <c r="A2048" s="145" t="str">
        <f>'[3]Planilha Orçamentária'!A539</f>
        <v>1.9.7.5</v>
      </c>
      <c r="B2048" s="146">
        <f>VLOOKUP(A2048,'[3]Planilha Orçamentária'!A:K,2,0)</f>
        <v>102509</v>
      </c>
      <c r="C2048" s="411" t="str">
        <f>VLOOKUP(A2048,'[3]Planilha Orçamentária'!A:K,3,0)</f>
        <v>PINTURA DE FAIXA DE PEDESTRE OU ZEBRADA TINTA RETRORREFLETIVA A BASE DE RESINA ACRÍLICA COM MICROESFERAS DE VIDRO, E = 30 CM, APLICAÇÃO MANUAL. AF_05/2021</v>
      </c>
      <c r="D2048" s="148" t="str">
        <f>VLOOKUP(A2048,'[3]Planilha Orçamentária'!A:K,4,0)</f>
        <v>M2</v>
      </c>
      <c r="E2048" s="147"/>
      <c r="F2048" s="160"/>
      <c r="G2048" s="160"/>
      <c r="H2048" s="160"/>
      <c r="I2048" s="160"/>
      <c r="J2048" s="150">
        <f>ROUND(SUM(J2050:J2050),2)</f>
        <v>34.4</v>
      </c>
    </row>
    <row r="2049" spans="1:10">
      <c r="A2049" s="151"/>
      <c r="B2049" s="152"/>
      <c r="C2049" s="244" t="s">
        <v>2280</v>
      </c>
      <c r="D2049" s="148"/>
      <c r="E2049" s="147"/>
      <c r="F2049" s="161"/>
      <c r="G2049" s="160"/>
      <c r="H2049" s="160"/>
      <c r="I2049" s="106" t="s">
        <v>2003</v>
      </c>
      <c r="J2049" s="150"/>
    </row>
    <row r="2050" spans="1:10">
      <c r="A2050" s="314"/>
      <c r="B2050" s="314"/>
      <c r="C2050" s="244" t="s">
        <v>2046</v>
      </c>
      <c r="D2050" s="262"/>
      <c r="E2050" s="358"/>
      <c r="F2050" s="157"/>
      <c r="G2050" s="157"/>
      <c r="H2050" s="157"/>
      <c r="I2050" s="157">
        <v>34.4</v>
      </c>
      <c r="J2050" s="128">
        <f>ROUND(PRODUCT(E2050:I2050),2)</f>
        <v>34.4</v>
      </c>
    </row>
    <row r="2051" spans="1:10">
      <c r="A2051" s="524"/>
      <c r="B2051" s="524"/>
      <c r="C2051" s="524"/>
      <c r="D2051" s="524"/>
      <c r="E2051" s="524"/>
      <c r="F2051" s="524"/>
      <c r="G2051" s="524"/>
      <c r="H2051" s="524"/>
      <c r="I2051" s="524"/>
      <c r="J2051" s="525"/>
    </row>
    <row r="2052" spans="1:10">
      <c r="A2052" s="94" t="str">
        <f>'[3]Planilha Orçamentária'!A540</f>
        <v>1.9.8</v>
      </c>
      <c r="B2052" s="95"/>
      <c r="C2052" s="96" t="str">
        <f>VLOOKUP(A2052,'[3]Planilha Orçamentária'!A:K,3,0)</f>
        <v>ACESSIBILIDADE</v>
      </c>
      <c r="D2052" s="96"/>
      <c r="E2052" s="129"/>
      <c r="F2052" s="130"/>
      <c r="G2052" s="130"/>
      <c r="H2052" s="130"/>
      <c r="I2052" s="130"/>
      <c r="J2052" s="131"/>
    </row>
    <row r="2053" spans="1:10" ht="51">
      <c r="A2053" s="132" t="str">
        <f>'[3]Planilha Orçamentária'!A541</f>
        <v>1.9.8.1</v>
      </c>
      <c r="B2053" s="108" t="str">
        <f>VLOOKUP(A2053,'[3]Planilha Orçamentária'!A:K,2,0)</f>
        <v>CP-S12039-81921471</v>
      </c>
      <c r="C2053" s="276" t="str">
        <f>VLOOKUP(A2053,'[3]Planilha Orçamentária'!A:K,3,0)</f>
        <v>Piso tátil direcional e/ou alerta, de concreto, na cor natural, p/deficientes visuais, dimensões 40x40cm, aplicado com argamassa industrializada ac-ii, rejuntado, exclusive regularização de base</v>
      </c>
      <c r="D2053" s="105" t="str">
        <f>VLOOKUP(A2053,'[3]Planilha Orçamentária'!A:K,4,0)</f>
        <v>M2</v>
      </c>
      <c r="E2053" s="104"/>
      <c r="F2053" s="111"/>
      <c r="G2053" s="111"/>
      <c r="H2053" s="111"/>
      <c r="I2053" s="111"/>
      <c r="J2053" s="122">
        <f>ROUND(SUM(J2054:J2055),2)</f>
        <v>48.36</v>
      </c>
    </row>
    <row r="2054" spans="1:10">
      <c r="A2054" s="138"/>
      <c r="B2054" s="138"/>
      <c r="C2054" s="244" t="s">
        <v>2280</v>
      </c>
      <c r="D2054" s="137"/>
      <c r="E2054" s="138"/>
      <c r="F2054" s="325"/>
      <c r="G2054" s="325"/>
      <c r="H2054" s="325"/>
      <c r="I2054" s="357" t="s">
        <v>2003</v>
      </c>
      <c r="J2054" s="325"/>
    </row>
    <row r="2055" spans="1:10">
      <c r="A2055" s="138"/>
      <c r="B2055" s="138"/>
      <c r="C2055" s="244" t="s">
        <v>2161</v>
      </c>
      <c r="D2055" s="137"/>
      <c r="E2055" s="138"/>
      <c r="F2055" s="325"/>
      <c r="G2055" s="325"/>
      <c r="H2055" s="325"/>
      <c r="I2055" s="325">
        <v>48.36</v>
      </c>
      <c r="J2055" s="128">
        <f>ROUND(PRODUCT(E2055:I2055),2)</f>
        <v>48.36</v>
      </c>
    </row>
    <row r="2056" spans="1:10">
      <c r="A2056" s="558"/>
      <c r="B2056" s="558"/>
      <c r="C2056" s="558"/>
      <c r="D2056" s="558"/>
      <c r="E2056" s="558"/>
      <c r="F2056" s="558"/>
      <c r="G2056" s="558"/>
      <c r="H2056" s="558"/>
      <c r="I2056" s="558"/>
      <c r="J2056" s="558"/>
    </row>
    <row r="2057" spans="1:10">
      <c r="A2057" s="94" t="str">
        <f>'[3]Planilha Orçamentária'!A542</f>
        <v>1.9.9</v>
      </c>
      <c r="B2057" s="95"/>
      <c r="C2057" s="96" t="str">
        <f>VLOOKUP(A2057,'[3]Planilha Orçamentária'!A:K,3,0)</f>
        <v>MATERIAIS</v>
      </c>
      <c r="D2057" s="96"/>
      <c r="E2057" s="129"/>
      <c r="F2057" s="130"/>
      <c r="G2057" s="130"/>
      <c r="H2057" s="130"/>
      <c r="I2057" s="130"/>
      <c r="J2057" s="131"/>
    </row>
    <row r="2058" spans="1:10" ht="51">
      <c r="A2058" s="145" t="str">
        <f>'[3]Planilha Orçamentária'!A543</f>
        <v>1.9.9.1</v>
      </c>
      <c r="B2058" s="146">
        <f>VLOOKUP(A2058,'[3]Planilha Orçamentária'!A:K,2,0)</f>
        <v>10775</v>
      </c>
      <c r="C2058" s="147" t="str">
        <f>VLOOKUP(A2058,'[3]Planilha Orçamentária'!A:K,3,0)</f>
        <v xml:space="preserve">LOCACAO DE CONTAINER 2,30 X 6,00 M, ALT. 2,50 M, COM 1 SANITARIO, PARA ESCRITORIO, COMPLETO, SEM DIVISORIAS INTERNAS (NAO INCLUI MOBILIZACAO/DESMOBILIZACAO)                                                                                                                                                                                                                                                                                                                                              </v>
      </c>
      <c r="D2058" s="148" t="str">
        <f>VLOOKUP(A2058,'[3]Planilha Orçamentária'!A:K,4,0)</f>
        <v xml:space="preserve">MES   </v>
      </c>
      <c r="E2058" s="147"/>
      <c r="F2058" s="160"/>
      <c r="G2058" s="160"/>
      <c r="H2058" s="160"/>
      <c r="I2058" s="160"/>
      <c r="J2058" s="218">
        <f>ROUND(SUM(J2060:J2060),2)</f>
        <v>2</v>
      </c>
    </row>
    <row r="2059" spans="1:10" ht="25.5">
      <c r="A2059" s="151"/>
      <c r="B2059" s="152"/>
      <c r="C2059" s="168"/>
      <c r="D2059" s="166"/>
      <c r="E2059" s="168"/>
      <c r="F2059" s="320"/>
      <c r="G2059" s="149"/>
      <c r="H2059" s="149"/>
      <c r="I2059" s="106" t="s">
        <v>1992</v>
      </c>
      <c r="J2059" s="321"/>
    </row>
    <row r="2060" spans="1:10">
      <c r="A2060" s="123"/>
      <c r="B2060" s="123"/>
      <c r="C2060" s="155"/>
      <c r="D2060" s="185"/>
      <c r="E2060" s="116"/>
      <c r="F2060" s="126"/>
      <c r="G2060" s="116"/>
      <c r="H2060" s="116"/>
      <c r="I2060" s="116">
        <f>I1831</f>
        <v>2</v>
      </c>
      <c r="J2060" s="128">
        <f>ROUND(PRODUCT(E2060:I2060),2)</f>
        <v>2</v>
      </c>
    </row>
    <row r="2061" spans="1:10">
      <c r="A2061" s="531"/>
      <c r="B2061" s="531"/>
      <c r="C2061" s="531"/>
      <c r="D2061" s="531"/>
      <c r="E2061" s="531"/>
      <c r="F2061" s="531"/>
      <c r="G2061" s="531"/>
      <c r="H2061" s="531"/>
      <c r="I2061" s="531"/>
      <c r="J2061" s="531"/>
    </row>
    <row r="2062" spans="1:10" ht="38.25">
      <c r="A2062" s="145" t="str">
        <f>'[3]Planilha Orçamentária'!A544</f>
        <v>1.9.9.2</v>
      </c>
      <c r="B2062" s="146">
        <f>VLOOKUP(A2062,'[3]Planilha Orçamentária'!A:K,2,0)</f>
        <v>10776</v>
      </c>
      <c r="C2062" s="147" t="str">
        <f>VLOOKUP(A2062,'[3]Planilha Orçamentária'!A:K,3,0)</f>
        <v xml:space="preserve">LOCACAO DE CONTAINER 2,30 X 6,00 M, ALT. 2,50 M, PARA ESCRITORIO, SEM DIVISORIAS INTERNAS E SEM SANITARIO (NAO INCLUI MOBILIZACAO/DESMOBILIZACAO)                                                                                                                                                                                                                                                                                                                                                         </v>
      </c>
      <c r="D2062" s="148" t="str">
        <f>VLOOKUP(A2062,'[3]Planilha Orçamentária'!A:K,4,0)</f>
        <v xml:space="preserve">MES   </v>
      </c>
      <c r="E2062" s="147"/>
      <c r="F2062" s="160"/>
      <c r="G2062" s="160"/>
      <c r="H2062" s="160"/>
      <c r="I2062" s="160"/>
      <c r="J2062" s="218">
        <f>ROUND(SUM(J2064:J2064),2)</f>
        <v>2</v>
      </c>
    </row>
    <row r="2063" spans="1:10" ht="25.5">
      <c r="A2063" s="151"/>
      <c r="B2063" s="152"/>
      <c r="C2063" s="168"/>
      <c r="D2063" s="166"/>
      <c r="E2063" s="168"/>
      <c r="F2063" s="320"/>
      <c r="G2063" s="149"/>
      <c r="H2063" s="149"/>
      <c r="I2063" s="106" t="s">
        <v>1992</v>
      </c>
      <c r="J2063" s="321"/>
    </row>
    <row r="2064" spans="1:10">
      <c r="A2064" s="123"/>
      <c r="B2064" s="123"/>
      <c r="C2064" s="155"/>
      <c r="D2064" s="185"/>
      <c r="E2064" s="116"/>
      <c r="F2064" s="126"/>
      <c r="G2064" s="116"/>
      <c r="H2064" s="116"/>
      <c r="I2064" s="116">
        <f>I2060</f>
        <v>2</v>
      </c>
      <c r="J2064" s="128">
        <f>ROUND(PRODUCT(E2064:I2064),2)</f>
        <v>2</v>
      </c>
    </row>
    <row r="2065" spans="1:10">
      <c r="A2065" s="531"/>
      <c r="B2065" s="531"/>
      <c r="C2065" s="531"/>
      <c r="D2065" s="531"/>
      <c r="E2065" s="531"/>
      <c r="F2065" s="531"/>
      <c r="G2065" s="531"/>
      <c r="H2065" s="531"/>
      <c r="I2065" s="531"/>
      <c r="J2065" s="531"/>
    </row>
    <row r="2066" spans="1:10" ht="38.25">
      <c r="A2066" s="132" t="str">
        <f>'[3]Planilha Orçamentária'!A545</f>
        <v>1.9.9.3</v>
      </c>
      <c r="B2066" s="108">
        <f>VLOOKUP(A2066,'[3]Planilha Orçamentária'!A:K,2,0)</f>
        <v>1518</v>
      </c>
      <c r="C2066" s="104" t="str">
        <f>VLOOKUP(A2066,'[3]Planilha Orçamentária'!A:K,3,0)</f>
        <v xml:space="preserve">CONCRETO BETUMINOSO USINADO A QUENTE (CBUQ) PARA PAVIMENTACAO ASFALTICA, PADRAO DNIT, FAIXA C, COM CAP 50/70 - AQUISICAO POSTO USINA                                                                                                                                                                                                                                                                                                                                                                      </v>
      </c>
      <c r="D2066" s="105" t="str">
        <f>VLOOKUP(A2066,'[3]Planilha Orçamentária'!A:K,4,0)</f>
        <v xml:space="preserve">T     </v>
      </c>
      <c r="E2066" s="104"/>
      <c r="F2066" s="111"/>
      <c r="G2066" s="111"/>
      <c r="H2066" s="111"/>
      <c r="I2066" s="111"/>
      <c r="J2066" s="122">
        <f>ROUND(SUM(J2067:J2068),2)</f>
        <v>85.43</v>
      </c>
    </row>
    <row r="2067" spans="1:10">
      <c r="A2067" s="174"/>
      <c r="B2067" s="174"/>
      <c r="C2067" s="159" t="s">
        <v>2269</v>
      </c>
      <c r="D2067" s="174"/>
      <c r="E2067" s="174" t="s">
        <v>1193</v>
      </c>
      <c r="F2067" s="174"/>
      <c r="G2067" s="174"/>
      <c r="H2067" s="174"/>
      <c r="I2067" s="174" t="s">
        <v>2007</v>
      </c>
      <c r="J2067" s="174"/>
    </row>
    <row r="2068" spans="1:10">
      <c r="A2068" s="174"/>
      <c r="B2068" s="174"/>
      <c r="C2068" s="322" t="s">
        <v>2083</v>
      </c>
      <c r="D2068" s="174"/>
      <c r="E2068" s="174">
        <v>2.5548000000000002</v>
      </c>
      <c r="F2068" s="174"/>
      <c r="G2068" s="174"/>
      <c r="H2068" s="174"/>
      <c r="I2068" s="286">
        <f>J1913</f>
        <v>33.44</v>
      </c>
      <c r="J2068" s="158">
        <f t="shared" ref="J2068" si="136">ROUND(PRODUCT(E2068:I2068),2)</f>
        <v>85.43</v>
      </c>
    </row>
    <row r="2069" spans="1:10">
      <c r="A2069" s="219"/>
      <c r="B2069" s="323"/>
      <c r="C2069" s="323"/>
      <c r="D2069" s="323"/>
      <c r="E2069" s="323"/>
      <c r="F2069" s="323"/>
      <c r="G2069" s="323"/>
      <c r="H2069" s="323"/>
      <c r="I2069" s="323"/>
      <c r="J2069" s="198"/>
    </row>
    <row r="2070" spans="1:10">
      <c r="A2070" s="132" t="str">
        <f>'[3]Planilha Orçamentária'!A546</f>
        <v>1.9.9.4</v>
      </c>
      <c r="B2070" s="108" t="str">
        <f>VLOOKUP(A2070,'[3]Planilha Orçamentária'!A:K,2,0)</f>
        <v>INS-185032</v>
      </c>
      <c r="C2070" s="104" t="str">
        <f>VLOOKUP(A2070,'[3]Planilha Orçamentária'!A:K,3,0)</f>
        <v>BRITA GRADUADA SIMPLES (BGS)</v>
      </c>
      <c r="D2070" s="105" t="str">
        <f>VLOOKUP(A2070,'[3]Planilha Orçamentária'!A:K,4,0)</f>
        <v>M3</v>
      </c>
      <c r="E2070" s="104"/>
      <c r="F2070" s="111"/>
      <c r="G2070" s="111"/>
      <c r="H2070" s="111"/>
      <c r="I2070" s="111"/>
      <c r="J2070" s="122">
        <f>ROUND(SUM(J2071:J2072),2)</f>
        <v>142.30000000000001</v>
      </c>
    </row>
    <row r="2071" spans="1:10">
      <c r="A2071" s="132"/>
      <c r="B2071" s="108"/>
      <c r="C2071" s="159" t="s">
        <v>2269</v>
      </c>
      <c r="D2071" s="105"/>
      <c r="E2071" s="174" t="s">
        <v>1193</v>
      </c>
      <c r="F2071" s="111"/>
      <c r="G2071" s="111"/>
      <c r="H2071" s="111"/>
      <c r="I2071" s="174" t="s">
        <v>2007</v>
      </c>
      <c r="J2071" s="122"/>
    </row>
    <row r="2072" spans="1:10">
      <c r="A2072" s="132"/>
      <c r="B2072" s="108"/>
      <c r="C2072" s="324" t="s">
        <v>2084</v>
      </c>
      <c r="D2072" s="137"/>
      <c r="E2072" s="325">
        <v>1</v>
      </c>
      <c r="F2072" s="106"/>
      <c r="G2072" s="106"/>
      <c r="H2072" s="106"/>
      <c r="I2072" s="286">
        <f>J1895</f>
        <v>142.30000000000001</v>
      </c>
      <c r="J2072" s="158">
        <f t="shared" ref="J2072" si="137">ROUND(PRODUCT(E2072:I2072),2)</f>
        <v>142.30000000000001</v>
      </c>
    </row>
    <row r="2073" spans="1:10">
      <c r="A2073" s="219"/>
      <c r="B2073" s="323"/>
      <c r="C2073" s="323"/>
      <c r="D2073" s="323"/>
      <c r="E2073" s="323"/>
      <c r="F2073" s="323"/>
      <c r="G2073" s="323"/>
      <c r="H2073" s="323"/>
      <c r="I2073" s="323"/>
      <c r="J2073" s="197"/>
    </row>
    <row r="2074" spans="1:10">
      <c r="A2074" s="132" t="str">
        <f>'[3]Planilha Orçamentária'!A547</f>
        <v>1.9.9.5</v>
      </c>
      <c r="B2074" s="108" t="str">
        <f>VLOOKUP(A2074,'[3]Planilha Orçamentária'!A:K,2,0)</f>
        <v>M0808</v>
      </c>
      <c r="C2074" s="104" t="str">
        <f>VLOOKUP(A2074,'[3]Planilha Orçamentária'!A:K,3,0)</f>
        <v>Brita 4</v>
      </c>
      <c r="D2074" s="105" t="str">
        <f>VLOOKUP(A2074,'[3]Planilha Orçamentária'!A:K,4,0)</f>
        <v>M3</v>
      </c>
      <c r="E2074" s="104"/>
      <c r="F2074" s="111"/>
      <c r="G2074" s="111"/>
      <c r="H2074" s="111"/>
      <c r="I2074" s="111"/>
      <c r="J2074" s="122">
        <f>ROUND(SUM(J2076:J2076),2)</f>
        <v>156.88</v>
      </c>
    </row>
    <row r="2075" spans="1:10">
      <c r="A2075" s="132"/>
      <c r="B2075" s="108"/>
      <c r="C2075" s="326"/>
      <c r="D2075" s="137"/>
      <c r="E2075" s="137" t="s">
        <v>2085</v>
      </c>
      <c r="F2075" s="174"/>
      <c r="G2075" s="174"/>
      <c r="H2075" s="174"/>
      <c r="I2075" s="174" t="s">
        <v>2007</v>
      </c>
      <c r="J2075" s="122"/>
    </row>
    <row r="2076" spans="1:10" ht="15">
      <c r="A2076" s="132"/>
      <c r="B2076" s="108"/>
      <c r="C2076" s="200" t="s">
        <v>2086</v>
      </c>
      <c r="D2076" s="137"/>
      <c r="E2076" s="327">
        <v>1.26</v>
      </c>
      <c r="F2076" s="174"/>
      <c r="G2076" s="174"/>
      <c r="H2076" s="174"/>
      <c r="I2076" s="286">
        <f>J1891</f>
        <v>124.51</v>
      </c>
      <c r="J2076" s="158">
        <f t="shared" ref="J2076" si="138">ROUND(PRODUCT(E2076:I2076),2)</f>
        <v>156.88</v>
      </c>
    </row>
    <row r="2077" spans="1:10">
      <c r="A2077" s="219"/>
      <c r="B2077" s="323"/>
      <c r="C2077" s="323"/>
      <c r="D2077" s="323"/>
      <c r="E2077" s="323"/>
      <c r="F2077" s="323"/>
      <c r="G2077" s="323"/>
      <c r="H2077" s="323"/>
      <c r="I2077" s="323"/>
      <c r="J2077" s="197"/>
    </row>
    <row r="2078" spans="1:10">
      <c r="A2078" s="132" t="str">
        <f>'[3]Planilha Orçamentária'!A548</f>
        <v>1.9.9.6</v>
      </c>
      <c r="B2078" s="108" t="str">
        <f>VLOOKUP(A2078,'[3]Planilha Orçamentária'!A:K,2,0)</f>
        <v>M1135</v>
      </c>
      <c r="C2078" s="104" t="str">
        <f>VLOOKUP(A2078,'[3]Planilha Orçamentária'!A:K,3,0)</f>
        <v>Pó de pedra</v>
      </c>
      <c r="D2078" s="105" t="str">
        <f>VLOOKUP(A2078,'[3]Planilha Orçamentária'!A:K,4,0)</f>
        <v>M3</v>
      </c>
      <c r="E2078" s="104"/>
      <c r="F2078" s="111"/>
      <c r="G2078" s="111"/>
      <c r="H2078" s="111"/>
      <c r="I2078" s="111"/>
      <c r="J2078" s="122">
        <f>ROUND(SUM(J2080:J2080),2)</f>
        <v>17.43</v>
      </c>
    </row>
    <row r="2079" spans="1:10">
      <c r="A2079" s="132"/>
      <c r="B2079" s="108"/>
      <c r="C2079" s="326"/>
      <c r="D2079" s="137"/>
      <c r="E2079" s="137" t="s">
        <v>2085</v>
      </c>
      <c r="F2079" s="174"/>
      <c r="G2079" s="174"/>
      <c r="H2079" s="174"/>
      <c r="I2079" s="174" t="s">
        <v>2007</v>
      </c>
      <c r="J2079" s="122"/>
    </row>
    <row r="2080" spans="1:10">
      <c r="A2080" s="132"/>
      <c r="B2080" s="108"/>
      <c r="C2080" s="200" t="s">
        <v>2086</v>
      </c>
      <c r="D2080" s="137"/>
      <c r="E2080" s="137">
        <v>0.14000000000000001</v>
      </c>
      <c r="F2080" s="174"/>
      <c r="G2080" s="174"/>
      <c r="H2080" s="174"/>
      <c r="I2080" s="286">
        <f>I2076</f>
        <v>124.51</v>
      </c>
      <c r="J2080" s="158">
        <f t="shared" ref="J2080" si="139">ROUND(PRODUCT(E2080:I2080),2)</f>
        <v>17.43</v>
      </c>
    </row>
    <row r="2081" spans="1:10">
      <c r="A2081" s="219"/>
      <c r="B2081" s="323"/>
      <c r="C2081" s="323"/>
      <c r="D2081" s="323"/>
      <c r="E2081" s="323"/>
      <c r="F2081" s="323"/>
      <c r="G2081" s="323"/>
      <c r="H2081" s="323"/>
      <c r="I2081" s="323"/>
      <c r="J2081" s="197"/>
    </row>
    <row r="2082" spans="1:10">
      <c r="A2082" s="132" t="str">
        <f>'[3]Planilha Orçamentária'!A549</f>
        <v>1.9.9.7</v>
      </c>
      <c r="B2082" s="108" t="str">
        <f>VLOOKUP(A2082,'[3]Planilha Orçamentária'!A:K,2,0)</f>
        <v>INS-711371</v>
      </c>
      <c r="C2082" s="104" t="str">
        <f>VLOOKUP(A2082,'[3]Planilha Orçamentária'!A:K,3,0)</f>
        <v>ASFALTO DILUÍDO CM - 30</v>
      </c>
      <c r="D2082" s="105" t="str">
        <f>VLOOKUP(A2082,'[3]Planilha Orçamentária'!A:K,4,0)</f>
        <v>KG</v>
      </c>
      <c r="E2082" s="104"/>
      <c r="F2082" s="111"/>
      <c r="G2082" s="111"/>
      <c r="H2082" s="111"/>
      <c r="I2082" s="111"/>
      <c r="J2082" s="122">
        <f>ROUND(SUM(J2084:J2084),2)</f>
        <v>802.4</v>
      </c>
    </row>
    <row r="2083" spans="1:10">
      <c r="A2083" s="132"/>
      <c r="B2083" s="108"/>
      <c r="C2083" s="361"/>
      <c r="D2083" s="180"/>
      <c r="E2083" s="174" t="s">
        <v>2085</v>
      </c>
      <c r="F2083" s="161"/>
      <c r="G2083" s="161"/>
      <c r="H2083" s="161"/>
      <c r="I2083" s="210" t="s">
        <v>2003</v>
      </c>
      <c r="J2083" s="122"/>
    </row>
    <row r="2084" spans="1:10">
      <c r="A2084" s="132"/>
      <c r="B2084" s="108"/>
      <c r="C2084" s="324" t="s">
        <v>2087</v>
      </c>
      <c r="D2084" s="137"/>
      <c r="E2084" s="325">
        <v>1.2</v>
      </c>
      <c r="F2084" s="127"/>
      <c r="G2084" s="161"/>
      <c r="H2084" s="161"/>
      <c r="I2084" s="212">
        <f>J1907</f>
        <v>668.67</v>
      </c>
      <c r="J2084" s="158">
        <f t="shared" ref="J2084" si="140">ROUND(PRODUCT(E2084:I2084),2)</f>
        <v>802.4</v>
      </c>
    </row>
    <row r="2085" spans="1:10">
      <c r="A2085" s="219"/>
      <c r="B2085" s="323"/>
      <c r="C2085" s="323"/>
      <c r="D2085" s="323"/>
      <c r="E2085" s="323"/>
      <c r="F2085" s="323"/>
      <c r="G2085" s="323"/>
      <c r="H2085" s="323"/>
      <c r="I2085" s="323"/>
      <c r="J2085" s="197"/>
    </row>
    <row r="2086" spans="1:10" ht="38.25">
      <c r="A2086" s="132" t="str">
        <f>'[3]Planilha Orçamentária'!A550</f>
        <v>1.9.9.8</v>
      </c>
      <c r="B2086" s="108">
        <f>VLOOKUP(A2086,'[3]Planilha Orçamentária'!A:K,2,0)</f>
        <v>34492</v>
      </c>
      <c r="C2086" s="104" t="str">
        <f>VLOOKUP(A2086,'[3]Planilha Orçamentária'!A:K,3,0)</f>
        <v xml:space="preserve">CONCRETO USINADO BOMBEAVEL, CLASSE DE RESISTENCIA C20, COM BRITA 0 E 1, SLUMP = 100 +/- 20 MM, EXCLUI SERVICO DE BOMBEAMENTO (NBR 8953)                                                                                                                                                                                                                                                                                                                                                                   </v>
      </c>
      <c r="D2086" s="105" t="str">
        <f>VLOOKUP(A2086,'[3]Planilha Orçamentária'!A:K,4,0)</f>
        <v xml:space="preserve">M3    </v>
      </c>
      <c r="E2086" s="104"/>
      <c r="F2086" s="111"/>
      <c r="G2086" s="111"/>
      <c r="H2086" s="111"/>
      <c r="I2086" s="111"/>
      <c r="J2086" s="122">
        <f>ROUND(SUM(J2088:J2088),2)</f>
        <v>43.84</v>
      </c>
    </row>
    <row r="2087" spans="1:10">
      <c r="A2087" s="132"/>
      <c r="B2087" s="108"/>
      <c r="C2087" s="159"/>
      <c r="D2087" s="174"/>
      <c r="E2087" s="137" t="s">
        <v>2085</v>
      </c>
      <c r="F2087" s="174"/>
      <c r="G2087" s="174"/>
      <c r="H2087" s="174"/>
      <c r="I2087" s="174" t="s">
        <v>2007</v>
      </c>
      <c r="J2087" s="122"/>
    </row>
    <row r="2088" spans="1:10">
      <c r="A2088" s="132"/>
      <c r="B2088" s="108"/>
      <c r="C2088" s="324" t="s">
        <v>2088</v>
      </c>
      <c r="D2088" s="137"/>
      <c r="E2088" s="325">
        <v>1.2130000000000001</v>
      </c>
      <c r="F2088" s="174"/>
      <c r="G2088" s="174"/>
      <c r="H2088" s="174"/>
      <c r="I2088" s="286">
        <f>J1931</f>
        <v>36.14</v>
      </c>
      <c r="J2088" s="158">
        <f t="shared" ref="J2088" si="141">ROUND(PRODUCT(E2088:I2088),2)</f>
        <v>43.84</v>
      </c>
    </row>
    <row r="2089" spans="1:10">
      <c r="A2089" s="219"/>
      <c r="B2089" s="323"/>
      <c r="C2089" s="323"/>
      <c r="D2089" s="323"/>
      <c r="E2089" s="323"/>
      <c r="F2089" s="323"/>
      <c r="G2089" s="323"/>
      <c r="H2089" s="323"/>
      <c r="I2089" s="323"/>
      <c r="J2089" s="197"/>
    </row>
    <row r="2090" spans="1:10" ht="38.25">
      <c r="A2090" s="132" t="str">
        <f>'[3]Planilha Orçamentária'!A551</f>
        <v>1.9.9.9</v>
      </c>
      <c r="B2090" s="108">
        <f>VLOOKUP(A2090,'[3]Planilha Orçamentária'!A:K,2,0)</f>
        <v>1345</v>
      </c>
      <c r="C2090" s="104" t="str">
        <f>VLOOKUP(A2090,'[3]Planilha Orçamentária'!A:K,3,0)</f>
        <v xml:space="preserve">CHAPA/PAINEL DE MADEIRA COMPENSADA PLASTIFICADA (MADEIRITE PLASTIFICADO) PARA FORMA DE CONCRETO, DE 2200 x 1100 MM, E = *17* MM                                                                                                                                                                                                                                                                                                                                                                           </v>
      </c>
      <c r="D2090" s="105" t="str">
        <f>VLOOKUP(A2090,'[3]Planilha Orçamentária'!A:K,4,0)</f>
        <v xml:space="preserve">M2    </v>
      </c>
      <c r="E2090" s="104"/>
      <c r="F2090" s="111"/>
      <c r="G2090" s="111"/>
      <c r="H2090" s="111"/>
      <c r="I2090" s="111"/>
      <c r="J2090" s="122">
        <f>ROUND(SUM(J2092:J2092),2)</f>
        <v>83.95</v>
      </c>
    </row>
    <row r="2091" spans="1:10">
      <c r="A2091" s="132"/>
      <c r="B2091" s="108"/>
      <c r="C2091" s="159"/>
      <c r="D2091" s="174"/>
      <c r="E2091" s="137" t="s">
        <v>2085</v>
      </c>
      <c r="F2091" s="174"/>
      <c r="G2091" s="174"/>
      <c r="H2091" s="174"/>
      <c r="I2091" s="174" t="s">
        <v>2003</v>
      </c>
      <c r="J2091" s="122"/>
    </row>
    <row r="2092" spans="1:10">
      <c r="A2092" s="132"/>
      <c r="B2092" s="108"/>
      <c r="C2092" s="324" t="s">
        <v>2089</v>
      </c>
      <c r="D2092" s="137"/>
      <c r="E2092" s="325">
        <v>1.05</v>
      </c>
      <c r="F2092" s="174"/>
      <c r="G2092" s="174"/>
      <c r="H2092" s="174"/>
      <c r="I2092" s="286">
        <f>J1999</f>
        <v>79.95</v>
      </c>
      <c r="J2092" s="158">
        <f t="shared" ref="J2092" si="142">ROUND(PRODUCT(E2092:I2092),2)</f>
        <v>83.95</v>
      </c>
    </row>
    <row r="2093" spans="1:10">
      <c r="A2093" s="219"/>
      <c r="B2093" s="323"/>
      <c r="C2093" s="323"/>
      <c r="D2093" s="323"/>
      <c r="E2093" s="323"/>
      <c r="F2093" s="323"/>
      <c r="G2093" s="323"/>
      <c r="H2093" s="323"/>
      <c r="I2093" s="323"/>
      <c r="J2093" s="197"/>
    </row>
    <row r="2094" spans="1:10">
      <c r="A2094" s="93" t="str">
        <f>'[3]Planilha Orçamentária'!A552</f>
        <v>1.10</v>
      </c>
      <c r="B2094" s="526" t="str">
        <f>VLOOKUP(A2094,'[3]Planilha Orçamentária'!A:K,3,0)</f>
        <v>RUA 11 - CURCURANA</v>
      </c>
      <c r="C2094" s="527"/>
      <c r="D2094" s="527"/>
      <c r="E2094" s="527"/>
      <c r="F2094" s="527"/>
      <c r="G2094" s="527"/>
      <c r="H2094" s="527"/>
      <c r="I2094" s="527"/>
      <c r="J2094" s="527"/>
    </row>
    <row r="2095" spans="1:10">
      <c r="A2095" s="94" t="str">
        <f>'[3]Planilha Orçamentária'!A553</f>
        <v>1.10.1</v>
      </c>
      <c r="B2095" s="95"/>
      <c r="C2095" s="96" t="str">
        <f>VLOOKUP(A2095,'[3]Planilha Orçamentária'!A:K,3,0)</f>
        <v>INSTALAÇÕES PROVISÓRIAS</v>
      </c>
      <c r="D2095" s="97"/>
      <c r="E2095" s="98"/>
      <c r="F2095" s="99"/>
      <c r="G2095" s="99"/>
      <c r="H2095" s="99"/>
      <c r="I2095" s="100"/>
      <c r="J2095" s="101"/>
    </row>
    <row r="2096" spans="1:10" ht="25.5">
      <c r="A2096" s="102" t="str">
        <f>'[3]Planilha Orçamentária'!A554</f>
        <v>1.10.1.1</v>
      </c>
      <c r="B2096" s="103" t="str">
        <f>VLOOKUP(A2096,'[3]Planilha Orçamentária'!A:K,2,0)</f>
        <v>CP-74209/001-15055090</v>
      </c>
      <c r="C2096" s="104" t="str">
        <f>VLOOKUP(A2096,'[3]Planilha Orçamentária'!A:K,3,0)</f>
        <v>PLACA DE OBRA EM CHAPA DE ACO GALVANIZADO</v>
      </c>
      <c r="D2096" s="105" t="str">
        <f>VLOOKUP(A2096,'[3]Planilha Orçamentária'!A:K,4,0)</f>
        <v xml:space="preserve">M2    </v>
      </c>
      <c r="E2096" s="104"/>
      <c r="F2096" s="106" t="s">
        <v>1989</v>
      </c>
      <c r="G2096" s="106" t="s">
        <v>1990</v>
      </c>
      <c r="H2096" s="106"/>
      <c r="I2096" s="106" t="s">
        <v>1991</v>
      </c>
      <c r="J2096" s="107">
        <f>ROUND(SUM(J2098:J2098),2)</f>
        <v>8</v>
      </c>
    </row>
    <row r="2097" spans="1:10">
      <c r="A2097" s="102"/>
      <c r="B2097" s="103"/>
      <c r="C2097" s="110"/>
      <c r="D2097" s="109"/>
      <c r="E2097" s="110"/>
      <c r="F2097" s="111"/>
      <c r="G2097" s="111"/>
      <c r="H2097" s="111"/>
      <c r="I2097" s="111"/>
      <c r="J2097" s="107"/>
    </row>
    <row r="2098" spans="1:10">
      <c r="A2098" s="102"/>
      <c r="B2098" s="123"/>
      <c r="C2098" s="328"/>
      <c r="D2098" s="114"/>
      <c r="E2098" s="115"/>
      <c r="F2098" s="116">
        <v>2</v>
      </c>
      <c r="G2098" s="116">
        <v>4</v>
      </c>
      <c r="H2098" s="117"/>
      <c r="I2098" s="116">
        <v>1</v>
      </c>
      <c r="J2098" s="118">
        <f>ROUND(PRODUCT(E2098:I2098),2)</f>
        <v>8</v>
      </c>
    </row>
    <row r="2099" spans="1:10">
      <c r="A2099" s="553"/>
      <c r="B2099" s="554"/>
      <c r="C2099" s="554"/>
      <c r="D2099" s="554"/>
      <c r="E2099" s="554"/>
      <c r="F2099" s="554"/>
      <c r="G2099" s="554"/>
      <c r="H2099" s="554"/>
      <c r="I2099" s="554"/>
      <c r="J2099" s="555"/>
    </row>
    <row r="2100" spans="1:10" ht="25.5">
      <c r="A2100" s="102" t="str">
        <f>'[3]Planilha Orçamentária'!A555</f>
        <v>1.10.1.2</v>
      </c>
      <c r="B2100" s="108" t="str">
        <f>VLOOKUP(A2100,'[3]Planilha Orçamentária'!A:K,2,0)</f>
        <v>COMP-07440249</v>
      </c>
      <c r="C2100" s="104" t="str">
        <f>VLOOKUP(A2100,'[3]Planilha Orçamentária'!A:K,3,0)</f>
        <v>BANHEIRO QUÍMICO, COM LOCAÇÃO, TRANSPORTE E LIMPEZA</v>
      </c>
      <c r="D2100" s="105" t="str">
        <f>VLOOKUP(A2100,'[3]Planilha Orçamentária'!A:K,4,0)</f>
        <v>MÊS</v>
      </c>
      <c r="E2100" s="104"/>
      <c r="F2100" s="111"/>
      <c r="G2100" s="111"/>
      <c r="H2100" s="111"/>
      <c r="I2100" s="111"/>
      <c r="J2100" s="122">
        <f>ROUND(SUM(J2102:J2102),2)</f>
        <v>3</v>
      </c>
    </row>
    <row r="2101" spans="1:10" ht="25.5">
      <c r="A2101" s="102"/>
      <c r="B2101" s="108"/>
      <c r="C2101" s="104"/>
      <c r="D2101" s="105"/>
      <c r="E2101" s="104"/>
      <c r="F2101" s="111"/>
      <c r="G2101" s="111"/>
      <c r="H2101" s="111"/>
      <c r="I2101" s="106" t="s">
        <v>1992</v>
      </c>
      <c r="J2101" s="122"/>
    </row>
    <row r="2102" spans="1:10">
      <c r="A2102" s="102"/>
      <c r="B2102" s="123"/>
      <c r="C2102" s="124"/>
      <c r="D2102" s="125"/>
      <c r="E2102" s="126"/>
      <c r="F2102" s="126"/>
      <c r="G2102" s="117"/>
      <c r="H2102" s="117"/>
      <c r="I2102" s="127">
        <v>3</v>
      </c>
      <c r="J2102" s="128">
        <f>ROUND(PRODUCT(E2102:I2102),2)</f>
        <v>3</v>
      </c>
    </row>
    <row r="2103" spans="1:10">
      <c r="A2103" s="102"/>
      <c r="B2103" s="123"/>
      <c r="C2103" s="124"/>
      <c r="D2103" s="125"/>
      <c r="E2103" s="126"/>
      <c r="F2103" s="126"/>
      <c r="G2103" s="117"/>
      <c r="H2103" s="117"/>
      <c r="I2103" s="127"/>
      <c r="J2103" s="128"/>
    </row>
    <row r="2104" spans="1:10">
      <c r="A2104" s="94" t="str">
        <f>'[3]Planilha Orçamentária'!A556</f>
        <v>1.10.2</v>
      </c>
      <c r="B2104" s="95"/>
      <c r="C2104" s="96" t="str">
        <f>VLOOKUP(A2104,'[3]Planilha Orçamentária'!A:K,3,0)</f>
        <v>ADMINISTRAÇÃO LOCAL</v>
      </c>
      <c r="D2104" s="96"/>
      <c r="E2104" s="129"/>
      <c r="F2104" s="130"/>
      <c r="G2104" s="130"/>
      <c r="H2104" s="130"/>
      <c r="I2104" s="130"/>
      <c r="J2104" s="131"/>
    </row>
    <row r="2105" spans="1:10" ht="25.5">
      <c r="A2105" s="132" t="str">
        <f>'[3]Planilha Orçamentária'!A557</f>
        <v>1.10.2.1</v>
      </c>
      <c r="B2105" s="103">
        <f>VLOOKUP(A2105,'[3]Planilha Orçamentária'!A:K,2,0)</f>
        <v>93565</v>
      </c>
      <c r="C2105" s="104" t="str">
        <f>VLOOKUP(A2105,'[3]Planilha Orçamentária'!A:K,3,0)</f>
        <v>ENGENHEIRO CIVIL DE OBRA JUNIOR COM ENCARGOS COMPLEMENTARES</v>
      </c>
      <c r="D2105" s="105" t="str">
        <f>VLOOKUP(A2105,'[3]Planilha Orçamentária'!A:K,4,0)</f>
        <v>MES</v>
      </c>
      <c r="E2105" s="133"/>
      <c r="F2105" s="134"/>
      <c r="G2105" s="134"/>
      <c r="H2105" s="134"/>
      <c r="I2105" s="134"/>
      <c r="J2105" s="107">
        <f>ROUND(SUM(J2107),2)</f>
        <v>0.38</v>
      </c>
    </row>
    <row r="2106" spans="1:10" ht="14.25">
      <c r="A2106" s="132"/>
      <c r="B2106" s="103"/>
      <c r="C2106" s="135"/>
      <c r="D2106" s="105"/>
      <c r="E2106" s="133"/>
      <c r="F2106" s="136"/>
      <c r="G2106" s="136"/>
      <c r="H2106" s="136"/>
      <c r="I2106" s="136"/>
      <c r="J2106" s="107"/>
    </row>
    <row r="2107" spans="1:10" ht="14.25">
      <c r="A2107" s="137"/>
      <c r="B2107" s="138"/>
      <c r="C2107" s="135" t="s">
        <v>2185</v>
      </c>
      <c r="D2107" s="139"/>
      <c r="E2107" s="136">
        <f>22/176</f>
        <v>0.125</v>
      </c>
      <c r="F2107" s="136"/>
      <c r="G2107" s="136"/>
      <c r="H2107" s="136"/>
      <c r="I2107" s="136">
        <f>I2102</f>
        <v>3</v>
      </c>
      <c r="J2107" s="118">
        <f>ROUND(PRODUCT(E2107:I2107),2)</f>
        <v>0.38</v>
      </c>
    </row>
    <row r="2108" spans="1:10" ht="14.25">
      <c r="A2108" s="137"/>
      <c r="B2108" s="138"/>
      <c r="C2108" s="135" t="s">
        <v>1994</v>
      </c>
      <c r="D2108" s="139"/>
      <c r="E2108" s="136"/>
      <c r="F2108" s="136"/>
      <c r="G2108" s="136"/>
      <c r="H2108" s="136"/>
      <c r="I2108" s="136"/>
      <c r="J2108" s="140"/>
    </row>
    <row r="2109" spans="1:10" ht="14.25">
      <c r="A2109" s="137"/>
      <c r="B2109" s="138"/>
      <c r="C2109" s="135" t="s">
        <v>1995</v>
      </c>
      <c r="D2109" s="141"/>
      <c r="E2109" s="142"/>
      <c r="F2109" s="127"/>
      <c r="G2109" s="117"/>
      <c r="H2109" s="117"/>
      <c r="I2109" s="143"/>
      <c r="J2109" s="144"/>
    </row>
    <row r="2110" spans="1:10">
      <c r="A2110" s="531"/>
      <c r="B2110" s="531"/>
      <c r="C2110" s="531"/>
      <c r="D2110" s="531"/>
      <c r="E2110" s="531"/>
      <c r="F2110" s="531"/>
      <c r="G2110" s="531"/>
      <c r="H2110" s="531"/>
      <c r="I2110" s="531"/>
      <c r="J2110" s="531"/>
    </row>
    <row r="2111" spans="1:10" ht="25.5">
      <c r="A2111" s="132" t="str">
        <f>'[3]Planilha Orçamentária'!A558</f>
        <v>1.10.2.2</v>
      </c>
      <c r="B2111" s="103">
        <f>VLOOKUP(A2111,'[3]Planilha Orçamentária'!A:K,2,0)</f>
        <v>93572</v>
      </c>
      <c r="C2111" s="104" t="str">
        <f>VLOOKUP(A2111,'[3]Planilha Orçamentária'!A:K,3,0)</f>
        <v>ENCARREGADO GERAL DE OBRAS COM ENCARGOS COMPLEMENTARES</v>
      </c>
      <c r="D2111" s="105" t="str">
        <f>VLOOKUP(A2111,'[3]Planilha Orçamentária'!A:K,4,0)</f>
        <v>MES</v>
      </c>
      <c r="E2111" s="133"/>
      <c r="F2111" s="134"/>
      <c r="G2111" s="134"/>
      <c r="H2111" s="134"/>
      <c r="I2111" s="134"/>
      <c r="J2111" s="107">
        <f>ROUND(SUM(J2113),2)</f>
        <v>1.5</v>
      </c>
    </row>
    <row r="2112" spans="1:10" ht="14.25">
      <c r="A2112" s="132"/>
      <c r="B2112" s="103"/>
      <c r="C2112" s="135"/>
      <c r="D2112" s="105"/>
      <c r="E2112" s="133"/>
      <c r="F2112" s="136"/>
      <c r="G2112" s="136"/>
      <c r="H2112" s="136"/>
      <c r="I2112" s="136"/>
      <c r="J2112" s="107"/>
    </row>
    <row r="2113" spans="1:10" ht="14.25">
      <c r="A2113" s="137"/>
      <c r="B2113" s="138"/>
      <c r="C2113" s="135" t="s">
        <v>2186</v>
      </c>
      <c r="D2113" s="139"/>
      <c r="E2113" s="136">
        <f>88/176</f>
        <v>0.5</v>
      </c>
      <c r="F2113" s="136"/>
      <c r="G2113" s="136"/>
      <c r="H2113" s="136"/>
      <c r="I2113" s="136">
        <f>I2102</f>
        <v>3</v>
      </c>
      <c r="J2113" s="118">
        <f>ROUND(PRODUCT(E2113:I2113),2)</f>
        <v>1.5</v>
      </c>
    </row>
    <row r="2114" spans="1:10" ht="14.25">
      <c r="A2114" s="137"/>
      <c r="B2114" s="138"/>
      <c r="C2114" s="135" t="s">
        <v>1997</v>
      </c>
      <c r="D2114" s="139"/>
      <c r="E2114" s="136"/>
      <c r="F2114" s="136"/>
      <c r="G2114" s="136"/>
      <c r="H2114" s="136"/>
      <c r="I2114" s="136"/>
      <c r="J2114" s="140"/>
    </row>
    <row r="2115" spans="1:10" ht="14.25">
      <c r="A2115" s="137"/>
      <c r="B2115" s="138"/>
      <c r="C2115" s="135" t="s">
        <v>1995</v>
      </c>
      <c r="D2115" s="141"/>
      <c r="E2115" s="142"/>
      <c r="F2115" s="127"/>
      <c r="G2115" s="117"/>
      <c r="H2115" s="117"/>
      <c r="I2115" s="143"/>
      <c r="J2115" s="144"/>
    </row>
    <row r="2116" spans="1:10">
      <c r="A2116" s="531"/>
      <c r="B2116" s="531"/>
      <c r="C2116" s="531"/>
      <c r="D2116" s="531"/>
      <c r="E2116" s="531"/>
      <c r="F2116" s="531"/>
      <c r="G2116" s="531"/>
      <c r="H2116" s="531"/>
      <c r="I2116" s="531"/>
      <c r="J2116" s="531"/>
    </row>
    <row r="2117" spans="1:10">
      <c r="A2117" s="94" t="str">
        <f>'[3]Planilha Orçamentária'!A559</f>
        <v>1.10.3</v>
      </c>
      <c r="B2117" s="95"/>
      <c r="C2117" s="96" t="str">
        <f>VLOOKUP(A2117,'[3]Planilha Orçamentária'!A:K,3,0)</f>
        <v>SERVIÇOS PRELIMINARES</v>
      </c>
      <c r="D2117" s="97"/>
      <c r="E2117" s="98"/>
      <c r="F2117" s="99"/>
      <c r="G2117" s="99"/>
      <c r="H2117" s="99"/>
      <c r="I2117" s="100"/>
      <c r="J2117" s="101"/>
    </row>
    <row r="2118" spans="1:10">
      <c r="A2118" s="145" t="str">
        <f>'[3]Planilha Orçamentária'!A560</f>
        <v>1.10.3.1</v>
      </c>
      <c r="B2118" s="146">
        <f>VLOOKUP(A2118,'[3]Planilha Orçamentária'!A:K,2,0)</f>
        <v>99064</v>
      </c>
      <c r="C2118" s="147" t="str">
        <f>VLOOKUP(A2118,'[3]Planilha Orçamentária'!A:K,3,0)</f>
        <v>LOCAÇÃO DE PAVIMENTAÇÃO. AF_10/2018</v>
      </c>
      <c r="D2118" s="148" t="str">
        <f>VLOOKUP(A2118,'[3]Planilha Orçamentária'!A:K,4,0)</f>
        <v>M</v>
      </c>
      <c r="E2118" s="147"/>
      <c r="F2118" s="136"/>
      <c r="G2118" s="149"/>
      <c r="H2118" s="149"/>
      <c r="I2118" s="149"/>
      <c r="J2118" s="150">
        <f>ROUND(SUM(J2120:J2121),2)</f>
        <v>312.86</v>
      </c>
    </row>
    <row r="2119" spans="1:10">
      <c r="A2119" s="151"/>
      <c r="B2119" s="152"/>
      <c r="C2119" s="147"/>
      <c r="D2119" s="148"/>
      <c r="E2119" s="147"/>
      <c r="F2119" s="106" t="s">
        <v>1989</v>
      </c>
      <c r="G2119" s="149"/>
      <c r="H2119" s="149"/>
      <c r="I2119" s="149"/>
      <c r="J2119" s="150"/>
    </row>
    <row r="2120" spans="1:10">
      <c r="A2120" s="174"/>
      <c r="B2120" s="174"/>
      <c r="C2120" s="200" t="s">
        <v>2282</v>
      </c>
      <c r="D2120" s="156"/>
      <c r="E2120" s="157"/>
      <c r="F2120" s="136">
        <f>[3]PARÂMETROS!B791</f>
        <v>312.86</v>
      </c>
      <c r="G2120" s="157"/>
      <c r="H2120" s="157"/>
      <c r="I2120" s="157"/>
      <c r="J2120" s="158">
        <f>ROUND(PRODUCT(E2120:I2120),2)</f>
        <v>312.86</v>
      </c>
    </row>
    <row r="2121" spans="1:10">
      <c r="A2121" s="531"/>
      <c r="B2121" s="531"/>
      <c r="C2121" s="531"/>
      <c r="D2121" s="531"/>
      <c r="E2121" s="531"/>
      <c r="F2121" s="531"/>
      <c r="G2121" s="531"/>
      <c r="H2121" s="531"/>
      <c r="I2121" s="531"/>
      <c r="J2121" s="531"/>
    </row>
    <row r="2122" spans="1:10">
      <c r="A2122" s="94" t="str">
        <f>'[3]Planilha Orçamentária'!A561</f>
        <v>1.10.4</v>
      </c>
      <c r="B2122" s="95"/>
      <c r="C2122" s="96" t="str">
        <f>VLOOKUP(A2122,'[3]Planilha Orçamentária'!A:K,3,0)</f>
        <v>TERRAPLENAGEM</v>
      </c>
      <c r="D2122" s="97"/>
      <c r="E2122" s="98"/>
      <c r="F2122" s="99"/>
      <c r="G2122" s="99"/>
      <c r="H2122" s="99"/>
      <c r="I2122" s="100"/>
      <c r="J2122" s="173"/>
    </row>
    <row r="2123" spans="1:10" ht="38.25">
      <c r="A2123" s="132" t="str">
        <f>'[3]Planilha Orçamentária'!A562</f>
        <v>1.10.4.1</v>
      </c>
      <c r="B2123" s="103" t="str">
        <f>VLOOKUP(A2123,'[3]Planilha Orçamentária'!A:K,2,0)</f>
        <v>CP-74205/001-17324935</v>
      </c>
      <c r="C2123" s="104" t="str">
        <f>VLOOKUP(A2123,'[3]Planilha Orçamentária'!A:K,3,0)</f>
        <v>ESCAVAÇÃO MECÂNICA DE MATERIAL 1A. CATEGORIA, PROVENIENTE DE CORTE DE SUBLEITO (C/TRATOR ESTEIRAS  160HP)</v>
      </c>
      <c r="D2123" s="105" t="str">
        <f>VLOOKUP(A2123,'[3]Planilha Orçamentária'!A:K,4,0)</f>
        <v>M3</v>
      </c>
      <c r="E2123" s="104"/>
      <c r="F2123" s="111"/>
      <c r="G2123" s="111"/>
      <c r="H2123" s="111"/>
      <c r="I2123" s="111"/>
      <c r="J2123" s="107">
        <f>ROUND(SUM(J2125:J2125),2)</f>
        <v>797.81</v>
      </c>
    </row>
    <row r="2124" spans="1:10">
      <c r="A2124" s="132"/>
      <c r="B2124" s="103"/>
      <c r="C2124" s="165" t="s">
        <v>2283</v>
      </c>
      <c r="D2124" s="105"/>
      <c r="E2124" s="104"/>
      <c r="F2124" s="111"/>
      <c r="G2124" s="111"/>
      <c r="H2124" s="111"/>
      <c r="I2124" s="106" t="s">
        <v>2007</v>
      </c>
      <c r="J2124" s="107"/>
    </row>
    <row r="2125" spans="1:10">
      <c r="A2125" s="174"/>
      <c r="B2125" s="175"/>
      <c r="C2125" s="155" t="s">
        <v>2097</v>
      </c>
      <c r="D2125" s="156"/>
      <c r="E2125" s="157"/>
      <c r="F2125" s="157"/>
      <c r="G2125" s="157"/>
      <c r="H2125" s="157"/>
      <c r="I2125" s="157">
        <f>[3]PARÂMETROS!G793</f>
        <v>797.81</v>
      </c>
      <c r="J2125" s="176">
        <f>ROUND(PRODUCT(E2125:I2125),2)</f>
        <v>797.81</v>
      </c>
    </row>
    <row r="2126" spans="1:10">
      <c r="A2126" s="549"/>
      <c r="B2126" s="549"/>
      <c r="C2126" s="549"/>
      <c r="D2126" s="549"/>
      <c r="E2126" s="549"/>
      <c r="F2126" s="549"/>
      <c r="G2126" s="549"/>
      <c r="H2126" s="549"/>
      <c r="I2126" s="549"/>
      <c r="J2126" s="549"/>
    </row>
    <row r="2127" spans="1:10" ht="51">
      <c r="A2127" s="177" t="str">
        <f>'[3]Planilha Orçamentária'!A563</f>
        <v>1.10.4.2</v>
      </c>
      <c r="B2127" s="178" t="str">
        <f>VLOOKUP(A2127,'[3]Planilha Orçamentária'!A:K,2,0)</f>
        <v>COMP-35145154</v>
      </c>
      <c r="C2127" s="179" t="str">
        <f>VLOOKUP(A2127,'[3]Planilha Orçamentária'!A:K,3,0)</f>
        <v>CARGA E DESCARGA MECANICA DE SOLO UTILIZANDO CAMINHAO BASCULANTE 14,0M3/36T E PA CARREGADEIRA SOBRE PNEUS 128 HP, CAPACIDADE DA CAÇAMBA 1,7 A 2,8 M3, PESO OPERACIONAL 11632 KH</v>
      </c>
      <c r="D2127" s="180" t="str">
        <f>VLOOKUP(A2127,'[3]Planilha Orçamentária'!A:K,4,0)</f>
        <v>M3</v>
      </c>
      <c r="E2127" s="179"/>
      <c r="F2127" s="181"/>
      <c r="G2127" s="181"/>
      <c r="H2127" s="181"/>
      <c r="I2127" s="181"/>
      <c r="J2127" s="107">
        <f>ROUND(SUM(J2129:J2129),2)</f>
        <v>997.26</v>
      </c>
    </row>
    <row r="2128" spans="1:10">
      <c r="A2128" s="177"/>
      <c r="B2128" s="178"/>
      <c r="C2128" s="155" t="s">
        <v>2015</v>
      </c>
      <c r="D2128" s="180"/>
      <c r="E2128" s="184" t="s">
        <v>2006</v>
      </c>
      <c r="F2128" s="332"/>
      <c r="G2128" s="332"/>
      <c r="H2128" s="332"/>
      <c r="I2128" s="332" t="s">
        <v>2007</v>
      </c>
      <c r="J2128" s="182"/>
    </row>
    <row r="2129" spans="1:11">
      <c r="A2129" s="177"/>
      <c r="B2129" s="178"/>
      <c r="C2129" s="155" t="s">
        <v>2016</v>
      </c>
      <c r="D2129" s="156"/>
      <c r="E2129" s="157">
        <v>1.25</v>
      </c>
      <c r="F2129" s="116"/>
      <c r="G2129" s="116"/>
      <c r="H2129" s="116"/>
      <c r="I2129" s="116">
        <f>J2123</f>
        <v>797.81</v>
      </c>
      <c r="J2129" s="176">
        <f>ROUND(PRODUCT(E2129:I2129),2)</f>
        <v>997.26</v>
      </c>
    </row>
    <row r="2130" spans="1:11">
      <c r="A2130" s="549"/>
      <c r="B2130" s="549"/>
      <c r="C2130" s="549"/>
      <c r="D2130" s="549"/>
      <c r="E2130" s="549"/>
      <c r="F2130" s="549"/>
      <c r="G2130" s="549"/>
      <c r="H2130" s="549"/>
      <c r="I2130" s="549"/>
      <c r="J2130" s="549"/>
    </row>
    <row r="2131" spans="1:11" ht="38.25">
      <c r="A2131" s="186" t="str">
        <f>'[3]Planilha Orçamentária'!A564</f>
        <v>1.10.4.3</v>
      </c>
      <c r="B2131" s="187">
        <f>VLOOKUP(A2131,'[3]Planilha Orçamentária'!A:K,2,0)</f>
        <v>95876</v>
      </c>
      <c r="C2131" s="188" t="str">
        <f>VLOOKUP(A2131,'[3]Planilha Orçamentária'!A:K,3,0)</f>
        <v>TRANSPORTE COM CAMINHÃO BASCULANTE DE 14 M³, EM VIA URBANA PAVIMENTADA, DMT ATÉ 30 KM (UNIDADE: M3XKM). AF_07/2020</v>
      </c>
      <c r="D2131" s="189" t="str">
        <f>VLOOKUP(A2131,'[3]Planilha Orçamentária'!A:K,4,0)</f>
        <v>M3XKM</v>
      </c>
      <c r="E2131" s="188"/>
      <c r="F2131" s="160"/>
      <c r="G2131" s="160"/>
      <c r="H2131" s="160"/>
      <c r="I2131" s="160"/>
      <c r="J2131" s="122">
        <f>ROUND(SUM(J2133:J2133),2)</f>
        <v>9872.8700000000008</v>
      </c>
    </row>
    <row r="2132" spans="1:11">
      <c r="A2132" s="186"/>
      <c r="B2132" s="187"/>
      <c r="C2132" s="171" t="s">
        <v>2284</v>
      </c>
      <c r="D2132" s="189"/>
      <c r="E2132" s="208" t="s">
        <v>2011</v>
      </c>
      <c r="F2132" s="160"/>
      <c r="G2132" s="160"/>
      <c r="H2132" s="161"/>
      <c r="I2132" s="161" t="s">
        <v>2007</v>
      </c>
      <c r="J2132" s="150"/>
    </row>
    <row r="2133" spans="1:11">
      <c r="A2133" s="186"/>
      <c r="B2133" s="187"/>
      <c r="C2133" s="155" t="s">
        <v>2285</v>
      </c>
      <c r="D2133" s="156"/>
      <c r="E2133" s="162">
        <v>9.9</v>
      </c>
      <c r="F2133" s="207"/>
      <c r="G2133" s="207"/>
      <c r="H2133" s="207"/>
      <c r="I2133" s="195">
        <f>J2127</f>
        <v>997.26</v>
      </c>
      <c r="J2133" s="196">
        <f>ROUND(PRODUCT(E2133:I2133),2)</f>
        <v>9872.8700000000008</v>
      </c>
    </row>
    <row r="2134" spans="1:11">
      <c r="A2134" s="532"/>
      <c r="B2134" s="533"/>
      <c r="C2134" s="533"/>
      <c r="D2134" s="533"/>
      <c r="E2134" s="533"/>
      <c r="F2134" s="533"/>
      <c r="G2134" s="533"/>
      <c r="H2134" s="533"/>
      <c r="I2134" s="533"/>
      <c r="J2134" s="534"/>
    </row>
    <row r="2135" spans="1:11">
      <c r="A2135" s="94" t="str">
        <f>'[3]Planilha Orçamentária'!A565</f>
        <v>1.10.5</v>
      </c>
      <c r="B2135" s="95"/>
      <c r="C2135" s="96" t="str">
        <f>VLOOKUP(A2135,'[3]Planilha Orçamentária'!A:K,3,0)</f>
        <v>PAVIMENTAÇÃO</v>
      </c>
      <c r="D2135" s="97"/>
      <c r="E2135" s="98"/>
      <c r="F2135" s="99"/>
      <c r="G2135" s="99"/>
      <c r="H2135" s="99"/>
      <c r="I2135" s="100"/>
      <c r="J2135" s="131"/>
    </row>
    <row r="2136" spans="1:11" ht="25.5">
      <c r="A2136" s="145" t="str">
        <f>'[3]Planilha Orçamentária'!A566</f>
        <v>1.10.5.1</v>
      </c>
      <c r="B2136" s="199">
        <f>VLOOKUP(A2136,'[3]Planilha Orçamentária'!A:K,2,0)</f>
        <v>100576</v>
      </c>
      <c r="C2136" s="147" t="str">
        <f>VLOOKUP(A2136,'[3]Planilha Orçamentária'!A:K,3,0)</f>
        <v>REGULARIZAÇÃO E COMPACTAÇÃO DE SUBLEITO DE SOLO  PREDOMINANTEMENTE ARGILOSO. AF_11/2019</v>
      </c>
      <c r="D2136" s="148" t="str">
        <f>VLOOKUP(A2136,'[3]Planilha Orçamentária'!A:K,4,0)</f>
        <v>M2</v>
      </c>
      <c r="E2136" s="147"/>
      <c r="F2136" s="160"/>
      <c r="G2136" s="160"/>
      <c r="H2136" s="160"/>
      <c r="I2136" s="160"/>
      <c r="J2136" s="150">
        <f>ROUND(SUM(J2138:J2138),2)</f>
        <v>1570.56</v>
      </c>
    </row>
    <row r="2137" spans="1:11">
      <c r="A2137" s="145"/>
      <c r="B2137" s="199"/>
      <c r="C2137" s="159" t="s">
        <v>2286</v>
      </c>
      <c r="D2137" s="148"/>
      <c r="E2137" s="147"/>
      <c r="F2137" s="161" t="s">
        <v>1989</v>
      </c>
      <c r="G2137" s="161" t="s">
        <v>1990</v>
      </c>
      <c r="H2137" s="160"/>
      <c r="I2137" s="161"/>
      <c r="J2137" s="150"/>
    </row>
    <row r="2138" spans="1:11" ht="25.5">
      <c r="A2138" s="145"/>
      <c r="B2138" s="199"/>
      <c r="C2138" s="200" t="s">
        <v>2287</v>
      </c>
      <c r="D2138" s="185"/>
      <c r="E2138" s="116"/>
      <c r="F2138" s="207">
        <f>(15*20)+(12.86)</f>
        <v>312.86</v>
      </c>
      <c r="G2138" s="161">
        <f>4.02+0.5+0.5</f>
        <v>5.0199999999999996</v>
      </c>
      <c r="H2138" s="160"/>
      <c r="I2138" s="161"/>
      <c r="J2138" s="158">
        <f>ROUND(PRODUCT(E2138:I2138),2)</f>
        <v>1570.56</v>
      </c>
      <c r="K2138" s="161"/>
    </row>
    <row r="2139" spans="1:11">
      <c r="A2139" s="550"/>
      <c r="B2139" s="551"/>
      <c r="C2139" s="551"/>
      <c r="D2139" s="551"/>
      <c r="E2139" s="551"/>
      <c r="F2139" s="551"/>
      <c r="G2139" s="551"/>
      <c r="H2139" s="551"/>
      <c r="I2139" s="551"/>
      <c r="J2139" s="552"/>
    </row>
    <row r="2140" spans="1:11" ht="38.25">
      <c r="A2140" s="186" t="str">
        <f>'[3]Planilha Orçamentária'!A567</f>
        <v>1.10.5.2</v>
      </c>
      <c r="B2140" s="187" t="str">
        <f>VLOOKUP(A2140,'[3]Planilha Orçamentária'!A:K,2,0)</f>
        <v>COMP-28881239</v>
      </c>
      <c r="C2140" s="188" t="str">
        <f>VLOOKUP(A2140,'[3]Planilha Orçamentária'!A:K,3,0)</f>
        <v>Base ou sub-base de macadame hidráulico com brita comercial - EXCLUSIVE MATERIAL, CARGA E TRANSPORTE - NÃO DESONERADO</v>
      </c>
      <c r="D2140" s="189" t="str">
        <f>VLOOKUP(A2140,'[3]Planilha Orçamentária'!A:K,4,0)</f>
        <v>M3</v>
      </c>
      <c r="E2140" s="188"/>
      <c r="F2140" s="190"/>
      <c r="G2140" s="190"/>
      <c r="H2140" s="190"/>
      <c r="I2140" s="190"/>
      <c r="J2140" s="203">
        <f>ROUND(SUM(J2142:J2142),2)</f>
        <v>235.58</v>
      </c>
    </row>
    <row r="2141" spans="1:11">
      <c r="A2141" s="186"/>
      <c r="B2141" s="187"/>
      <c r="C2141" s="159" t="s">
        <v>2286</v>
      </c>
      <c r="D2141" s="148"/>
      <c r="E2141" s="147"/>
      <c r="F2141" s="161" t="s">
        <v>1989</v>
      </c>
      <c r="G2141" s="161" t="s">
        <v>1990</v>
      </c>
      <c r="H2141" s="161" t="s">
        <v>2002</v>
      </c>
      <c r="I2141" s="161"/>
      <c r="J2141" s="203"/>
    </row>
    <row r="2142" spans="1:11" ht="28.5">
      <c r="A2142" s="186"/>
      <c r="B2142" s="187"/>
      <c r="C2142" s="204" t="s">
        <v>2020</v>
      </c>
      <c r="D2142" s="148"/>
      <c r="E2142" s="147"/>
      <c r="F2142" s="167">
        <f>F2138</f>
        <v>312.86</v>
      </c>
      <c r="G2142" s="161">
        <f>4.02+0.5+0.5</f>
        <v>5.0199999999999996</v>
      </c>
      <c r="H2142" s="161">
        <v>0.15</v>
      </c>
      <c r="I2142" s="167"/>
      <c r="J2142" s="176">
        <f>ROUND(PRODUCT(E2142:I2142),2)</f>
        <v>235.58</v>
      </c>
    </row>
    <row r="2143" spans="1:11">
      <c r="A2143" s="205"/>
      <c r="B2143" s="206"/>
      <c r="C2143" s="171"/>
      <c r="D2143" s="189"/>
      <c r="E2143" s="188"/>
      <c r="F2143" s="207"/>
      <c r="G2143" s="207"/>
      <c r="H2143" s="208"/>
      <c r="I2143" s="209"/>
      <c r="J2143" s="196"/>
    </row>
    <row r="2144" spans="1:11" ht="38.25">
      <c r="A2144" s="177" t="str">
        <f>'[3]Planilha Orçamentária'!A568</f>
        <v>1.10.5.3</v>
      </c>
      <c r="B2144" s="178" t="str">
        <f>VLOOKUP(A2144,'[3]Planilha Orçamentária'!A:K,2,0)</f>
        <v>CP-96396-26507981</v>
      </c>
      <c r="C2144" s="179" t="str">
        <f>VLOOKUP(A2144,'[3]Planilha Orçamentária'!A:K,3,0)</f>
        <v>EXECUÇÃO E COMPACTAÇÃO DE BASE E OU SUB BASE PARA PAVIMENTAÇÃO DE BRITA GRADUADA SIMPLES - EXCLUSIVE MATERIAL, CARGA E TRANSPORTE</v>
      </c>
      <c r="D2144" s="180" t="str">
        <f>VLOOKUP(A2144,'[3]Planilha Orçamentária'!A:K,4,0)</f>
        <v>M3</v>
      </c>
      <c r="E2144" s="179"/>
      <c r="F2144" s="181"/>
      <c r="G2144" s="181"/>
      <c r="H2144" s="181"/>
      <c r="I2144" s="181"/>
      <c r="J2144" s="182">
        <f>ROUND(SUM(J2146:J2146),2)</f>
        <v>251.54</v>
      </c>
    </row>
    <row r="2145" spans="1:10">
      <c r="A2145" s="177"/>
      <c r="B2145" s="178"/>
      <c r="C2145" s="159" t="s">
        <v>2286</v>
      </c>
      <c r="D2145" s="180"/>
      <c r="E2145" s="184"/>
      <c r="F2145" s="161" t="s">
        <v>1989</v>
      </c>
      <c r="G2145" s="161" t="s">
        <v>1990</v>
      </c>
      <c r="H2145" s="161" t="s">
        <v>2002</v>
      </c>
      <c r="I2145" s="210"/>
      <c r="J2145" s="182"/>
    </row>
    <row r="2146" spans="1:10" ht="28.5">
      <c r="A2146" s="123"/>
      <c r="B2146" s="211"/>
      <c r="C2146" s="204" t="s">
        <v>2021</v>
      </c>
      <c r="D2146" s="185"/>
      <c r="E2146" s="127"/>
      <c r="F2146" s="127">
        <f>F2142</f>
        <v>312.86</v>
      </c>
      <c r="G2146" s="161">
        <v>4.0199999999999996</v>
      </c>
      <c r="H2146" s="161">
        <v>0.2</v>
      </c>
      <c r="I2146" s="212"/>
      <c r="J2146" s="118">
        <f>ROUND(PRODUCT(E2146:I2146),2)</f>
        <v>251.54</v>
      </c>
    </row>
    <row r="2147" spans="1:10">
      <c r="A2147" s="546"/>
      <c r="B2147" s="547"/>
      <c r="C2147" s="547"/>
      <c r="D2147" s="547"/>
      <c r="E2147" s="547"/>
      <c r="F2147" s="547"/>
      <c r="G2147" s="547"/>
      <c r="H2147" s="547"/>
      <c r="I2147" s="547"/>
      <c r="J2147" s="548"/>
    </row>
    <row r="2148" spans="1:10" ht="51">
      <c r="A2148" s="132" t="str">
        <f>'[3]Planilha Orçamentária'!A569</f>
        <v>1.10.5.4</v>
      </c>
      <c r="B2148" s="108" t="str">
        <f>VLOOKUP(A2148,'[3]Planilha Orçamentária'!A:K,2,0)</f>
        <v>COMP-35145154</v>
      </c>
      <c r="C2148" s="104" t="str">
        <f>VLOOKUP(A2148,'[3]Planilha Orçamentária'!A:K,3,0)</f>
        <v>CARGA E DESCARGA MECANICA DE SOLO UTILIZANDO CAMINHAO BASCULANTE 14,0M3/36T E PA CARREGADEIRA SOBRE PNEUS 128 HP, CAPACIDADE DA CAÇAMBA 1,7 A 2,8 M3, PESO OPERACIONAL 11632 KH</v>
      </c>
      <c r="D2148" s="105" t="str">
        <f>VLOOKUP(A2148,'[3]Planilha Orçamentária'!A:K,4,0)</f>
        <v>M3</v>
      </c>
      <c r="E2148" s="104"/>
      <c r="F2148" s="111"/>
      <c r="G2148" s="111"/>
      <c r="H2148" s="111"/>
      <c r="I2148" s="111"/>
      <c r="J2148" s="122">
        <f>ROUND(SUM(J2150:J2150),2)</f>
        <v>608.9</v>
      </c>
    </row>
    <row r="2149" spans="1:10" ht="25.5">
      <c r="A2149" s="132"/>
      <c r="B2149" s="108"/>
      <c r="C2149" s="147"/>
      <c r="D2149" s="148"/>
      <c r="E2149" s="220" t="s">
        <v>2006</v>
      </c>
      <c r="F2149" s="106"/>
      <c r="G2149" s="111"/>
      <c r="H2149" s="111"/>
      <c r="I2149" s="143" t="s">
        <v>2022</v>
      </c>
      <c r="J2149" s="122"/>
    </row>
    <row r="2150" spans="1:10" ht="14.25">
      <c r="A2150" s="132"/>
      <c r="B2150" s="108"/>
      <c r="C2150" s="221" t="s">
        <v>2023</v>
      </c>
      <c r="D2150" s="156"/>
      <c r="E2150" s="106">
        <v>1.25</v>
      </c>
      <c r="F2150" s="238"/>
      <c r="G2150" s="205"/>
      <c r="H2150" s="205"/>
      <c r="I2150" s="239">
        <f>J2144+J2140</f>
        <v>487.12</v>
      </c>
      <c r="J2150" s="342">
        <f t="shared" ref="J2150" si="143">ROUND(PRODUCT(E2150:I2150),2)</f>
        <v>608.9</v>
      </c>
    </row>
    <row r="2151" spans="1:10">
      <c r="A2151" s="549"/>
      <c r="B2151" s="549"/>
      <c r="C2151" s="549"/>
      <c r="D2151" s="549"/>
      <c r="E2151" s="549"/>
      <c r="F2151" s="549"/>
      <c r="G2151" s="549"/>
      <c r="H2151" s="549"/>
      <c r="I2151" s="549"/>
      <c r="J2151" s="549"/>
    </row>
    <row r="2152" spans="1:10" ht="25.5">
      <c r="A2152" s="132" t="str">
        <f>'[3]Planilha Orçamentária'!A570</f>
        <v>1.10.5.5</v>
      </c>
      <c r="B2152" s="108" t="str">
        <f>VLOOKUP(A2152,'[3]Planilha Orçamentária'!A:K,2,0)</f>
        <v>COMP-83526730</v>
      </c>
      <c r="C2152" s="104" t="str">
        <f>VLOOKUP(A2152,'[3]Planilha Orçamentária'!A:K,3,0)</f>
        <v>TRANSPORTE COMERCIAL DE BRITA</v>
      </c>
      <c r="D2152" s="105" t="str">
        <f>VLOOKUP(A2152,'[3]Planilha Orçamentária'!A:K,4,0)</f>
        <v>M3XKM</v>
      </c>
      <c r="E2152" s="104"/>
      <c r="F2152" s="111"/>
      <c r="G2152" s="111"/>
      <c r="H2152" s="111"/>
      <c r="I2152" s="111"/>
      <c r="J2152" s="122">
        <f>ROUND(SUM(J2154:J2154),2)</f>
        <v>7489.47</v>
      </c>
    </row>
    <row r="2153" spans="1:10">
      <c r="A2153" s="132"/>
      <c r="B2153" s="108"/>
      <c r="C2153" s="159" t="s">
        <v>2288</v>
      </c>
      <c r="D2153" s="105"/>
      <c r="E2153" s="165" t="s">
        <v>2011</v>
      </c>
      <c r="F2153" s="106"/>
      <c r="G2153" s="106"/>
      <c r="H2153" s="106"/>
      <c r="I2153" s="106" t="s">
        <v>2007</v>
      </c>
      <c r="J2153" s="122"/>
    </row>
    <row r="2154" spans="1:10" ht="14.25">
      <c r="A2154" s="132"/>
      <c r="B2154" s="108"/>
      <c r="C2154" s="204" t="s">
        <v>2289</v>
      </c>
      <c r="D2154" s="174"/>
      <c r="E2154" s="239">
        <v>12.3</v>
      </c>
      <c r="F2154" s="223"/>
      <c r="G2154" s="174"/>
      <c r="H2154" s="174"/>
      <c r="I2154" s="224">
        <f>J2148</f>
        <v>608.9</v>
      </c>
      <c r="J2154" s="342">
        <f t="shared" ref="J2154" si="144">ROUND(PRODUCT(E2154:I2154),2)</f>
        <v>7489.47</v>
      </c>
    </row>
    <row r="2155" spans="1:10">
      <c r="A2155" s="549"/>
      <c r="B2155" s="549"/>
      <c r="C2155" s="549"/>
      <c r="D2155" s="549"/>
      <c r="E2155" s="549"/>
      <c r="F2155" s="549"/>
      <c r="G2155" s="549"/>
      <c r="H2155" s="549"/>
      <c r="I2155" s="549"/>
      <c r="J2155" s="549"/>
    </row>
    <row r="2156" spans="1:10" ht="25.5">
      <c r="A2156" s="186" t="str">
        <f>'[3]Planilha Orçamentária'!A571</f>
        <v>1.10.5.6</v>
      </c>
      <c r="B2156" s="187" t="str">
        <f>VLOOKUP(A2156,'[3]Planilha Orçamentária'!A:K,2,0)</f>
        <v>CP-96401-52745838</v>
      </c>
      <c r="C2156" s="188" t="str">
        <f>VLOOKUP(A2156,'[3]Planilha Orçamentária'!A:K,3,0)</f>
        <v>EXECUÇÃO DE IMPRIMAÇÃO COM ASFALTO DILUÍDO CM-30, EXCLUSIVE MATERIAL.</v>
      </c>
      <c r="D2156" s="189" t="str">
        <f>VLOOKUP(A2156,'[3]Planilha Orçamentária'!A:K,4,0)</f>
        <v>M2</v>
      </c>
      <c r="E2156" s="188"/>
      <c r="F2156" s="190"/>
      <c r="G2156" s="190"/>
      <c r="H2156" s="190"/>
      <c r="I2156" s="190"/>
      <c r="J2156" s="150">
        <f>ROUND(SUM(J2158:J2160),2)</f>
        <v>1071.1400000000001</v>
      </c>
    </row>
    <row r="2157" spans="1:10">
      <c r="A2157" s="186"/>
      <c r="B2157" s="187"/>
      <c r="C2157" s="159" t="s">
        <v>2286</v>
      </c>
      <c r="D2157" s="189"/>
      <c r="E2157" s="188"/>
      <c r="F2157" s="190"/>
      <c r="G2157" s="190"/>
      <c r="H2157" s="208"/>
      <c r="I2157" s="161" t="s">
        <v>2003</v>
      </c>
      <c r="J2157" s="150"/>
    </row>
    <row r="2158" spans="1:10" ht="28.5">
      <c r="A2158" s="174"/>
      <c r="B2158" s="174"/>
      <c r="C2158" s="221" t="s">
        <v>2027</v>
      </c>
      <c r="D2158" s="174"/>
      <c r="E2158" s="174"/>
      <c r="F2158" s="223"/>
      <c r="G2158" s="174"/>
      <c r="H2158" s="224"/>
      <c r="I2158" s="224">
        <f>[3]PARÂMETROS!F803</f>
        <v>1383.23</v>
      </c>
      <c r="J2158" s="158">
        <f>ROUND(PRODUCT(E2158:I2158),2)</f>
        <v>1383.23</v>
      </c>
    </row>
    <row r="2159" spans="1:10" ht="14.25">
      <c r="A2159" s="174"/>
      <c r="B2159" s="174"/>
      <c r="C2159" s="221"/>
      <c r="D2159" s="174"/>
      <c r="E2159" s="174"/>
      <c r="F2159" s="161" t="s">
        <v>1989</v>
      </c>
      <c r="G2159" s="161" t="s">
        <v>1990</v>
      </c>
      <c r="H2159" s="224"/>
      <c r="I2159" s="224"/>
      <c r="J2159" s="158"/>
    </row>
    <row r="2160" spans="1:10" ht="14.25">
      <c r="A2160" s="174"/>
      <c r="B2160" s="174"/>
      <c r="C2160" s="221" t="s">
        <v>2290</v>
      </c>
      <c r="D2160" s="174"/>
      <c r="E2160" s="174">
        <v>-1</v>
      </c>
      <c r="F2160" s="223">
        <v>312.08999999999997</v>
      </c>
      <c r="G2160" s="174">
        <v>1</v>
      </c>
      <c r="H2160" s="224"/>
      <c r="I2160" s="224"/>
      <c r="J2160" s="158">
        <f>ROUND(PRODUCT(E2160:I2160),2)</f>
        <v>-312.08999999999997</v>
      </c>
    </row>
    <row r="2161" spans="1:10">
      <c r="A2161" s="549"/>
      <c r="B2161" s="549"/>
      <c r="C2161" s="549"/>
      <c r="D2161" s="549"/>
      <c r="E2161" s="549"/>
      <c r="F2161" s="549"/>
      <c r="G2161" s="549"/>
      <c r="H2161" s="549"/>
      <c r="I2161" s="549"/>
      <c r="J2161" s="549"/>
    </row>
    <row r="2162" spans="1:10" ht="38.25">
      <c r="A2162" s="225" t="str">
        <f>'[3]Planilha Orçamentária'!A572</f>
        <v>1.10.5.7</v>
      </c>
      <c r="B2162" s="226" t="str">
        <f>VLOOKUP(A2162,'[3]Planilha Orçamentária'!A:K,2,0)</f>
        <v>CP-95995-51339760</v>
      </c>
      <c r="C2162" s="227" t="str">
        <f>VLOOKUP(A2162,'[3]Planilha Orçamentária'!A:K,3,0)</f>
        <v>EXECUÇÃO DE PAVIMENTO COM APLICAÇÃO DE CONCRETO ASFÁLTICO, CAMADA DE ROLAMENTO - EXCLUSIVE CARGA E TRANSPORTE E CONCRETO BETUMINOSO</v>
      </c>
      <c r="D2162" s="228" t="str">
        <f>VLOOKUP(A2162,'[3]Planilha Orçamentária'!A:K,4,0)</f>
        <v>M3</v>
      </c>
      <c r="E2162" s="227"/>
      <c r="F2162" s="229"/>
      <c r="G2162" s="229"/>
      <c r="H2162" s="229"/>
      <c r="I2162" s="229"/>
      <c r="J2162" s="182">
        <f>ROUND(SUM(J2163:J2166),2)</f>
        <v>53.56</v>
      </c>
    </row>
    <row r="2163" spans="1:10">
      <c r="A2163" s="230"/>
      <c r="B2163" s="231"/>
      <c r="C2163" s="159" t="s">
        <v>2286</v>
      </c>
      <c r="D2163" s="105"/>
      <c r="E2163" s="165"/>
      <c r="F2163" s="106"/>
      <c r="G2163" s="106"/>
      <c r="H2163" s="106" t="s">
        <v>2002</v>
      </c>
      <c r="I2163" s="161" t="s">
        <v>2003</v>
      </c>
      <c r="J2163" s="118"/>
    </row>
    <row r="2164" spans="1:10" ht="14.25">
      <c r="A2164" s="153"/>
      <c r="B2164" s="153"/>
      <c r="C2164" s="232" t="s">
        <v>2029</v>
      </c>
      <c r="D2164" s="153"/>
      <c r="E2164" s="233"/>
      <c r="F2164" s="234"/>
      <c r="G2164" s="153"/>
      <c r="H2164" s="153">
        <v>0.05</v>
      </c>
      <c r="I2164" s="233">
        <f>J2158</f>
        <v>1383.23</v>
      </c>
      <c r="J2164" s="235">
        <f>ROUND(PRODUCT(E2164:I2164),2)</f>
        <v>69.16</v>
      </c>
    </row>
    <row r="2165" spans="1:10" ht="14.25">
      <c r="A2165" s="174"/>
      <c r="B2165" s="174"/>
      <c r="C2165" s="221"/>
      <c r="D2165" s="174"/>
      <c r="E2165" s="174"/>
      <c r="F2165" s="161" t="s">
        <v>1989</v>
      </c>
      <c r="G2165" s="161" t="s">
        <v>1990</v>
      </c>
      <c r="H2165" s="106" t="s">
        <v>2002</v>
      </c>
      <c r="I2165" s="224"/>
      <c r="J2165" s="158"/>
    </row>
    <row r="2166" spans="1:10" ht="14.25">
      <c r="A2166" s="174"/>
      <c r="B2166" s="174"/>
      <c r="C2166" s="221" t="s">
        <v>2290</v>
      </c>
      <c r="D2166" s="174"/>
      <c r="E2166" s="174">
        <v>-1</v>
      </c>
      <c r="F2166" s="223">
        <v>312.08999999999997</v>
      </c>
      <c r="G2166" s="174">
        <v>1</v>
      </c>
      <c r="H2166" s="174">
        <v>0.05</v>
      </c>
      <c r="I2166" s="224"/>
      <c r="J2166" s="158">
        <f>ROUND(PRODUCT(E2166:I2166),2)</f>
        <v>-15.6</v>
      </c>
    </row>
    <row r="2167" spans="1:10">
      <c r="A2167" s="546"/>
      <c r="B2167" s="547"/>
      <c r="C2167" s="547"/>
      <c r="D2167" s="547"/>
      <c r="E2167" s="547"/>
      <c r="F2167" s="547"/>
      <c r="G2167" s="547"/>
      <c r="H2167" s="547"/>
      <c r="I2167" s="547"/>
      <c r="J2167" s="547"/>
    </row>
    <row r="2168" spans="1:10" ht="38.25">
      <c r="A2168" s="132" t="str">
        <f>'[3]Planilha Orçamentária'!A573</f>
        <v>1.10.5.8</v>
      </c>
      <c r="B2168" s="108" t="str">
        <f>VLOOKUP(A2168,'[3]Planilha Orçamentária'!A:K,2,0)</f>
        <v>COMP-10034101</v>
      </c>
      <c r="C2168" s="104" t="str">
        <f>VLOOKUP(A2168,'[3]Planilha Orçamentária'!A:K,3,0)</f>
        <v>CARGA, MANOBRAS E DESCARGA DE MISTURA BETUMINOSA A QUENTE, COM CAMINHAO BASCULANTE 6 M3, DESCARGA EM VIBRO-ACABADORA</v>
      </c>
      <c r="D2168" s="105" t="str">
        <f>VLOOKUP(A2168,'[3]Planilha Orçamentária'!A:K,4,0)</f>
        <v>M3</v>
      </c>
      <c r="E2168" s="104"/>
      <c r="F2168" s="111"/>
      <c r="G2168" s="111"/>
      <c r="H2168" s="111"/>
      <c r="I2168" s="111"/>
      <c r="J2168" s="122">
        <f>ROUND(SUM(J2170:J2170),2)</f>
        <v>53.56</v>
      </c>
    </row>
    <row r="2169" spans="1:10" ht="14.25">
      <c r="A2169" s="132"/>
      <c r="B2169" s="108"/>
      <c r="C2169" s="204"/>
      <c r="D2169" s="105"/>
      <c r="E2169" s="104"/>
      <c r="F2169" s="106"/>
      <c r="G2169" s="111"/>
      <c r="H2169" s="111"/>
      <c r="I2169" s="143" t="s">
        <v>2007</v>
      </c>
      <c r="J2169" s="122"/>
    </row>
    <row r="2170" spans="1:10" ht="14.25">
      <c r="A2170" s="225"/>
      <c r="B2170" s="236"/>
      <c r="C2170" s="237" t="s">
        <v>2030</v>
      </c>
      <c r="D2170" s="205"/>
      <c r="E2170" s="205"/>
      <c r="F2170" s="238"/>
      <c r="G2170" s="205"/>
      <c r="H2170" s="205"/>
      <c r="I2170" s="239">
        <f>J2162</f>
        <v>53.56</v>
      </c>
      <c r="J2170" s="128">
        <f t="shared" ref="J2170" si="145">ROUND(PRODUCT(E2170:I2170),2)</f>
        <v>53.56</v>
      </c>
    </row>
    <row r="2171" spans="1:10">
      <c r="A2171" s="528"/>
      <c r="B2171" s="529"/>
      <c r="C2171" s="529"/>
      <c r="D2171" s="529"/>
      <c r="E2171" s="529"/>
      <c r="F2171" s="529"/>
      <c r="G2171" s="529"/>
      <c r="H2171" s="529"/>
      <c r="I2171" s="529"/>
      <c r="J2171" s="529"/>
    </row>
    <row r="2172" spans="1:10" ht="25.5">
      <c r="A2172" s="132" t="str">
        <f>'[3]Planilha Orçamentária'!A574</f>
        <v>1.10.5.9</v>
      </c>
      <c r="B2172" s="108" t="str">
        <f>VLOOKUP(A2172,'[3]Planilha Orçamentária'!A:K,2,0)</f>
        <v>CP-95303-56931542</v>
      </c>
      <c r="C2172" s="104" t="str">
        <f>VLOOKUP(A2172,'[3]Planilha Orçamentária'!A:K,3,0)</f>
        <v>TRANSPORTE COM CAMINHÃO BASCULANTE 10 M3 DE MASSA ASFALTICA PARA PAVIMENTAÇÃO URBANA</v>
      </c>
      <c r="D2172" s="105" t="str">
        <f>VLOOKUP(A2172,'[3]Planilha Orçamentária'!A:K,4,0)</f>
        <v>M3XKM</v>
      </c>
      <c r="E2172" s="104"/>
      <c r="F2172" s="111"/>
      <c r="G2172" s="111"/>
      <c r="H2172" s="111"/>
      <c r="I2172" s="111"/>
      <c r="J2172" s="122">
        <f>ROUND(SUM(J2174:J2174),2)</f>
        <v>1215.81</v>
      </c>
    </row>
    <row r="2173" spans="1:10" ht="25.5">
      <c r="A2173" s="132"/>
      <c r="B2173" s="108"/>
      <c r="C2173" s="159" t="s">
        <v>2291</v>
      </c>
      <c r="D2173" s="241"/>
      <c r="E2173" s="165" t="s">
        <v>2011</v>
      </c>
      <c r="F2173" s="106"/>
      <c r="G2173" s="106"/>
      <c r="H2173" s="160"/>
      <c r="I2173" s="167" t="s">
        <v>2025</v>
      </c>
      <c r="J2173" s="122"/>
    </row>
    <row r="2174" spans="1:10" ht="14.25">
      <c r="A2174" s="225"/>
      <c r="B2174" s="236"/>
      <c r="C2174" s="221" t="s">
        <v>2273</v>
      </c>
      <c r="D2174" s="241"/>
      <c r="E2174" s="127">
        <v>22.7</v>
      </c>
      <c r="F2174" s="106"/>
      <c r="G2174" s="242"/>
      <c r="H2174" s="160"/>
      <c r="I2174" s="243">
        <f>J2168</f>
        <v>53.56</v>
      </c>
      <c r="J2174" s="128">
        <f t="shared" ref="J2174" si="146">ROUND(PRODUCT(E2174:I2174),2)</f>
        <v>1215.81</v>
      </c>
    </row>
    <row r="2175" spans="1:10">
      <c r="A2175" s="528"/>
      <c r="B2175" s="529"/>
      <c r="C2175" s="529"/>
      <c r="D2175" s="529"/>
      <c r="E2175" s="529"/>
      <c r="F2175" s="529"/>
      <c r="G2175" s="529"/>
      <c r="H2175" s="529"/>
      <c r="I2175" s="529"/>
      <c r="J2175" s="529"/>
    </row>
    <row r="2176" spans="1:10" ht="25.5">
      <c r="A2176" s="132" t="str">
        <f>'[3]Planilha Orçamentária'!A575</f>
        <v>1.10.5.10</v>
      </c>
      <c r="B2176" s="108" t="str">
        <f>VLOOKUP(A2176,'[3]Planilha Orçamentária'!A:K,2,0)</f>
        <v>CP-97084-89637704</v>
      </c>
      <c r="C2176" s="104" t="str">
        <f>VLOOKUP(A2176,'[3]Planilha Orçamentária'!A:K,3,0)</f>
        <v>REGULARIZACAO E COMPACTAÇÃO MANUAL DE TERRENO COM PLACA VIBRATÓRIA</v>
      </c>
      <c r="D2176" s="105" t="str">
        <f>VLOOKUP(A2176,'[3]Planilha Orçamentária'!A:K,4,0)</f>
        <v>M2</v>
      </c>
      <c r="E2176" s="104"/>
      <c r="F2176" s="111"/>
      <c r="G2176" s="111"/>
      <c r="H2176" s="111"/>
      <c r="I2176" s="111"/>
      <c r="J2176" s="122">
        <f>ROUND(SUM(J2178:J2178),2)</f>
        <v>1440.41</v>
      </c>
    </row>
    <row r="2177" spans="1:10">
      <c r="A2177" s="132"/>
      <c r="B2177" s="108"/>
      <c r="C2177" s="159" t="s">
        <v>2286</v>
      </c>
      <c r="D2177" s="105"/>
      <c r="E2177" s="104"/>
      <c r="F2177" s="106"/>
      <c r="G2177" s="111"/>
      <c r="H2177" s="111"/>
      <c r="I2177" s="161" t="s">
        <v>2003</v>
      </c>
      <c r="J2177" s="122"/>
    </row>
    <row r="2178" spans="1:10">
      <c r="A2178" s="225"/>
      <c r="B2178" s="236"/>
      <c r="C2178" s="244" t="s">
        <v>2033</v>
      </c>
      <c r="D2178" s="174"/>
      <c r="E2178" s="174"/>
      <c r="F2178" s="223"/>
      <c r="G2178" s="143"/>
      <c r="H2178" s="143"/>
      <c r="I2178" s="127">
        <f>[3]PARÂMETROS!F812</f>
        <v>1440.41</v>
      </c>
      <c r="J2178" s="128">
        <f t="shared" ref="J2178" si="147">ROUND(PRODUCT(E2178:I2178),2)</f>
        <v>1440.41</v>
      </c>
    </row>
    <row r="2179" spans="1:10">
      <c r="A2179" s="528"/>
      <c r="B2179" s="529"/>
      <c r="C2179" s="529"/>
      <c r="D2179" s="529"/>
      <c r="E2179" s="529"/>
      <c r="F2179" s="529"/>
      <c r="G2179" s="529"/>
      <c r="H2179" s="529"/>
      <c r="I2179" s="529"/>
      <c r="J2179" s="529"/>
    </row>
    <row r="2180" spans="1:10" ht="51">
      <c r="A2180" s="132" t="str">
        <f>'[3]Planilha Orçamentária'!A576</f>
        <v>1.10.5.11</v>
      </c>
      <c r="B2180" s="108" t="str">
        <f>VLOOKUP(A2180,'[3]Planilha Orçamentária'!A:K,2,0)</f>
        <v>CP-94991-12549457</v>
      </c>
      <c r="C2180" s="104" t="str">
        <f>VLOOKUP(A2180,'[3]Planilha Orçamentária'!A:K,3,0)</f>
        <v>EXECUÇÃO DE PASSEIO (CALÇADA) OU PISO DE CONCRETO COM CONCRETO MOLDADO IN LOCO, USINADO, ACABAMENTO CONVENCIONAL, NÃO ARMADO - EXCLUINDO O CONCRETO USINADO 20MPA</v>
      </c>
      <c r="D2180" s="105" t="str">
        <f>VLOOKUP(A2180,'[3]Planilha Orçamentária'!A:K,4,0)</f>
        <v>M3</v>
      </c>
      <c r="E2180" s="104"/>
      <c r="F2180" s="111"/>
      <c r="G2180" s="111"/>
      <c r="H2180" s="111"/>
      <c r="I2180" s="111"/>
      <c r="J2180" s="122">
        <f>ROUND(SUM(J2182:J2183),2)</f>
        <v>99.81</v>
      </c>
    </row>
    <row r="2181" spans="1:10">
      <c r="A2181" s="132"/>
      <c r="B2181" s="108"/>
      <c r="C2181" s="159" t="s">
        <v>2286</v>
      </c>
      <c r="D2181" s="105"/>
      <c r="E2181" s="104"/>
      <c r="F2181" s="106"/>
      <c r="G2181" s="111"/>
      <c r="H2181" s="111"/>
      <c r="I2181" s="111"/>
      <c r="J2181" s="122"/>
    </row>
    <row r="2182" spans="1:10">
      <c r="A2182" s="225"/>
      <c r="B2182" s="236"/>
      <c r="C2182" s="244" t="s">
        <v>2033</v>
      </c>
      <c r="D2182" s="174"/>
      <c r="E2182" s="174"/>
      <c r="F2182" s="223"/>
      <c r="G2182" s="143"/>
      <c r="H2182" s="143">
        <v>7.0000000000000007E-2</v>
      </c>
      <c r="I2182" s="127">
        <f>J2176</f>
        <v>1440.41</v>
      </c>
      <c r="J2182" s="128">
        <f t="shared" ref="J2182:J2183" si="148">ROUND(PRODUCT(E2182:I2182),2)</f>
        <v>100.83</v>
      </c>
    </row>
    <row r="2183" spans="1:10">
      <c r="A2183" s="132"/>
      <c r="B2183" s="108"/>
      <c r="C2183" s="155" t="s">
        <v>2034</v>
      </c>
      <c r="D2183" s="174"/>
      <c r="E2183" s="174">
        <v>-1</v>
      </c>
      <c r="F2183" s="223"/>
      <c r="G2183" s="143"/>
      <c r="H2183" s="143">
        <v>7.0000000000000007E-2</v>
      </c>
      <c r="I2183" s="127">
        <f>J2285</f>
        <v>14.56</v>
      </c>
      <c r="J2183" s="128">
        <f t="shared" si="148"/>
        <v>-1.02</v>
      </c>
    </row>
    <row r="2184" spans="1:10">
      <c r="A2184" s="528"/>
      <c r="B2184" s="529"/>
      <c r="C2184" s="529"/>
      <c r="D2184" s="529"/>
      <c r="E2184" s="529"/>
      <c r="F2184" s="529"/>
      <c r="G2184" s="529"/>
      <c r="H2184" s="529"/>
      <c r="I2184" s="529"/>
      <c r="J2184" s="529"/>
    </row>
    <row r="2185" spans="1:10" ht="63.75">
      <c r="A2185" s="132" t="str">
        <f>'[3]Planilha Orçamentária'!A577</f>
        <v>1.10.5.12</v>
      </c>
      <c r="B2185" s="108">
        <f>VLOOKUP(A2185,'[3]Planilha Orçamentária'!A:K,2,0)</f>
        <v>94273</v>
      </c>
      <c r="C2185" s="104" t="str">
        <f>VLOOKUP(A2185,'[3]Planilha Orçamentária'!A:K,3,0)</f>
        <v>ASSENTAMENTO DE GUIA (MEIO-FIO) EM TRECHO RETO, CONFECCIONADA EM CONCRETO PRÉ-FABRICADO, DIMENSÕES 100X15X13X30 CM (COMPRIMENTO X BASE INFERIOR X BASE SUPERIOR X ALTURA), PARA VIAS URBANAS (USO VIÁRIO). AF_06/2016</v>
      </c>
      <c r="D2185" s="105" t="str">
        <f>VLOOKUP(A2185,'[3]Planilha Orçamentária'!A:K,4,0)</f>
        <v>M</v>
      </c>
      <c r="E2185" s="104"/>
      <c r="F2185" s="111"/>
      <c r="G2185" s="111"/>
      <c r="H2185" s="111"/>
      <c r="I2185" s="111"/>
      <c r="J2185" s="122">
        <f>ROUND(SUM(J2187:J2188),2)</f>
        <v>632.92999999999995</v>
      </c>
    </row>
    <row r="2186" spans="1:10">
      <c r="A2186" s="132"/>
      <c r="B2186" s="108"/>
      <c r="C2186" s="159" t="s">
        <v>2286</v>
      </c>
      <c r="D2186" s="105"/>
      <c r="E2186" s="104"/>
      <c r="F2186" s="106" t="s">
        <v>1989</v>
      </c>
      <c r="G2186" s="111"/>
      <c r="H2186" s="111"/>
      <c r="I2186" s="111"/>
      <c r="J2186" s="122"/>
    </row>
    <row r="2187" spans="1:10" ht="25.5">
      <c r="A2187" s="225"/>
      <c r="B2187" s="236"/>
      <c r="C2187" s="245" t="s">
        <v>2035</v>
      </c>
      <c r="D2187" s="228"/>
      <c r="E2187" s="227"/>
      <c r="F2187" s="246">
        <f>623.22-F2192</f>
        <v>604.71</v>
      </c>
      <c r="G2187" s="229"/>
      <c r="H2187" s="229"/>
      <c r="I2187" s="229"/>
      <c r="J2187" s="128">
        <f t="shared" ref="J2187:J2188" si="149">ROUND(PRODUCT(E2187:I2187),2)</f>
        <v>604.71</v>
      </c>
    </row>
    <row r="2188" spans="1:10">
      <c r="A2188" s="132"/>
      <c r="B2188" s="108"/>
      <c r="C2188" s="247" t="s">
        <v>2036</v>
      </c>
      <c r="D2188" s="105"/>
      <c r="E2188" s="104"/>
      <c r="F2188" s="223">
        <v>28.22</v>
      </c>
      <c r="G2188" s="111"/>
      <c r="H2188" s="111"/>
      <c r="I2188" s="111"/>
      <c r="J2188" s="128">
        <f t="shared" si="149"/>
        <v>28.22</v>
      </c>
    </row>
    <row r="2189" spans="1:10">
      <c r="A2189" s="528"/>
      <c r="B2189" s="529"/>
      <c r="C2189" s="529"/>
      <c r="D2189" s="529"/>
      <c r="E2189" s="529"/>
      <c r="F2189" s="529"/>
      <c r="G2189" s="529"/>
      <c r="H2189" s="529"/>
      <c r="I2189" s="529"/>
      <c r="J2189" s="529"/>
    </row>
    <row r="2190" spans="1:10" ht="63.75">
      <c r="A2190" s="132" t="str">
        <f>'[3]Planilha Orçamentária'!A578</f>
        <v>1.10.5.13</v>
      </c>
      <c r="B2190" s="108">
        <f>VLOOKUP(A2190,'[3]Planilha Orçamentária'!A:K,2,0)</f>
        <v>94274</v>
      </c>
      <c r="C2190" s="104" t="str">
        <f>VLOOKUP(A2190,'[3]Planilha Orçamentária'!A:K,3,0)</f>
        <v>ASSENTAMENTO DE GUIA (MEIO-FIO) EM TRECHO CURVO, CONFECCIONADA EM CONCRETO PRÉ-FABRICADO, DIMENSÕES 100X15X13X30 CM (COMPRIMENTO X BASE INFERIOR X BASE SUPERIOR X ALTURA), PARA VIAS URBANAS (USO VIÁRIO). AF_06/2016</v>
      </c>
      <c r="D2190" s="105" t="str">
        <f>VLOOKUP(A2190,'[3]Planilha Orçamentária'!A:K,4,0)</f>
        <v>M</v>
      </c>
      <c r="E2190" s="104"/>
      <c r="F2190" s="111"/>
      <c r="G2190" s="111"/>
      <c r="H2190" s="111"/>
      <c r="I2190" s="111"/>
      <c r="J2190" s="122">
        <f>ROUND(SUM(J2192:J2192),2)</f>
        <v>18.510000000000002</v>
      </c>
    </row>
    <row r="2191" spans="1:10">
      <c r="A2191" s="132"/>
      <c r="B2191" s="108"/>
      <c r="C2191" s="159" t="s">
        <v>2286</v>
      </c>
      <c r="D2191" s="105"/>
      <c r="E2191" s="104"/>
      <c r="F2191" s="106" t="s">
        <v>1989</v>
      </c>
      <c r="G2191" s="111"/>
      <c r="H2191" s="111"/>
      <c r="I2191" s="111"/>
      <c r="J2191" s="122"/>
    </row>
    <row r="2192" spans="1:10">
      <c r="A2192" s="225"/>
      <c r="B2192" s="236"/>
      <c r="C2192" s="245" t="s">
        <v>2037</v>
      </c>
      <c r="D2192" s="228"/>
      <c r="E2192" s="227"/>
      <c r="F2192" s="246">
        <f>3.7+2.71+3.8+2.93+3.13+2.24</f>
        <v>18.509999999999998</v>
      </c>
      <c r="G2192" s="229"/>
      <c r="H2192" s="229"/>
      <c r="I2192" s="229"/>
      <c r="J2192" s="128">
        <f t="shared" ref="J2192" si="150">ROUND(PRODUCT(E2192:I2192),2)</f>
        <v>18.510000000000002</v>
      </c>
    </row>
    <row r="2193" spans="1:10">
      <c r="A2193" s="528"/>
      <c r="B2193" s="529"/>
      <c r="C2193" s="529"/>
      <c r="D2193" s="529"/>
      <c r="E2193" s="529"/>
      <c r="F2193" s="529"/>
      <c r="G2193" s="529"/>
      <c r="H2193" s="529"/>
      <c r="I2193" s="529"/>
      <c r="J2193" s="529"/>
    </row>
    <row r="2194" spans="1:10" ht="38.25">
      <c r="A2194" s="132" t="str">
        <f>'[3]Planilha Orçamentária'!A579</f>
        <v>1.10.5.14</v>
      </c>
      <c r="B2194" s="108">
        <f>VLOOKUP(A2194,'[3]Planilha Orçamentária'!A:K,2,0)</f>
        <v>94287</v>
      </c>
      <c r="C2194" s="104" t="str">
        <f>VLOOKUP(A2194,'[3]Planilha Orçamentária'!A:K,3,0)</f>
        <v>EXECUÇÃO DE SARJETA DE CONCRETO USINADO, MOLDADA  IN LOCO  EM TRECHO RETO, 30 CM BASE X 10 CM ALTURA. AF_06/2016</v>
      </c>
      <c r="D2194" s="105" t="str">
        <f>VLOOKUP(A2194,'[3]Planilha Orçamentária'!A:K,4,0)</f>
        <v>M</v>
      </c>
      <c r="E2194" s="104"/>
      <c r="F2194" s="111"/>
      <c r="G2194" s="111"/>
      <c r="H2194" s="111"/>
      <c r="I2194" s="111"/>
      <c r="J2194" s="122">
        <f>ROUND(SUM(J2196:J2196),2)</f>
        <v>5.49</v>
      </c>
    </row>
    <row r="2195" spans="1:10">
      <c r="A2195" s="132"/>
      <c r="B2195" s="108"/>
      <c r="C2195" s="159" t="s">
        <v>2286</v>
      </c>
      <c r="D2195" s="105"/>
      <c r="E2195" s="104"/>
      <c r="F2195" s="106" t="s">
        <v>1989</v>
      </c>
      <c r="G2195" s="111"/>
      <c r="H2195" s="111"/>
      <c r="I2195" s="111"/>
      <c r="J2195" s="122"/>
    </row>
    <row r="2196" spans="1:10">
      <c r="A2196" s="225"/>
      <c r="B2196" s="236"/>
      <c r="C2196" s="245" t="s">
        <v>2292</v>
      </c>
      <c r="D2196" s="228"/>
      <c r="E2196" s="227"/>
      <c r="F2196" s="246">
        <f>(3.46/0.3)-F2200</f>
        <v>5.4933333333333332</v>
      </c>
      <c r="G2196" s="229"/>
      <c r="H2196" s="229"/>
      <c r="I2196" s="229"/>
      <c r="J2196" s="128">
        <f t="shared" ref="J2196" si="151">ROUND(PRODUCT(E2196:I2196),2)</f>
        <v>5.49</v>
      </c>
    </row>
    <row r="2197" spans="1:10">
      <c r="A2197" s="528"/>
      <c r="B2197" s="529"/>
      <c r="C2197" s="529"/>
      <c r="D2197" s="529"/>
      <c r="E2197" s="529"/>
      <c r="F2197" s="529"/>
      <c r="G2197" s="529"/>
      <c r="H2197" s="529"/>
      <c r="I2197" s="529"/>
      <c r="J2197" s="529"/>
    </row>
    <row r="2198" spans="1:10" ht="38.25">
      <c r="A2198" s="132" t="str">
        <f>'[3]Planilha Orçamentária'!A580</f>
        <v>1.10.5.15</v>
      </c>
      <c r="B2198" s="108">
        <f>VLOOKUP(A2198,'[3]Planilha Orçamentária'!A:K,2,0)</f>
        <v>94288</v>
      </c>
      <c r="C2198" s="104" t="str">
        <f>VLOOKUP(A2198,'[3]Planilha Orçamentária'!A:K,3,0)</f>
        <v>EXECUÇÃO DE SARJETA DE CONCRETO USINADO, MOLDADA  IN LOCO  EM TRECHO CURVO, 30 CM BASE X 10 CM ALTURA. AF_06/2016</v>
      </c>
      <c r="D2198" s="105" t="str">
        <f>VLOOKUP(A2198,'[3]Planilha Orçamentária'!A:K,4,0)</f>
        <v>M</v>
      </c>
      <c r="E2198" s="104"/>
      <c r="F2198" s="111"/>
      <c r="G2198" s="111"/>
      <c r="H2198" s="111"/>
      <c r="I2198" s="111"/>
      <c r="J2198" s="122">
        <f>ROUND(SUM(J2200:J2200),2)</f>
        <v>6.04</v>
      </c>
    </row>
    <row r="2199" spans="1:10">
      <c r="A2199" s="132"/>
      <c r="B2199" s="108"/>
      <c r="C2199" s="159" t="s">
        <v>2286</v>
      </c>
      <c r="D2199" s="105"/>
      <c r="E2199" s="104"/>
      <c r="F2199" s="106" t="s">
        <v>1989</v>
      </c>
      <c r="G2199" s="111"/>
      <c r="H2199" s="111"/>
      <c r="I2199" s="111"/>
      <c r="J2199" s="122"/>
    </row>
    <row r="2200" spans="1:10">
      <c r="A2200" s="225"/>
      <c r="B2200" s="236"/>
      <c r="C2200" s="245" t="s">
        <v>2044</v>
      </c>
      <c r="D2200" s="228"/>
      <c r="E2200" s="227"/>
      <c r="F2200" s="246">
        <f>2.24+3.8</f>
        <v>6.04</v>
      </c>
      <c r="G2200" s="229"/>
      <c r="H2200" s="229"/>
      <c r="I2200" s="229"/>
      <c r="J2200" s="128">
        <f t="shared" ref="J2200" si="152">ROUND(PRODUCT(E2200:I2200),2)</f>
        <v>6.04</v>
      </c>
    </row>
    <row r="2201" spans="1:10">
      <c r="A2201" s="528"/>
      <c r="B2201" s="529"/>
      <c r="C2201" s="529"/>
      <c r="D2201" s="529"/>
      <c r="E2201" s="529"/>
      <c r="F2201" s="529"/>
      <c r="G2201" s="529"/>
      <c r="H2201" s="529"/>
      <c r="I2201" s="529"/>
      <c r="J2201" s="529"/>
    </row>
    <row r="2202" spans="1:10">
      <c r="A2202" s="94" t="str">
        <f>'[3]Planilha Orçamentária'!A581</f>
        <v>1.10.6</v>
      </c>
      <c r="B2202" s="95"/>
      <c r="C2202" s="96" t="str">
        <f>VLOOKUP(A2202,'[3]Planilha Orçamentária'!A:K,3,0)</f>
        <v>DRENAGEM</v>
      </c>
      <c r="D2202" s="97"/>
      <c r="E2202" s="98"/>
      <c r="F2202" s="99"/>
      <c r="G2202" s="99"/>
      <c r="H2202" s="99"/>
      <c r="I2202" s="100"/>
      <c r="J2202" s="131"/>
    </row>
    <row r="2203" spans="1:10" ht="63.75">
      <c r="A2203" s="251" t="str">
        <f>'[3]Planilha Orçamentária'!A582</f>
        <v>1.10.6.1</v>
      </c>
      <c r="B2203" s="252">
        <f>VLOOKUP(A2203,'[3]Planilha Orçamentária'!A:K,2,0)</f>
        <v>90091</v>
      </c>
      <c r="C2203" s="253" t="str">
        <f>VLOOKUP(A2203,'[3]Planilha Orçamentária'!A:K,3,0)</f>
        <v>ESCAVAÇÃO MECANIZADA DE VALA COM PROF. ATÉ 1,5 M (MÉDIA MONTANTE E JUSANTE/UMA COMPOSIÇÃO POR TRECHO), ESCAVADEIRA (0,8 M3), LARG. DE 1,5 M A 2,5 M, EM SOLO DE 1A CATEGORIA, LOCAIS COM BAIXO NÍVEL DE INTERFERÊNCIA. AF_02/2021</v>
      </c>
      <c r="D2203" s="254" t="str">
        <f>VLOOKUP(A2203,'[3]Planilha Orçamentária'!A:K,4,0)</f>
        <v>M3</v>
      </c>
      <c r="E2203" s="255"/>
      <c r="F2203" s="256"/>
      <c r="G2203" s="256"/>
      <c r="H2203" s="256"/>
      <c r="I2203" s="256"/>
      <c r="J2203" s="257">
        <f>ROUND(SUM(J2204:J2208),2)</f>
        <v>124.84</v>
      </c>
    </row>
    <row r="2204" spans="1:10">
      <c r="A2204" s="258"/>
      <c r="B2204" s="258"/>
      <c r="C2204" s="259" t="s">
        <v>2293</v>
      </c>
      <c r="D2204" s="258"/>
      <c r="E2204" s="258"/>
      <c r="F2204" s="161"/>
      <c r="G2204" s="161"/>
      <c r="H2204" s="161"/>
      <c r="I2204" s="258"/>
      <c r="J2204" s="258"/>
    </row>
    <row r="2205" spans="1:10" ht="14.25">
      <c r="A2205" s="258"/>
      <c r="B2205" s="258"/>
      <c r="C2205" s="204" t="s">
        <v>2048</v>
      </c>
      <c r="D2205" s="148"/>
      <c r="E2205" s="147"/>
      <c r="F2205" s="161" t="s">
        <v>1989</v>
      </c>
      <c r="G2205" s="161" t="s">
        <v>1990</v>
      </c>
      <c r="H2205" s="161" t="s">
        <v>2049</v>
      </c>
      <c r="I2205" s="161"/>
      <c r="J2205" s="158"/>
    </row>
    <row r="2206" spans="1:10" ht="42.75">
      <c r="A2206" s="258"/>
      <c r="B2206" s="258"/>
      <c r="C2206" s="260" t="s">
        <v>2276</v>
      </c>
      <c r="D2206" s="148"/>
      <c r="E2206" s="147"/>
      <c r="F2206" s="223">
        <v>312.08999999999997</v>
      </c>
      <c r="G2206" s="223">
        <f>1+0.6</f>
        <v>1.6</v>
      </c>
      <c r="H2206" s="223">
        <f>0.65-0.4</f>
        <v>0.25</v>
      </c>
      <c r="I2206" s="223"/>
      <c r="J2206" s="128">
        <f>ROUND(PRODUCT(E2206:I2206),2)</f>
        <v>124.84</v>
      </c>
    </row>
    <row r="2207" spans="1:10">
      <c r="A2207" s="258"/>
      <c r="B2207" s="258"/>
      <c r="C2207" s="261" t="s">
        <v>2051</v>
      </c>
      <c r="D2207" s="262"/>
      <c r="E2207" s="263"/>
      <c r="F2207" s="264"/>
      <c r="G2207" s="264"/>
      <c r="H2207" s="263"/>
      <c r="I2207" s="263"/>
      <c r="J2207" s="158"/>
    </row>
    <row r="2208" spans="1:10">
      <c r="A2208" s="535"/>
      <c r="B2208" s="536"/>
      <c r="C2208" s="536"/>
      <c r="D2208" s="536"/>
      <c r="E2208" s="536"/>
      <c r="F2208" s="536"/>
      <c r="G2208" s="536"/>
      <c r="H2208" s="536"/>
      <c r="I2208" s="536"/>
      <c r="J2208" s="537"/>
    </row>
    <row r="2209" spans="1:10" ht="63.75">
      <c r="A2209" s="251" t="str">
        <f>'[3]Planilha Orçamentária'!A583</f>
        <v>1.10.6.2</v>
      </c>
      <c r="B2209" s="252">
        <f>VLOOKUP(A2209,'[3]Planilha Orçamentária'!A:K,2,0)</f>
        <v>93367</v>
      </c>
      <c r="C2209" s="253" t="str">
        <f>VLOOKUP(A2209,'[3]Planilha Orçamentária'!A:K,3,0)</f>
        <v>REATERRO MECANIZADO DE VALA COM ESCAVADEIRA HIDRÁULICA (CAPACIDADE DA CAÇAMBA: 0,8 M³ / POTÊNCIA: 111 HP), LARGURA DE 1,5 A 2,5 M, PROFUNDIDADE ATÉ 1,5 M, COM SOLO DE 1ª CATEGORIA EM LOCAIS COM BAIXO NÍVEL DE INTERFERÊNCIA. AF_04/2016</v>
      </c>
      <c r="D2209" s="254" t="str">
        <f>VLOOKUP(A2209,'[3]Planilha Orçamentária'!A:K,4,0)</f>
        <v>M3</v>
      </c>
      <c r="E2209" s="255"/>
      <c r="F2209" s="256"/>
      <c r="G2209" s="256"/>
      <c r="H2209" s="256"/>
      <c r="I2209" s="256"/>
      <c r="J2209" s="257">
        <f>ROUND(SUM(J2210:J2213),2)</f>
        <v>46.82</v>
      </c>
    </row>
    <row r="2210" spans="1:10">
      <c r="A2210" s="258"/>
      <c r="B2210" s="258"/>
      <c r="C2210" s="259" t="s">
        <v>2293</v>
      </c>
      <c r="D2210" s="258"/>
      <c r="E2210" s="258"/>
      <c r="F2210" s="258"/>
      <c r="G2210" s="258"/>
      <c r="H2210" s="258"/>
      <c r="I2210" s="258"/>
      <c r="J2210" s="258"/>
    </row>
    <row r="2211" spans="1:10" ht="25.5">
      <c r="A2211" s="258"/>
      <c r="B2211" s="258"/>
      <c r="C2211" s="267" t="s">
        <v>2053</v>
      </c>
      <c r="D2211" s="258"/>
      <c r="E2211" s="258"/>
      <c r="F2211" s="258"/>
      <c r="G2211" s="258"/>
      <c r="H2211" s="258"/>
      <c r="I2211" s="258"/>
      <c r="J2211" s="258"/>
    </row>
    <row r="2212" spans="1:10" ht="15">
      <c r="A2212" s="258"/>
      <c r="B2212" s="258"/>
      <c r="C2212" s="268" t="s">
        <v>2054</v>
      </c>
      <c r="D2212" s="258"/>
      <c r="E2212" s="258"/>
      <c r="F2212" s="269"/>
      <c r="G2212" s="269"/>
      <c r="H2212" s="269"/>
      <c r="I2212" s="263">
        <f>J2203</f>
        <v>124.84</v>
      </c>
      <c r="J2212" s="158">
        <f>ROUND(PRODUCT(E2212:I2212),2)</f>
        <v>124.84</v>
      </c>
    </row>
    <row r="2213" spans="1:10" ht="25.5">
      <c r="A2213" s="258"/>
      <c r="B2213" s="258"/>
      <c r="C2213" s="268" t="s">
        <v>2055</v>
      </c>
      <c r="D2213" s="270"/>
      <c r="E2213" s="270">
        <v>-1</v>
      </c>
      <c r="F2213" s="271">
        <f>F2206</f>
        <v>312.08999999999997</v>
      </c>
      <c r="G2213" s="123">
        <v>1</v>
      </c>
      <c r="H2213" s="272">
        <f>H2206</f>
        <v>0.25</v>
      </c>
      <c r="I2213" s="269"/>
      <c r="J2213" s="158">
        <f>ROUND(PRODUCT(E2213:I2213),2)</f>
        <v>-78.02</v>
      </c>
    </row>
    <row r="2214" spans="1:10">
      <c r="A2214" s="535"/>
      <c r="B2214" s="536"/>
      <c r="C2214" s="536"/>
      <c r="D2214" s="536"/>
      <c r="E2214" s="536"/>
      <c r="F2214" s="536"/>
      <c r="G2214" s="536"/>
      <c r="H2214" s="536"/>
      <c r="I2214" s="536"/>
      <c r="J2214" s="537"/>
    </row>
    <row r="2215" spans="1:10" ht="51">
      <c r="A2215" s="251" t="str">
        <f>'[3]Planilha Orçamentária'!A584</f>
        <v>1.10.6.3</v>
      </c>
      <c r="B2215" s="252" t="str">
        <f>VLOOKUP(A2215,'[3]Planilha Orçamentária'!A:K,2,0)</f>
        <v>COMP-35145154</v>
      </c>
      <c r="C2215" s="253" t="str">
        <f>VLOOKUP(A2215,'[3]Planilha Orçamentária'!A:K,3,0)</f>
        <v>CARGA E DESCARGA MECANICA DE SOLO UTILIZANDO CAMINHAO BASCULANTE 14,0M3/36T E PA CARREGADEIRA SOBRE PNEUS 128 HP, CAPACIDADE DA CAÇAMBA 1,7 A 2,8 M3, PESO OPERACIONAL 11632 KH</v>
      </c>
      <c r="D2215" s="254" t="str">
        <f>VLOOKUP(A2215,'[3]Planilha Orçamentária'!A:K,4,0)</f>
        <v>M3</v>
      </c>
      <c r="E2215" s="255"/>
      <c r="F2215" s="256"/>
      <c r="G2215" s="256"/>
      <c r="H2215" s="256"/>
      <c r="I2215" s="256"/>
      <c r="J2215" s="257">
        <f>ROUND(SUM(J2216:J2217),2)</f>
        <v>97.53</v>
      </c>
    </row>
    <row r="2216" spans="1:10" ht="25.5">
      <c r="A2216" s="258"/>
      <c r="B2216" s="258"/>
      <c r="C2216" s="159"/>
      <c r="D2216" s="148"/>
      <c r="E2216" s="159" t="s">
        <v>2006</v>
      </c>
      <c r="F2216" s="161"/>
      <c r="G2216" s="161"/>
      <c r="H2216" s="161"/>
      <c r="I2216" s="161" t="s">
        <v>2056</v>
      </c>
      <c r="J2216" s="258"/>
    </row>
    <row r="2217" spans="1:10" ht="14.25">
      <c r="A2217" s="258"/>
      <c r="B2217" s="258"/>
      <c r="C2217" s="273" t="s">
        <v>2057</v>
      </c>
      <c r="D2217" s="274"/>
      <c r="E2217" s="263">
        <v>1.25</v>
      </c>
      <c r="F2217" s="157"/>
      <c r="G2217" s="275"/>
      <c r="H2217" s="275"/>
      <c r="I2217" s="275">
        <f>J2203-J2209</f>
        <v>78.02000000000001</v>
      </c>
      <c r="J2217" s="158">
        <f>ROUND(PRODUCT(E2217:I2217),2)</f>
        <v>97.53</v>
      </c>
    </row>
    <row r="2218" spans="1:10">
      <c r="A2218" s="535"/>
      <c r="B2218" s="536"/>
      <c r="C2218" s="536"/>
      <c r="D2218" s="536"/>
      <c r="E2218" s="536"/>
      <c r="F2218" s="536"/>
      <c r="G2218" s="536"/>
      <c r="H2218" s="536"/>
      <c r="I2218" s="536"/>
      <c r="J2218" s="537"/>
    </row>
    <row r="2219" spans="1:10" ht="38.25">
      <c r="A2219" s="251" t="str">
        <f>'[3]Planilha Orçamentária'!A585</f>
        <v>1.10.6.4</v>
      </c>
      <c r="B2219" s="252">
        <f>VLOOKUP(A2219,'[3]Planilha Orçamentária'!A:K,2,0)</f>
        <v>95876</v>
      </c>
      <c r="C2219" s="276" t="str">
        <f>VLOOKUP(A2219,'[3]Planilha Orçamentária'!A:K,3,0)</f>
        <v>TRANSPORTE COM CAMINHÃO BASCULANTE DE 14 M³, EM VIA URBANA PAVIMENTADA, DMT ATÉ 30 KM (UNIDADE: M3XKM). AF_07/2020</v>
      </c>
      <c r="D2219" s="105" t="str">
        <f>VLOOKUP(A2219,'[3]Planilha Orçamentária'!A:K,4,0)</f>
        <v>M3XKM</v>
      </c>
      <c r="E2219" s="104"/>
      <c r="F2219" s="256"/>
      <c r="G2219" s="256"/>
      <c r="H2219" s="256"/>
      <c r="I2219" s="256"/>
      <c r="J2219" s="257">
        <f>ROUND(SUM(J2220:J2221),2)</f>
        <v>965.55</v>
      </c>
    </row>
    <row r="2220" spans="1:10">
      <c r="A2220" s="258"/>
      <c r="B2220" s="258"/>
      <c r="C2220" s="171" t="s">
        <v>2284</v>
      </c>
      <c r="D2220" s="189"/>
      <c r="E2220" s="208" t="s">
        <v>2011</v>
      </c>
      <c r="F2220" s="258"/>
      <c r="G2220" s="258"/>
      <c r="H2220" s="258"/>
      <c r="I2220" s="258" t="s">
        <v>2007</v>
      </c>
      <c r="J2220" s="258"/>
    </row>
    <row r="2221" spans="1:10">
      <c r="A2221" s="258"/>
      <c r="B2221" s="258"/>
      <c r="C2221" s="155" t="s">
        <v>2285</v>
      </c>
      <c r="D2221" s="156"/>
      <c r="E2221" s="162">
        <v>9.9</v>
      </c>
      <c r="F2221" s="258"/>
      <c r="G2221" s="258"/>
      <c r="H2221" s="258"/>
      <c r="I2221" s="278">
        <f>J2215</f>
        <v>97.53</v>
      </c>
      <c r="J2221" s="158">
        <f>ROUND(PRODUCT(E2221:I2221),2)</f>
        <v>965.55</v>
      </c>
    </row>
    <row r="2222" spans="1:10">
      <c r="A2222" s="535"/>
      <c r="B2222" s="536"/>
      <c r="C2222" s="536"/>
      <c r="D2222" s="536"/>
      <c r="E2222" s="536"/>
      <c r="F2222" s="536"/>
      <c r="G2222" s="536"/>
      <c r="H2222" s="536"/>
      <c r="I2222" s="536"/>
      <c r="J2222" s="537"/>
    </row>
    <row r="2223" spans="1:10" ht="38.25">
      <c r="A2223" s="251" t="str">
        <f>'[3]Planilha Orçamentária'!A586</f>
        <v>1.10.6.5</v>
      </c>
      <c r="B2223" s="252">
        <f>VLOOKUP(A2223,'[3]Planilha Orçamentária'!A:K,2,0)</f>
        <v>94971</v>
      </c>
      <c r="C2223" s="253" t="str">
        <f>VLOOKUP(A2223,'[3]Planilha Orçamentária'!A:K,3,0)</f>
        <v>CONCRETO FCK = 25MPA, TRAÇO 1:2,3:2,7 (EM MASSA SECA DE CIMENTO/ AREIA MÉDIA/ BRITA 1) - PREPARO MECÂNICO COM BETONEIRA 600 L. AF_05/2021</v>
      </c>
      <c r="D2223" s="254" t="str">
        <f>VLOOKUP(A2223,'[3]Planilha Orçamentária'!A:K,4,0)</f>
        <v>M3</v>
      </c>
      <c r="E2223" s="255"/>
      <c r="F2223" s="256"/>
      <c r="G2223" s="256"/>
      <c r="H2223" s="256"/>
      <c r="I2223" s="256"/>
      <c r="J2223" s="257">
        <f>ROUND(SUM(J2224:J2226),2)</f>
        <v>39.770000000000003</v>
      </c>
    </row>
    <row r="2224" spans="1:10" ht="28.5">
      <c r="A2224" s="258"/>
      <c r="B2224" s="258"/>
      <c r="C2224" s="221" t="s">
        <v>2060</v>
      </c>
      <c r="D2224" s="258"/>
      <c r="E2224" s="258"/>
      <c r="F2224" s="161"/>
      <c r="G2224" s="161"/>
      <c r="H2224" s="161"/>
      <c r="I2224" s="279"/>
      <c r="J2224" s="258"/>
    </row>
    <row r="2225" spans="1:10" ht="14.25">
      <c r="A2225" s="258"/>
      <c r="B2225" s="258"/>
      <c r="C2225" s="280" t="s">
        <v>2278</v>
      </c>
      <c r="D2225" s="123"/>
      <c r="E2225" s="123"/>
      <c r="F2225" s="281">
        <f>F2206</f>
        <v>312.08999999999997</v>
      </c>
      <c r="G2225" s="282">
        <v>1</v>
      </c>
      <c r="H2225" s="123">
        <v>0.15</v>
      </c>
      <c r="I2225" s="281"/>
      <c r="J2225" s="158">
        <f>ROUND(PRODUCT(E2225:I2225),2)</f>
        <v>46.81</v>
      </c>
    </row>
    <row r="2226" spans="1:10" ht="28.5">
      <c r="A2226" s="265"/>
      <c r="B2226" s="266"/>
      <c r="C2226" s="280" t="s">
        <v>2062</v>
      </c>
      <c r="D2226" s="123"/>
      <c r="E2226" s="123">
        <v>-1</v>
      </c>
      <c r="F2226" s="283">
        <v>1.8800000000000001E-2</v>
      </c>
      <c r="G2226" s="136">
        <f>F2225</f>
        <v>312.08999999999997</v>
      </c>
      <c r="H2226" s="136">
        <v>0.15</v>
      </c>
      <c r="I2226" s="136">
        <v>8</v>
      </c>
      <c r="J2226" s="158">
        <f>ROUND(PRODUCT(E2226:I2226),2)</f>
        <v>-7.04</v>
      </c>
    </row>
    <row r="2227" spans="1:10">
      <c r="A2227" s="535"/>
      <c r="B2227" s="536"/>
      <c r="C2227" s="536"/>
      <c r="D2227" s="536"/>
      <c r="E2227" s="536"/>
      <c r="F2227" s="536"/>
      <c r="G2227" s="536"/>
      <c r="H2227" s="536"/>
      <c r="I2227" s="536"/>
      <c r="J2227" s="537"/>
    </row>
    <row r="2228" spans="1:10" ht="38.25">
      <c r="A2228" s="251" t="str">
        <f>'[3]Planilha Orçamentária'!A587</f>
        <v>1.10.6.6</v>
      </c>
      <c r="B2228" s="252">
        <f>VLOOKUP(A2228,'[3]Planilha Orçamentária'!A:K,2,0)</f>
        <v>94974</v>
      </c>
      <c r="C2228" s="253" t="str">
        <f>VLOOKUP(A2228,'[3]Planilha Orçamentária'!A:K,3,0)</f>
        <v>CONCRETO MAGRO PARA LASTRO, TRAÇO 1:4,5:4,5 (EM MASSA SECA DE CIMENTO/ AREIA MÉDIA/ BRITA 1) - PREPARO MANUAL. AF_05/2021</v>
      </c>
      <c r="D2228" s="254" t="str">
        <f>VLOOKUP(A2228,'[3]Planilha Orçamentária'!A:K,4,0)</f>
        <v>M3</v>
      </c>
      <c r="E2228" s="255"/>
      <c r="F2228" s="256"/>
      <c r="G2228" s="256"/>
      <c r="H2228" s="256"/>
      <c r="I2228" s="279"/>
      <c r="J2228" s="257">
        <f>ROUND(SUM(J2229:J2230),2)</f>
        <v>31.21</v>
      </c>
    </row>
    <row r="2229" spans="1:10">
      <c r="A2229" s="258"/>
      <c r="B2229" s="258"/>
      <c r="C2229" s="259" t="s">
        <v>2293</v>
      </c>
      <c r="D2229" s="258"/>
      <c r="E2229" s="258"/>
      <c r="F2229" s="263" t="s">
        <v>1989</v>
      </c>
      <c r="G2229" s="263" t="s">
        <v>1990</v>
      </c>
      <c r="H2229" s="263" t="s">
        <v>2002</v>
      </c>
      <c r="I2229" s="279"/>
      <c r="J2229" s="258"/>
    </row>
    <row r="2230" spans="1:10" ht="14.25">
      <c r="A2230" s="258"/>
      <c r="B2230" s="258"/>
      <c r="C2230" s="284" t="s">
        <v>2063</v>
      </c>
      <c r="D2230" s="123"/>
      <c r="E2230" s="123"/>
      <c r="F2230" s="285">
        <f>F2206</f>
        <v>312.08999999999997</v>
      </c>
      <c r="G2230" s="282">
        <v>1</v>
      </c>
      <c r="H2230" s="123">
        <v>0.1</v>
      </c>
      <c r="I2230" s="278"/>
      <c r="J2230" s="158">
        <f>ROUND(PRODUCT(E2230:I2230),2)</f>
        <v>31.21</v>
      </c>
    </row>
    <row r="2231" spans="1:10">
      <c r="A2231" s="535"/>
      <c r="B2231" s="536"/>
      <c r="C2231" s="536"/>
      <c r="D2231" s="536"/>
      <c r="E2231" s="536"/>
      <c r="F2231" s="536"/>
      <c r="G2231" s="536"/>
      <c r="H2231" s="536"/>
      <c r="I2231" s="536"/>
      <c r="J2231" s="537"/>
    </row>
    <row r="2232" spans="1:10" ht="38.25">
      <c r="A2232" s="251" t="str">
        <f>'[3]Planilha Orçamentária'!A588</f>
        <v>1.10.6.7</v>
      </c>
      <c r="B2232" s="252">
        <f>VLOOKUP(A2232,'[3]Planilha Orçamentária'!A:K,2,0)</f>
        <v>92771</v>
      </c>
      <c r="C2232" s="253" t="str">
        <f>VLOOKUP(A2232,'[3]Planilha Orçamentária'!A:K,3,0)</f>
        <v>ARMAÇÃO DE LAJE DE ESTRUTURA CONVENCIONAL DE CONCRETO ARMADO UTILIZANDO AÇO CA-50 DE 10,0 MM - MONTAGEM. AF_06/2022</v>
      </c>
      <c r="D2232" s="254" t="str">
        <f>VLOOKUP(A2232,'[3]Planilha Orçamentária'!A:K,4,0)</f>
        <v>KG</v>
      </c>
      <c r="E2232" s="255"/>
      <c r="F2232" s="256"/>
      <c r="G2232" s="256"/>
      <c r="H2232" s="256"/>
      <c r="I2232" s="256"/>
      <c r="J2232" s="257">
        <f>ROUND(SUM(J2233:J2234),2)</f>
        <v>2587.23</v>
      </c>
    </row>
    <row r="2233" spans="1:10">
      <c r="A2233" s="258"/>
      <c r="B2233" s="258"/>
      <c r="C2233" s="259" t="s">
        <v>2293</v>
      </c>
      <c r="D2233" s="258"/>
      <c r="E2233" s="279"/>
      <c r="F2233" s="263" t="s">
        <v>2064</v>
      </c>
      <c r="G2233" s="263"/>
      <c r="H2233" s="263"/>
      <c r="I2233" s="279" t="s">
        <v>2065</v>
      </c>
      <c r="J2233" s="258"/>
    </row>
    <row r="2234" spans="1:10" ht="28.5">
      <c r="A2234" s="258"/>
      <c r="B2234" s="258"/>
      <c r="C2234" s="221" t="s">
        <v>2066</v>
      </c>
      <c r="D2234" s="105"/>
      <c r="E2234" s="104"/>
      <c r="F2234" s="278">
        <f>F2206</f>
        <v>312.08999999999997</v>
      </c>
      <c r="G2234" s="278"/>
      <c r="H2234" s="278"/>
      <c r="I2234" s="278">
        <v>8.2899999999999991</v>
      </c>
      <c r="J2234" s="158">
        <f>ROUND(PRODUCT(E2234:I2234),2)</f>
        <v>2587.23</v>
      </c>
    </row>
    <row r="2235" spans="1:10">
      <c r="A2235" s="535"/>
      <c r="B2235" s="536"/>
      <c r="C2235" s="536"/>
      <c r="D2235" s="536"/>
      <c r="E2235" s="536"/>
      <c r="F2235" s="536"/>
      <c r="G2235" s="536"/>
      <c r="H2235" s="536"/>
      <c r="I2235" s="536"/>
      <c r="J2235" s="537"/>
    </row>
    <row r="2236" spans="1:10" ht="51">
      <c r="A2236" s="251" t="str">
        <f>'[3]Planilha Orçamentária'!A589</f>
        <v>1.10.6.8</v>
      </c>
      <c r="B2236" s="252" t="str">
        <f>VLOOKUP(A2236,'[3]Planilha Orçamentária'!A:K,2,0)</f>
        <v>CP-92268-29291149</v>
      </c>
      <c r="C2236" s="253" t="str">
        <f>VLOOKUP(A2236,'[3]Planilha Orçamentária'!A:K,3,0)</f>
        <v>FABRICAÇÃO DE FÔRMA PARA LAJES, EM CHAPA DE MADEIRA COMPENSADA PLASTIFICADA, E = 18 MM - EXCLUINDO O PAINEL DE MADEIRA COMPENSADA PLASTIFICADA DE 2200 x 1100 MM, E = *17* MM</v>
      </c>
      <c r="D2236" s="254" t="str">
        <f>VLOOKUP(A2236,'[3]Planilha Orçamentária'!A:K,4,0)</f>
        <v>M2</v>
      </c>
      <c r="E2236" s="255"/>
      <c r="F2236" s="256"/>
      <c r="G2236" s="256"/>
      <c r="H2236" s="256"/>
      <c r="I2236" s="256"/>
      <c r="J2236" s="257">
        <f>ROUND(SUM(J2237:J2238),2)</f>
        <v>187.25</v>
      </c>
    </row>
    <row r="2237" spans="1:10">
      <c r="A2237" s="258"/>
      <c r="B2237" s="258"/>
      <c r="C2237" s="259" t="s">
        <v>2293</v>
      </c>
      <c r="D2237" s="174"/>
      <c r="E2237" s="279"/>
      <c r="F2237" s="174" t="s">
        <v>2067</v>
      </c>
      <c r="G2237" s="174" t="s">
        <v>2002</v>
      </c>
      <c r="H2237" s="174" t="s">
        <v>1989</v>
      </c>
      <c r="I2237" s="174"/>
      <c r="J2237" s="258"/>
    </row>
    <row r="2238" spans="1:10" ht="28.5">
      <c r="A2238" s="258"/>
      <c r="B2238" s="258"/>
      <c r="C2238" s="280" t="s">
        <v>2068</v>
      </c>
      <c r="D2238" s="156"/>
      <c r="E2238" s="157"/>
      <c r="F2238" s="136">
        <f>1*4</f>
        <v>4</v>
      </c>
      <c r="G2238" s="136">
        <v>0.15</v>
      </c>
      <c r="H2238" s="136">
        <f>F2234</f>
        <v>312.08999999999997</v>
      </c>
      <c r="I2238" s="286"/>
      <c r="J2238" s="158">
        <f>ROUND(PRODUCT(E2238:I2238),2)</f>
        <v>187.25</v>
      </c>
    </row>
    <row r="2239" spans="1:10">
      <c r="A2239" s="535"/>
      <c r="B2239" s="536"/>
      <c r="C2239" s="536"/>
      <c r="D2239" s="536"/>
      <c r="E2239" s="536"/>
      <c r="F2239" s="536"/>
      <c r="G2239" s="536"/>
      <c r="H2239" s="536"/>
      <c r="I2239" s="536"/>
      <c r="J2239" s="537"/>
    </row>
    <row r="2240" spans="1:10" ht="51">
      <c r="A2240" s="251" t="str">
        <f>'[3]Planilha Orçamentária'!A590</f>
        <v>1.10.6.9</v>
      </c>
      <c r="B2240" s="252">
        <f>VLOOKUP(A2240,'[3]Planilha Orçamentária'!A:K,2,0)</f>
        <v>103320</v>
      </c>
      <c r="C2240" s="253" t="str">
        <f>VLOOKUP(A2240,'[3]Planilha Orçamentária'!A:K,3,0)</f>
        <v>ALVENARIA DE VEDAÇÃO DE BLOCOS VAZADOS DE CONCRETO DE 19X19X39 CM (ESPESSURA 19 CM) E ARGAMASSA DE ASSENTAMENTO COM PREPARO EM BETONEIRA. AF_12/2021</v>
      </c>
      <c r="D2240" s="254" t="str">
        <f>VLOOKUP(A2240,'[3]Planilha Orçamentária'!A:K,4,0)</f>
        <v>M2</v>
      </c>
      <c r="E2240" s="255"/>
      <c r="F2240" s="256"/>
      <c r="G2240" s="256"/>
      <c r="H2240" s="256"/>
      <c r="I2240" s="256"/>
      <c r="J2240" s="257">
        <f>ROUND(SUM(J2241:J2242),2)</f>
        <v>312.08999999999997</v>
      </c>
    </row>
    <row r="2241" spans="1:10">
      <c r="A2241" s="258"/>
      <c r="B2241" s="258"/>
      <c r="C2241" s="259" t="s">
        <v>2293</v>
      </c>
      <c r="D2241" s="174"/>
      <c r="E2241" s="279"/>
      <c r="F2241" s="174" t="s">
        <v>1989</v>
      </c>
      <c r="G2241" s="174"/>
      <c r="H2241" s="174" t="s">
        <v>2069</v>
      </c>
      <c r="I2241" s="174" t="s">
        <v>2070</v>
      </c>
      <c r="J2241" s="258"/>
    </row>
    <row r="2242" spans="1:10" ht="14.25">
      <c r="A2242" s="258"/>
      <c r="B2242" s="258"/>
      <c r="C2242" s="280" t="s">
        <v>2071</v>
      </c>
      <c r="D2242" s="156"/>
      <c r="E2242" s="157"/>
      <c r="F2242" s="136">
        <f>H2238</f>
        <v>312.08999999999997</v>
      </c>
      <c r="G2242" s="136"/>
      <c r="H2242" s="136">
        <v>0.5</v>
      </c>
      <c r="I2242" s="136">
        <v>2</v>
      </c>
      <c r="J2242" s="158">
        <f>ROUND(PRODUCT(E2242:I2242),2)</f>
        <v>312.08999999999997</v>
      </c>
    </row>
    <row r="2243" spans="1:10">
      <c r="A2243" s="535"/>
      <c r="B2243" s="536"/>
      <c r="C2243" s="536"/>
      <c r="D2243" s="536"/>
      <c r="E2243" s="536"/>
      <c r="F2243" s="536"/>
      <c r="G2243" s="536"/>
      <c r="H2243" s="536"/>
      <c r="I2243" s="536"/>
      <c r="J2243" s="537"/>
    </row>
    <row r="2244" spans="1:10" ht="51">
      <c r="A2244" s="251" t="str">
        <f>'[3]Planilha Orçamentária'!A591</f>
        <v>1.10.6.10</v>
      </c>
      <c r="B2244" s="252">
        <f>VLOOKUP(A2244,'[3]Planilha Orçamentária'!A:K,2,0)</f>
        <v>87879</v>
      </c>
      <c r="C2244" s="253" t="str">
        <f>VLOOKUP(A2244,'[3]Planilha Orçamentária'!A:K,3,0)</f>
        <v>CHAPISCO APLICADO EM ALVENARIAS E ESTRUTURAS DE CONCRETO INTERNAS, COM COLHER DE PEDREIRO.  ARGAMASSA TRAÇO 1:3 COM PREPARO EM BETONEIRA 400L. AF_06/2014</v>
      </c>
      <c r="D2244" s="254" t="str">
        <f>VLOOKUP(A2244,'[3]Planilha Orçamentária'!A:K,4,0)</f>
        <v>M2</v>
      </c>
      <c r="E2244" s="255"/>
      <c r="F2244" s="256"/>
      <c r="G2244" s="256"/>
      <c r="H2244" s="256"/>
      <c r="I2244" s="256"/>
      <c r="J2244" s="257">
        <f>ROUND(SUM(J2245:J2246),2)</f>
        <v>312.08999999999997</v>
      </c>
    </row>
    <row r="2245" spans="1:10">
      <c r="A2245" s="258"/>
      <c r="B2245" s="258"/>
      <c r="C2245" s="259" t="s">
        <v>2293</v>
      </c>
      <c r="D2245" s="258"/>
      <c r="E2245" s="258"/>
      <c r="F2245" s="258"/>
      <c r="G2245" s="258"/>
      <c r="H2245" s="136"/>
      <c r="I2245" s="287"/>
      <c r="J2245" s="258"/>
    </row>
    <row r="2246" spans="1:10" ht="14.25">
      <c r="A2246" s="258"/>
      <c r="B2246" s="258"/>
      <c r="C2246" s="280" t="s">
        <v>2072</v>
      </c>
      <c r="D2246" s="156"/>
      <c r="E2246" s="157"/>
      <c r="F2246" s="136"/>
      <c r="G2246" s="136"/>
      <c r="H2246" s="136"/>
      <c r="I2246" s="288">
        <f>J2240</f>
        <v>312.08999999999997</v>
      </c>
      <c r="J2246" s="158">
        <f>ROUND(PRODUCT(E2246:I2246),2)</f>
        <v>312.08999999999997</v>
      </c>
    </row>
    <row r="2247" spans="1:10">
      <c r="A2247" s="535"/>
      <c r="B2247" s="536"/>
      <c r="C2247" s="536"/>
      <c r="D2247" s="536"/>
      <c r="E2247" s="536"/>
      <c r="F2247" s="536"/>
      <c r="G2247" s="536"/>
      <c r="H2247" s="536"/>
      <c r="I2247" s="536"/>
      <c r="J2247" s="537"/>
    </row>
    <row r="2248" spans="1:10" ht="63.75">
      <c r="A2248" s="251" t="str">
        <f>'[3]Planilha Orçamentária'!A592</f>
        <v>1.10.6.11</v>
      </c>
      <c r="B2248" s="252">
        <f>VLOOKUP(A2248,'[3]Planilha Orçamentária'!A:K,2,0)</f>
        <v>87547</v>
      </c>
      <c r="C2248" s="253" t="str">
        <f>VLOOKUP(A2248,'[3]Planilha Orçamentária'!A:K,3,0)</f>
        <v>MASSA ÚNICA, PARA RECEBIMENTO DE PINTURA, EM ARGAMASSA TRAÇO 1:2:8, PREPARO MECÂNICO COM BETONEIRA 400L, APLICADA MANUALMENTE EM FACES INTERNAS DE PAREDES, ESPESSURA DE 10MM, COM EXECUÇÃO DE TALISCAS. AF_06/2014</v>
      </c>
      <c r="D2248" s="254" t="str">
        <f>VLOOKUP(A2248,'[3]Planilha Orçamentária'!A:K,4,0)</f>
        <v>M2</v>
      </c>
      <c r="E2248" s="255"/>
      <c r="F2248" s="256"/>
      <c r="G2248" s="256"/>
      <c r="H2248" s="256"/>
      <c r="I2248" s="256"/>
      <c r="J2248" s="257">
        <f>ROUND(SUM(J2249:J2250),2)</f>
        <v>312.08999999999997</v>
      </c>
    </row>
    <row r="2249" spans="1:10">
      <c r="A2249" s="258"/>
      <c r="B2249" s="258"/>
      <c r="C2249" s="259" t="s">
        <v>2293</v>
      </c>
      <c r="D2249" s="258"/>
      <c r="E2249" s="258"/>
      <c r="F2249" s="258"/>
      <c r="G2249" s="258"/>
      <c r="H2249" s="136"/>
      <c r="I2249" s="287"/>
      <c r="J2249" s="258"/>
    </row>
    <row r="2250" spans="1:10" ht="14.25">
      <c r="A2250" s="258"/>
      <c r="B2250" s="258"/>
      <c r="C2250" s="280" t="s">
        <v>2072</v>
      </c>
      <c r="D2250" s="156"/>
      <c r="E2250" s="157"/>
      <c r="F2250" s="136"/>
      <c r="G2250" s="136"/>
      <c r="H2250" s="136"/>
      <c r="I2250" s="288">
        <f>J2244</f>
        <v>312.08999999999997</v>
      </c>
      <c r="J2250" s="158">
        <f>ROUND(PRODUCT(E2250:I2250),2)</f>
        <v>312.08999999999997</v>
      </c>
    </row>
    <row r="2251" spans="1:10">
      <c r="A2251" s="535"/>
      <c r="B2251" s="536"/>
      <c r="C2251" s="536"/>
      <c r="D2251" s="536"/>
      <c r="E2251" s="536"/>
      <c r="F2251" s="536"/>
      <c r="G2251" s="536"/>
      <c r="H2251" s="536"/>
      <c r="I2251" s="536"/>
      <c r="J2251" s="537"/>
    </row>
    <row r="2252" spans="1:10" ht="38.25">
      <c r="A2252" s="251" t="str">
        <f>'[3]Planilha Orçamentária'!A593</f>
        <v>1.10.6.12</v>
      </c>
      <c r="B2252" s="252">
        <f>VLOOKUP(A2252,'[3]Planilha Orçamentária'!A:K,2,0)</f>
        <v>94975</v>
      </c>
      <c r="C2252" s="253" t="str">
        <f>VLOOKUP(A2252,'[3]Planilha Orçamentária'!A:K,3,0)</f>
        <v>CONCRETO FCK = 15MPA, TRAÇO 1:3,4:3,5 (EM MASSA SECA DE CIMENTO/ AREIA MÉDIA/ BRITA 1) - PREPARO MANUAL. AF_05/2021</v>
      </c>
      <c r="D2252" s="254" t="str">
        <f>VLOOKUP(A2252,'[3]Planilha Orçamentária'!A:K,4,0)</f>
        <v>M3</v>
      </c>
      <c r="E2252" s="255"/>
      <c r="F2252" s="256"/>
      <c r="G2252" s="256"/>
      <c r="H2252" s="256"/>
      <c r="I2252" s="256"/>
      <c r="J2252" s="257">
        <f>ROUND(SUM(J2253:J2255),2)</f>
        <v>33.19</v>
      </c>
    </row>
    <row r="2253" spans="1:10">
      <c r="A2253" s="258"/>
      <c r="B2253" s="258"/>
      <c r="C2253" s="259" t="s">
        <v>2293</v>
      </c>
      <c r="D2253" s="258"/>
      <c r="E2253" s="258"/>
      <c r="F2253" s="258" t="s">
        <v>1989</v>
      </c>
      <c r="G2253" s="258"/>
      <c r="H2253" s="136"/>
      <c r="I2253" s="287"/>
      <c r="J2253" s="258"/>
    </row>
    <row r="2254" spans="1:10" ht="28.5">
      <c r="A2254" s="258"/>
      <c r="B2254" s="258"/>
      <c r="C2254" s="221" t="s">
        <v>2048</v>
      </c>
      <c r="D2254" s="289"/>
      <c r="E2254" s="290" t="s">
        <v>2073</v>
      </c>
      <c r="F2254" s="290" t="s">
        <v>2074</v>
      </c>
      <c r="G2254" s="282"/>
      <c r="H2254" s="290" t="s">
        <v>2075</v>
      </c>
      <c r="I2254" s="287"/>
      <c r="J2254" s="258"/>
    </row>
    <row r="2255" spans="1:10" ht="28.5">
      <c r="A2255" s="258"/>
      <c r="B2255" s="258"/>
      <c r="C2255" s="280" t="s">
        <v>2076</v>
      </c>
      <c r="D2255" s="289"/>
      <c r="E2255" s="291">
        <f>0.294*0.14*0.19</f>
        <v>7.8203999999999999E-3</v>
      </c>
      <c r="F2255" s="282">
        <v>13.6</v>
      </c>
      <c r="G2255" s="292"/>
      <c r="H2255" s="136">
        <f>J2240</f>
        <v>312.08999999999997</v>
      </c>
      <c r="I2255" s="287"/>
      <c r="J2255" s="158">
        <f>ROUND(PRODUCT(E2255:I2255),2)</f>
        <v>33.19</v>
      </c>
    </row>
    <row r="2256" spans="1:10">
      <c r="A2256" s="535"/>
      <c r="B2256" s="536"/>
      <c r="C2256" s="536"/>
      <c r="D2256" s="536"/>
      <c r="E2256" s="536"/>
      <c r="F2256" s="536"/>
      <c r="G2256" s="536"/>
      <c r="H2256" s="536"/>
      <c r="I2256" s="536"/>
      <c r="J2256" s="537"/>
    </row>
    <row r="2257" spans="1:10" ht="25.5">
      <c r="A2257" s="251" t="str">
        <f>'[3]Planilha Orçamentária'!A594</f>
        <v>1.10.6.13</v>
      </c>
      <c r="B2257" s="252" t="str">
        <f>VLOOKUP(A2257,'[3]Planilha Orçamentária'!A:K,2,0)</f>
        <v>CP-74157/004-48264518</v>
      </c>
      <c r="C2257" s="253" t="str">
        <f>VLOOKUP(A2257,'[3]Planilha Orçamentária'!A:K,3,0)</f>
        <v>LANCAMENTO/APLICACAO MANUAL DE CONCRETO EM FUNDACOES (concreto magro)</v>
      </c>
      <c r="D2257" s="254" t="str">
        <f>VLOOKUP(A2257,'[3]Planilha Orçamentária'!A:K,4,0)</f>
        <v>M3</v>
      </c>
      <c r="E2257" s="255"/>
      <c r="F2257" s="256"/>
      <c r="G2257" s="256"/>
      <c r="H2257" s="256"/>
      <c r="I2257" s="256"/>
      <c r="J2257" s="257">
        <f>ROUND(SUM(J2258:J2259),2)</f>
        <v>104.17</v>
      </c>
    </row>
    <row r="2258" spans="1:10">
      <c r="A2258" s="258"/>
      <c r="B2258" s="258"/>
      <c r="C2258" s="259" t="s">
        <v>2293</v>
      </c>
      <c r="D2258" s="258"/>
      <c r="E2258" s="258"/>
      <c r="F2258" s="258"/>
      <c r="G2258" s="258"/>
      <c r="H2258" s="136"/>
      <c r="I2258" s="287"/>
      <c r="J2258" s="258"/>
    </row>
    <row r="2259" spans="1:10" ht="14.25">
      <c r="A2259" s="258"/>
      <c r="B2259" s="258"/>
      <c r="C2259" s="280" t="s">
        <v>2294</v>
      </c>
      <c r="D2259" s="156"/>
      <c r="E2259" s="157"/>
      <c r="F2259" s="136"/>
      <c r="G2259" s="136"/>
      <c r="H2259" s="136"/>
      <c r="I2259" s="136">
        <f>J2252+J2228+J2223</f>
        <v>104.17000000000002</v>
      </c>
      <c r="J2259" s="158">
        <f>ROUND(PRODUCT(E2259:I2259),2)</f>
        <v>104.17</v>
      </c>
    </row>
    <row r="2260" spans="1:10">
      <c r="A2260" s="535"/>
      <c r="B2260" s="536"/>
      <c r="C2260" s="536"/>
      <c r="D2260" s="536"/>
      <c r="E2260" s="536"/>
      <c r="F2260" s="536"/>
      <c r="G2260" s="536"/>
      <c r="H2260" s="536"/>
      <c r="I2260" s="536"/>
      <c r="J2260" s="537"/>
    </row>
    <row r="2261" spans="1:10">
      <c r="A2261" s="94" t="str">
        <f>'[3]Planilha Orçamentária'!A595</f>
        <v>1.10.7</v>
      </c>
      <c r="B2261" s="95"/>
      <c r="C2261" s="96" t="str">
        <f>VLOOKUP(A2261,'[3]Planilha Orçamentária'!A:K,3,0)</f>
        <v>SINALIZAÇÃO</v>
      </c>
      <c r="D2261" s="97"/>
      <c r="E2261" s="98"/>
      <c r="F2261" s="99"/>
      <c r="G2261" s="99"/>
      <c r="H2261" s="99"/>
      <c r="I2261" s="100"/>
      <c r="J2261" s="131"/>
    </row>
    <row r="2262" spans="1:10" ht="25.5">
      <c r="A2262" s="132" t="str">
        <f>'[3]Planilha Orçamentária'!A596</f>
        <v>1.10.7.1</v>
      </c>
      <c r="B2262" s="103">
        <f>VLOOKUP(A2262,'[3]Planilha Orçamentária'!A:K,2,0)</f>
        <v>5213421</v>
      </c>
      <c r="C2262" s="276" t="str">
        <f>VLOOKUP(A2262,'[3]Planilha Orçamentária'!A:K,3,0)</f>
        <v>Confecção de placa em aço nº 16 galvanizado, com película tipo I + IV</v>
      </c>
      <c r="D2262" s="105" t="str">
        <f>VLOOKUP(A2262,'[3]Planilha Orçamentária'!A:K,4,0)</f>
        <v xml:space="preserve">M2    </v>
      </c>
      <c r="E2262" s="104"/>
      <c r="F2262" s="111"/>
      <c r="G2262" s="111"/>
      <c r="H2262" s="111"/>
      <c r="I2262" s="111"/>
      <c r="J2262" s="107">
        <f>ROUND(SUM(J2263:J2266),2)</f>
        <v>2.87</v>
      </c>
    </row>
    <row r="2263" spans="1:10" ht="25.5">
      <c r="A2263" s="138"/>
      <c r="B2263" s="138"/>
      <c r="C2263" s="244" t="s">
        <v>2295</v>
      </c>
      <c r="D2263" s="307"/>
      <c r="E2263" s="313"/>
      <c r="F2263" s="116"/>
      <c r="G2263" s="116"/>
      <c r="H2263" s="157" t="s">
        <v>2003</v>
      </c>
      <c r="I2263" s="408" t="s">
        <v>1991</v>
      </c>
      <c r="J2263" s="118"/>
    </row>
    <row r="2264" spans="1:10">
      <c r="A2264" s="314"/>
      <c r="B2264" s="314"/>
      <c r="C2264" s="244" t="s">
        <v>2079</v>
      </c>
      <c r="D2264" s="307"/>
      <c r="E2264" s="116"/>
      <c r="F2264" s="116"/>
      <c r="G2264" s="116"/>
      <c r="H2264" s="116">
        <v>0.2</v>
      </c>
      <c r="I2264" s="157">
        <v>4</v>
      </c>
      <c r="J2264" s="158">
        <f t="shared" ref="J2264:J2266" si="153">ROUND(PRODUCT(E2264:I2264),2)</f>
        <v>0.8</v>
      </c>
    </row>
    <row r="2265" spans="1:10">
      <c r="A2265" s="314"/>
      <c r="B2265" s="314"/>
      <c r="C2265" s="409" t="s">
        <v>2081</v>
      </c>
      <c r="D2265" s="303"/>
      <c r="E2265" s="304"/>
      <c r="F2265" s="304"/>
      <c r="G2265" s="304"/>
      <c r="H2265" s="304">
        <f>0.5*0.5</f>
        <v>0.25</v>
      </c>
      <c r="I2265" s="410">
        <v>2</v>
      </c>
      <c r="J2265" s="158">
        <f t="shared" si="153"/>
        <v>0.5</v>
      </c>
    </row>
    <row r="2266" spans="1:10" ht="14.25">
      <c r="A2266" s="314"/>
      <c r="B2266" s="314"/>
      <c r="C2266" s="390" t="s">
        <v>2116</v>
      </c>
      <c r="D2266" s="391"/>
      <c r="E2266" s="392"/>
      <c r="F2266" s="393"/>
      <c r="G2266" s="393"/>
      <c r="H2266" s="304">
        <f>3.14*0.25^2</f>
        <v>0.19625000000000001</v>
      </c>
      <c r="I2266" s="410">
        <v>8</v>
      </c>
      <c r="J2266" s="158">
        <f t="shared" si="153"/>
        <v>1.57</v>
      </c>
    </row>
    <row r="2267" spans="1:10">
      <c r="A2267" s="524"/>
      <c r="B2267" s="524"/>
      <c r="C2267" s="524"/>
      <c r="D2267" s="524"/>
      <c r="E2267" s="524"/>
      <c r="F2267" s="524"/>
      <c r="G2267" s="524"/>
      <c r="H2267" s="524"/>
      <c r="I2267" s="524"/>
      <c r="J2267" s="525"/>
    </row>
    <row r="2268" spans="1:10" ht="38.25">
      <c r="A2268" s="132" t="str">
        <f>'[3]Planilha Orçamentária'!A597</f>
        <v>1.10.7.2</v>
      </c>
      <c r="B2268" s="103">
        <f>VLOOKUP(A2268,'[3]Planilha Orçamentária'!A:K,2,0)</f>
        <v>5216111</v>
      </c>
      <c r="C2268" s="276" t="str">
        <f>VLOOKUP(A2268,'[3]Planilha Orçamentária'!A:K,3,0)</f>
        <v>FORNECIMENTO E IMPLANTAÇÃO DE SUPORTE E TRAVESSA PARA PLACA DE SINALIZAÇÃO EM MADEIRA DE LEI TRATADA 8 X 8 CM</v>
      </c>
      <c r="D2268" s="105" t="str">
        <f>VLOOKUP(A2268,'[3]Planilha Orçamentária'!A:K,4,0)</f>
        <v>UND</v>
      </c>
      <c r="E2268" s="104"/>
      <c r="F2268" s="111"/>
      <c r="G2268" s="111"/>
      <c r="H2268" s="111"/>
      <c r="I2268" s="111"/>
      <c r="J2268" s="107">
        <f>ROUND(SUM(J2270:J2270),2)</f>
        <v>13</v>
      </c>
    </row>
    <row r="2269" spans="1:10">
      <c r="A2269" s="251"/>
      <c r="B2269" s="252"/>
      <c r="C2269" s="244" t="s">
        <v>2295</v>
      </c>
      <c r="D2269" s="105"/>
      <c r="E2269" s="104"/>
      <c r="F2269" s="111"/>
      <c r="G2269" s="111"/>
      <c r="H2269" s="111"/>
      <c r="I2269" s="106" t="s">
        <v>1446</v>
      </c>
      <c r="J2269" s="257"/>
    </row>
    <row r="2270" spans="1:10">
      <c r="A2270" s="314"/>
      <c r="B2270" s="314"/>
      <c r="C2270" s="244" t="s">
        <v>2046</v>
      </c>
      <c r="D2270" s="307"/>
      <c r="E2270" s="313"/>
      <c r="F2270" s="116"/>
      <c r="G2270" s="116"/>
      <c r="H2270" s="157"/>
      <c r="I2270" s="157">
        <v>13</v>
      </c>
      <c r="J2270" s="306">
        <f>ROUND(PRODUCT(E2270:I2270),2)</f>
        <v>13</v>
      </c>
    </row>
    <row r="2271" spans="1:10">
      <c r="A2271" s="523"/>
      <c r="B2271" s="524"/>
      <c r="C2271" s="524"/>
      <c r="D2271" s="524"/>
      <c r="E2271" s="524"/>
      <c r="F2271" s="524"/>
      <c r="G2271" s="524"/>
      <c r="H2271" s="524"/>
      <c r="I2271" s="524"/>
      <c r="J2271" s="525"/>
    </row>
    <row r="2272" spans="1:10" ht="25.5">
      <c r="A2272" s="251" t="str">
        <f>'[3]Planilha Orçamentária'!A598</f>
        <v>1.10.7.3</v>
      </c>
      <c r="B2272" s="252" t="str">
        <f>VLOOKUP(A2272,'[3]Planilha Orçamentária'!A:K,2,0)</f>
        <v>COMP-58084869</v>
      </c>
      <c r="C2272" s="253" t="str">
        <f>VLOOKUP(A2272,'[3]Planilha Orçamentária'!A:K,3,0)</f>
        <v>PLACA ESMALTADA PARA IDENTIFICAÇÃO NR DE RUA, DIMENSÕES 45X25CM</v>
      </c>
      <c r="D2272" s="254" t="str">
        <f>VLOOKUP(A2272,'[3]Planilha Orçamentária'!A:K,4,0)</f>
        <v>UND</v>
      </c>
      <c r="E2272" s="255"/>
      <c r="F2272" s="256"/>
      <c r="G2272" s="256"/>
      <c r="H2272" s="256"/>
      <c r="I2272" s="256"/>
      <c r="J2272" s="257">
        <f>ROUND(SUM(J2273:J2274),2)</f>
        <v>3</v>
      </c>
    </row>
    <row r="2273" spans="1:10">
      <c r="A2273" s="132"/>
      <c r="B2273" s="108"/>
      <c r="C2273" s="244" t="s">
        <v>2295</v>
      </c>
      <c r="D2273" s="105"/>
      <c r="E2273" s="104"/>
      <c r="F2273" s="111"/>
      <c r="G2273" s="111"/>
      <c r="H2273" s="111"/>
      <c r="I2273" s="106" t="s">
        <v>1446</v>
      </c>
      <c r="J2273" s="122"/>
    </row>
    <row r="2274" spans="1:10">
      <c r="A2274" s="132"/>
      <c r="B2274" s="108"/>
      <c r="C2274" s="244" t="s">
        <v>2046</v>
      </c>
      <c r="D2274" s="105"/>
      <c r="E2274" s="104"/>
      <c r="F2274" s="111"/>
      <c r="G2274" s="111"/>
      <c r="H2274" s="111"/>
      <c r="I2274" s="157">
        <v>3</v>
      </c>
      <c r="J2274" s="306">
        <f>ROUND(PRODUCT(E2274:I2274),2)</f>
        <v>3</v>
      </c>
    </row>
    <row r="2275" spans="1:10">
      <c r="A2275" s="559"/>
      <c r="B2275" s="560"/>
      <c r="C2275" s="560"/>
      <c r="D2275" s="560"/>
      <c r="E2275" s="560"/>
      <c r="F2275" s="560"/>
      <c r="G2275" s="560"/>
      <c r="H2275" s="560"/>
      <c r="I2275" s="560"/>
      <c r="J2275" s="560"/>
    </row>
    <row r="2276" spans="1:10" ht="51">
      <c r="A2276" s="145" t="str">
        <f>'[3]Planilha Orçamentária'!A599</f>
        <v>1.10.7.4</v>
      </c>
      <c r="B2276" s="146">
        <f>VLOOKUP(A2276,'[3]Planilha Orçamentária'!A:K,2,0)</f>
        <v>102512</v>
      </c>
      <c r="C2276" s="411" t="str">
        <f>VLOOKUP(A2276,'[3]Planilha Orçamentária'!A:K,3,0)</f>
        <v>PINTURA DE EIXO VIÁRIO SOBRE ASFALTO COM TINTA RETRORREFLETIVA A BASE DE RESINA ACRÍLICA COM MICROESFERAS DE VIDRO, APLICAÇÃO MECÂNICA COM DEMARCADORA AUTOPROPELIDA. AF_05/2021</v>
      </c>
      <c r="D2276" s="148" t="str">
        <f>VLOOKUP(A2276,'[3]Planilha Orçamentária'!A:K,4,0)</f>
        <v>M</v>
      </c>
      <c r="E2276" s="147"/>
      <c r="F2276" s="160"/>
      <c r="G2276" s="160"/>
      <c r="H2276" s="160"/>
      <c r="I2276" s="160"/>
      <c r="J2276" s="150">
        <f>ROUND(SUM(J2278:J2278),2)</f>
        <v>839.55</v>
      </c>
    </row>
    <row r="2277" spans="1:10">
      <c r="A2277" s="151"/>
      <c r="B2277" s="152"/>
      <c r="C2277" s="244" t="s">
        <v>2295</v>
      </c>
      <c r="D2277" s="148"/>
      <c r="E2277" s="147"/>
      <c r="F2277" s="161" t="s">
        <v>1989</v>
      </c>
      <c r="G2277" s="160"/>
      <c r="H2277" s="160"/>
      <c r="I2277" s="106"/>
      <c r="J2277" s="150"/>
    </row>
    <row r="2278" spans="1:10">
      <c r="A2278" s="314"/>
      <c r="B2278" s="314"/>
      <c r="C2278" s="244" t="s">
        <v>2046</v>
      </c>
      <c r="D2278" s="262"/>
      <c r="E2278" s="358"/>
      <c r="F2278" s="157">
        <v>839.55</v>
      </c>
      <c r="G2278" s="157"/>
      <c r="H2278" s="157"/>
      <c r="I2278" s="157"/>
      <c r="J2278" s="128">
        <f>ROUND(PRODUCT(E2278:I2278),2)</f>
        <v>839.55</v>
      </c>
    </row>
    <row r="2279" spans="1:10">
      <c r="A2279" s="524"/>
      <c r="B2279" s="524"/>
      <c r="C2279" s="524"/>
      <c r="D2279" s="524"/>
      <c r="E2279" s="524"/>
      <c r="F2279" s="524"/>
      <c r="G2279" s="524"/>
      <c r="H2279" s="524"/>
      <c r="I2279" s="524"/>
      <c r="J2279" s="525"/>
    </row>
    <row r="2280" spans="1:10" ht="51">
      <c r="A2280" s="145" t="str">
        <f>'[3]Planilha Orçamentária'!A600</f>
        <v>1.10.7.5</v>
      </c>
      <c r="B2280" s="146">
        <f>VLOOKUP(A2280,'[3]Planilha Orçamentária'!A:K,2,0)</f>
        <v>102509</v>
      </c>
      <c r="C2280" s="411" t="str">
        <f>VLOOKUP(A2280,'[3]Planilha Orçamentária'!A:K,3,0)</f>
        <v>PINTURA DE FAIXA DE PEDESTRE OU ZEBRADA TINTA RETRORREFLETIVA A BASE DE RESINA ACRÍLICA COM MICROESFERAS DE VIDRO, E = 30 CM, APLICAÇÃO MANUAL. AF_05/2021</v>
      </c>
      <c r="D2280" s="148" t="str">
        <f>VLOOKUP(A2280,'[3]Planilha Orçamentária'!A:K,4,0)</f>
        <v>M2</v>
      </c>
      <c r="E2280" s="147"/>
      <c r="F2280" s="160"/>
      <c r="G2280" s="160"/>
      <c r="H2280" s="160"/>
      <c r="I2280" s="160"/>
      <c r="J2280" s="150">
        <f>ROUND(SUM(J2282:J2282),2)</f>
        <v>19.48</v>
      </c>
    </row>
    <row r="2281" spans="1:10">
      <c r="A2281" s="151"/>
      <c r="B2281" s="152"/>
      <c r="C2281" s="244" t="s">
        <v>2295</v>
      </c>
      <c r="D2281" s="148"/>
      <c r="E2281" s="147"/>
      <c r="F2281" s="161"/>
      <c r="G2281" s="160"/>
      <c r="H2281" s="160"/>
      <c r="I2281" s="106" t="s">
        <v>2003</v>
      </c>
      <c r="J2281" s="150"/>
    </row>
    <row r="2282" spans="1:10">
      <c r="A2282" s="314"/>
      <c r="B2282" s="314"/>
      <c r="C2282" s="244" t="s">
        <v>2046</v>
      </c>
      <c r="D2282" s="262"/>
      <c r="E2282" s="358"/>
      <c r="F2282" s="157"/>
      <c r="G2282" s="157"/>
      <c r="H2282" s="157"/>
      <c r="I2282" s="157">
        <v>19.48</v>
      </c>
      <c r="J2282" s="128">
        <f>ROUND(PRODUCT(E2282:I2282),2)</f>
        <v>19.48</v>
      </c>
    </row>
    <row r="2283" spans="1:10">
      <c r="A2283" s="524"/>
      <c r="B2283" s="524"/>
      <c r="C2283" s="524"/>
      <c r="D2283" s="524"/>
      <c r="E2283" s="524"/>
      <c r="F2283" s="524"/>
      <c r="G2283" s="524"/>
      <c r="H2283" s="524"/>
      <c r="I2283" s="524"/>
      <c r="J2283" s="525"/>
    </row>
    <row r="2284" spans="1:10">
      <c r="A2284" s="94" t="str">
        <f>'[3]Planilha Orçamentária'!A601</f>
        <v>1.10.8</v>
      </c>
      <c r="B2284" s="95"/>
      <c r="C2284" s="96" t="str">
        <f>VLOOKUP(A2284,'[3]Planilha Orçamentária'!A:K,3,0)</f>
        <v>ACESSIBILIDADE</v>
      </c>
      <c r="D2284" s="96"/>
      <c r="E2284" s="129"/>
      <c r="F2284" s="130"/>
      <c r="G2284" s="130"/>
      <c r="H2284" s="130"/>
      <c r="I2284" s="130"/>
      <c r="J2284" s="131"/>
    </row>
    <row r="2285" spans="1:10" ht="51">
      <c r="A2285" s="132" t="str">
        <f>'[3]Planilha Orçamentária'!A602</f>
        <v>1.10.8.1</v>
      </c>
      <c r="B2285" s="108" t="str">
        <f>VLOOKUP(A2285,'[3]Planilha Orçamentária'!A:K,2,0)</f>
        <v>CP-S12039-81921471</v>
      </c>
      <c r="C2285" s="276" t="str">
        <f>VLOOKUP(A2285,'[3]Planilha Orçamentária'!A:K,3,0)</f>
        <v>Piso tátil direcional e/ou alerta, de concreto, na cor natural, p/deficientes visuais, dimensões 40x40cm, aplicado com argamassa industrializada ac-ii, rejuntado, exclusive regularização de base</v>
      </c>
      <c r="D2285" s="105" t="str">
        <f>VLOOKUP(A2285,'[3]Planilha Orçamentária'!A:K,4,0)</f>
        <v>M2</v>
      </c>
      <c r="E2285" s="104"/>
      <c r="F2285" s="111"/>
      <c r="G2285" s="111"/>
      <c r="H2285" s="111"/>
      <c r="I2285" s="111"/>
      <c r="J2285" s="122">
        <f>ROUND(SUM(J2286:J2287),2)</f>
        <v>14.56</v>
      </c>
    </row>
    <row r="2286" spans="1:10">
      <c r="A2286" s="138"/>
      <c r="B2286" s="138"/>
      <c r="C2286" s="244" t="s">
        <v>2295</v>
      </c>
      <c r="D2286" s="137"/>
      <c r="E2286" s="138"/>
      <c r="F2286" s="325"/>
      <c r="G2286" s="325"/>
      <c r="H2286" s="325"/>
      <c r="I2286" s="357" t="s">
        <v>2003</v>
      </c>
      <c r="J2286" s="325"/>
    </row>
    <row r="2287" spans="1:10">
      <c r="A2287" s="138"/>
      <c r="B2287" s="138"/>
      <c r="C2287" s="244" t="s">
        <v>2161</v>
      </c>
      <c r="D2287" s="137"/>
      <c r="E2287" s="138"/>
      <c r="F2287" s="325"/>
      <c r="G2287" s="325"/>
      <c r="H2287" s="325"/>
      <c r="I2287" s="325">
        <v>14.56</v>
      </c>
      <c r="J2287" s="128">
        <f>ROUND(PRODUCT(E2287:I2287),2)</f>
        <v>14.56</v>
      </c>
    </row>
    <row r="2288" spans="1:10">
      <c r="A2288" s="558"/>
      <c r="B2288" s="558"/>
      <c r="C2288" s="558"/>
      <c r="D2288" s="558"/>
      <c r="E2288" s="558"/>
      <c r="F2288" s="558"/>
      <c r="G2288" s="558"/>
      <c r="H2288" s="558"/>
      <c r="I2288" s="558"/>
      <c r="J2288" s="558"/>
    </row>
    <row r="2289" spans="1:10">
      <c r="A2289" s="94" t="str">
        <f>'[3]Planilha Orçamentária'!A603</f>
        <v>1.10.9</v>
      </c>
      <c r="B2289" s="95"/>
      <c r="C2289" s="96" t="str">
        <f>VLOOKUP(A2289,'[3]Planilha Orçamentária'!A:K,3,0)</f>
        <v>MATERIAIS</v>
      </c>
      <c r="D2289" s="96"/>
      <c r="E2289" s="129"/>
      <c r="F2289" s="130"/>
      <c r="G2289" s="130"/>
      <c r="H2289" s="130"/>
      <c r="I2289" s="130"/>
      <c r="J2289" s="131"/>
    </row>
    <row r="2290" spans="1:10" ht="51">
      <c r="A2290" s="145" t="str">
        <f>'[3]Planilha Orçamentária'!A604</f>
        <v>1.10.9.1</v>
      </c>
      <c r="B2290" s="146">
        <f>VLOOKUP(A2290,'[3]Planilha Orçamentária'!A:K,2,0)</f>
        <v>10775</v>
      </c>
      <c r="C2290" s="147" t="str">
        <f>VLOOKUP(A2290,'[3]Planilha Orçamentária'!A:K,3,0)</f>
        <v xml:space="preserve">LOCACAO DE CONTAINER 2,30 X 6,00 M, ALT. 2,50 M, COM 1 SANITARIO, PARA ESCRITORIO, COMPLETO, SEM DIVISORIAS INTERNAS (NAO INCLUI MOBILIZACAO/DESMOBILIZACAO)                                                                                                                                                                                                                                                                                                                                              </v>
      </c>
      <c r="D2290" s="148" t="str">
        <f>VLOOKUP(A2290,'[3]Planilha Orçamentária'!A:K,4,0)</f>
        <v xml:space="preserve">MES   </v>
      </c>
      <c r="E2290" s="147"/>
      <c r="F2290" s="160"/>
      <c r="G2290" s="160"/>
      <c r="H2290" s="160"/>
      <c r="I2290" s="160"/>
      <c r="J2290" s="218">
        <f>ROUND(SUM(J2292:J2292),2)</f>
        <v>3</v>
      </c>
    </row>
    <row r="2291" spans="1:10" ht="25.5">
      <c r="A2291" s="151"/>
      <c r="B2291" s="152"/>
      <c r="C2291" s="168"/>
      <c r="D2291" s="166"/>
      <c r="E2291" s="168"/>
      <c r="F2291" s="320"/>
      <c r="G2291" s="149"/>
      <c r="H2291" s="149"/>
      <c r="I2291" s="106" t="s">
        <v>1992</v>
      </c>
      <c r="J2291" s="321"/>
    </row>
    <row r="2292" spans="1:10">
      <c r="A2292" s="123"/>
      <c r="B2292" s="123"/>
      <c r="C2292" s="155"/>
      <c r="D2292" s="185"/>
      <c r="E2292" s="116"/>
      <c r="F2292" s="126"/>
      <c r="G2292" s="116"/>
      <c r="H2292" s="116"/>
      <c r="I2292" s="116">
        <f>I2102</f>
        <v>3</v>
      </c>
      <c r="J2292" s="128">
        <f>ROUND(PRODUCT(E2292:I2292),2)</f>
        <v>3</v>
      </c>
    </row>
    <row r="2293" spans="1:10">
      <c r="A2293" s="531"/>
      <c r="B2293" s="531"/>
      <c r="C2293" s="531"/>
      <c r="D2293" s="531"/>
      <c r="E2293" s="531"/>
      <c r="F2293" s="531"/>
      <c r="G2293" s="531"/>
      <c r="H2293" s="531"/>
      <c r="I2293" s="531"/>
      <c r="J2293" s="531"/>
    </row>
    <row r="2294" spans="1:10" ht="38.25">
      <c r="A2294" s="145" t="str">
        <f>'[3]Planilha Orçamentária'!A605</f>
        <v>1.10.9.2</v>
      </c>
      <c r="B2294" s="146">
        <f>VLOOKUP(A2294,'[3]Planilha Orçamentária'!A:K,2,0)</f>
        <v>10776</v>
      </c>
      <c r="C2294" s="147" t="str">
        <f>VLOOKUP(A2294,'[3]Planilha Orçamentária'!A:K,3,0)</f>
        <v xml:space="preserve">LOCACAO DE CONTAINER 2,30 X 6,00 M, ALT. 2,50 M, PARA ESCRITORIO, SEM DIVISORIAS INTERNAS E SEM SANITARIO (NAO INCLUI MOBILIZACAO/DESMOBILIZACAO)                                                                                                                                                                                                                                                                                                                                                         </v>
      </c>
      <c r="D2294" s="148" t="str">
        <f>VLOOKUP(A2294,'[3]Planilha Orçamentária'!A:K,4,0)</f>
        <v xml:space="preserve">MES   </v>
      </c>
      <c r="E2294" s="147"/>
      <c r="F2294" s="160"/>
      <c r="G2294" s="160"/>
      <c r="H2294" s="160"/>
      <c r="I2294" s="160"/>
      <c r="J2294" s="218">
        <f>ROUND(SUM(J2296:J2296),2)</f>
        <v>3</v>
      </c>
    </row>
    <row r="2295" spans="1:10" ht="25.5">
      <c r="A2295" s="151"/>
      <c r="B2295" s="152"/>
      <c r="C2295" s="168"/>
      <c r="D2295" s="166"/>
      <c r="E2295" s="168"/>
      <c r="F2295" s="320"/>
      <c r="G2295" s="149"/>
      <c r="H2295" s="149"/>
      <c r="I2295" s="106" t="s">
        <v>1992</v>
      </c>
      <c r="J2295" s="321"/>
    </row>
    <row r="2296" spans="1:10">
      <c r="A2296" s="123"/>
      <c r="B2296" s="123"/>
      <c r="C2296" s="155"/>
      <c r="D2296" s="185"/>
      <c r="E2296" s="116"/>
      <c r="F2296" s="126"/>
      <c r="G2296" s="116"/>
      <c r="H2296" s="116"/>
      <c r="I2296" s="116">
        <f>I2292</f>
        <v>3</v>
      </c>
      <c r="J2296" s="128">
        <f>ROUND(PRODUCT(E2296:I2296),2)</f>
        <v>3</v>
      </c>
    </row>
    <row r="2297" spans="1:10">
      <c r="A2297" s="531"/>
      <c r="B2297" s="531"/>
      <c r="C2297" s="531"/>
      <c r="D2297" s="531"/>
      <c r="E2297" s="531"/>
      <c r="F2297" s="531"/>
      <c r="G2297" s="531"/>
      <c r="H2297" s="531"/>
      <c r="I2297" s="531"/>
      <c r="J2297" s="531"/>
    </row>
    <row r="2298" spans="1:10" ht="38.25">
      <c r="A2298" s="132" t="str">
        <f>'[3]Planilha Orçamentária'!A606</f>
        <v>1.10.9.3</v>
      </c>
      <c r="B2298" s="108">
        <f>VLOOKUP(A2298,'[3]Planilha Orçamentária'!A:K,2,0)</f>
        <v>1518</v>
      </c>
      <c r="C2298" s="104" t="str">
        <f>VLOOKUP(A2298,'[3]Planilha Orçamentária'!A:K,3,0)</f>
        <v xml:space="preserve">CONCRETO BETUMINOSO USINADO A QUENTE (CBUQ) PARA PAVIMENTACAO ASFALTICA, PADRAO DNIT, FAIXA C, COM CAP 50/70 - AQUISICAO POSTO USINA                                                                                                                                                                                                                                                                                                                                                                      </v>
      </c>
      <c r="D2298" s="105" t="str">
        <f>VLOOKUP(A2298,'[3]Planilha Orçamentária'!A:K,4,0)</f>
        <v xml:space="preserve">T     </v>
      </c>
      <c r="E2298" s="104"/>
      <c r="F2298" s="111"/>
      <c r="G2298" s="111"/>
      <c r="H2298" s="111"/>
      <c r="I2298" s="111"/>
      <c r="J2298" s="122">
        <f>ROUND(SUM(J2299:J2300),2)</f>
        <v>136.84</v>
      </c>
    </row>
    <row r="2299" spans="1:10">
      <c r="A2299" s="174"/>
      <c r="B2299" s="174"/>
      <c r="C2299" s="159" t="s">
        <v>2286</v>
      </c>
      <c r="D2299" s="174"/>
      <c r="E2299" s="174" t="s">
        <v>1193</v>
      </c>
      <c r="F2299" s="174"/>
      <c r="G2299" s="174"/>
      <c r="H2299" s="174"/>
      <c r="I2299" s="174" t="s">
        <v>2007</v>
      </c>
      <c r="J2299" s="174"/>
    </row>
    <row r="2300" spans="1:10">
      <c r="A2300" s="174"/>
      <c r="B2300" s="174"/>
      <c r="C2300" s="322" t="s">
        <v>2083</v>
      </c>
      <c r="D2300" s="174"/>
      <c r="E2300" s="174">
        <v>2.5548000000000002</v>
      </c>
      <c r="F2300" s="174"/>
      <c r="G2300" s="174"/>
      <c r="H2300" s="174"/>
      <c r="I2300" s="286">
        <f>J2162</f>
        <v>53.56</v>
      </c>
      <c r="J2300" s="158">
        <f t="shared" ref="J2300" si="154">ROUND(PRODUCT(E2300:I2300),2)</f>
        <v>136.84</v>
      </c>
    </row>
    <row r="2301" spans="1:10">
      <c r="A2301" s="219"/>
      <c r="B2301" s="323"/>
      <c r="C2301" s="323"/>
      <c r="D2301" s="323"/>
      <c r="E2301" s="323"/>
      <c r="F2301" s="323"/>
      <c r="G2301" s="323"/>
      <c r="H2301" s="323"/>
      <c r="I2301" s="323"/>
      <c r="J2301" s="198"/>
    </row>
    <row r="2302" spans="1:10">
      <c r="A2302" s="132" t="str">
        <f>'[3]Planilha Orçamentária'!A607</f>
        <v>1.10.9.4</v>
      </c>
      <c r="B2302" s="108" t="str">
        <f>VLOOKUP(A2302,'[3]Planilha Orçamentária'!A:K,2,0)</f>
        <v>INS-185032</v>
      </c>
      <c r="C2302" s="104" t="str">
        <f>VLOOKUP(A2302,'[3]Planilha Orçamentária'!A:K,3,0)</f>
        <v>BRITA GRADUADA SIMPLES (BGS)</v>
      </c>
      <c r="D2302" s="105" t="str">
        <f>VLOOKUP(A2302,'[3]Planilha Orçamentária'!A:K,4,0)</f>
        <v>M3</v>
      </c>
      <c r="E2302" s="104"/>
      <c r="F2302" s="111"/>
      <c r="G2302" s="111"/>
      <c r="H2302" s="111"/>
      <c r="I2302" s="111"/>
      <c r="J2302" s="122">
        <f>ROUND(SUM(J2304:J2304),2)</f>
        <v>251.54</v>
      </c>
    </row>
    <row r="2303" spans="1:10">
      <c r="A2303" s="132"/>
      <c r="B2303" s="108"/>
      <c r="C2303" s="159" t="s">
        <v>2286</v>
      </c>
      <c r="D2303" s="241"/>
      <c r="E2303" s="174" t="s">
        <v>1193</v>
      </c>
      <c r="F2303" s="106"/>
      <c r="G2303" s="106"/>
      <c r="H2303" s="106"/>
      <c r="I2303" s="174" t="s">
        <v>2007</v>
      </c>
      <c r="J2303" s="122"/>
    </row>
    <row r="2304" spans="1:10">
      <c r="A2304" s="132"/>
      <c r="B2304" s="108"/>
      <c r="C2304" s="324" t="s">
        <v>2084</v>
      </c>
      <c r="D2304" s="137"/>
      <c r="E2304" s="325">
        <v>1</v>
      </c>
      <c r="F2304" s="106"/>
      <c r="G2304" s="106"/>
      <c r="H2304" s="106"/>
      <c r="I2304" s="286">
        <f>J2144</f>
        <v>251.54</v>
      </c>
      <c r="J2304" s="158">
        <f t="shared" ref="J2304" si="155">ROUND(PRODUCT(E2304:I2304),2)</f>
        <v>251.54</v>
      </c>
    </row>
    <row r="2305" spans="1:10">
      <c r="A2305" s="219"/>
      <c r="B2305" s="323"/>
      <c r="C2305" s="323"/>
      <c r="D2305" s="323"/>
      <c r="E2305" s="323"/>
      <c r="F2305" s="323"/>
      <c r="G2305" s="323"/>
      <c r="H2305" s="323"/>
      <c r="I2305" s="323"/>
      <c r="J2305" s="197"/>
    </row>
    <row r="2306" spans="1:10">
      <c r="A2306" s="132" t="str">
        <f>'[3]Planilha Orçamentária'!A608</f>
        <v>1.10.9.5</v>
      </c>
      <c r="B2306" s="108" t="str">
        <f>VLOOKUP(A2306,'[3]Planilha Orçamentária'!A:K,2,0)</f>
        <v>M0808</v>
      </c>
      <c r="C2306" s="104" t="str">
        <f>VLOOKUP(A2306,'[3]Planilha Orçamentária'!A:K,3,0)</f>
        <v>Brita 4</v>
      </c>
      <c r="D2306" s="105" t="str">
        <f>VLOOKUP(A2306,'[3]Planilha Orçamentária'!A:K,4,0)</f>
        <v>M3</v>
      </c>
      <c r="E2306" s="104"/>
      <c r="F2306" s="111"/>
      <c r="G2306" s="111"/>
      <c r="H2306" s="111"/>
      <c r="I2306" s="111"/>
      <c r="J2306" s="122">
        <f>ROUND(SUM(J2308:J2308),2)</f>
        <v>296.83</v>
      </c>
    </row>
    <row r="2307" spans="1:10">
      <c r="A2307" s="132"/>
      <c r="B2307" s="108"/>
      <c r="C2307" s="326"/>
      <c r="D2307" s="137"/>
      <c r="E2307" s="137" t="s">
        <v>2085</v>
      </c>
      <c r="F2307" s="174"/>
      <c r="G2307" s="174"/>
      <c r="H2307" s="174"/>
      <c r="I2307" s="174" t="s">
        <v>2007</v>
      </c>
      <c r="J2307" s="122"/>
    </row>
    <row r="2308" spans="1:10" ht="15">
      <c r="A2308" s="132"/>
      <c r="B2308" s="108"/>
      <c r="C2308" s="200" t="s">
        <v>2086</v>
      </c>
      <c r="D2308" s="137"/>
      <c r="E2308" s="327">
        <v>1.26</v>
      </c>
      <c r="F2308" s="174"/>
      <c r="G2308" s="174"/>
      <c r="H2308" s="174"/>
      <c r="I2308" s="286">
        <f>J2140</f>
        <v>235.58</v>
      </c>
      <c r="J2308" s="158">
        <f t="shared" ref="J2308" si="156">ROUND(PRODUCT(E2308:I2308),2)</f>
        <v>296.83</v>
      </c>
    </row>
    <row r="2309" spans="1:10">
      <c r="A2309" s="219"/>
      <c r="B2309" s="323"/>
      <c r="C2309" s="323"/>
      <c r="D2309" s="323"/>
      <c r="E2309" s="323"/>
      <c r="F2309" s="323"/>
      <c r="G2309" s="323"/>
      <c r="H2309" s="323"/>
      <c r="I2309" s="323"/>
      <c r="J2309" s="197"/>
    </row>
    <row r="2310" spans="1:10">
      <c r="A2310" s="132" t="str">
        <f>'[3]Planilha Orçamentária'!A609</f>
        <v>1.10.9.6</v>
      </c>
      <c r="B2310" s="108" t="str">
        <f>VLOOKUP(A2310,'[3]Planilha Orçamentária'!A:K,2,0)</f>
        <v>M1135</v>
      </c>
      <c r="C2310" s="104" t="str">
        <f>VLOOKUP(A2310,'[3]Planilha Orçamentária'!A:K,3,0)</f>
        <v>Pó de pedra</v>
      </c>
      <c r="D2310" s="105" t="str">
        <f>VLOOKUP(A2310,'[3]Planilha Orçamentária'!A:K,4,0)</f>
        <v>M3</v>
      </c>
      <c r="E2310" s="104"/>
      <c r="F2310" s="111"/>
      <c r="G2310" s="111"/>
      <c r="H2310" s="111"/>
      <c r="I2310" s="111"/>
      <c r="J2310" s="122">
        <f>ROUND(SUM(J2312:J2312),2)</f>
        <v>32.979999999999997</v>
      </c>
    </row>
    <row r="2311" spans="1:10">
      <c r="A2311" s="132"/>
      <c r="B2311" s="108"/>
      <c r="C2311" s="326"/>
      <c r="D2311" s="137"/>
      <c r="E2311" s="137" t="s">
        <v>2085</v>
      </c>
      <c r="F2311" s="174"/>
      <c r="G2311" s="174"/>
      <c r="H2311" s="174"/>
      <c r="I2311" s="174" t="s">
        <v>2007</v>
      </c>
      <c r="J2311" s="122"/>
    </row>
    <row r="2312" spans="1:10">
      <c r="A2312" s="132"/>
      <c r="B2312" s="108"/>
      <c r="C2312" s="200" t="s">
        <v>2086</v>
      </c>
      <c r="D2312" s="137"/>
      <c r="E2312" s="137">
        <v>0.14000000000000001</v>
      </c>
      <c r="F2312" s="174"/>
      <c r="G2312" s="174"/>
      <c r="H2312" s="174"/>
      <c r="I2312" s="286">
        <f>I2308</f>
        <v>235.58</v>
      </c>
      <c r="J2312" s="158">
        <f t="shared" ref="J2312" si="157">ROUND(PRODUCT(E2312:I2312),2)</f>
        <v>32.979999999999997</v>
      </c>
    </row>
    <row r="2313" spans="1:10">
      <c r="A2313" s="219"/>
      <c r="B2313" s="323"/>
      <c r="C2313" s="323"/>
      <c r="D2313" s="323"/>
      <c r="E2313" s="323"/>
      <c r="F2313" s="323"/>
      <c r="G2313" s="323"/>
      <c r="H2313" s="323"/>
      <c r="I2313" s="323"/>
      <c r="J2313" s="197"/>
    </row>
    <row r="2314" spans="1:10">
      <c r="A2314" s="132" t="str">
        <f>'[3]Planilha Orçamentária'!A610</f>
        <v>1.10.9.7</v>
      </c>
      <c r="B2314" s="108" t="str">
        <f>VLOOKUP(A2314,'[3]Planilha Orçamentária'!A:K,2,0)</f>
        <v>INS-711371</v>
      </c>
      <c r="C2314" s="104" t="str">
        <f>VLOOKUP(A2314,'[3]Planilha Orçamentária'!A:K,3,0)</f>
        <v>ASFALTO DILUÍDO CM - 30</v>
      </c>
      <c r="D2314" s="105" t="str">
        <f>VLOOKUP(A2314,'[3]Planilha Orçamentária'!A:K,4,0)</f>
        <v>KG</v>
      </c>
      <c r="E2314" s="104"/>
      <c r="F2314" s="111"/>
      <c r="G2314" s="111"/>
      <c r="H2314" s="111"/>
      <c r="I2314" s="111"/>
      <c r="J2314" s="122">
        <f>ROUND(SUM(J2316:J2316),2)</f>
        <v>1285.3699999999999</v>
      </c>
    </row>
    <row r="2315" spans="1:10">
      <c r="A2315" s="132"/>
      <c r="B2315" s="108"/>
      <c r="C2315" s="361"/>
      <c r="D2315" s="180"/>
      <c r="E2315" s="174" t="s">
        <v>2085</v>
      </c>
      <c r="F2315" s="161"/>
      <c r="G2315" s="161"/>
      <c r="H2315" s="161"/>
      <c r="I2315" s="210" t="s">
        <v>2003</v>
      </c>
      <c r="J2315" s="122"/>
    </row>
    <row r="2316" spans="1:10">
      <c r="A2316" s="132"/>
      <c r="B2316" s="108"/>
      <c r="C2316" s="324" t="s">
        <v>2087</v>
      </c>
      <c r="D2316" s="137"/>
      <c r="E2316" s="325">
        <v>1.2</v>
      </c>
      <c r="F2316" s="127"/>
      <c r="G2316" s="161"/>
      <c r="H2316" s="161"/>
      <c r="I2316" s="212">
        <f>J2156</f>
        <v>1071.1400000000001</v>
      </c>
      <c r="J2316" s="158">
        <f t="shared" ref="J2316" si="158">ROUND(PRODUCT(E2316:I2316),2)</f>
        <v>1285.3699999999999</v>
      </c>
    </row>
    <row r="2317" spans="1:10">
      <c r="A2317" s="219"/>
      <c r="B2317" s="323"/>
      <c r="C2317" s="323"/>
      <c r="D2317" s="323"/>
      <c r="E2317" s="323"/>
      <c r="F2317" s="323"/>
      <c r="G2317" s="323"/>
      <c r="H2317" s="323"/>
      <c r="I2317" s="323"/>
      <c r="J2317" s="197"/>
    </row>
    <row r="2318" spans="1:10" ht="38.25">
      <c r="A2318" s="132" t="str">
        <f>'[3]Planilha Orçamentária'!A611</f>
        <v>1.10.9.8</v>
      </c>
      <c r="B2318" s="108">
        <f>VLOOKUP(A2318,'[3]Planilha Orçamentária'!A:K,2,0)</f>
        <v>34492</v>
      </c>
      <c r="C2318" s="104" t="str">
        <f>VLOOKUP(A2318,'[3]Planilha Orçamentária'!A:K,3,0)</f>
        <v xml:space="preserve">CONCRETO USINADO BOMBEAVEL, CLASSE DE RESISTENCIA C20, COM BRITA 0 E 1, SLUMP = 100 +/- 20 MM, EXCLUI SERVICO DE BOMBEAMENTO (NBR 8953)                                                                                                                                                                                                                                                                                                                                                                   </v>
      </c>
      <c r="D2318" s="105" t="str">
        <f>VLOOKUP(A2318,'[3]Planilha Orçamentária'!A:K,4,0)</f>
        <v xml:space="preserve">M3    </v>
      </c>
      <c r="E2318" s="104"/>
      <c r="F2318" s="111"/>
      <c r="G2318" s="111"/>
      <c r="H2318" s="111"/>
      <c r="I2318" s="111"/>
      <c r="J2318" s="122">
        <f>ROUND(SUM(J2320:J2320),2)</f>
        <v>121.07</v>
      </c>
    </row>
    <row r="2319" spans="1:10">
      <c r="A2319" s="132"/>
      <c r="B2319" s="108"/>
      <c r="C2319" s="159"/>
      <c r="D2319" s="174"/>
      <c r="E2319" s="137" t="s">
        <v>2085</v>
      </c>
      <c r="F2319" s="174"/>
      <c r="G2319" s="174"/>
      <c r="H2319" s="174"/>
      <c r="I2319" s="174" t="s">
        <v>2007</v>
      </c>
      <c r="J2319" s="122"/>
    </row>
    <row r="2320" spans="1:10">
      <c r="A2320" s="132"/>
      <c r="B2320" s="108"/>
      <c r="C2320" s="324" t="s">
        <v>2088</v>
      </c>
      <c r="D2320" s="137"/>
      <c r="E2320" s="325">
        <v>1.2130000000000001</v>
      </c>
      <c r="F2320" s="174"/>
      <c r="G2320" s="174"/>
      <c r="H2320" s="174"/>
      <c r="I2320" s="286">
        <f>J2180</f>
        <v>99.81</v>
      </c>
      <c r="J2320" s="158">
        <f t="shared" ref="J2320" si="159">ROUND(PRODUCT(E2320:I2320),2)</f>
        <v>121.07</v>
      </c>
    </row>
    <row r="2321" spans="1:10">
      <c r="A2321" s="219"/>
      <c r="B2321" s="323"/>
      <c r="C2321" s="323"/>
      <c r="D2321" s="323"/>
      <c r="E2321" s="323"/>
      <c r="F2321" s="323"/>
      <c r="G2321" s="323"/>
      <c r="H2321" s="323"/>
      <c r="I2321" s="323"/>
      <c r="J2321" s="197"/>
    </row>
    <row r="2322" spans="1:10" ht="38.25">
      <c r="A2322" s="132" t="str">
        <f>'[3]Planilha Orçamentária'!A612</f>
        <v>1.10.9.9</v>
      </c>
      <c r="B2322" s="108">
        <f>VLOOKUP(A2322,'[3]Planilha Orçamentária'!A:K,2,0)</f>
        <v>1345</v>
      </c>
      <c r="C2322" s="104" t="str">
        <f>VLOOKUP(A2322,'[3]Planilha Orçamentária'!A:K,3,0)</f>
        <v xml:space="preserve">CHAPA/PAINEL DE MADEIRA COMPENSADA PLASTIFICADA (MADEIRITE PLASTIFICADO) PARA FORMA DE CONCRETO, DE 2200 x 1100 MM, E = *17* MM                                                                                                                                                                                                                                                                                                                                                                           </v>
      </c>
      <c r="D2322" s="105" t="str">
        <f>VLOOKUP(A2322,'[3]Planilha Orçamentária'!A:K,4,0)</f>
        <v xml:space="preserve">M2    </v>
      </c>
      <c r="E2322" s="104"/>
      <c r="F2322" s="111"/>
      <c r="G2322" s="111"/>
      <c r="H2322" s="111"/>
      <c r="I2322" s="111"/>
      <c r="J2322" s="122">
        <f>ROUND(SUM(J2324:J2324),2)</f>
        <v>196.61</v>
      </c>
    </row>
    <row r="2323" spans="1:10">
      <c r="A2323" s="132"/>
      <c r="B2323" s="108"/>
      <c r="C2323" s="159"/>
      <c r="D2323" s="174"/>
      <c r="E2323" s="137" t="s">
        <v>2085</v>
      </c>
      <c r="F2323" s="174"/>
      <c r="G2323" s="174"/>
      <c r="H2323" s="174"/>
      <c r="I2323" s="174" t="s">
        <v>2003</v>
      </c>
      <c r="J2323" s="122"/>
    </row>
    <row r="2324" spans="1:10">
      <c r="A2324" s="132"/>
      <c r="B2324" s="108"/>
      <c r="C2324" s="324" t="s">
        <v>2089</v>
      </c>
      <c r="D2324" s="137"/>
      <c r="E2324" s="325">
        <v>1.05</v>
      </c>
      <c r="F2324" s="174"/>
      <c r="G2324" s="174"/>
      <c r="H2324" s="174"/>
      <c r="I2324" s="286">
        <f>J2236</f>
        <v>187.25</v>
      </c>
      <c r="J2324" s="158">
        <f t="shared" ref="J2324" si="160">ROUND(PRODUCT(E2324:I2324),2)</f>
        <v>196.61</v>
      </c>
    </row>
    <row r="2325" spans="1:10">
      <c r="A2325" s="219"/>
      <c r="B2325" s="323"/>
      <c r="C2325" s="323"/>
      <c r="D2325" s="323"/>
      <c r="E2325" s="323"/>
      <c r="F2325" s="323"/>
      <c r="G2325" s="323"/>
      <c r="H2325" s="323"/>
      <c r="I2325" s="323"/>
      <c r="J2325" s="197"/>
    </row>
    <row r="2326" spans="1:10">
      <c r="A2326" s="93" t="str">
        <f>'[3]Planilha Orçamentária'!A613</f>
        <v>1.11</v>
      </c>
      <c r="B2326" s="526" t="str">
        <f>VLOOKUP(A2326,'[3]Planilha Orçamentária'!A:K,3,0)</f>
        <v>RUA PETROLÂNDIA - PIEDADE</v>
      </c>
      <c r="C2326" s="527"/>
      <c r="D2326" s="527"/>
      <c r="E2326" s="527"/>
      <c r="F2326" s="527"/>
      <c r="G2326" s="527"/>
      <c r="H2326" s="527"/>
      <c r="I2326" s="527"/>
      <c r="J2326" s="527"/>
    </row>
    <row r="2327" spans="1:10">
      <c r="A2327" s="94" t="str">
        <f>'[3]Planilha Orçamentária'!A614</f>
        <v>1.11.1</v>
      </c>
      <c r="B2327" s="95"/>
      <c r="C2327" s="96" t="str">
        <f>VLOOKUP(A2327,'[3]Planilha Orçamentária'!A:K,3,0)</f>
        <v>INSTALAÇÕES PROVISÓRIAS</v>
      </c>
      <c r="D2327" s="97"/>
      <c r="E2327" s="98"/>
      <c r="F2327" s="99"/>
      <c r="G2327" s="99"/>
      <c r="H2327" s="99"/>
      <c r="I2327" s="100"/>
      <c r="J2327" s="101"/>
    </row>
    <row r="2328" spans="1:10" ht="25.5">
      <c r="A2328" s="102" t="str">
        <f>'[3]Planilha Orçamentária'!A615</f>
        <v>1.11.1.1</v>
      </c>
      <c r="B2328" s="103" t="str">
        <f>VLOOKUP(A2328,'[3]Planilha Orçamentária'!A:K,2,0)</f>
        <v>CP-74209/001-15055090</v>
      </c>
      <c r="C2328" s="104" t="str">
        <f>VLOOKUP(A2328,'[3]Planilha Orçamentária'!A:K,3,0)</f>
        <v>PLACA DE OBRA EM CHAPA DE ACO GALVANIZADO</v>
      </c>
      <c r="D2328" s="105" t="str">
        <f>VLOOKUP(A2328,'[3]Planilha Orçamentária'!A:K,4,0)</f>
        <v xml:space="preserve">M2    </v>
      </c>
      <c r="E2328" s="104"/>
      <c r="F2328" s="106" t="s">
        <v>1989</v>
      </c>
      <c r="G2328" s="106" t="s">
        <v>1990</v>
      </c>
      <c r="H2328" s="106"/>
      <c r="I2328" s="106" t="s">
        <v>1991</v>
      </c>
      <c r="J2328" s="107">
        <f>ROUND(SUM(J2330:J2330),2)</f>
        <v>8</v>
      </c>
    </row>
    <row r="2329" spans="1:10">
      <c r="A2329" s="102"/>
      <c r="B2329" s="103"/>
      <c r="C2329" s="110"/>
      <c r="D2329" s="109"/>
      <c r="E2329" s="110"/>
      <c r="F2329" s="111"/>
      <c r="G2329" s="111"/>
      <c r="H2329" s="111"/>
      <c r="I2329" s="111"/>
      <c r="J2329" s="107"/>
    </row>
    <row r="2330" spans="1:10">
      <c r="A2330" s="102"/>
      <c r="B2330" s="123"/>
      <c r="C2330" s="328"/>
      <c r="D2330" s="114"/>
      <c r="E2330" s="115"/>
      <c r="F2330" s="116">
        <v>2</v>
      </c>
      <c r="G2330" s="116">
        <v>4</v>
      </c>
      <c r="H2330" s="117"/>
      <c r="I2330" s="116">
        <v>1</v>
      </c>
      <c r="J2330" s="118">
        <f>ROUND(PRODUCT(E2330:I2330),2)</f>
        <v>8</v>
      </c>
    </row>
    <row r="2331" spans="1:10">
      <c r="A2331" s="553"/>
      <c r="B2331" s="554"/>
      <c r="C2331" s="554"/>
      <c r="D2331" s="554"/>
      <c r="E2331" s="554"/>
      <c r="F2331" s="554"/>
      <c r="G2331" s="554"/>
      <c r="H2331" s="554"/>
      <c r="I2331" s="554"/>
      <c r="J2331" s="555"/>
    </row>
    <row r="2332" spans="1:10" ht="25.5">
      <c r="A2332" s="102" t="str">
        <f>'[3]Planilha Orçamentária'!A616</f>
        <v>1.11.1.2</v>
      </c>
      <c r="B2332" s="108" t="str">
        <f>VLOOKUP(A2332,'[3]Planilha Orçamentária'!A:K,2,0)</f>
        <v>COMP-07440249</v>
      </c>
      <c r="C2332" s="104" t="str">
        <f>VLOOKUP(A2332,'[3]Planilha Orçamentária'!A:K,3,0)</f>
        <v>BANHEIRO QUÍMICO, COM LOCAÇÃO, TRANSPORTE E LIMPEZA</v>
      </c>
      <c r="D2332" s="105" t="str">
        <f>VLOOKUP(A2332,'[3]Planilha Orçamentária'!A:K,4,0)</f>
        <v>MÊS</v>
      </c>
      <c r="E2332" s="104"/>
      <c r="F2332" s="111"/>
      <c r="G2332" s="111"/>
      <c r="H2332" s="111"/>
      <c r="I2332" s="111"/>
      <c r="J2332" s="122">
        <f>ROUND(SUM(J2334:J2334),2)</f>
        <v>2</v>
      </c>
    </row>
    <row r="2333" spans="1:10" ht="25.5">
      <c r="A2333" s="102"/>
      <c r="B2333" s="108"/>
      <c r="C2333" s="104"/>
      <c r="D2333" s="105"/>
      <c r="E2333" s="104"/>
      <c r="F2333" s="111"/>
      <c r="G2333" s="111"/>
      <c r="H2333" s="111"/>
      <c r="I2333" s="106" t="s">
        <v>1992</v>
      </c>
      <c r="J2333" s="122"/>
    </row>
    <row r="2334" spans="1:10">
      <c r="A2334" s="102"/>
      <c r="B2334" s="123"/>
      <c r="C2334" s="124"/>
      <c r="D2334" s="125"/>
      <c r="E2334" s="126"/>
      <c r="F2334" s="126"/>
      <c r="G2334" s="117"/>
      <c r="H2334" s="117"/>
      <c r="I2334" s="127">
        <v>2</v>
      </c>
      <c r="J2334" s="128">
        <f>ROUND(PRODUCT(E2334:I2334),2)</f>
        <v>2</v>
      </c>
    </row>
    <row r="2335" spans="1:10">
      <c r="A2335" s="102"/>
      <c r="B2335" s="123"/>
      <c r="C2335" s="124"/>
      <c r="D2335" s="125"/>
      <c r="E2335" s="126"/>
      <c r="F2335" s="126"/>
      <c r="G2335" s="117"/>
      <c r="H2335" s="117"/>
      <c r="I2335" s="127"/>
      <c r="J2335" s="128"/>
    </row>
    <row r="2336" spans="1:10">
      <c r="A2336" s="94" t="str">
        <f>'[3]Planilha Orçamentária'!A617</f>
        <v>1.11.2</v>
      </c>
      <c r="B2336" s="95"/>
      <c r="C2336" s="96" t="str">
        <f>VLOOKUP(A2336,'[3]Planilha Orçamentária'!A:K,3,0)</f>
        <v>ADMINISTRAÇÃO LOCAL</v>
      </c>
      <c r="D2336" s="96"/>
      <c r="E2336" s="129"/>
      <c r="F2336" s="130"/>
      <c r="G2336" s="130"/>
      <c r="H2336" s="130"/>
      <c r="I2336" s="130"/>
      <c r="J2336" s="131"/>
    </row>
    <row r="2337" spans="1:10" ht="25.5">
      <c r="A2337" s="132" t="str">
        <f>'[3]Planilha Orçamentária'!A618</f>
        <v>1.11.2.1</v>
      </c>
      <c r="B2337" s="103">
        <f>VLOOKUP(A2337,'[3]Planilha Orçamentária'!A:K,2,0)</f>
        <v>93565</v>
      </c>
      <c r="C2337" s="104" t="str">
        <f>VLOOKUP(A2337,'[3]Planilha Orçamentária'!A:K,3,0)</f>
        <v>ENGENHEIRO CIVIL DE OBRA JUNIOR COM ENCARGOS COMPLEMENTARES</v>
      </c>
      <c r="D2337" s="105" t="str">
        <f>VLOOKUP(A2337,'[3]Planilha Orçamentária'!A:K,4,0)</f>
        <v>MES</v>
      </c>
      <c r="E2337" s="133"/>
      <c r="F2337" s="134"/>
      <c r="G2337" s="134"/>
      <c r="H2337" s="134"/>
      <c r="I2337" s="134"/>
      <c r="J2337" s="107">
        <f>ROUND(SUM(J2339),2)</f>
        <v>0.25</v>
      </c>
    </row>
    <row r="2338" spans="1:10" ht="14.25">
      <c r="A2338" s="132"/>
      <c r="B2338" s="103"/>
      <c r="C2338" s="135"/>
      <c r="D2338" s="105"/>
      <c r="E2338" s="133"/>
      <c r="F2338" s="136"/>
      <c r="G2338" s="136"/>
      <c r="H2338" s="136"/>
      <c r="I2338" s="136"/>
      <c r="J2338" s="107"/>
    </row>
    <row r="2339" spans="1:10" ht="14.25">
      <c r="A2339" s="137"/>
      <c r="B2339" s="138"/>
      <c r="C2339" s="135" t="s">
        <v>2232</v>
      </c>
      <c r="D2339" s="139"/>
      <c r="E2339" s="136">
        <f>22/176</f>
        <v>0.125</v>
      </c>
      <c r="F2339" s="136"/>
      <c r="G2339" s="136"/>
      <c r="H2339" s="136"/>
      <c r="I2339" s="136">
        <f>I2334</f>
        <v>2</v>
      </c>
      <c r="J2339" s="118">
        <f>ROUND(PRODUCT(E2339:I2339),2)</f>
        <v>0.25</v>
      </c>
    </row>
    <row r="2340" spans="1:10" ht="14.25">
      <c r="A2340" s="137"/>
      <c r="B2340" s="138"/>
      <c r="C2340" s="135" t="s">
        <v>1994</v>
      </c>
      <c r="D2340" s="139"/>
      <c r="E2340" s="136"/>
      <c r="F2340" s="136"/>
      <c r="G2340" s="136"/>
      <c r="H2340" s="136"/>
      <c r="I2340" s="136"/>
      <c r="J2340" s="140"/>
    </row>
    <row r="2341" spans="1:10" ht="14.25">
      <c r="A2341" s="137"/>
      <c r="B2341" s="138"/>
      <c r="C2341" s="135" t="s">
        <v>1995</v>
      </c>
      <c r="D2341" s="141"/>
      <c r="E2341" s="142"/>
      <c r="F2341" s="127"/>
      <c r="G2341" s="117"/>
      <c r="H2341" s="117"/>
      <c r="I2341" s="143"/>
      <c r="J2341" s="144"/>
    </row>
    <row r="2342" spans="1:10">
      <c r="A2342" s="531"/>
      <c r="B2342" s="531"/>
      <c r="C2342" s="531"/>
      <c r="D2342" s="531"/>
      <c r="E2342" s="531"/>
      <c r="F2342" s="531"/>
      <c r="G2342" s="531"/>
      <c r="H2342" s="531"/>
      <c r="I2342" s="531"/>
      <c r="J2342" s="531"/>
    </row>
    <row r="2343" spans="1:10" ht="25.5">
      <c r="A2343" s="132" t="str">
        <f>'[3]Planilha Orçamentária'!A619</f>
        <v>1.11.2.2</v>
      </c>
      <c r="B2343" s="103">
        <f>VLOOKUP(A2343,'[3]Planilha Orçamentária'!A:K,2,0)</f>
        <v>93572</v>
      </c>
      <c r="C2343" s="104" t="str">
        <f>VLOOKUP(A2343,'[3]Planilha Orçamentária'!A:K,3,0)</f>
        <v>ENCARREGADO GERAL DE OBRAS COM ENCARGOS COMPLEMENTARES</v>
      </c>
      <c r="D2343" s="105" t="str">
        <f>VLOOKUP(A2343,'[3]Planilha Orçamentária'!A:K,4,0)</f>
        <v>MES</v>
      </c>
      <c r="E2343" s="133"/>
      <c r="F2343" s="134"/>
      <c r="G2343" s="134"/>
      <c r="H2343" s="134"/>
      <c r="I2343" s="134"/>
      <c r="J2343" s="107">
        <f>ROUND(SUM(J2345),2)</f>
        <v>1</v>
      </c>
    </row>
    <row r="2344" spans="1:10" ht="14.25">
      <c r="A2344" s="132"/>
      <c r="B2344" s="103"/>
      <c r="C2344" s="135"/>
      <c r="D2344" s="105"/>
      <c r="E2344" s="133"/>
      <c r="F2344" s="136"/>
      <c r="G2344" s="136"/>
      <c r="H2344" s="136"/>
      <c r="I2344" s="136"/>
      <c r="J2344" s="107"/>
    </row>
    <row r="2345" spans="1:10" ht="14.25">
      <c r="A2345" s="137"/>
      <c r="B2345" s="138"/>
      <c r="C2345" s="135" t="s">
        <v>2233</v>
      </c>
      <c r="D2345" s="139"/>
      <c r="E2345" s="136">
        <f>88/176</f>
        <v>0.5</v>
      </c>
      <c r="F2345" s="136"/>
      <c r="G2345" s="136"/>
      <c r="H2345" s="136"/>
      <c r="I2345" s="136">
        <f>I2334</f>
        <v>2</v>
      </c>
      <c r="J2345" s="118">
        <f>ROUND(PRODUCT(E2345:I2345),2)</f>
        <v>1</v>
      </c>
    </row>
    <row r="2346" spans="1:10" ht="14.25">
      <c r="A2346" s="137"/>
      <c r="B2346" s="138"/>
      <c r="C2346" s="135" t="s">
        <v>1997</v>
      </c>
      <c r="D2346" s="139"/>
      <c r="E2346" s="136"/>
      <c r="F2346" s="136"/>
      <c r="G2346" s="136"/>
      <c r="H2346" s="136"/>
      <c r="I2346" s="136"/>
      <c r="J2346" s="140"/>
    </row>
    <row r="2347" spans="1:10" ht="14.25">
      <c r="A2347" s="137"/>
      <c r="B2347" s="138"/>
      <c r="C2347" s="135" t="s">
        <v>1995</v>
      </c>
      <c r="D2347" s="141"/>
      <c r="E2347" s="142"/>
      <c r="F2347" s="127"/>
      <c r="G2347" s="117"/>
      <c r="H2347" s="117"/>
      <c r="I2347" s="143"/>
      <c r="J2347" s="144"/>
    </row>
    <row r="2348" spans="1:10">
      <c r="A2348" s="531"/>
      <c r="B2348" s="531"/>
      <c r="C2348" s="531"/>
      <c r="D2348" s="531"/>
      <c r="E2348" s="531"/>
      <c r="F2348" s="531"/>
      <c r="G2348" s="531"/>
      <c r="H2348" s="531"/>
      <c r="I2348" s="531"/>
      <c r="J2348" s="531"/>
    </row>
    <row r="2349" spans="1:10">
      <c r="A2349" s="94" t="str">
        <f>'[3]Planilha Orçamentária'!A620</f>
        <v>1.11.3</v>
      </c>
      <c r="B2349" s="95"/>
      <c r="C2349" s="96" t="str">
        <f>VLOOKUP(A2349,'[3]Planilha Orçamentária'!A:K,3,0)</f>
        <v>SERVIÇOS PRELIMINARES</v>
      </c>
      <c r="D2349" s="97"/>
      <c r="E2349" s="98"/>
      <c r="F2349" s="99"/>
      <c r="G2349" s="99"/>
      <c r="H2349" s="99"/>
      <c r="I2349" s="100"/>
      <c r="J2349" s="101"/>
    </row>
    <row r="2350" spans="1:10">
      <c r="A2350" s="145" t="str">
        <f>'[3]Planilha Orçamentária'!A621</f>
        <v>1.11.3.1</v>
      </c>
      <c r="B2350" s="146">
        <f>VLOOKUP(A2350,'[3]Planilha Orçamentária'!A:K,2,0)</f>
        <v>99064</v>
      </c>
      <c r="C2350" s="147" t="str">
        <f>VLOOKUP(A2350,'[3]Planilha Orçamentária'!A:K,3,0)</f>
        <v>LOCAÇÃO DE PAVIMENTAÇÃO. AF_10/2018</v>
      </c>
      <c r="D2350" s="148" t="str">
        <f>VLOOKUP(A2350,'[3]Planilha Orçamentária'!A:K,4,0)</f>
        <v>M</v>
      </c>
      <c r="E2350" s="147"/>
      <c r="F2350" s="136"/>
      <c r="G2350" s="149"/>
      <c r="H2350" s="149"/>
      <c r="I2350" s="149"/>
      <c r="J2350" s="150">
        <f>ROUND(SUM(J2352:J2355),2)</f>
        <v>212.48</v>
      </c>
    </row>
    <row r="2351" spans="1:10">
      <c r="A2351" s="151"/>
      <c r="B2351" s="152"/>
      <c r="C2351" s="147"/>
      <c r="D2351" s="148"/>
      <c r="E2351" s="147"/>
      <c r="F2351" s="106" t="s">
        <v>1989</v>
      </c>
      <c r="G2351" s="149"/>
      <c r="H2351" s="149"/>
      <c r="I2351" s="149"/>
      <c r="J2351" s="150"/>
    </row>
    <row r="2352" spans="1:10">
      <c r="A2352" s="174"/>
      <c r="B2352" s="174"/>
      <c r="C2352" s="200" t="s">
        <v>2296</v>
      </c>
      <c r="D2352" s="156"/>
      <c r="E2352" s="157"/>
      <c r="F2352" s="136">
        <f>(20-2.53)+(3*20)+(1.01)</f>
        <v>78.48</v>
      </c>
      <c r="G2352" s="157"/>
      <c r="H2352" s="157"/>
      <c r="I2352" s="157"/>
      <c r="J2352" s="158">
        <f>ROUND(PRODUCT(E2352:I2352),2)</f>
        <v>78.48</v>
      </c>
    </row>
    <row r="2353" spans="1:10">
      <c r="A2353" s="174"/>
      <c r="B2353" s="174"/>
      <c r="C2353" s="200" t="s">
        <v>2297</v>
      </c>
      <c r="D2353" s="156"/>
      <c r="E2353" s="157"/>
      <c r="F2353" s="136">
        <f>(20-9.18)+(2*20)+(18.23)</f>
        <v>69.05</v>
      </c>
      <c r="G2353" s="157"/>
      <c r="H2353" s="157"/>
      <c r="I2353" s="157"/>
      <c r="J2353" s="158">
        <f t="shared" ref="J2353:J2354" si="161">ROUND(PRODUCT(E2353:I2353),2)</f>
        <v>69.05</v>
      </c>
    </row>
    <row r="2354" spans="1:10">
      <c r="A2354" s="174"/>
      <c r="B2354" s="174"/>
      <c r="C2354" s="200" t="s">
        <v>2298</v>
      </c>
      <c r="D2354" s="156"/>
      <c r="E2354" s="157"/>
      <c r="F2354" s="136">
        <f>(20-5.01)+(2*20)+(9.96)</f>
        <v>64.95</v>
      </c>
      <c r="G2354" s="157"/>
      <c r="H2354" s="157"/>
      <c r="I2354" s="157"/>
      <c r="J2354" s="158">
        <f t="shared" si="161"/>
        <v>64.95</v>
      </c>
    </row>
    <row r="2355" spans="1:10">
      <c r="A2355" s="531"/>
      <c r="B2355" s="531"/>
      <c r="C2355" s="531"/>
      <c r="D2355" s="531"/>
      <c r="E2355" s="531"/>
      <c r="F2355" s="531"/>
      <c r="G2355" s="531"/>
      <c r="H2355" s="531"/>
      <c r="I2355" s="531"/>
      <c r="J2355" s="531"/>
    </row>
    <row r="2356" spans="1:10" ht="25.5">
      <c r="A2356" s="145" t="str">
        <f>'[3]Planilha Orçamentária'!A622</f>
        <v>1.11.3.2</v>
      </c>
      <c r="B2356" s="199" t="str">
        <f>VLOOKUP(A2356,'[3]Planilha Orçamentária'!A:K,2,0)</f>
        <v>COMP-17562084</v>
      </c>
      <c r="C2356" s="147" t="str">
        <f>VLOOKUP(A2356,'[3]Planilha Orçamentária'!A:K,3,0)</f>
        <v>DEMOLIÇÃO MANUAL DE CONCRETO SIMPLES</v>
      </c>
      <c r="D2356" s="148" t="str">
        <f>VLOOKUP(A2356,'[3]Planilha Orçamentária'!A:K,4,0)</f>
        <v>M3</v>
      </c>
      <c r="E2356" s="147"/>
      <c r="F2356" s="160"/>
      <c r="G2356" s="160"/>
      <c r="H2356" s="160"/>
      <c r="I2356" s="160"/>
      <c r="J2356" s="150">
        <f>ROUND(SUM(J2358),2)</f>
        <v>24.92</v>
      </c>
    </row>
    <row r="2357" spans="1:10">
      <c r="A2357" s="123"/>
      <c r="B2357" s="123"/>
      <c r="C2357" s="415" t="s">
        <v>2299</v>
      </c>
      <c r="D2357" s="123"/>
      <c r="E2357" s="123"/>
      <c r="F2357" s="123"/>
      <c r="G2357" s="123"/>
      <c r="H2357" s="123" t="s">
        <v>2002</v>
      </c>
      <c r="I2357" s="106" t="s">
        <v>2003</v>
      </c>
      <c r="J2357" s="123"/>
    </row>
    <row r="2358" spans="1:10" ht="25.5">
      <c r="A2358" s="123"/>
      <c r="B2358" s="123"/>
      <c r="C2358" s="162" t="s">
        <v>2004</v>
      </c>
      <c r="D2358" s="123"/>
      <c r="E2358" s="123"/>
      <c r="F2358" s="157"/>
      <c r="G2358" s="157"/>
      <c r="H2358" s="157">
        <v>7.0000000000000007E-2</v>
      </c>
      <c r="I2358" s="157">
        <v>355.99</v>
      </c>
      <c r="J2358" s="128">
        <f>ROUND(PRODUCT(E2358:I2358),2)</f>
        <v>24.92</v>
      </c>
    </row>
    <row r="2359" spans="1:10">
      <c r="A2359" s="528"/>
      <c r="B2359" s="529"/>
      <c r="C2359" s="529"/>
      <c r="D2359" s="529"/>
      <c r="E2359" s="529"/>
      <c r="F2359" s="529"/>
      <c r="G2359" s="529"/>
      <c r="H2359" s="529"/>
      <c r="I2359" s="529"/>
      <c r="J2359" s="530"/>
    </row>
    <row r="2360" spans="1:10" ht="25.5">
      <c r="A2360" s="145" t="str">
        <f>'[3]Planilha Orçamentária'!A623</f>
        <v>1.11.3.3</v>
      </c>
      <c r="B2360" s="199" t="str">
        <f>VLOOKUP(A2360,'[3]Planilha Orçamentária'!A:K,2,0)</f>
        <v>COMP-01471766</v>
      </c>
      <c r="C2360" s="147" t="str">
        <f>VLOOKUP(A2360,'[3]Planilha Orçamentária'!A:K,3,0)</f>
        <v>DEMOLIÇÃO DE MEIO-FIO</v>
      </c>
      <c r="D2360" s="148" t="str">
        <f>VLOOKUP(A2360,'[3]Planilha Orçamentária'!A:K,4,0)</f>
        <v>M</v>
      </c>
      <c r="E2360" s="147"/>
      <c r="F2360" s="160"/>
      <c r="G2360" s="160"/>
      <c r="H2360" s="160"/>
      <c r="I2360" s="160"/>
      <c r="J2360" s="150">
        <f>ROUND(SUM(J2362),2)</f>
        <v>179.69</v>
      </c>
    </row>
    <row r="2361" spans="1:10">
      <c r="A2361" s="123"/>
      <c r="B2361" s="123"/>
      <c r="C2361" s="415" t="s">
        <v>2299</v>
      </c>
      <c r="D2361" s="123"/>
      <c r="E2361" s="123"/>
      <c r="F2361" s="123" t="s">
        <v>1989</v>
      </c>
      <c r="G2361" s="123"/>
      <c r="H2361" s="123"/>
      <c r="I2361" s="106"/>
      <c r="J2361" s="123"/>
    </row>
    <row r="2362" spans="1:10" ht="25.5">
      <c r="A2362" s="123"/>
      <c r="B2362" s="123"/>
      <c r="C2362" s="162" t="s">
        <v>2005</v>
      </c>
      <c r="D2362" s="123"/>
      <c r="E2362" s="123"/>
      <c r="F2362" s="123">
        <v>179.69</v>
      </c>
      <c r="G2362" s="123"/>
      <c r="H2362" s="123"/>
      <c r="I2362" s="157"/>
      <c r="J2362" s="128">
        <f>ROUND(PRODUCT(E2362:I2362),2)</f>
        <v>179.69</v>
      </c>
    </row>
    <row r="2363" spans="1:10">
      <c r="A2363" s="528"/>
      <c r="B2363" s="529"/>
      <c r="C2363" s="529"/>
      <c r="D2363" s="529"/>
      <c r="E2363" s="529"/>
      <c r="F2363" s="529"/>
      <c r="G2363" s="529"/>
      <c r="H2363" s="529"/>
      <c r="I2363" s="529"/>
      <c r="J2363" s="530"/>
    </row>
    <row r="2364" spans="1:10" ht="38.25">
      <c r="A2364" s="145" t="str">
        <f>'[3]Planilha Orçamentária'!A624</f>
        <v>1.11.3.4</v>
      </c>
      <c r="B2364" s="199">
        <f>VLOOKUP(A2364,'[3]Planilha Orçamentária'!A:K,2,0)</f>
        <v>98529</v>
      </c>
      <c r="C2364" s="147" t="str">
        <f>VLOOKUP(A2364,'[3]Planilha Orçamentária'!A:K,3,0)</f>
        <v>CORTE RASO E RECORTE DE ÁRVORE COM DIÂMETRO DE TRONCO MAIOR OU IGUAL A 0,20 M E MENOR QUE 0,40 M.AF_05/2018</v>
      </c>
      <c r="D2364" s="148" t="str">
        <f>VLOOKUP(A2364,'[3]Planilha Orçamentária'!A:K,4,0)</f>
        <v>UN</v>
      </c>
      <c r="E2364" s="147"/>
      <c r="F2364" s="160"/>
      <c r="G2364" s="160"/>
      <c r="H2364" s="160"/>
      <c r="I2364" s="160"/>
      <c r="J2364" s="150">
        <f>ROUND(SUM(J2366),2)</f>
        <v>5</v>
      </c>
    </row>
    <row r="2365" spans="1:10">
      <c r="A2365" s="123"/>
      <c r="B2365" s="123"/>
      <c r="C2365" s="415" t="s">
        <v>2299</v>
      </c>
      <c r="D2365" s="123"/>
      <c r="E2365" s="123"/>
      <c r="F2365" s="123"/>
      <c r="G2365" s="123"/>
      <c r="H2365" s="123"/>
      <c r="I2365" s="106" t="s">
        <v>2045</v>
      </c>
      <c r="J2365" s="123"/>
    </row>
    <row r="2366" spans="1:10" ht="25.5">
      <c r="A2366" s="123"/>
      <c r="B2366" s="123"/>
      <c r="C2366" s="162" t="s">
        <v>2300</v>
      </c>
      <c r="D2366" s="123"/>
      <c r="E2366" s="123"/>
      <c r="F2366" s="123"/>
      <c r="G2366" s="123"/>
      <c r="H2366" s="123"/>
      <c r="I2366" s="157">
        <v>5</v>
      </c>
      <c r="J2366" s="128">
        <f>ROUND(PRODUCT(E2366:I2366),2)</f>
        <v>5</v>
      </c>
    </row>
    <row r="2367" spans="1:10">
      <c r="A2367" s="528"/>
      <c r="B2367" s="529"/>
      <c r="C2367" s="529"/>
      <c r="D2367" s="529"/>
      <c r="E2367" s="529"/>
      <c r="F2367" s="529"/>
      <c r="G2367" s="529"/>
      <c r="H2367" s="529"/>
      <c r="I2367" s="529"/>
      <c r="J2367" s="530"/>
    </row>
    <row r="2368" spans="1:10" ht="51">
      <c r="A2368" s="145" t="str">
        <f>'[3]Planilha Orçamentária'!A625</f>
        <v>1.11.3.5</v>
      </c>
      <c r="B2368" s="199" t="str">
        <f>VLOOKUP(A2368,'[3]Planilha Orçamentária'!A:K,2,0)</f>
        <v>COMP-35145154</v>
      </c>
      <c r="C2368" s="147" t="str">
        <f>VLOOKUP(A2368,'[3]Planilha Orçamentária'!A:K,3,0)</f>
        <v>CARGA E DESCARGA MECANICA DE SOLO UTILIZANDO CAMINHAO BASCULANTE 14,0M3/36T E PA CARREGADEIRA SOBRE PNEUS 128 HP, CAPACIDADE DA CAÇAMBA 1,7 A 2,8 M3, PESO OPERACIONAL 11632 KH</v>
      </c>
      <c r="D2368" s="148" t="str">
        <f>VLOOKUP(A2368,'[3]Planilha Orçamentária'!A:K,4,0)</f>
        <v>M3</v>
      </c>
      <c r="E2368" s="147"/>
      <c r="F2368" s="160"/>
      <c r="G2368" s="160"/>
      <c r="H2368" s="160"/>
      <c r="I2368" s="160"/>
      <c r="J2368" s="150">
        <f>ROUND(SUM(J2370:J2374),2)</f>
        <v>42.59</v>
      </c>
    </row>
    <row r="2369" spans="1:10">
      <c r="A2369" s="123"/>
      <c r="B2369" s="123"/>
      <c r="C2369" s="165"/>
      <c r="D2369" s="166"/>
      <c r="E2369" s="162" t="s">
        <v>2006</v>
      </c>
      <c r="F2369" s="149"/>
      <c r="G2369" s="149"/>
      <c r="H2369" s="149"/>
      <c r="I2369" s="161" t="s">
        <v>2007</v>
      </c>
      <c r="J2369" s="123"/>
    </row>
    <row r="2370" spans="1:10">
      <c r="A2370" s="123"/>
      <c r="B2370" s="123"/>
      <c r="C2370" s="165" t="s">
        <v>2008</v>
      </c>
      <c r="D2370" s="166"/>
      <c r="E2370" s="162">
        <v>1.25</v>
      </c>
      <c r="F2370" s="149"/>
      <c r="G2370" s="149"/>
      <c r="H2370" s="149"/>
      <c r="I2370" s="167">
        <f>J2356</f>
        <v>24.92</v>
      </c>
      <c r="J2370" s="128">
        <f>ROUND(PRODUCT(E2370:I2370),2)</f>
        <v>31.15</v>
      </c>
    </row>
    <row r="2371" spans="1:10">
      <c r="A2371" s="123"/>
      <c r="B2371" s="123"/>
      <c r="C2371" s="168"/>
      <c r="D2371" s="166"/>
      <c r="E2371" s="162" t="s">
        <v>2006</v>
      </c>
      <c r="F2371" s="169" t="s">
        <v>1989</v>
      </c>
      <c r="G2371" s="169" t="s">
        <v>1990</v>
      </c>
      <c r="H2371" s="169" t="s">
        <v>2002</v>
      </c>
      <c r="I2371" s="161"/>
      <c r="J2371" s="123"/>
    </row>
    <row r="2372" spans="1:10">
      <c r="A2372" s="123"/>
      <c r="B2372" s="123"/>
      <c r="C2372" s="165" t="s">
        <v>2009</v>
      </c>
      <c r="D2372" s="166"/>
      <c r="E2372" s="162">
        <v>1.25</v>
      </c>
      <c r="F2372" s="170">
        <f>J2360</f>
        <v>179.69</v>
      </c>
      <c r="G2372" s="169">
        <v>0.15</v>
      </c>
      <c r="H2372" s="169">
        <v>0.3</v>
      </c>
      <c r="I2372" s="167"/>
      <c r="J2372" s="128">
        <f>ROUND(PRODUCT(E2372:I2372),2)</f>
        <v>10.11</v>
      </c>
    </row>
    <row r="2373" spans="1:10" ht="25.5">
      <c r="A2373" s="123"/>
      <c r="B2373" s="123"/>
      <c r="C2373" s="417"/>
      <c r="D2373" s="418"/>
      <c r="E2373" s="162" t="s">
        <v>2006</v>
      </c>
      <c r="F2373" s="419"/>
      <c r="G2373" s="420" t="s">
        <v>2301</v>
      </c>
      <c r="H2373" s="419" t="s">
        <v>2069</v>
      </c>
      <c r="I2373" s="421" t="s">
        <v>2045</v>
      </c>
      <c r="J2373" s="405"/>
    </row>
    <row r="2374" spans="1:10" ht="38.25">
      <c r="A2374" s="123"/>
      <c r="B2374" s="123"/>
      <c r="C2374" s="417" t="s">
        <v>815</v>
      </c>
      <c r="D2374" s="422"/>
      <c r="E2374" s="423">
        <v>1.25</v>
      </c>
      <c r="F2374" s="424"/>
      <c r="G2374" s="419">
        <f>3.15*0.15^2</f>
        <v>7.0874999999999994E-2</v>
      </c>
      <c r="H2374" s="419">
        <v>3</v>
      </c>
      <c r="I2374" s="421">
        <f>J2364</f>
        <v>5</v>
      </c>
      <c r="J2374" s="128">
        <f>ROUND(PRODUCT(E2374:I2374),2)</f>
        <v>1.33</v>
      </c>
    </row>
    <row r="2375" spans="1:10">
      <c r="A2375" s="528"/>
      <c r="B2375" s="529"/>
      <c r="C2375" s="529"/>
      <c r="D2375" s="529"/>
      <c r="E2375" s="529"/>
      <c r="F2375" s="529"/>
      <c r="G2375" s="529"/>
      <c r="H2375" s="529"/>
      <c r="I2375" s="529"/>
      <c r="J2375" s="530"/>
    </row>
    <row r="2376" spans="1:10" ht="38.25">
      <c r="A2376" s="145" t="str">
        <f>'[3]Planilha Orçamentária'!A626</f>
        <v>1.11.3.6</v>
      </c>
      <c r="B2376" s="199">
        <f>VLOOKUP(A2376,'[3]Planilha Orçamentária'!A:K,2,0)</f>
        <v>95876</v>
      </c>
      <c r="C2376" s="147" t="str">
        <f>VLOOKUP(A2376,'[3]Planilha Orçamentária'!A:K,3,0)</f>
        <v>TRANSPORTE COM CAMINHÃO BASCULANTE DE 14 M³, EM VIA URBANA PAVIMENTADA, DMT ATÉ 30 KM (UNIDADE: M3XKM). AF_07/2020</v>
      </c>
      <c r="D2376" s="148" t="str">
        <f>VLOOKUP(A2376,'[3]Planilha Orçamentária'!A:K,4,0)</f>
        <v>M3XKM</v>
      </c>
      <c r="E2376" s="147"/>
      <c r="F2376" s="160"/>
      <c r="G2376" s="160"/>
      <c r="H2376" s="160"/>
      <c r="I2376" s="160"/>
      <c r="J2376" s="150">
        <f>ROUND(SUM(J2378),2)</f>
        <v>170.36</v>
      </c>
    </row>
    <row r="2377" spans="1:10">
      <c r="A2377" s="123"/>
      <c r="B2377" s="123"/>
      <c r="C2377" s="171" t="s">
        <v>2302</v>
      </c>
      <c r="D2377" s="123"/>
      <c r="E2377" s="123" t="s">
        <v>2011</v>
      </c>
      <c r="F2377" s="123"/>
      <c r="G2377" s="123"/>
      <c r="H2377" s="123"/>
      <c r="I2377" s="123" t="s">
        <v>2007</v>
      </c>
      <c r="J2377" s="123"/>
    </row>
    <row r="2378" spans="1:10">
      <c r="A2378" s="123"/>
      <c r="B2378" s="123"/>
      <c r="C2378" s="155" t="s">
        <v>2303</v>
      </c>
      <c r="D2378" s="123"/>
      <c r="E2378" s="162">
        <v>4</v>
      </c>
      <c r="F2378" s="162"/>
      <c r="G2378" s="162"/>
      <c r="H2378" s="162"/>
      <c r="I2378" s="172">
        <f>J2368</f>
        <v>42.59</v>
      </c>
      <c r="J2378" s="128">
        <f>ROUND(PRODUCT(E2378:I2378),2)</f>
        <v>170.36</v>
      </c>
    </row>
    <row r="2379" spans="1:10">
      <c r="A2379" s="528"/>
      <c r="B2379" s="529"/>
      <c r="C2379" s="529"/>
      <c r="D2379" s="529"/>
      <c r="E2379" s="529"/>
      <c r="F2379" s="529"/>
      <c r="G2379" s="529"/>
      <c r="H2379" s="529"/>
      <c r="I2379" s="529"/>
      <c r="J2379" s="530"/>
    </row>
    <row r="2380" spans="1:10">
      <c r="A2380" s="94" t="str">
        <f>'[3]Planilha Orçamentária'!A627</f>
        <v>1.11.4</v>
      </c>
      <c r="B2380" s="95"/>
      <c r="C2380" s="96" t="str">
        <f>VLOOKUP(A2380,'[3]Planilha Orçamentária'!A:K,3,0)</f>
        <v>TERRAPLENAGEM</v>
      </c>
      <c r="D2380" s="97"/>
      <c r="E2380" s="98"/>
      <c r="F2380" s="99"/>
      <c r="G2380" s="99"/>
      <c r="H2380" s="99"/>
      <c r="I2380" s="100"/>
      <c r="J2380" s="173"/>
    </row>
    <row r="2381" spans="1:10" ht="38.25">
      <c r="A2381" s="132" t="str">
        <f>'[3]Planilha Orçamentária'!A628</f>
        <v>1.11.4.1</v>
      </c>
      <c r="B2381" s="103" t="str">
        <f>VLOOKUP(A2381,'[3]Planilha Orçamentária'!A:K,2,0)</f>
        <v>CP-74205/001-17324935</v>
      </c>
      <c r="C2381" s="104" t="str">
        <f>VLOOKUP(A2381,'[3]Planilha Orçamentária'!A:K,3,0)</f>
        <v>ESCAVAÇÃO MECÂNICA DE MATERIAL 1A. CATEGORIA, PROVENIENTE DE CORTE DE SUBLEITO (C/TRATOR ESTEIRAS  160HP)</v>
      </c>
      <c r="D2381" s="105" t="str">
        <f>VLOOKUP(A2381,'[3]Planilha Orçamentária'!A:K,4,0)</f>
        <v>M3</v>
      </c>
      <c r="E2381" s="104"/>
      <c r="F2381" s="111"/>
      <c r="G2381" s="111"/>
      <c r="H2381" s="111"/>
      <c r="I2381" s="111"/>
      <c r="J2381" s="107">
        <f>ROUND(SUM(J2383:J2383),2)</f>
        <v>661.47</v>
      </c>
    </row>
    <row r="2382" spans="1:10">
      <c r="A2382" s="132"/>
      <c r="B2382" s="103"/>
      <c r="C2382" s="165" t="s">
        <v>2304</v>
      </c>
      <c r="D2382" s="105"/>
      <c r="E2382" s="104"/>
      <c r="F2382" s="111"/>
      <c r="G2382" s="111"/>
      <c r="H2382" s="111"/>
      <c r="I2382" s="106" t="s">
        <v>2007</v>
      </c>
      <c r="J2382" s="107"/>
    </row>
    <row r="2383" spans="1:10">
      <c r="A2383" s="174"/>
      <c r="B2383" s="175"/>
      <c r="C2383" s="155" t="s">
        <v>2097</v>
      </c>
      <c r="D2383" s="156"/>
      <c r="E2383" s="157"/>
      <c r="F2383" s="157"/>
      <c r="G2383" s="157"/>
      <c r="H2383" s="157"/>
      <c r="I2383" s="157">
        <f>275.93+231.13+154.41</f>
        <v>661.47</v>
      </c>
      <c r="J2383" s="176">
        <f>ROUND(PRODUCT(E2383:I2383),2)</f>
        <v>661.47</v>
      </c>
    </row>
    <row r="2384" spans="1:10">
      <c r="A2384" s="549"/>
      <c r="B2384" s="549"/>
      <c r="C2384" s="549"/>
      <c r="D2384" s="549"/>
      <c r="E2384" s="549"/>
      <c r="F2384" s="549"/>
      <c r="G2384" s="549"/>
      <c r="H2384" s="549"/>
      <c r="I2384" s="549"/>
      <c r="J2384" s="549"/>
    </row>
    <row r="2385" spans="1:11" ht="51">
      <c r="A2385" s="177" t="str">
        <f>'[3]Planilha Orçamentária'!A629</f>
        <v>1.11.4.2</v>
      </c>
      <c r="B2385" s="178" t="str">
        <f>VLOOKUP(A2385,'[3]Planilha Orçamentária'!A:K,2,0)</f>
        <v>COMP-35145154</v>
      </c>
      <c r="C2385" s="179" t="str">
        <f>VLOOKUP(A2385,'[3]Planilha Orçamentária'!A:K,3,0)</f>
        <v>CARGA E DESCARGA MECANICA DE SOLO UTILIZANDO CAMINHAO BASCULANTE 14,0M3/36T E PA CARREGADEIRA SOBRE PNEUS 128 HP, CAPACIDADE DA CAÇAMBA 1,7 A 2,8 M3, PESO OPERACIONAL 11632 KH</v>
      </c>
      <c r="D2385" s="180" t="str">
        <f>VLOOKUP(A2385,'[3]Planilha Orçamentária'!A:K,4,0)</f>
        <v>M3</v>
      </c>
      <c r="E2385" s="179"/>
      <c r="F2385" s="181"/>
      <c r="G2385" s="181"/>
      <c r="H2385" s="181"/>
      <c r="I2385" s="181"/>
      <c r="J2385" s="107">
        <f>ROUND(SUM(J2387:J2387),2)</f>
        <v>826.59</v>
      </c>
    </row>
    <row r="2386" spans="1:11">
      <c r="A2386" s="177"/>
      <c r="B2386" s="178"/>
      <c r="C2386" s="155" t="s">
        <v>2015</v>
      </c>
      <c r="D2386" s="180"/>
      <c r="E2386" s="184" t="s">
        <v>2006</v>
      </c>
      <c r="F2386" s="332"/>
      <c r="G2386" s="332"/>
      <c r="H2386" s="332"/>
      <c r="I2386" s="332" t="s">
        <v>2007</v>
      </c>
      <c r="J2386" s="182"/>
    </row>
    <row r="2387" spans="1:11">
      <c r="A2387" s="177"/>
      <c r="B2387" s="178"/>
      <c r="C2387" s="155" t="s">
        <v>2016</v>
      </c>
      <c r="D2387" s="156"/>
      <c r="E2387" s="157">
        <v>1.25</v>
      </c>
      <c r="F2387" s="116"/>
      <c r="G2387" s="116"/>
      <c r="H2387" s="116"/>
      <c r="I2387" s="116">
        <f>J2381-J2393</f>
        <v>661.27</v>
      </c>
      <c r="J2387" s="176">
        <f>ROUND(PRODUCT(E2387:I2387),2)</f>
        <v>826.59</v>
      </c>
    </row>
    <row r="2388" spans="1:11">
      <c r="A2388" s="549"/>
      <c r="B2388" s="549"/>
      <c r="C2388" s="549"/>
      <c r="D2388" s="549"/>
      <c r="E2388" s="549"/>
      <c r="F2388" s="549"/>
      <c r="G2388" s="549"/>
      <c r="H2388" s="549"/>
      <c r="I2388" s="549"/>
      <c r="J2388" s="549"/>
    </row>
    <row r="2389" spans="1:11" ht="38.25">
      <c r="A2389" s="186" t="str">
        <f>'[3]Planilha Orçamentária'!A630</f>
        <v>1.11.4.3</v>
      </c>
      <c r="B2389" s="187">
        <f>VLOOKUP(A2389,'[3]Planilha Orçamentária'!A:K,2,0)</f>
        <v>95876</v>
      </c>
      <c r="C2389" s="188" t="str">
        <f>VLOOKUP(A2389,'[3]Planilha Orçamentária'!A:K,3,0)</f>
        <v>TRANSPORTE COM CAMINHÃO BASCULANTE DE 14 M³, EM VIA URBANA PAVIMENTADA, DMT ATÉ 30 KM (UNIDADE: M3XKM). AF_07/2020</v>
      </c>
      <c r="D2389" s="189" t="str">
        <f>VLOOKUP(A2389,'[3]Planilha Orçamentária'!A:K,4,0)</f>
        <v>M3XKM</v>
      </c>
      <c r="E2389" s="188"/>
      <c r="F2389" s="160"/>
      <c r="G2389" s="160"/>
      <c r="H2389" s="160"/>
      <c r="I2389" s="160"/>
      <c r="J2389" s="122">
        <f>ROUND(SUM(J2391:J2391),2)</f>
        <v>3306.36</v>
      </c>
    </row>
    <row r="2390" spans="1:11">
      <c r="A2390" s="186"/>
      <c r="B2390" s="187"/>
      <c r="C2390" s="171" t="s">
        <v>2305</v>
      </c>
      <c r="D2390" s="189"/>
      <c r="E2390" s="208" t="s">
        <v>2011</v>
      </c>
      <c r="F2390" s="160"/>
      <c r="G2390" s="160"/>
      <c r="H2390" s="161"/>
      <c r="I2390" s="161" t="s">
        <v>2007</v>
      </c>
      <c r="J2390" s="150"/>
    </row>
    <row r="2391" spans="1:11">
      <c r="A2391" s="186"/>
      <c r="B2391" s="187"/>
      <c r="C2391" s="155" t="s">
        <v>2306</v>
      </c>
      <c r="D2391" s="156"/>
      <c r="E2391" s="162">
        <v>4</v>
      </c>
      <c r="F2391" s="207"/>
      <c r="G2391" s="207"/>
      <c r="H2391" s="207"/>
      <c r="I2391" s="195">
        <f>J2385</f>
        <v>826.59</v>
      </c>
      <c r="J2391" s="196">
        <f>ROUND(PRODUCT(E2391:I2391),2)</f>
        <v>3306.36</v>
      </c>
    </row>
    <row r="2392" spans="1:11">
      <c r="A2392" s="532"/>
      <c r="B2392" s="533"/>
      <c r="C2392" s="533"/>
      <c r="D2392" s="533"/>
      <c r="E2392" s="533"/>
      <c r="F2392" s="533"/>
      <c r="G2392" s="533"/>
      <c r="H2392" s="533"/>
      <c r="I2392" s="533"/>
      <c r="J2392" s="534"/>
    </row>
    <row r="2393" spans="1:11" ht="38.25">
      <c r="A2393" s="132" t="str">
        <f>'[3]Planilha Orçamentária'!A631</f>
        <v>1.11.4.4</v>
      </c>
      <c r="B2393" s="103">
        <f>VLOOKUP(A2393,'[3]Planilha Orçamentária'!A:K,2,0)</f>
        <v>96385</v>
      </c>
      <c r="C2393" s="104" t="str">
        <f>VLOOKUP(A2393,'[3]Planilha Orçamentária'!A:K,3,0)</f>
        <v>EXECUÇÃO E COMPACTAÇÃO DE ATERRO COM SOLO PREDOMINANTEMENTE ARGILOSO - EXCLUSIVE SOLO, ESCAVAÇÃO, CARGA E TRANSPORTE. AF_11/2019</v>
      </c>
      <c r="D2393" s="105" t="str">
        <f>VLOOKUP(A2393,'[3]Planilha Orçamentária'!A:K,4,0)</f>
        <v>M3</v>
      </c>
      <c r="E2393" s="104"/>
      <c r="F2393" s="111"/>
      <c r="G2393" s="111"/>
      <c r="H2393" s="111"/>
      <c r="I2393" s="111"/>
      <c r="J2393" s="107">
        <f>ROUND(SUM(J2395:J2395),2)</f>
        <v>0.2</v>
      </c>
    </row>
    <row r="2394" spans="1:11">
      <c r="A2394" s="132"/>
      <c r="B2394" s="103"/>
      <c r="C2394" s="165" t="s">
        <v>2304</v>
      </c>
      <c r="D2394" s="105"/>
      <c r="E2394" s="104"/>
      <c r="F2394" s="111"/>
      <c r="G2394" s="111"/>
      <c r="H2394" s="111"/>
      <c r="I2394" s="106" t="s">
        <v>2007</v>
      </c>
      <c r="J2394" s="107"/>
    </row>
    <row r="2395" spans="1:11">
      <c r="A2395" s="174"/>
      <c r="B2395" s="175"/>
      <c r="C2395" s="155" t="s">
        <v>2097</v>
      </c>
      <c r="D2395" s="156"/>
      <c r="E2395" s="157"/>
      <c r="F2395" s="157"/>
      <c r="G2395" s="157"/>
      <c r="H2395" s="157"/>
      <c r="I2395" s="157">
        <v>0.2</v>
      </c>
      <c r="J2395" s="176">
        <f>ROUND(PRODUCT(E2395:I2395),2)</f>
        <v>0.2</v>
      </c>
    </row>
    <row r="2396" spans="1:11">
      <c r="A2396" s="549"/>
      <c r="B2396" s="549"/>
      <c r="C2396" s="549"/>
      <c r="D2396" s="549"/>
      <c r="E2396" s="549"/>
      <c r="F2396" s="549"/>
      <c r="G2396" s="549"/>
      <c r="H2396" s="549"/>
      <c r="I2396" s="549"/>
      <c r="J2396" s="549"/>
    </row>
    <row r="2397" spans="1:11">
      <c r="A2397" s="94" t="str">
        <f>'[3]Planilha Orçamentária'!A632</f>
        <v>1.11.5</v>
      </c>
      <c r="B2397" s="95"/>
      <c r="C2397" s="96" t="str">
        <f>VLOOKUP(A2397,'[3]Planilha Orçamentária'!A:K,3,0)</f>
        <v>PAVIMENTAÇÃO</v>
      </c>
      <c r="D2397" s="97"/>
      <c r="E2397" s="98"/>
      <c r="F2397" s="99"/>
      <c r="G2397" s="99"/>
      <c r="H2397" s="99"/>
      <c r="I2397" s="100"/>
      <c r="J2397" s="131"/>
      <c r="K2397" s="414"/>
    </row>
    <row r="2398" spans="1:11" ht="25.5">
      <c r="A2398" s="145" t="str">
        <f>'[3]Planilha Orçamentária'!A633</f>
        <v>1.11.5.1</v>
      </c>
      <c r="B2398" s="199">
        <f>VLOOKUP(A2398,'[3]Planilha Orçamentária'!A:K,2,0)</f>
        <v>100576</v>
      </c>
      <c r="C2398" s="147" t="str">
        <f>VLOOKUP(A2398,'[3]Planilha Orçamentária'!A:K,3,0)</f>
        <v>REGULARIZAÇÃO E COMPACTAÇÃO DE SUBLEITO DE SOLO  PREDOMINANTEMENTE ARGILOSO. AF_11/2019</v>
      </c>
      <c r="D2398" s="148" t="str">
        <f>VLOOKUP(A2398,'[3]Planilha Orçamentária'!A:K,4,0)</f>
        <v>M2</v>
      </c>
      <c r="E2398" s="147"/>
      <c r="F2398" s="160"/>
      <c r="G2398" s="160"/>
      <c r="H2398" s="160"/>
      <c r="I2398" s="160"/>
      <c r="J2398" s="150">
        <f>ROUND(SUM(J2400:J2400),2)</f>
        <v>1274.8800000000001</v>
      </c>
    </row>
    <row r="2399" spans="1:11">
      <c r="A2399" s="145"/>
      <c r="B2399" s="199"/>
      <c r="C2399" s="159" t="s">
        <v>2307</v>
      </c>
      <c r="D2399" s="148"/>
      <c r="E2399" s="147"/>
      <c r="F2399" s="161" t="s">
        <v>1989</v>
      </c>
      <c r="G2399" s="161" t="s">
        <v>1990</v>
      </c>
      <c r="H2399" s="160"/>
      <c r="I2399" s="161"/>
      <c r="J2399" s="150"/>
    </row>
    <row r="2400" spans="1:11" ht="25.5">
      <c r="A2400" s="145"/>
      <c r="B2400" s="199"/>
      <c r="C2400" s="200" t="s">
        <v>2019</v>
      </c>
      <c r="D2400" s="185"/>
      <c r="E2400" s="116"/>
      <c r="F2400" s="201">
        <v>212.48</v>
      </c>
      <c r="G2400" s="161">
        <f>5+1</f>
        <v>6</v>
      </c>
      <c r="H2400" s="160"/>
      <c r="I2400" s="161"/>
      <c r="J2400" s="158">
        <f>ROUND(PRODUCT(E2400:I2400),2)</f>
        <v>1274.8800000000001</v>
      </c>
    </row>
    <row r="2401" spans="1:10">
      <c r="A2401" s="550"/>
      <c r="B2401" s="551"/>
      <c r="C2401" s="551"/>
      <c r="D2401" s="551"/>
      <c r="E2401" s="551"/>
      <c r="F2401" s="551"/>
      <c r="G2401" s="551"/>
      <c r="H2401" s="551"/>
      <c r="I2401" s="551"/>
      <c r="J2401" s="552"/>
    </row>
    <row r="2402" spans="1:10" ht="38.25">
      <c r="A2402" s="186" t="str">
        <f>'[3]Planilha Orçamentária'!A634</f>
        <v>1.11.5.2</v>
      </c>
      <c r="B2402" s="187" t="str">
        <f>VLOOKUP(A2402,'[3]Planilha Orçamentária'!A:K,2,0)</f>
        <v>COMP-28881239</v>
      </c>
      <c r="C2402" s="188" t="str">
        <f>VLOOKUP(A2402,'[3]Planilha Orçamentária'!A:K,3,0)</f>
        <v>Base ou sub-base de macadame hidráulico com brita comercial - EXCLUSIVE MATERIAL, CARGA E TRANSPORTE - NÃO DESONERADO</v>
      </c>
      <c r="D2402" s="189" t="str">
        <f>VLOOKUP(A2402,'[3]Planilha Orçamentária'!A:K,4,0)</f>
        <v>M3</v>
      </c>
      <c r="E2402" s="188"/>
      <c r="F2402" s="190"/>
      <c r="G2402" s="190"/>
      <c r="H2402" s="190"/>
      <c r="I2402" s="190"/>
      <c r="J2402" s="203">
        <f>ROUND(SUM(J2404:J2404),2)</f>
        <v>159.36000000000001</v>
      </c>
    </row>
    <row r="2403" spans="1:10">
      <c r="A2403" s="186"/>
      <c r="B2403" s="187"/>
      <c r="C2403" s="159" t="s">
        <v>2307</v>
      </c>
      <c r="D2403" s="148"/>
      <c r="E2403" s="147"/>
      <c r="F2403" s="161" t="s">
        <v>1989</v>
      </c>
      <c r="G2403" s="161" t="s">
        <v>1990</v>
      </c>
      <c r="H2403" s="161" t="s">
        <v>2002</v>
      </c>
      <c r="I2403" s="161"/>
      <c r="J2403" s="203"/>
    </row>
    <row r="2404" spans="1:10" ht="28.5">
      <c r="A2404" s="186"/>
      <c r="B2404" s="187"/>
      <c r="C2404" s="204" t="s">
        <v>2020</v>
      </c>
      <c r="D2404" s="148"/>
      <c r="E2404" s="147"/>
      <c r="F2404" s="167">
        <f>F2400</f>
        <v>212.48</v>
      </c>
      <c r="G2404" s="161">
        <f>5+0.5+0.5-1</f>
        <v>5</v>
      </c>
      <c r="H2404" s="161">
        <v>0.15</v>
      </c>
      <c r="I2404" s="167"/>
      <c r="J2404" s="176">
        <f>ROUND(PRODUCT(E2404:I2404),2)</f>
        <v>159.36000000000001</v>
      </c>
    </row>
    <row r="2405" spans="1:10">
      <c r="A2405" s="205"/>
      <c r="B2405" s="206"/>
      <c r="C2405" s="171"/>
      <c r="D2405" s="189"/>
      <c r="E2405" s="188"/>
      <c r="F2405" s="207"/>
      <c r="G2405" s="207"/>
      <c r="H2405" s="208"/>
      <c r="I2405" s="209"/>
      <c r="J2405" s="196"/>
    </row>
    <row r="2406" spans="1:10" ht="38.25">
      <c r="A2406" s="177" t="str">
        <f>'[3]Planilha Orçamentária'!A635</f>
        <v>1.11.5.3</v>
      </c>
      <c r="B2406" s="178" t="str">
        <f>VLOOKUP(A2406,'[3]Planilha Orçamentária'!A:K,2,0)</f>
        <v>CP-96396-26507981</v>
      </c>
      <c r="C2406" s="179" t="str">
        <f>VLOOKUP(A2406,'[3]Planilha Orçamentária'!A:K,3,0)</f>
        <v>EXECUÇÃO E COMPACTAÇÃO DE BASE E OU SUB BASE PARA PAVIMENTAÇÃO DE BRITA GRADUADA SIMPLES - EXCLUSIVE MATERIAL, CARGA E TRANSPORTE</v>
      </c>
      <c r="D2406" s="180" t="str">
        <f>VLOOKUP(A2406,'[3]Planilha Orçamentária'!A:K,4,0)</f>
        <v>M3</v>
      </c>
      <c r="E2406" s="179"/>
      <c r="F2406" s="181"/>
      <c r="G2406" s="181"/>
      <c r="H2406" s="181"/>
      <c r="I2406" s="181"/>
      <c r="J2406" s="182">
        <f>ROUND(SUM(J2408:J2408),2)</f>
        <v>169.98</v>
      </c>
    </row>
    <row r="2407" spans="1:10">
      <c r="A2407" s="177"/>
      <c r="B2407" s="178"/>
      <c r="C2407" s="159" t="s">
        <v>2307</v>
      </c>
      <c r="D2407" s="180"/>
      <c r="E2407" s="184"/>
      <c r="F2407" s="161" t="s">
        <v>1989</v>
      </c>
      <c r="G2407" s="161" t="s">
        <v>1990</v>
      </c>
      <c r="H2407" s="161" t="s">
        <v>2002</v>
      </c>
      <c r="I2407" s="210"/>
      <c r="J2407" s="182"/>
    </row>
    <row r="2408" spans="1:10" ht="28.5">
      <c r="A2408" s="123"/>
      <c r="B2408" s="211"/>
      <c r="C2408" s="204" t="s">
        <v>2021</v>
      </c>
      <c r="D2408" s="185"/>
      <c r="E2408" s="127"/>
      <c r="F2408" s="127">
        <f>F2400</f>
        <v>212.48</v>
      </c>
      <c r="G2408" s="161">
        <f>5-1</f>
        <v>4</v>
      </c>
      <c r="H2408" s="161">
        <v>0.2</v>
      </c>
      <c r="I2408" s="212"/>
      <c r="J2408" s="118">
        <f>ROUND(PRODUCT(E2408:I2408),2)</f>
        <v>169.98</v>
      </c>
    </row>
    <row r="2409" spans="1:10">
      <c r="A2409" s="546"/>
      <c r="B2409" s="547"/>
      <c r="C2409" s="547"/>
      <c r="D2409" s="547"/>
      <c r="E2409" s="547"/>
      <c r="F2409" s="547"/>
      <c r="G2409" s="547"/>
      <c r="H2409" s="547"/>
      <c r="I2409" s="547"/>
      <c r="J2409" s="548"/>
    </row>
    <row r="2410" spans="1:10" ht="51">
      <c r="A2410" s="132" t="str">
        <f>'[3]Planilha Orçamentária'!A636</f>
        <v>1.11.5.4</v>
      </c>
      <c r="B2410" s="108" t="str">
        <f>VLOOKUP(A2410,'[3]Planilha Orçamentária'!A:K,2,0)</f>
        <v>COMP-35145154</v>
      </c>
      <c r="C2410" s="104" t="str">
        <f>VLOOKUP(A2410,'[3]Planilha Orçamentária'!A:K,3,0)</f>
        <v>CARGA E DESCARGA MECANICA DE SOLO UTILIZANDO CAMINHAO BASCULANTE 14,0M3/36T E PA CARREGADEIRA SOBRE PNEUS 128 HP, CAPACIDADE DA CAÇAMBA 1,7 A 2,8 M3, PESO OPERACIONAL 11632 KH</v>
      </c>
      <c r="D2410" s="105" t="str">
        <f>VLOOKUP(A2410,'[3]Planilha Orçamentária'!A:K,4,0)</f>
        <v>M3</v>
      </c>
      <c r="E2410" s="104"/>
      <c r="F2410" s="111"/>
      <c r="G2410" s="111"/>
      <c r="H2410" s="111"/>
      <c r="I2410" s="111"/>
      <c r="J2410" s="122">
        <f>ROUND(SUM(J2412:J2412),2)</f>
        <v>411.68</v>
      </c>
    </row>
    <row r="2411" spans="1:10" ht="25.5">
      <c r="A2411" s="132"/>
      <c r="B2411" s="108"/>
      <c r="C2411" s="147"/>
      <c r="D2411" s="148"/>
      <c r="E2411" s="220" t="s">
        <v>2006</v>
      </c>
      <c r="F2411" s="106"/>
      <c r="G2411" s="111"/>
      <c r="H2411" s="111"/>
      <c r="I2411" s="143" t="s">
        <v>2022</v>
      </c>
      <c r="J2411" s="122"/>
    </row>
    <row r="2412" spans="1:10" ht="14.25">
      <c r="A2412" s="132"/>
      <c r="B2412" s="108"/>
      <c r="C2412" s="221" t="s">
        <v>2023</v>
      </c>
      <c r="D2412" s="156"/>
      <c r="E2412" s="106">
        <v>1.25</v>
      </c>
      <c r="F2412" s="238"/>
      <c r="G2412" s="205"/>
      <c r="H2412" s="205"/>
      <c r="I2412" s="239">
        <f>J2406+J2402</f>
        <v>329.34000000000003</v>
      </c>
      <c r="J2412" s="342">
        <f t="shared" ref="J2412" si="162">ROUND(PRODUCT(E2412:I2412),2)</f>
        <v>411.68</v>
      </c>
    </row>
    <row r="2413" spans="1:10">
      <c r="A2413" s="549"/>
      <c r="B2413" s="549"/>
      <c r="C2413" s="549"/>
      <c r="D2413" s="549"/>
      <c r="E2413" s="549"/>
      <c r="F2413" s="549"/>
      <c r="G2413" s="549"/>
      <c r="H2413" s="549"/>
      <c r="I2413" s="549"/>
      <c r="J2413" s="549"/>
    </row>
    <row r="2414" spans="1:10" ht="25.5">
      <c r="A2414" s="132" t="str">
        <f>'[3]Planilha Orçamentária'!A637</f>
        <v>1.11.5.5</v>
      </c>
      <c r="B2414" s="108" t="str">
        <f>VLOOKUP(A2414,'[3]Planilha Orçamentária'!A:K,2,0)</f>
        <v>COMP-83526730</v>
      </c>
      <c r="C2414" s="104" t="str">
        <f>VLOOKUP(A2414,'[3]Planilha Orçamentária'!A:K,3,0)</f>
        <v>TRANSPORTE COMERCIAL DE BRITA</v>
      </c>
      <c r="D2414" s="105" t="str">
        <f>VLOOKUP(A2414,'[3]Planilha Orçamentária'!A:K,4,0)</f>
        <v>M3XKM</v>
      </c>
      <c r="E2414" s="104"/>
      <c r="F2414" s="111"/>
      <c r="G2414" s="111"/>
      <c r="H2414" s="111"/>
      <c r="I2414" s="111"/>
      <c r="J2414" s="122">
        <f>ROUND(SUM(J2416:J2416),2)</f>
        <v>4404.9799999999996</v>
      </c>
    </row>
    <row r="2415" spans="1:10">
      <c r="A2415" s="132"/>
      <c r="B2415" s="108"/>
      <c r="C2415" s="159" t="s">
        <v>2308</v>
      </c>
      <c r="D2415" s="105"/>
      <c r="E2415" s="165" t="s">
        <v>2011</v>
      </c>
      <c r="F2415" s="106"/>
      <c r="G2415" s="106"/>
      <c r="H2415" s="106"/>
      <c r="I2415" s="106" t="s">
        <v>2007</v>
      </c>
      <c r="J2415" s="122"/>
    </row>
    <row r="2416" spans="1:10" ht="14.25">
      <c r="A2416" s="132"/>
      <c r="B2416" s="108"/>
      <c r="C2416" s="204" t="s">
        <v>2309</v>
      </c>
      <c r="D2416" s="174"/>
      <c r="E2416" s="239">
        <v>10.7</v>
      </c>
      <c r="F2416" s="223"/>
      <c r="G2416" s="174"/>
      <c r="H2416" s="174"/>
      <c r="I2416" s="224">
        <f>J2410</f>
        <v>411.68</v>
      </c>
      <c r="J2416" s="342">
        <f t="shared" ref="J2416" si="163">ROUND(PRODUCT(E2416:I2416),2)</f>
        <v>4404.9799999999996</v>
      </c>
    </row>
    <row r="2417" spans="1:10">
      <c r="A2417" s="549"/>
      <c r="B2417" s="549"/>
      <c r="C2417" s="549"/>
      <c r="D2417" s="549"/>
      <c r="E2417" s="549"/>
      <c r="F2417" s="549"/>
      <c r="G2417" s="549"/>
      <c r="H2417" s="549"/>
      <c r="I2417" s="549"/>
      <c r="J2417" s="549"/>
    </row>
    <row r="2418" spans="1:10" ht="25.5">
      <c r="A2418" s="186" t="str">
        <f>'[3]Planilha Orçamentária'!A638</f>
        <v>1.11.5.6</v>
      </c>
      <c r="B2418" s="187" t="str">
        <f>VLOOKUP(A2418,'[3]Planilha Orçamentária'!A:K,2,0)</f>
        <v>CP-96401-52745838</v>
      </c>
      <c r="C2418" s="188" t="str">
        <f>VLOOKUP(A2418,'[3]Planilha Orçamentária'!A:K,3,0)</f>
        <v>EXECUÇÃO DE IMPRIMAÇÃO COM ASFALTO DILUÍDO CM-30, EXCLUSIVE MATERIAL.</v>
      </c>
      <c r="D2418" s="189" t="str">
        <f>VLOOKUP(A2418,'[3]Planilha Orçamentária'!A:K,4,0)</f>
        <v>M2</v>
      </c>
      <c r="E2418" s="188"/>
      <c r="F2418" s="190"/>
      <c r="G2418" s="190"/>
      <c r="H2418" s="190"/>
      <c r="I2418" s="190"/>
      <c r="J2418" s="150">
        <f>ROUND(SUM(J2420:J2422),2)</f>
        <v>883.16</v>
      </c>
    </row>
    <row r="2419" spans="1:10">
      <c r="A2419" s="186"/>
      <c r="B2419" s="187"/>
      <c r="C2419" s="159" t="s">
        <v>2307</v>
      </c>
      <c r="D2419" s="189"/>
      <c r="E2419" s="188"/>
      <c r="F2419" s="190"/>
      <c r="G2419" s="190"/>
      <c r="H2419" s="208"/>
      <c r="I2419" s="161" t="s">
        <v>2003</v>
      </c>
      <c r="J2419" s="150"/>
    </row>
    <row r="2420" spans="1:10" ht="28.5">
      <c r="A2420" s="174"/>
      <c r="B2420" s="174"/>
      <c r="C2420" s="221" t="s">
        <v>2027</v>
      </c>
      <c r="D2420" s="174"/>
      <c r="E2420" s="174"/>
      <c r="F2420" s="223"/>
      <c r="G2420" s="174"/>
      <c r="H2420" s="224"/>
      <c r="I2420" s="224">
        <f>[3]PARÂMETROS!F913</f>
        <v>956.37</v>
      </c>
      <c r="J2420" s="158">
        <f>ROUND(PRODUCT(E2420:I2420),2)</f>
        <v>956.37</v>
      </c>
    </row>
    <row r="2421" spans="1:10" ht="14.25">
      <c r="A2421" s="174"/>
      <c r="B2421" s="174"/>
      <c r="C2421" s="221"/>
      <c r="D2421" s="174"/>
      <c r="E2421" s="174"/>
      <c r="F2421" s="161" t="s">
        <v>1989</v>
      </c>
      <c r="G2421" s="161" t="s">
        <v>1990</v>
      </c>
      <c r="H2421" s="224"/>
      <c r="I2421" s="224"/>
      <c r="J2421" s="158"/>
    </row>
    <row r="2422" spans="1:10" ht="14.25">
      <c r="A2422" s="174"/>
      <c r="B2422" s="174"/>
      <c r="C2422" s="221" t="s">
        <v>2028</v>
      </c>
      <c r="D2422" s="174"/>
      <c r="E2422" s="174">
        <v>-1</v>
      </c>
      <c r="F2422" s="223">
        <v>73.209999999999994</v>
      </c>
      <c r="G2422" s="174">
        <v>1</v>
      </c>
      <c r="H2422" s="224"/>
      <c r="I2422" s="224"/>
      <c r="J2422" s="158">
        <f>ROUND(PRODUCT(E2422:I2422),2)</f>
        <v>-73.209999999999994</v>
      </c>
    </row>
    <row r="2423" spans="1:10">
      <c r="A2423" s="549"/>
      <c r="B2423" s="549"/>
      <c r="C2423" s="549"/>
      <c r="D2423" s="549"/>
      <c r="E2423" s="549"/>
      <c r="F2423" s="549"/>
      <c r="G2423" s="549"/>
      <c r="H2423" s="549"/>
      <c r="I2423" s="549"/>
      <c r="J2423" s="549"/>
    </row>
    <row r="2424" spans="1:10" ht="38.25">
      <c r="A2424" s="225" t="str">
        <f>'[3]Planilha Orçamentária'!A639</f>
        <v>1.11.5.7</v>
      </c>
      <c r="B2424" s="226" t="str">
        <f>VLOOKUP(A2424,'[3]Planilha Orçamentária'!A:K,2,0)</f>
        <v>CP-95995-51339760</v>
      </c>
      <c r="C2424" s="227" t="str">
        <f>VLOOKUP(A2424,'[3]Planilha Orçamentária'!A:K,3,0)</f>
        <v>EXECUÇÃO DE PAVIMENTO COM APLICAÇÃO DE CONCRETO ASFÁLTICO, CAMADA DE ROLAMENTO - EXCLUSIVE CARGA E TRANSPORTE E CONCRETO BETUMINOSO</v>
      </c>
      <c r="D2424" s="228" t="str">
        <f>VLOOKUP(A2424,'[3]Planilha Orçamentária'!A:K,4,0)</f>
        <v>M3</v>
      </c>
      <c r="E2424" s="227"/>
      <c r="F2424" s="229"/>
      <c r="G2424" s="229"/>
      <c r="H2424" s="229"/>
      <c r="I2424" s="229"/>
      <c r="J2424" s="182">
        <f>ROUND(SUM(J2425:J2428),2)</f>
        <v>44.16</v>
      </c>
    </row>
    <row r="2425" spans="1:10">
      <c r="A2425" s="230"/>
      <c r="B2425" s="231"/>
      <c r="C2425" s="159" t="s">
        <v>2307</v>
      </c>
      <c r="D2425" s="105"/>
      <c r="E2425" s="165"/>
      <c r="F2425" s="106"/>
      <c r="G2425" s="106"/>
      <c r="H2425" s="106" t="s">
        <v>2002</v>
      </c>
      <c r="I2425" s="161" t="s">
        <v>2003</v>
      </c>
      <c r="J2425" s="118"/>
    </row>
    <row r="2426" spans="1:10" ht="14.25">
      <c r="A2426" s="153"/>
      <c r="B2426" s="153"/>
      <c r="C2426" s="232" t="s">
        <v>2029</v>
      </c>
      <c r="D2426" s="153"/>
      <c r="E2426" s="233"/>
      <c r="F2426" s="234"/>
      <c r="G2426" s="153"/>
      <c r="H2426" s="174">
        <v>0.05</v>
      </c>
      <c r="I2426" s="224">
        <f>J2420</f>
        <v>956.37</v>
      </c>
      <c r="J2426" s="425">
        <f>ROUND(PRODUCT(E2426:I2426),2)</f>
        <v>47.82</v>
      </c>
    </row>
    <row r="2427" spans="1:10" ht="14.25">
      <c r="A2427" s="174"/>
      <c r="B2427" s="174"/>
      <c r="C2427" s="221"/>
      <c r="D2427" s="174"/>
      <c r="E2427" s="174"/>
      <c r="F2427" s="161" t="s">
        <v>1989</v>
      </c>
      <c r="G2427" s="161" t="s">
        <v>1990</v>
      </c>
      <c r="H2427" s="106" t="s">
        <v>2002</v>
      </c>
      <c r="I2427" s="224"/>
      <c r="J2427" s="341"/>
    </row>
    <row r="2428" spans="1:10" ht="14.25">
      <c r="A2428" s="174"/>
      <c r="B2428" s="174"/>
      <c r="C2428" s="221" t="s">
        <v>2028</v>
      </c>
      <c r="D2428" s="174"/>
      <c r="E2428" s="174">
        <v>-1</v>
      </c>
      <c r="F2428" s="223">
        <f>F2422</f>
        <v>73.209999999999994</v>
      </c>
      <c r="G2428" s="174">
        <v>1</v>
      </c>
      <c r="H2428" s="174">
        <v>0.05</v>
      </c>
      <c r="I2428" s="224"/>
      <c r="J2428" s="341">
        <f>ROUND(PRODUCT(E2428:I2428),2)</f>
        <v>-3.66</v>
      </c>
    </row>
    <row r="2429" spans="1:10">
      <c r="A2429" s="546"/>
      <c r="B2429" s="547"/>
      <c r="C2429" s="547"/>
      <c r="D2429" s="547"/>
      <c r="E2429" s="547"/>
      <c r="F2429" s="547"/>
      <c r="G2429" s="547"/>
      <c r="H2429" s="547"/>
      <c r="I2429" s="547"/>
      <c r="J2429" s="547"/>
    </row>
    <row r="2430" spans="1:10" ht="38.25">
      <c r="A2430" s="132" t="str">
        <f>'[3]Planilha Orçamentária'!A640</f>
        <v>1.11.5.8</v>
      </c>
      <c r="B2430" s="108" t="str">
        <f>VLOOKUP(A2430,'[3]Planilha Orçamentária'!A:K,2,0)</f>
        <v>COMP-10034101</v>
      </c>
      <c r="C2430" s="104" t="str">
        <f>VLOOKUP(A2430,'[3]Planilha Orçamentária'!A:K,3,0)</f>
        <v>CARGA, MANOBRAS E DESCARGA DE MISTURA BETUMINOSA A QUENTE, COM CAMINHAO BASCULANTE 6 M3, DESCARGA EM VIBRO-ACABADORA</v>
      </c>
      <c r="D2430" s="105" t="str">
        <f>VLOOKUP(A2430,'[3]Planilha Orçamentária'!A:K,4,0)</f>
        <v>M3</v>
      </c>
      <c r="E2430" s="104"/>
      <c r="F2430" s="111"/>
      <c r="G2430" s="111"/>
      <c r="H2430" s="111"/>
      <c r="I2430" s="111"/>
      <c r="J2430" s="122">
        <f>ROUND(SUM(J2432:J2432),2)</f>
        <v>44.16</v>
      </c>
    </row>
    <row r="2431" spans="1:10" ht="14.25">
      <c r="A2431" s="132"/>
      <c r="B2431" s="108"/>
      <c r="C2431" s="204"/>
      <c r="D2431" s="105"/>
      <c r="E2431" s="104"/>
      <c r="F2431" s="106"/>
      <c r="G2431" s="111"/>
      <c r="H2431" s="111"/>
      <c r="I2431" s="143" t="s">
        <v>2007</v>
      </c>
      <c r="J2431" s="122"/>
    </row>
    <row r="2432" spans="1:10" ht="14.25">
      <c r="A2432" s="225"/>
      <c r="B2432" s="236"/>
      <c r="C2432" s="237" t="s">
        <v>2030</v>
      </c>
      <c r="D2432" s="205"/>
      <c r="E2432" s="205"/>
      <c r="F2432" s="238"/>
      <c r="G2432" s="205"/>
      <c r="H2432" s="205"/>
      <c r="I2432" s="239">
        <f>J2424</f>
        <v>44.16</v>
      </c>
      <c r="J2432" s="128">
        <f t="shared" ref="J2432" si="164">ROUND(PRODUCT(E2432:I2432),2)</f>
        <v>44.16</v>
      </c>
    </row>
    <row r="2433" spans="1:10">
      <c r="A2433" s="528"/>
      <c r="B2433" s="529"/>
      <c r="C2433" s="529"/>
      <c r="D2433" s="529"/>
      <c r="E2433" s="529"/>
      <c r="F2433" s="529"/>
      <c r="G2433" s="529"/>
      <c r="H2433" s="529"/>
      <c r="I2433" s="529"/>
      <c r="J2433" s="529"/>
    </row>
    <row r="2434" spans="1:10" ht="25.5">
      <c r="A2434" s="132" t="str">
        <f>'[3]Planilha Orçamentária'!A641</f>
        <v>1.11.5.9</v>
      </c>
      <c r="B2434" s="108" t="str">
        <f>VLOOKUP(A2434,'[3]Planilha Orçamentária'!A:K,2,0)</f>
        <v>CP-95303-56931542</v>
      </c>
      <c r="C2434" s="104" t="str">
        <f>VLOOKUP(A2434,'[3]Planilha Orçamentária'!A:K,3,0)</f>
        <v>TRANSPORTE COM CAMINHÃO BASCULANTE 10 M3 DE MASSA ASFALTICA PARA PAVIMENTAÇÃO URBANA</v>
      </c>
      <c r="D2434" s="105" t="str">
        <f>VLOOKUP(A2434,'[3]Planilha Orçamentária'!A:K,4,0)</f>
        <v>M3XKM</v>
      </c>
      <c r="E2434" s="104"/>
      <c r="F2434" s="111"/>
      <c r="G2434" s="111"/>
      <c r="H2434" s="111"/>
      <c r="I2434" s="111"/>
      <c r="J2434" s="122">
        <f>ROUND(SUM(J2436:J2436),2)</f>
        <v>755.14</v>
      </c>
    </row>
    <row r="2435" spans="1:10" ht="25.5">
      <c r="A2435" s="132"/>
      <c r="B2435" s="108"/>
      <c r="C2435" s="159" t="s">
        <v>2310</v>
      </c>
      <c r="D2435" s="241"/>
      <c r="E2435" s="165" t="s">
        <v>2011</v>
      </c>
      <c r="F2435" s="106"/>
      <c r="G2435" s="106"/>
      <c r="H2435" s="160"/>
      <c r="I2435" s="167" t="s">
        <v>2025</v>
      </c>
      <c r="J2435" s="122"/>
    </row>
    <row r="2436" spans="1:10" ht="14.25">
      <c r="A2436" s="225"/>
      <c r="B2436" s="236"/>
      <c r="C2436" s="221" t="s">
        <v>2311</v>
      </c>
      <c r="D2436" s="241"/>
      <c r="E2436" s="127">
        <v>17.100000000000001</v>
      </c>
      <c r="F2436" s="106"/>
      <c r="G2436" s="242"/>
      <c r="H2436" s="160"/>
      <c r="I2436" s="243">
        <f>J2430</f>
        <v>44.16</v>
      </c>
      <c r="J2436" s="128">
        <f t="shared" ref="J2436" si="165">ROUND(PRODUCT(E2436:I2436),2)</f>
        <v>755.14</v>
      </c>
    </row>
    <row r="2437" spans="1:10">
      <c r="A2437" s="528"/>
      <c r="B2437" s="529"/>
      <c r="C2437" s="529"/>
      <c r="D2437" s="529"/>
      <c r="E2437" s="529"/>
      <c r="F2437" s="529"/>
      <c r="G2437" s="529"/>
      <c r="H2437" s="529"/>
      <c r="I2437" s="529"/>
      <c r="J2437" s="529"/>
    </row>
    <row r="2438" spans="1:10" ht="25.5">
      <c r="A2438" s="132" t="str">
        <f>'[3]Planilha Orçamentária'!A642</f>
        <v>1.11.5.10</v>
      </c>
      <c r="B2438" s="108" t="str">
        <f>VLOOKUP(A2438,'[3]Planilha Orçamentária'!A:K,2,0)</f>
        <v>CP-97084-89637704</v>
      </c>
      <c r="C2438" s="104" t="str">
        <f>VLOOKUP(A2438,'[3]Planilha Orçamentária'!A:K,3,0)</f>
        <v>REGULARIZACAO E COMPACTAÇÃO MANUAL DE TERRENO COM PLACA VIBRATÓRIA</v>
      </c>
      <c r="D2438" s="105" t="str">
        <f>VLOOKUP(A2438,'[3]Planilha Orçamentária'!A:K,4,0)</f>
        <v>M2</v>
      </c>
      <c r="E2438" s="104"/>
      <c r="F2438" s="111"/>
      <c r="G2438" s="111"/>
      <c r="H2438" s="111"/>
      <c r="I2438" s="111"/>
      <c r="J2438" s="122">
        <f>ROUND(SUM(J2440:J2440),2)</f>
        <v>808.97</v>
      </c>
    </row>
    <row r="2439" spans="1:10">
      <c r="A2439" s="132"/>
      <c r="B2439" s="108"/>
      <c r="C2439" s="159" t="s">
        <v>2307</v>
      </c>
      <c r="D2439" s="105"/>
      <c r="E2439" s="104"/>
      <c r="F2439" s="106"/>
      <c r="G2439" s="111"/>
      <c r="H2439" s="111"/>
      <c r="I2439" s="161" t="s">
        <v>2003</v>
      </c>
      <c r="J2439" s="122"/>
    </row>
    <row r="2440" spans="1:10">
      <c r="A2440" s="225"/>
      <c r="B2440" s="236"/>
      <c r="C2440" s="244" t="s">
        <v>2033</v>
      </c>
      <c r="D2440" s="174"/>
      <c r="E2440" s="174"/>
      <c r="F2440" s="223"/>
      <c r="G2440" s="143"/>
      <c r="H2440" s="143"/>
      <c r="I2440" s="127">
        <f>[3]PARÂMETROS!F922</f>
        <v>808.97</v>
      </c>
      <c r="J2440" s="128">
        <f t="shared" ref="J2440" si="166">ROUND(PRODUCT(E2440:I2440),2)</f>
        <v>808.97</v>
      </c>
    </row>
    <row r="2441" spans="1:10">
      <c r="A2441" s="528"/>
      <c r="B2441" s="529"/>
      <c r="C2441" s="529"/>
      <c r="D2441" s="529"/>
      <c r="E2441" s="529"/>
      <c r="F2441" s="529"/>
      <c r="G2441" s="529"/>
      <c r="H2441" s="529"/>
      <c r="I2441" s="529"/>
      <c r="J2441" s="529"/>
    </row>
    <row r="2442" spans="1:10" ht="51">
      <c r="A2442" s="132" t="str">
        <f>'[3]Planilha Orçamentária'!A643</f>
        <v>1.11.5.11</v>
      </c>
      <c r="B2442" s="108" t="str">
        <f>VLOOKUP(A2442,'[3]Planilha Orçamentária'!A:K,2,0)</f>
        <v>CP-94991-12549457</v>
      </c>
      <c r="C2442" s="104" t="str">
        <f>VLOOKUP(A2442,'[3]Planilha Orçamentária'!A:K,3,0)</f>
        <v>EXECUÇÃO DE PASSEIO (CALÇADA) OU PISO DE CONCRETO COM CONCRETO MOLDADO IN LOCO, USINADO, ACABAMENTO CONVENCIONAL, NÃO ARMADO - EXCLUINDO O CONCRETO USINADO 20MPA</v>
      </c>
      <c r="D2442" s="105" t="str">
        <f>VLOOKUP(A2442,'[3]Planilha Orçamentária'!A:K,4,0)</f>
        <v>M3</v>
      </c>
      <c r="E2442" s="104"/>
      <c r="F2442" s="111"/>
      <c r="G2442" s="111"/>
      <c r="H2442" s="111"/>
      <c r="I2442" s="111"/>
      <c r="J2442" s="122">
        <f>ROUND(SUM(J2444:J2445),2)</f>
        <v>55.82</v>
      </c>
    </row>
    <row r="2443" spans="1:10">
      <c r="A2443" s="132"/>
      <c r="B2443" s="108"/>
      <c r="C2443" s="159" t="s">
        <v>2307</v>
      </c>
      <c r="D2443" s="105"/>
      <c r="E2443" s="104"/>
      <c r="F2443" s="106"/>
      <c r="G2443" s="111"/>
      <c r="H2443" s="111"/>
      <c r="I2443" s="111"/>
      <c r="J2443" s="122"/>
    </row>
    <row r="2444" spans="1:10">
      <c r="A2444" s="225"/>
      <c r="B2444" s="236"/>
      <c r="C2444" s="244" t="s">
        <v>2033</v>
      </c>
      <c r="D2444" s="174"/>
      <c r="E2444" s="174"/>
      <c r="F2444" s="223"/>
      <c r="G2444" s="143"/>
      <c r="H2444" s="143">
        <v>7.0000000000000007E-2</v>
      </c>
      <c r="I2444" s="127">
        <f>J2438</f>
        <v>808.97</v>
      </c>
      <c r="J2444" s="128">
        <f t="shared" ref="J2444:J2445" si="167">ROUND(PRODUCT(E2444:I2444),2)</f>
        <v>56.63</v>
      </c>
    </row>
    <row r="2445" spans="1:10">
      <c r="A2445" s="132"/>
      <c r="B2445" s="108"/>
      <c r="C2445" s="155" t="s">
        <v>2034</v>
      </c>
      <c r="D2445" s="174"/>
      <c r="E2445" s="174">
        <v>-1</v>
      </c>
      <c r="F2445" s="223"/>
      <c r="G2445" s="143"/>
      <c r="H2445" s="143">
        <v>7.0000000000000007E-2</v>
      </c>
      <c r="I2445" s="127">
        <f>J2536</f>
        <v>11.58</v>
      </c>
      <c r="J2445" s="128">
        <f t="shared" si="167"/>
        <v>-0.81</v>
      </c>
    </row>
    <row r="2446" spans="1:10">
      <c r="A2446" s="528"/>
      <c r="B2446" s="529"/>
      <c r="C2446" s="529"/>
      <c r="D2446" s="529"/>
      <c r="E2446" s="529"/>
      <c r="F2446" s="529"/>
      <c r="G2446" s="529"/>
      <c r="H2446" s="529"/>
      <c r="I2446" s="529"/>
      <c r="J2446" s="529"/>
    </row>
    <row r="2447" spans="1:10" ht="63.75">
      <c r="A2447" s="132" t="str">
        <f>'[3]Planilha Orçamentária'!A644</f>
        <v>1.11.5.12</v>
      </c>
      <c r="B2447" s="108">
        <f>VLOOKUP(A2447,'[3]Planilha Orçamentária'!A:K,2,0)</f>
        <v>94273</v>
      </c>
      <c r="C2447" s="104" t="str">
        <f>VLOOKUP(A2447,'[3]Planilha Orçamentária'!A:K,3,0)</f>
        <v>ASSENTAMENTO DE GUIA (MEIO-FIO) EM TRECHO RETO, CONFECCIONADA EM CONCRETO PRÉ-FABRICADO, DIMENSÕES 100X15X13X30 CM (COMPRIMENTO X BASE INFERIOR X BASE SUPERIOR X ALTURA), PARA VIAS URBANAS (USO VIÁRIO). AF_06/2016</v>
      </c>
      <c r="D2447" s="105" t="str">
        <f>VLOOKUP(A2447,'[3]Planilha Orçamentária'!A:K,4,0)</f>
        <v>M</v>
      </c>
      <c r="E2447" s="104"/>
      <c r="F2447" s="111"/>
      <c r="G2447" s="111"/>
      <c r="H2447" s="111"/>
      <c r="I2447" s="111"/>
      <c r="J2447" s="122">
        <f>ROUND(SUM(J2449:J2450),2)</f>
        <v>409.7</v>
      </c>
    </row>
    <row r="2448" spans="1:10">
      <c r="A2448" s="132"/>
      <c r="B2448" s="108"/>
      <c r="C2448" s="159" t="s">
        <v>2307</v>
      </c>
      <c r="D2448" s="105"/>
      <c r="E2448" s="104"/>
      <c r="F2448" s="106" t="s">
        <v>1989</v>
      </c>
      <c r="G2448" s="111"/>
      <c r="H2448" s="111"/>
      <c r="I2448" s="111"/>
      <c r="J2448" s="122"/>
    </row>
    <row r="2449" spans="1:10" ht="25.5">
      <c r="A2449" s="225"/>
      <c r="B2449" s="236"/>
      <c r="C2449" s="245" t="s">
        <v>2035</v>
      </c>
      <c r="D2449" s="228"/>
      <c r="E2449" s="227"/>
      <c r="F2449" s="246">
        <f>449.19-F2454</f>
        <v>396.12</v>
      </c>
      <c r="G2449" s="229"/>
      <c r="H2449" s="229"/>
      <c r="I2449" s="229"/>
      <c r="J2449" s="128">
        <f t="shared" ref="J2449:J2450" si="168">ROUND(PRODUCT(E2449:I2449),2)</f>
        <v>396.12</v>
      </c>
    </row>
    <row r="2450" spans="1:10">
      <c r="A2450" s="132"/>
      <c r="B2450" s="108"/>
      <c r="C2450" s="247" t="s">
        <v>2036</v>
      </c>
      <c r="D2450" s="105"/>
      <c r="E2450" s="104"/>
      <c r="F2450" s="223">
        <f>[3]PARÂMETROS!B917</f>
        <v>13.58</v>
      </c>
      <c r="G2450" s="111"/>
      <c r="H2450" s="111"/>
      <c r="I2450" s="111"/>
      <c r="J2450" s="128">
        <f t="shared" si="168"/>
        <v>13.58</v>
      </c>
    </row>
    <row r="2451" spans="1:10">
      <c r="A2451" s="528"/>
      <c r="B2451" s="529"/>
      <c r="C2451" s="529"/>
      <c r="D2451" s="529"/>
      <c r="E2451" s="529"/>
      <c r="F2451" s="529"/>
      <c r="G2451" s="529"/>
      <c r="H2451" s="529"/>
      <c r="I2451" s="529"/>
      <c r="J2451" s="529"/>
    </row>
    <row r="2452" spans="1:10" ht="63.75">
      <c r="A2452" s="132" t="str">
        <f>'[3]Planilha Orçamentária'!A645</f>
        <v>1.11.5.13</v>
      </c>
      <c r="B2452" s="108">
        <f>VLOOKUP(A2452,'[3]Planilha Orçamentária'!A:K,2,0)</f>
        <v>94274</v>
      </c>
      <c r="C2452" s="104" t="str">
        <f>VLOOKUP(A2452,'[3]Planilha Orçamentária'!A:K,3,0)</f>
        <v>ASSENTAMENTO DE GUIA (MEIO-FIO) EM TRECHO CURVO, CONFECCIONADA EM CONCRETO PRÉ-FABRICADO, DIMENSÕES 100X15X13X30 CM (COMPRIMENTO X BASE INFERIOR X BASE SUPERIOR X ALTURA), PARA VIAS URBANAS (USO VIÁRIO). AF_06/2016</v>
      </c>
      <c r="D2452" s="105" t="str">
        <f>VLOOKUP(A2452,'[3]Planilha Orçamentária'!A:K,4,0)</f>
        <v>M</v>
      </c>
      <c r="E2452" s="104"/>
      <c r="F2452" s="111"/>
      <c r="G2452" s="111"/>
      <c r="H2452" s="111"/>
      <c r="I2452" s="111"/>
      <c r="J2452" s="122">
        <f>ROUND(SUM(J2454:J2454),2)</f>
        <v>53.07</v>
      </c>
    </row>
    <row r="2453" spans="1:10">
      <c r="A2453" s="132"/>
      <c r="B2453" s="108"/>
      <c r="C2453" s="159" t="s">
        <v>2307</v>
      </c>
      <c r="D2453" s="105"/>
      <c r="E2453" s="104"/>
      <c r="F2453" s="106" t="s">
        <v>1989</v>
      </c>
      <c r="G2453" s="111"/>
      <c r="H2453" s="111"/>
      <c r="I2453" s="111"/>
      <c r="J2453" s="122"/>
    </row>
    <row r="2454" spans="1:10">
      <c r="A2454" s="225"/>
      <c r="B2454" s="236"/>
      <c r="C2454" s="245" t="s">
        <v>2037</v>
      </c>
      <c r="D2454" s="228"/>
      <c r="E2454" s="227"/>
      <c r="F2454" s="246">
        <f>[3]PARÂMETROS!B918</f>
        <v>53.070000000000007</v>
      </c>
      <c r="G2454" s="229"/>
      <c r="H2454" s="229"/>
      <c r="I2454" s="229"/>
      <c r="J2454" s="128">
        <f t="shared" ref="J2454" si="169">ROUND(PRODUCT(E2454:I2454),2)</f>
        <v>53.07</v>
      </c>
    </row>
    <row r="2455" spans="1:10">
      <c r="A2455" s="528"/>
      <c r="B2455" s="529"/>
      <c r="C2455" s="529"/>
      <c r="D2455" s="529"/>
      <c r="E2455" s="529"/>
      <c r="F2455" s="529"/>
      <c r="G2455" s="529"/>
      <c r="H2455" s="529"/>
      <c r="I2455" s="529"/>
      <c r="J2455" s="529"/>
    </row>
    <row r="2456" spans="1:10" ht="76.5">
      <c r="A2456" s="132" t="str">
        <f>'[3]Planilha Orçamentária'!A646</f>
        <v>1.11.5.14</v>
      </c>
      <c r="B2456" s="108">
        <f>VLOOKUP(A2456,'[3]Planilha Orçamentária'!A:K,2,0)</f>
        <v>94275</v>
      </c>
      <c r="C2456" s="104" t="str">
        <f>VLOOKUP(A2456,'[3]Planilha Orçamentária'!A:K,3,0)</f>
        <v>ASSENTAMENTO DE GUIA (MEIO-FIO) EM TRECHO RETO, CONFECCIONADA EM CONCRETO PRÉ-FABRICADO, DIMENSÕES 100X15X13X20 CM (COMPRIMENTO X BASE INFERIOR X BASE SUPERIOR X ALTURA), PARA URBANIZAÇÃO INTERNA DE EMPREENDIMENTOS. AF_06/2016_P</v>
      </c>
      <c r="D2456" s="105" t="str">
        <f>VLOOKUP(A2456,'[3]Planilha Orçamentária'!A:K,4,0)</f>
        <v>M</v>
      </c>
      <c r="E2456" s="104"/>
      <c r="F2456" s="111"/>
      <c r="G2456" s="111"/>
      <c r="H2456" s="111"/>
      <c r="I2456" s="111"/>
      <c r="J2456" s="122">
        <f>ROUND(SUM(J2458:J2458),2)</f>
        <v>16</v>
      </c>
    </row>
    <row r="2457" spans="1:10">
      <c r="A2457" s="132"/>
      <c r="B2457" s="108"/>
      <c r="C2457" s="159" t="s">
        <v>2307</v>
      </c>
      <c r="D2457" s="105"/>
      <c r="E2457" s="104"/>
      <c r="F2457" s="106" t="s">
        <v>1989</v>
      </c>
      <c r="G2457" s="111"/>
      <c r="H2457" s="111"/>
      <c r="I2457" s="111"/>
      <c r="J2457" s="122"/>
    </row>
    <row r="2458" spans="1:10" ht="25.5">
      <c r="A2458" s="225"/>
      <c r="B2458" s="236"/>
      <c r="C2458" s="245" t="s">
        <v>2038</v>
      </c>
      <c r="D2458" s="228"/>
      <c r="E2458" s="227"/>
      <c r="F2458" s="246">
        <f>[3]PARÂMETROS!B921</f>
        <v>16</v>
      </c>
      <c r="G2458" s="229"/>
      <c r="H2458" s="229"/>
      <c r="I2458" s="229"/>
      <c r="J2458" s="128">
        <f t="shared" ref="J2458" si="170">ROUND(PRODUCT(E2458:I2458),2)</f>
        <v>16</v>
      </c>
    </row>
    <row r="2459" spans="1:10">
      <c r="A2459" s="528"/>
      <c r="B2459" s="529"/>
      <c r="C2459" s="529"/>
      <c r="D2459" s="529"/>
      <c r="E2459" s="529"/>
      <c r="F2459" s="529"/>
      <c r="G2459" s="529"/>
      <c r="H2459" s="529"/>
      <c r="I2459" s="529"/>
      <c r="J2459" s="529"/>
    </row>
    <row r="2460" spans="1:10" ht="38.25">
      <c r="A2460" s="132" t="str">
        <f>'[3]Planilha Orçamentária'!A647</f>
        <v>1.11.5.15</v>
      </c>
      <c r="B2460" s="108">
        <f>VLOOKUP(A2460,'[3]Planilha Orçamentária'!A:K,2,0)</f>
        <v>94287</v>
      </c>
      <c r="C2460" s="104" t="str">
        <f>VLOOKUP(A2460,'[3]Planilha Orçamentária'!A:K,3,0)</f>
        <v>EXECUÇÃO DE SARJETA DE CONCRETO USINADO, MOLDADA  IN LOCO  EM TRECHO RETO, 30 CM BASE X 10 CM ALTURA. AF_06/2016</v>
      </c>
      <c r="D2460" s="105" t="str">
        <f>VLOOKUP(A2460,'[3]Planilha Orçamentária'!A:K,4,0)</f>
        <v>M</v>
      </c>
      <c r="E2460" s="104"/>
      <c r="F2460" s="111"/>
      <c r="G2460" s="111"/>
      <c r="H2460" s="111"/>
      <c r="I2460" s="111"/>
      <c r="J2460" s="122">
        <f>ROUND(SUM(J2462:J2462),2)</f>
        <v>72.11</v>
      </c>
    </row>
    <row r="2461" spans="1:10">
      <c r="A2461" s="132"/>
      <c r="B2461" s="108"/>
      <c r="C2461" s="159" t="s">
        <v>2307</v>
      </c>
      <c r="D2461" s="105"/>
      <c r="E2461" s="104"/>
      <c r="F2461" s="106" t="s">
        <v>1989</v>
      </c>
      <c r="G2461" s="111"/>
      <c r="H2461" s="111"/>
      <c r="I2461" s="111"/>
      <c r="J2461" s="122"/>
    </row>
    <row r="2462" spans="1:10" ht="25.5">
      <c r="A2462" s="225"/>
      <c r="B2462" s="236"/>
      <c r="C2462" s="245" t="s">
        <v>2312</v>
      </c>
      <c r="D2462" s="228"/>
      <c r="E2462" s="227"/>
      <c r="F2462" s="246">
        <f>(29.66/0.3)-F2466</f>
        <v>72.106666666666683</v>
      </c>
      <c r="G2462" s="229"/>
      <c r="H2462" s="229"/>
      <c r="I2462" s="229"/>
      <c r="J2462" s="128">
        <f t="shared" ref="J2462" si="171">ROUND(PRODUCT(E2462:I2462),2)</f>
        <v>72.11</v>
      </c>
    </row>
    <row r="2463" spans="1:10">
      <c r="A2463" s="528"/>
      <c r="B2463" s="529"/>
      <c r="C2463" s="529"/>
      <c r="D2463" s="529"/>
      <c r="E2463" s="529"/>
      <c r="F2463" s="529"/>
      <c r="G2463" s="529"/>
      <c r="H2463" s="529"/>
      <c r="I2463" s="529"/>
      <c r="J2463" s="529"/>
    </row>
    <row r="2464" spans="1:10" ht="38.25">
      <c r="A2464" s="132" t="str">
        <f>'[3]Planilha Orçamentária'!A648</f>
        <v>1.11.5.16</v>
      </c>
      <c r="B2464" s="108">
        <f>VLOOKUP(A2464,'[3]Planilha Orçamentária'!A:K,2,0)</f>
        <v>94288</v>
      </c>
      <c r="C2464" s="104" t="str">
        <f>VLOOKUP(A2464,'[3]Planilha Orçamentária'!A:K,3,0)</f>
        <v>EXECUÇÃO DE SARJETA DE CONCRETO USINADO, MOLDADA  IN LOCO  EM TRECHO CURVO, 30 CM BASE X 10 CM ALTURA. AF_06/2016</v>
      </c>
      <c r="D2464" s="105" t="str">
        <f>VLOOKUP(A2464,'[3]Planilha Orçamentária'!A:K,4,0)</f>
        <v>M</v>
      </c>
      <c r="E2464" s="104"/>
      <c r="F2464" s="111"/>
      <c r="G2464" s="111"/>
      <c r="H2464" s="111"/>
      <c r="I2464" s="111"/>
      <c r="J2464" s="122">
        <f>ROUND(SUM(J2466:J2466),2)</f>
        <v>26.76</v>
      </c>
    </row>
    <row r="2465" spans="1:11">
      <c r="A2465" s="132"/>
      <c r="B2465" s="108"/>
      <c r="C2465" s="159" t="s">
        <v>2307</v>
      </c>
      <c r="D2465" s="105"/>
      <c r="E2465" s="104"/>
      <c r="F2465" s="106" t="s">
        <v>1989</v>
      </c>
      <c r="G2465" s="111"/>
      <c r="H2465" s="111"/>
      <c r="I2465" s="111"/>
      <c r="J2465" s="122"/>
    </row>
    <row r="2466" spans="1:11">
      <c r="A2466" s="225"/>
      <c r="B2466" s="236"/>
      <c r="C2466" s="245" t="s">
        <v>2044</v>
      </c>
      <c r="D2466" s="228"/>
      <c r="E2466" s="227"/>
      <c r="F2466" s="246">
        <f>5.17+4.27+4+4+4.57+4.75</f>
        <v>26.759999999999998</v>
      </c>
      <c r="G2466" s="229"/>
      <c r="H2466" s="229"/>
      <c r="I2466" s="229"/>
      <c r="J2466" s="128">
        <f t="shared" ref="J2466" si="172">ROUND(PRODUCT(E2466:I2466),2)</f>
        <v>26.76</v>
      </c>
    </row>
    <row r="2467" spans="1:11">
      <c r="A2467" s="528"/>
      <c r="B2467" s="529"/>
      <c r="C2467" s="529"/>
      <c r="D2467" s="529"/>
      <c r="E2467" s="529"/>
      <c r="F2467" s="529"/>
      <c r="G2467" s="529"/>
      <c r="H2467" s="529"/>
      <c r="I2467" s="529"/>
      <c r="J2467" s="529"/>
    </row>
    <row r="2468" spans="1:11">
      <c r="A2468" s="132" t="str">
        <f>'[3]Planilha Orçamentária'!A649</f>
        <v>1.11.5.17</v>
      </c>
      <c r="B2468" s="108">
        <f>VLOOKUP(A2468,'[3]Planilha Orçamentária'!A:K,2,0)</f>
        <v>98504</v>
      </c>
      <c r="C2468" s="104" t="str">
        <f>VLOOKUP(A2468,'[3]Planilha Orçamentária'!A:K,3,0)</f>
        <v>PLANTIO DE GRAMA BATATAIS EM PLACAS. AF_05/2018</v>
      </c>
      <c r="D2468" s="105" t="str">
        <f>VLOOKUP(A2468,'[3]Planilha Orçamentária'!A:K,4,0)</f>
        <v>M2</v>
      </c>
      <c r="E2468" s="104"/>
      <c r="F2468" s="111"/>
      <c r="G2468" s="111"/>
      <c r="H2468" s="111"/>
      <c r="I2468" s="111"/>
      <c r="J2468" s="122">
        <f>ROUND(SUM(J2470:J2470),2)</f>
        <v>5</v>
      </c>
    </row>
    <row r="2469" spans="1:11">
      <c r="A2469" s="132"/>
      <c r="B2469" s="108"/>
      <c r="C2469" s="159" t="s">
        <v>2307</v>
      </c>
      <c r="D2469" s="105"/>
      <c r="E2469" s="104"/>
      <c r="F2469" s="106"/>
      <c r="G2469" s="111"/>
      <c r="H2469" s="111"/>
      <c r="I2469" s="106" t="s">
        <v>2003</v>
      </c>
      <c r="J2469" s="122"/>
    </row>
    <row r="2470" spans="1:11">
      <c r="A2470" s="225"/>
      <c r="B2470" s="236"/>
      <c r="C2470" s="245" t="s">
        <v>2046</v>
      </c>
      <c r="D2470" s="228"/>
      <c r="E2470" s="227"/>
      <c r="F2470" s="246"/>
      <c r="G2470" s="229"/>
      <c r="H2470" s="229"/>
      <c r="I2470" s="246">
        <v>5</v>
      </c>
      <c r="J2470" s="128">
        <f t="shared" ref="J2470" si="173">ROUND(PRODUCT(E2470:I2470),2)</f>
        <v>5</v>
      </c>
    </row>
    <row r="2471" spans="1:11">
      <c r="A2471" s="528"/>
      <c r="B2471" s="529"/>
      <c r="C2471" s="529"/>
      <c r="D2471" s="529"/>
      <c r="E2471" s="529"/>
      <c r="F2471" s="529"/>
      <c r="G2471" s="529"/>
      <c r="H2471" s="529"/>
      <c r="I2471" s="529"/>
      <c r="J2471" s="529"/>
    </row>
    <row r="2472" spans="1:11">
      <c r="A2472" s="230"/>
      <c r="B2472" s="240"/>
      <c r="C2472" s="240"/>
      <c r="D2472" s="240"/>
      <c r="E2472" s="240"/>
      <c r="F2472" s="240"/>
      <c r="G2472" s="240"/>
      <c r="H2472" s="240"/>
      <c r="I2472" s="240"/>
      <c r="J2472" s="240"/>
    </row>
    <row r="2473" spans="1:11">
      <c r="A2473" s="94" t="str">
        <f>'[3]Planilha Orçamentária'!A650</f>
        <v>1.11.6</v>
      </c>
      <c r="B2473" s="95"/>
      <c r="C2473" s="96" t="str">
        <f>VLOOKUP(A2473,'[3]Planilha Orçamentária'!A:K,3,0)</f>
        <v>DRENAGEM</v>
      </c>
      <c r="D2473" s="96"/>
      <c r="E2473" s="129"/>
      <c r="F2473" s="130"/>
      <c r="G2473" s="130"/>
      <c r="H2473" s="130"/>
      <c r="I2473" s="130"/>
      <c r="J2473" s="131"/>
      <c r="K2473" s="82" t="s">
        <v>2313</v>
      </c>
    </row>
    <row r="2474" spans="1:11" ht="38.25">
      <c r="A2474" s="251" t="str">
        <f>'[3]Planilha Orçamentária'!A651</f>
        <v>1.11.6.1</v>
      </c>
      <c r="B2474" s="252">
        <f>VLOOKUP(A2474,'[3]Planilha Orçamentária'!A:K,2,0)</f>
        <v>94971</v>
      </c>
      <c r="C2474" s="253" t="str">
        <f>VLOOKUP(A2474,'[3]Planilha Orçamentária'!A:K,3,0)</f>
        <v>CONCRETO FCK = 25MPA, TRAÇO 1:2,3:2,7 (EM MASSA SECA DE CIMENTO/ AREIA MÉDIA/ BRITA 1) - PREPARO MECÂNICO COM BETONEIRA 600 L. AF_05/2021</v>
      </c>
      <c r="D2474" s="254" t="str">
        <f>VLOOKUP(A2474,'[3]Planilha Orçamentária'!A:K,4,0)</f>
        <v>M3</v>
      </c>
      <c r="E2474" s="255"/>
      <c r="F2474" s="256"/>
      <c r="G2474" s="256"/>
      <c r="H2474" s="256"/>
      <c r="I2474" s="256"/>
      <c r="J2474" s="257">
        <f>ROUND(SUM(J2475:J2477),2)</f>
        <v>17.07</v>
      </c>
    </row>
    <row r="2475" spans="1:11" ht="28.5">
      <c r="A2475" s="258"/>
      <c r="B2475" s="258"/>
      <c r="C2475" s="221" t="s">
        <v>2060</v>
      </c>
      <c r="D2475" s="258"/>
      <c r="E2475" s="258"/>
      <c r="F2475" s="161"/>
      <c r="G2475" s="161"/>
      <c r="H2475" s="161"/>
      <c r="I2475" s="279"/>
      <c r="J2475" s="258"/>
    </row>
    <row r="2476" spans="1:11" ht="14.25">
      <c r="A2476" s="258"/>
      <c r="B2476" s="258"/>
      <c r="C2476" s="280" t="s">
        <v>2061</v>
      </c>
      <c r="D2476" s="123"/>
      <c r="E2476" s="123"/>
      <c r="F2476" s="281">
        <v>133.93</v>
      </c>
      <c r="G2476" s="282">
        <v>1</v>
      </c>
      <c r="H2476" s="123">
        <v>0.15</v>
      </c>
      <c r="I2476" s="281"/>
      <c r="J2476" s="158">
        <f>ROUND(PRODUCT(E2476:I2476),2)</f>
        <v>20.09</v>
      </c>
    </row>
    <row r="2477" spans="1:11" ht="28.5">
      <c r="A2477" s="265"/>
      <c r="B2477" s="266"/>
      <c r="C2477" s="280" t="s">
        <v>2062</v>
      </c>
      <c r="D2477" s="123"/>
      <c r="E2477" s="123">
        <v>-1</v>
      </c>
      <c r="F2477" s="283">
        <v>1.8800000000000001E-2</v>
      </c>
      <c r="G2477" s="136">
        <f>F2476</f>
        <v>133.93</v>
      </c>
      <c r="H2477" s="136">
        <v>0.15</v>
      </c>
      <c r="I2477" s="136">
        <v>8</v>
      </c>
      <c r="J2477" s="158">
        <f>ROUND(PRODUCT(E2477:I2477),2)</f>
        <v>-3.02</v>
      </c>
    </row>
    <row r="2478" spans="1:11">
      <c r="A2478" s="535"/>
      <c r="B2478" s="536"/>
      <c r="C2478" s="536"/>
      <c r="D2478" s="536"/>
      <c r="E2478" s="536"/>
      <c r="F2478" s="536"/>
      <c r="G2478" s="536"/>
      <c r="H2478" s="536"/>
      <c r="I2478" s="536"/>
      <c r="J2478" s="537"/>
    </row>
    <row r="2479" spans="1:11" ht="38.25">
      <c r="A2479" s="251" t="str">
        <f>'[3]Planilha Orçamentária'!A652</f>
        <v>1.11.6.2</v>
      </c>
      <c r="B2479" s="252">
        <f>VLOOKUP(A2479,'[3]Planilha Orçamentária'!A:K,2,0)</f>
        <v>94974</v>
      </c>
      <c r="C2479" s="253" t="str">
        <f>VLOOKUP(A2479,'[3]Planilha Orçamentária'!A:K,3,0)</f>
        <v>CONCRETO MAGRO PARA LASTRO, TRAÇO 1:4,5:4,5 (EM MASSA SECA DE CIMENTO/ AREIA MÉDIA/ BRITA 1) - PREPARO MANUAL. AF_05/2021</v>
      </c>
      <c r="D2479" s="254" t="str">
        <f>VLOOKUP(A2479,'[3]Planilha Orçamentária'!A:K,4,0)</f>
        <v>M3</v>
      </c>
      <c r="E2479" s="255"/>
      <c r="F2479" s="256"/>
      <c r="G2479" s="256"/>
      <c r="H2479" s="256"/>
      <c r="I2479" s="279"/>
      <c r="J2479" s="257">
        <f>ROUND(SUM(J2480:J2481),2)</f>
        <v>13.39</v>
      </c>
    </row>
    <row r="2480" spans="1:11">
      <c r="A2480" s="258"/>
      <c r="B2480" s="258"/>
      <c r="C2480" s="259" t="s">
        <v>2314</v>
      </c>
      <c r="D2480" s="258"/>
      <c r="E2480" s="258"/>
      <c r="F2480" s="263" t="s">
        <v>1989</v>
      </c>
      <c r="G2480" s="263" t="s">
        <v>1990</v>
      </c>
      <c r="H2480" s="263" t="s">
        <v>2002</v>
      </c>
      <c r="I2480" s="279"/>
      <c r="J2480" s="258"/>
    </row>
    <row r="2481" spans="1:10" ht="14.25">
      <c r="A2481" s="258"/>
      <c r="B2481" s="258"/>
      <c r="C2481" s="284" t="s">
        <v>2063</v>
      </c>
      <c r="D2481" s="123"/>
      <c r="E2481" s="123"/>
      <c r="F2481" s="285">
        <f>F2476</f>
        <v>133.93</v>
      </c>
      <c r="G2481" s="282">
        <v>1</v>
      </c>
      <c r="H2481" s="123">
        <v>0.1</v>
      </c>
      <c r="I2481" s="278"/>
      <c r="J2481" s="158">
        <f>ROUND(PRODUCT(E2481:I2481),2)</f>
        <v>13.39</v>
      </c>
    </row>
    <row r="2482" spans="1:10">
      <c r="A2482" s="535"/>
      <c r="B2482" s="536"/>
      <c r="C2482" s="536"/>
      <c r="D2482" s="536"/>
      <c r="E2482" s="536"/>
      <c r="F2482" s="536"/>
      <c r="G2482" s="536"/>
      <c r="H2482" s="536"/>
      <c r="I2482" s="536"/>
      <c r="J2482" s="537"/>
    </row>
    <row r="2483" spans="1:10" ht="38.25">
      <c r="A2483" s="251" t="str">
        <f>'[3]Planilha Orçamentária'!A653</f>
        <v>1.11.6.3</v>
      </c>
      <c r="B2483" s="252">
        <f>VLOOKUP(A2483,'[3]Planilha Orçamentária'!A:K,2,0)</f>
        <v>92771</v>
      </c>
      <c r="C2483" s="253" t="str">
        <f>VLOOKUP(A2483,'[3]Planilha Orçamentária'!A:K,3,0)</f>
        <v>ARMAÇÃO DE LAJE DE ESTRUTURA CONVENCIONAL DE CONCRETO ARMADO UTILIZANDO AÇO CA-50 DE 10,0 MM - MONTAGEM. AF_06/2022</v>
      </c>
      <c r="D2483" s="254" t="str">
        <f>VLOOKUP(A2483,'[3]Planilha Orçamentária'!A:K,4,0)</f>
        <v>KG</v>
      </c>
      <c r="E2483" s="255"/>
      <c r="F2483" s="256"/>
      <c r="G2483" s="256"/>
      <c r="H2483" s="256"/>
      <c r="I2483" s="256"/>
      <c r="J2483" s="257">
        <f>ROUND(SUM(J2484:J2485),2)</f>
        <v>1110.28</v>
      </c>
    </row>
    <row r="2484" spans="1:10">
      <c r="A2484" s="258"/>
      <c r="B2484" s="258"/>
      <c r="C2484" s="259" t="s">
        <v>2314</v>
      </c>
      <c r="D2484" s="258"/>
      <c r="E2484" s="279"/>
      <c r="F2484" s="263" t="s">
        <v>2064</v>
      </c>
      <c r="G2484" s="263"/>
      <c r="H2484" s="263"/>
      <c r="I2484" s="279" t="s">
        <v>2065</v>
      </c>
      <c r="J2484" s="258"/>
    </row>
    <row r="2485" spans="1:10" ht="28.5">
      <c r="A2485" s="258"/>
      <c r="B2485" s="258"/>
      <c r="C2485" s="221" t="s">
        <v>2066</v>
      </c>
      <c r="D2485" s="105"/>
      <c r="E2485" s="104"/>
      <c r="F2485" s="278">
        <f>F2481</f>
        <v>133.93</v>
      </c>
      <c r="G2485" s="278"/>
      <c r="H2485" s="278"/>
      <c r="I2485" s="278">
        <v>8.2899999999999991</v>
      </c>
      <c r="J2485" s="158">
        <f>ROUND(PRODUCT(E2485:I2485),2)</f>
        <v>1110.28</v>
      </c>
    </row>
    <row r="2486" spans="1:10">
      <c r="A2486" s="535"/>
      <c r="B2486" s="536"/>
      <c r="C2486" s="536"/>
      <c r="D2486" s="536"/>
      <c r="E2486" s="536"/>
      <c r="F2486" s="536"/>
      <c r="G2486" s="536"/>
      <c r="H2486" s="536"/>
      <c r="I2486" s="536"/>
      <c r="J2486" s="537"/>
    </row>
    <row r="2487" spans="1:10" ht="51">
      <c r="A2487" s="251" t="str">
        <f>'[3]Planilha Orçamentária'!A654</f>
        <v>1.11.6.4</v>
      </c>
      <c r="B2487" s="252" t="str">
        <f>VLOOKUP(A2487,'[3]Planilha Orçamentária'!A:K,2,0)</f>
        <v>CP-92268-29291149</v>
      </c>
      <c r="C2487" s="253" t="str">
        <f>VLOOKUP(A2487,'[3]Planilha Orçamentária'!A:K,3,0)</f>
        <v>FABRICAÇÃO DE FÔRMA PARA LAJES, EM CHAPA DE MADEIRA COMPENSADA PLASTIFICADA, E = 18 MM - EXCLUINDO O PAINEL DE MADEIRA COMPENSADA PLASTIFICADA DE 2200 x 1100 MM, E = *17* MM</v>
      </c>
      <c r="D2487" s="254" t="str">
        <f>VLOOKUP(A2487,'[3]Planilha Orçamentária'!A:K,4,0)</f>
        <v>M2</v>
      </c>
      <c r="E2487" s="255"/>
      <c r="F2487" s="256"/>
      <c r="G2487" s="256"/>
      <c r="H2487" s="256"/>
      <c r="I2487" s="256"/>
      <c r="J2487" s="257">
        <f>ROUND(SUM(J2488:J2489),2)</f>
        <v>80.36</v>
      </c>
    </row>
    <row r="2488" spans="1:10">
      <c r="A2488" s="258"/>
      <c r="B2488" s="258"/>
      <c r="C2488" s="259" t="s">
        <v>2314</v>
      </c>
      <c r="D2488" s="174"/>
      <c r="E2488" s="279"/>
      <c r="F2488" s="174" t="s">
        <v>2067</v>
      </c>
      <c r="G2488" s="174" t="s">
        <v>2002</v>
      </c>
      <c r="H2488" s="174" t="s">
        <v>1989</v>
      </c>
      <c r="I2488" s="174"/>
      <c r="J2488" s="258"/>
    </row>
    <row r="2489" spans="1:10" ht="28.5">
      <c r="A2489" s="258"/>
      <c r="B2489" s="258"/>
      <c r="C2489" s="280" t="s">
        <v>2068</v>
      </c>
      <c r="D2489" s="156"/>
      <c r="E2489" s="157"/>
      <c r="F2489" s="136">
        <f>1*4</f>
        <v>4</v>
      </c>
      <c r="G2489" s="136">
        <v>0.15</v>
      </c>
      <c r="H2489" s="136">
        <f>F2485</f>
        <v>133.93</v>
      </c>
      <c r="I2489" s="286"/>
      <c r="J2489" s="158">
        <f>ROUND(PRODUCT(E2489:I2489),2)</f>
        <v>80.36</v>
      </c>
    </row>
    <row r="2490" spans="1:10">
      <c r="A2490" s="535"/>
      <c r="B2490" s="536"/>
      <c r="C2490" s="536"/>
      <c r="D2490" s="536"/>
      <c r="E2490" s="536"/>
      <c r="F2490" s="536"/>
      <c r="G2490" s="536"/>
      <c r="H2490" s="536"/>
      <c r="I2490" s="536"/>
      <c r="J2490" s="537"/>
    </row>
    <row r="2491" spans="1:10" ht="51">
      <c r="A2491" s="251" t="str">
        <f>'[3]Planilha Orçamentária'!A655</f>
        <v>1.11.6.5</v>
      </c>
      <c r="B2491" s="252">
        <f>VLOOKUP(A2491,'[3]Planilha Orçamentária'!A:K,2,0)</f>
        <v>103320</v>
      </c>
      <c r="C2491" s="253" t="str">
        <f>VLOOKUP(A2491,'[3]Planilha Orçamentária'!A:K,3,0)</f>
        <v>ALVENARIA DE VEDAÇÃO DE BLOCOS VAZADOS DE CONCRETO DE 19X19X39 CM (ESPESSURA 19 CM) E ARGAMASSA DE ASSENTAMENTO COM PREPARO EM BETONEIRA. AF_12/2021</v>
      </c>
      <c r="D2491" s="254" t="str">
        <f>VLOOKUP(A2491,'[3]Planilha Orçamentária'!A:K,4,0)</f>
        <v>M2</v>
      </c>
      <c r="E2491" s="255"/>
      <c r="F2491" s="256"/>
      <c r="G2491" s="256"/>
      <c r="H2491" s="256"/>
      <c r="I2491" s="256"/>
      <c r="J2491" s="257">
        <f>ROUND(SUM(J2492:J2493),2)</f>
        <v>107.14</v>
      </c>
    </row>
    <row r="2492" spans="1:10">
      <c r="A2492" s="258"/>
      <c r="B2492" s="258"/>
      <c r="C2492" s="259" t="s">
        <v>2314</v>
      </c>
      <c r="D2492" s="174"/>
      <c r="E2492" s="279"/>
      <c r="F2492" s="174" t="s">
        <v>1989</v>
      </c>
      <c r="G2492" s="174"/>
      <c r="H2492" s="174" t="s">
        <v>2069</v>
      </c>
      <c r="I2492" s="174" t="s">
        <v>2070</v>
      </c>
      <c r="J2492" s="258"/>
    </row>
    <row r="2493" spans="1:10" ht="14.25">
      <c r="A2493" s="258"/>
      <c r="B2493" s="258"/>
      <c r="C2493" s="280" t="s">
        <v>2071</v>
      </c>
      <c r="D2493" s="156"/>
      <c r="E2493" s="157"/>
      <c r="F2493" s="136">
        <f>H2489</f>
        <v>133.93</v>
      </c>
      <c r="G2493" s="136"/>
      <c r="H2493" s="136">
        <v>0.4</v>
      </c>
      <c r="I2493" s="136">
        <v>2</v>
      </c>
      <c r="J2493" s="158">
        <f>ROUND(PRODUCT(E2493:I2493),2)</f>
        <v>107.14</v>
      </c>
    </row>
    <row r="2494" spans="1:10">
      <c r="A2494" s="535"/>
      <c r="B2494" s="536"/>
      <c r="C2494" s="536"/>
      <c r="D2494" s="536"/>
      <c r="E2494" s="536"/>
      <c r="F2494" s="536"/>
      <c r="G2494" s="536"/>
      <c r="H2494" s="536"/>
      <c r="I2494" s="536"/>
      <c r="J2494" s="537"/>
    </row>
    <row r="2495" spans="1:10" ht="51">
      <c r="A2495" s="251" t="str">
        <f>'[3]Planilha Orçamentária'!A656</f>
        <v>1.11.6.6</v>
      </c>
      <c r="B2495" s="252">
        <f>VLOOKUP(A2495,'[3]Planilha Orçamentária'!A:K,2,0)</f>
        <v>87879</v>
      </c>
      <c r="C2495" s="253" t="str">
        <f>VLOOKUP(A2495,'[3]Planilha Orçamentária'!A:K,3,0)</f>
        <v>CHAPISCO APLICADO EM ALVENARIAS E ESTRUTURAS DE CONCRETO INTERNAS, COM COLHER DE PEDREIRO.  ARGAMASSA TRAÇO 1:3 COM PREPARO EM BETONEIRA 400L. AF_06/2014</v>
      </c>
      <c r="D2495" s="254" t="str">
        <f>VLOOKUP(A2495,'[3]Planilha Orçamentária'!A:K,4,0)</f>
        <v>M2</v>
      </c>
      <c r="E2495" s="255"/>
      <c r="F2495" s="256"/>
      <c r="G2495" s="256"/>
      <c r="H2495" s="256"/>
      <c r="I2495" s="256"/>
      <c r="J2495" s="257">
        <f>ROUND(SUM(J2496:J2497),2)</f>
        <v>107.14</v>
      </c>
    </row>
    <row r="2496" spans="1:10">
      <c r="A2496" s="258"/>
      <c r="B2496" s="258"/>
      <c r="C2496" s="259" t="s">
        <v>2314</v>
      </c>
      <c r="D2496" s="258"/>
      <c r="E2496" s="258"/>
      <c r="F2496" s="258"/>
      <c r="G2496" s="258"/>
      <c r="H2496" s="136"/>
      <c r="I2496" s="287"/>
      <c r="J2496" s="258"/>
    </row>
    <row r="2497" spans="1:10" ht="14.25">
      <c r="A2497" s="258"/>
      <c r="B2497" s="258"/>
      <c r="C2497" s="280" t="s">
        <v>2072</v>
      </c>
      <c r="D2497" s="156"/>
      <c r="E2497" s="157"/>
      <c r="F2497" s="136"/>
      <c r="G2497" s="136"/>
      <c r="H2497" s="136"/>
      <c r="I2497" s="288">
        <f>J2491</f>
        <v>107.14</v>
      </c>
      <c r="J2497" s="158">
        <f>ROUND(PRODUCT(E2497:I2497),2)</f>
        <v>107.14</v>
      </c>
    </row>
    <row r="2498" spans="1:10">
      <c r="A2498" s="535"/>
      <c r="B2498" s="536"/>
      <c r="C2498" s="536"/>
      <c r="D2498" s="536"/>
      <c r="E2498" s="536"/>
      <c r="F2498" s="536"/>
      <c r="G2498" s="536"/>
      <c r="H2498" s="536"/>
      <c r="I2498" s="536"/>
      <c r="J2498" s="537"/>
    </row>
    <row r="2499" spans="1:10" ht="63.75">
      <c r="A2499" s="251" t="str">
        <f>'[3]Planilha Orçamentária'!A657</f>
        <v>1.11.6.7</v>
      </c>
      <c r="B2499" s="252">
        <f>VLOOKUP(A2499,'[3]Planilha Orçamentária'!A:K,2,0)</f>
        <v>87547</v>
      </c>
      <c r="C2499" s="253" t="str">
        <f>VLOOKUP(A2499,'[3]Planilha Orçamentária'!A:K,3,0)</f>
        <v>MASSA ÚNICA, PARA RECEBIMENTO DE PINTURA, EM ARGAMASSA TRAÇO 1:2:8, PREPARO MECÂNICO COM BETONEIRA 400L, APLICADA MANUALMENTE EM FACES INTERNAS DE PAREDES, ESPESSURA DE 10MM, COM EXECUÇÃO DE TALISCAS. AF_06/2014</v>
      </c>
      <c r="D2499" s="254" t="str">
        <f>VLOOKUP(A2499,'[3]Planilha Orçamentária'!A:K,4,0)</f>
        <v>M2</v>
      </c>
      <c r="E2499" s="255"/>
      <c r="F2499" s="256"/>
      <c r="G2499" s="256"/>
      <c r="H2499" s="256"/>
      <c r="I2499" s="256"/>
      <c r="J2499" s="257">
        <f>ROUND(SUM(J2500:J2501),2)</f>
        <v>107.14</v>
      </c>
    </row>
    <row r="2500" spans="1:10">
      <c r="A2500" s="258"/>
      <c r="B2500" s="258"/>
      <c r="C2500" s="259" t="s">
        <v>2314</v>
      </c>
      <c r="D2500" s="258"/>
      <c r="E2500" s="258"/>
      <c r="F2500" s="258"/>
      <c r="G2500" s="258"/>
      <c r="H2500" s="136"/>
      <c r="I2500" s="287"/>
      <c r="J2500" s="258"/>
    </row>
    <row r="2501" spans="1:10" ht="14.25">
      <c r="A2501" s="258"/>
      <c r="B2501" s="258"/>
      <c r="C2501" s="280" t="s">
        <v>2072</v>
      </c>
      <c r="D2501" s="156"/>
      <c r="E2501" s="157"/>
      <c r="F2501" s="136"/>
      <c r="G2501" s="136"/>
      <c r="H2501" s="136"/>
      <c r="I2501" s="288">
        <f>J2495</f>
        <v>107.14</v>
      </c>
      <c r="J2501" s="158">
        <f>ROUND(PRODUCT(E2501:I2501),2)</f>
        <v>107.14</v>
      </c>
    </row>
    <row r="2502" spans="1:10">
      <c r="A2502" s="535"/>
      <c r="B2502" s="536"/>
      <c r="C2502" s="536"/>
      <c r="D2502" s="536"/>
      <c r="E2502" s="536"/>
      <c r="F2502" s="536"/>
      <c r="G2502" s="536"/>
      <c r="H2502" s="536"/>
      <c r="I2502" s="536"/>
      <c r="J2502" s="537"/>
    </row>
    <row r="2503" spans="1:10" ht="38.25">
      <c r="A2503" s="251" t="str">
        <f>'[3]Planilha Orçamentária'!A658</f>
        <v>1.11.6.8</v>
      </c>
      <c r="B2503" s="252">
        <f>VLOOKUP(A2503,'[3]Planilha Orçamentária'!A:K,2,0)</f>
        <v>94975</v>
      </c>
      <c r="C2503" s="253" t="str">
        <f>VLOOKUP(A2503,'[3]Planilha Orçamentária'!A:K,3,0)</f>
        <v>CONCRETO FCK = 15MPA, TRAÇO 1:3,4:3,5 (EM MASSA SECA DE CIMENTO/ AREIA MÉDIA/ BRITA 1) - PREPARO MANUAL. AF_05/2021</v>
      </c>
      <c r="D2503" s="254" t="str">
        <f>VLOOKUP(A2503,'[3]Planilha Orçamentária'!A:K,4,0)</f>
        <v>M3</v>
      </c>
      <c r="E2503" s="255"/>
      <c r="F2503" s="256"/>
      <c r="G2503" s="256"/>
      <c r="H2503" s="256"/>
      <c r="I2503" s="256"/>
      <c r="J2503" s="257">
        <f>ROUND(SUM(J2504:J2506),2)</f>
        <v>11.4</v>
      </c>
    </row>
    <row r="2504" spans="1:10">
      <c r="A2504" s="258"/>
      <c r="B2504" s="258"/>
      <c r="C2504" s="259" t="s">
        <v>2314</v>
      </c>
      <c r="D2504" s="258"/>
      <c r="E2504" s="258"/>
      <c r="F2504" s="258" t="s">
        <v>1989</v>
      </c>
      <c r="G2504" s="258"/>
      <c r="H2504" s="136"/>
      <c r="I2504" s="287"/>
      <c r="J2504" s="258"/>
    </row>
    <row r="2505" spans="1:10" ht="28.5">
      <c r="A2505" s="258"/>
      <c r="B2505" s="258"/>
      <c r="C2505" s="221" t="s">
        <v>2048</v>
      </c>
      <c r="D2505" s="289"/>
      <c r="E2505" s="290" t="s">
        <v>2073</v>
      </c>
      <c r="F2505" s="290" t="s">
        <v>2074</v>
      </c>
      <c r="G2505" s="282"/>
      <c r="H2505" s="290" t="s">
        <v>2075</v>
      </c>
      <c r="I2505" s="287"/>
      <c r="J2505" s="258"/>
    </row>
    <row r="2506" spans="1:10" ht="28.5">
      <c r="A2506" s="258"/>
      <c r="B2506" s="258"/>
      <c r="C2506" s="280" t="s">
        <v>2076</v>
      </c>
      <c r="D2506" s="289"/>
      <c r="E2506" s="291">
        <f>0.294*0.14*0.19</f>
        <v>7.8203999999999999E-3</v>
      </c>
      <c r="F2506" s="282">
        <v>13.6</v>
      </c>
      <c r="G2506" s="292"/>
      <c r="H2506" s="136">
        <f>J2491</f>
        <v>107.14</v>
      </c>
      <c r="I2506" s="287"/>
      <c r="J2506" s="158">
        <f>ROUND(PRODUCT(E2506:I2506),2)</f>
        <v>11.4</v>
      </c>
    </row>
    <row r="2507" spans="1:10">
      <c r="A2507" s="535"/>
      <c r="B2507" s="536"/>
      <c r="C2507" s="536"/>
      <c r="D2507" s="536"/>
      <c r="E2507" s="536"/>
      <c r="F2507" s="536"/>
      <c r="G2507" s="536"/>
      <c r="H2507" s="536"/>
      <c r="I2507" s="536"/>
      <c r="J2507" s="537"/>
    </row>
    <row r="2508" spans="1:10" ht="25.5">
      <c r="A2508" s="251" t="str">
        <f>'[3]Planilha Orçamentária'!A659</f>
        <v>1.11.6.9</v>
      </c>
      <c r="B2508" s="252" t="str">
        <f>VLOOKUP(A2508,'[3]Planilha Orçamentária'!A:K,2,0)</f>
        <v>CP-74157/004-48264518</v>
      </c>
      <c r="C2508" s="253" t="str">
        <f>VLOOKUP(A2508,'[3]Planilha Orçamentária'!A:K,3,0)</f>
        <v>LANCAMENTO/APLICACAO MANUAL DE CONCRETO EM FUNDACOES (concreto magro)</v>
      </c>
      <c r="D2508" s="254" t="str">
        <f>VLOOKUP(A2508,'[3]Planilha Orçamentária'!A:K,4,0)</f>
        <v>M3</v>
      </c>
      <c r="E2508" s="255"/>
      <c r="F2508" s="256"/>
      <c r="G2508" s="256"/>
      <c r="H2508" s="256"/>
      <c r="I2508" s="256"/>
      <c r="J2508" s="257">
        <f>ROUND(SUM(J2509:J2510),2)</f>
        <v>41.86</v>
      </c>
    </row>
    <row r="2509" spans="1:10">
      <c r="A2509" s="258"/>
      <c r="B2509" s="258"/>
      <c r="C2509" s="259" t="s">
        <v>2314</v>
      </c>
      <c r="D2509" s="258"/>
      <c r="E2509" s="258"/>
      <c r="F2509" s="258"/>
      <c r="G2509" s="258"/>
      <c r="H2509" s="136"/>
      <c r="I2509" s="287"/>
      <c r="J2509" s="258"/>
    </row>
    <row r="2510" spans="1:10" ht="14.25">
      <c r="A2510" s="258"/>
      <c r="B2510" s="258"/>
      <c r="C2510" s="280" t="s">
        <v>2315</v>
      </c>
      <c r="D2510" s="156"/>
      <c r="E2510" s="157"/>
      <c r="F2510" s="136"/>
      <c r="G2510" s="136"/>
      <c r="H2510" s="136"/>
      <c r="I2510" s="136">
        <f>J2503+J2479+J2474</f>
        <v>41.86</v>
      </c>
      <c r="J2510" s="158">
        <f>ROUND(PRODUCT(E2510:I2510),2)</f>
        <v>41.86</v>
      </c>
    </row>
    <row r="2511" spans="1:10">
      <c r="A2511" s="535"/>
      <c r="B2511" s="536"/>
      <c r="C2511" s="536"/>
      <c r="D2511" s="536"/>
      <c r="E2511" s="536"/>
      <c r="F2511" s="536"/>
      <c r="G2511" s="536"/>
      <c r="H2511" s="536"/>
      <c r="I2511" s="536"/>
      <c r="J2511" s="537"/>
    </row>
    <row r="2512" spans="1:10">
      <c r="A2512" s="94" t="str">
        <f>'[3]Planilha Orçamentária'!A660</f>
        <v>1.11.7</v>
      </c>
      <c r="B2512" s="95"/>
      <c r="C2512" s="96" t="str">
        <f>VLOOKUP(A2512,'[3]Planilha Orçamentária'!A:K,3,0)</f>
        <v>SINALIZAÇÃO</v>
      </c>
      <c r="D2512" s="96"/>
      <c r="E2512" s="129"/>
      <c r="F2512" s="130"/>
      <c r="G2512" s="130"/>
      <c r="H2512" s="130"/>
      <c r="I2512" s="130"/>
      <c r="J2512" s="131"/>
    </row>
    <row r="2513" spans="1:10" ht="25.5">
      <c r="A2513" s="251" t="str">
        <f>'[3]Planilha Orçamentária'!A661</f>
        <v>1.11.7.1</v>
      </c>
      <c r="B2513" s="252">
        <f>VLOOKUP(A2513,'[3]Planilha Orçamentária'!A:K,2,0)</f>
        <v>5213421</v>
      </c>
      <c r="C2513" s="253" t="str">
        <f>VLOOKUP(A2513,'[3]Planilha Orçamentária'!A:K,3,0)</f>
        <v>Confecção de placa em aço nº 16 galvanizado, com película tipo I + IV</v>
      </c>
      <c r="D2513" s="254" t="str">
        <f>VLOOKUP(A2513,'[3]Planilha Orçamentária'!A:K,4,0)</f>
        <v xml:space="preserve">M2    </v>
      </c>
      <c r="E2513" s="255"/>
      <c r="F2513" s="256"/>
      <c r="G2513" s="256"/>
      <c r="H2513" s="256"/>
      <c r="I2513" s="256"/>
      <c r="J2513" s="257">
        <f>ROUND(SUM(J2514:J2518),2)</f>
        <v>2.98</v>
      </c>
    </row>
    <row r="2514" spans="1:10">
      <c r="A2514" s="293"/>
      <c r="B2514" s="294"/>
      <c r="C2514" s="165" t="s">
        <v>2316</v>
      </c>
      <c r="D2514" s="105"/>
      <c r="E2514" s="241"/>
      <c r="F2514" s="105"/>
      <c r="G2514" s="105"/>
      <c r="H2514" s="241" t="s">
        <v>2003</v>
      </c>
      <c r="I2514" s="241" t="s">
        <v>1446</v>
      </c>
      <c r="J2514" s="299"/>
    </row>
    <row r="2515" spans="1:10">
      <c r="A2515" s="293"/>
      <c r="B2515" s="294"/>
      <c r="C2515" s="244" t="s">
        <v>2079</v>
      </c>
      <c r="D2515" s="307"/>
      <c r="E2515" s="116"/>
      <c r="F2515" s="116"/>
      <c r="G2515" s="116"/>
      <c r="H2515" s="116">
        <v>0.2</v>
      </c>
      <c r="I2515" s="157">
        <v>5</v>
      </c>
      <c r="J2515" s="118">
        <f>ROUND(PRODUCT(E2515:I2515),2)</f>
        <v>1</v>
      </c>
    </row>
    <row r="2516" spans="1:10">
      <c r="A2516" s="311"/>
      <c r="B2516" s="345"/>
      <c r="C2516" s="409" t="s">
        <v>2081</v>
      </c>
      <c r="D2516" s="303"/>
      <c r="E2516" s="304"/>
      <c r="F2516" s="304"/>
      <c r="G2516" s="304"/>
      <c r="H2516" s="304">
        <f>0.5*0.5</f>
        <v>0.25</v>
      </c>
      <c r="I2516" s="410">
        <v>4</v>
      </c>
      <c r="J2516" s="118">
        <f>ROUND(PRODUCT(E2516:I2516),2)</f>
        <v>1</v>
      </c>
    </row>
    <row r="2517" spans="1:10" ht="14.25">
      <c r="A2517" s="311"/>
      <c r="B2517" s="345"/>
      <c r="C2517" s="390" t="s">
        <v>2116</v>
      </c>
      <c r="D2517" s="391"/>
      <c r="E2517" s="392"/>
      <c r="F2517" s="393"/>
      <c r="G2517" s="393"/>
      <c r="H2517" s="304">
        <f>3.14*0.25^2</f>
        <v>0.19625000000000001</v>
      </c>
      <c r="I2517" s="410">
        <v>5</v>
      </c>
      <c r="J2517" s="118">
        <f>ROUND(PRODUCT(E2517:I2517),2)</f>
        <v>0.98</v>
      </c>
    </row>
    <row r="2518" spans="1:10">
      <c r="A2518" s="538"/>
      <c r="B2518" s="539"/>
      <c r="C2518" s="539"/>
      <c r="D2518" s="539"/>
      <c r="E2518" s="539"/>
      <c r="F2518" s="539"/>
      <c r="G2518" s="539"/>
      <c r="H2518" s="539"/>
      <c r="I2518" s="539"/>
      <c r="J2518" s="539"/>
    </row>
    <row r="2519" spans="1:10" ht="38.25">
      <c r="A2519" s="132" t="str">
        <f>'[3]Planilha Orçamentária'!A662</f>
        <v>1.11.7.2</v>
      </c>
      <c r="B2519" s="103">
        <f>VLOOKUP(A2519,'[3]Planilha Orçamentária'!A:K,2,0)</f>
        <v>5216111</v>
      </c>
      <c r="C2519" s="276" t="str">
        <f>VLOOKUP(A2519,'[3]Planilha Orçamentária'!A:K,3,0)</f>
        <v>FORNECIMENTO E IMPLANTAÇÃO DE SUPORTE E TRAVESSA PARA PLACA DE SINALIZAÇÃO EM MADEIRA DE LEI TRATADA 8 X 8 CM</v>
      </c>
      <c r="D2519" s="105" t="str">
        <f>VLOOKUP(A2519,'[3]Planilha Orçamentária'!A:K,4,0)</f>
        <v>UND</v>
      </c>
      <c r="E2519" s="104"/>
      <c r="F2519" s="111"/>
      <c r="G2519" s="111"/>
      <c r="H2519" s="111"/>
      <c r="I2519" s="111"/>
      <c r="J2519" s="107">
        <f>ROUND(SUM(J2520:J2521),2)</f>
        <v>7</v>
      </c>
    </row>
    <row r="2520" spans="1:10">
      <c r="A2520" s="138"/>
      <c r="B2520" s="138"/>
      <c r="C2520" s="165" t="s">
        <v>2316</v>
      </c>
      <c r="D2520" s="105"/>
      <c r="E2520" s="104"/>
      <c r="F2520" s="111"/>
      <c r="G2520" s="111"/>
      <c r="H2520" s="111"/>
      <c r="I2520" s="241" t="s">
        <v>1446</v>
      </c>
      <c r="J2520" s="118"/>
    </row>
    <row r="2521" spans="1:10">
      <c r="A2521" s="314"/>
      <c r="B2521" s="314"/>
      <c r="C2521" s="244" t="s">
        <v>2046</v>
      </c>
      <c r="D2521" s="307"/>
      <c r="E2521" s="313"/>
      <c r="F2521" s="116"/>
      <c r="G2521" s="116"/>
      <c r="H2521" s="157"/>
      <c r="I2521" s="157">
        <v>7</v>
      </c>
      <c r="J2521" s="118">
        <f>ROUND(PRODUCT(E2521:I2521),2)</f>
        <v>7</v>
      </c>
    </row>
    <row r="2522" spans="1:10">
      <c r="A2522" s="524"/>
      <c r="B2522" s="524"/>
      <c r="C2522" s="524"/>
      <c r="D2522" s="524"/>
      <c r="E2522" s="524"/>
      <c r="F2522" s="524"/>
      <c r="G2522" s="524"/>
      <c r="H2522" s="524"/>
      <c r="I2522" s="524"/>
      <c r="J2522" s="525"/>
    </row>
    <row r="2523" spans="1:10" ht="25.5">
      <c r="A2523" s="132" t="str">
        <f>'[3]Planilha Orçamentária'!A663</f>
        <v>1.11.7.3</v>
      </c>
      <c r="B2523" s="103" t="str">
        <f>VLOOKUP(A2523,'[3]Planilha Orçamentária'!A:K,2,0)</f>
        <v>COMP-58084869</v>
      </c>
      <c r="C2523" s="276" t="str">
        <f>VLOOKUP(A2523,'[3]Planilha Orçamentária'!A:K,3,0)</f>
        <v>PLACA ESMALTADA PARA IDENTIFICAÇÃO NR DE RUA, DIMENSÕES 45X25CM</v>
      </c>
      <c r="D2523" s="105" t="str">
        <f>VLOOKUP(A2523,'[3]Planilha Orçamentária'!A:K,4,0)</f>
        <v>UND</v>
      </c>
      <c r="E2523" s="104"/>
      <c r="F2523" s="111"/>
      <c r="G2523" s="111"/>
      <c r="H2523" s="111"/>
      <c r="I2523" s="111"/>
      <c r="J2523" s="107">
        <f>ROUND(SUM(J2525:J2525),2)</f>
        <v>6</v>
      </c>
    </row>
    <row r="2524" spans="1:10">
      <c r="A2524" s="251"/>
      <c r="B2524" s="252"/>
      <c r="C2524" s="165" t="s">
        <v>2316</v>
      </c>
      <c r="D2524" s="105"/>
      <c r="E2524" s="104"/>
      <c r="F2524" s="111"/>
      <c r="G2524" s="111"/>
      <c r="H2524" s="111"/>
      <c r="I2524" s="241" t="s">
        <v>1446</v>
      </c>
      <c r="J2524" s="257"/>
    </row>
    <row r="2525" spans="1:10">
      <c r="A2525" s="314"/>
      <c r="B2525" s="314"/>
      <c r="C2525" s="244" t="s">
        <v>2046</v>
      </c>
      <c r="D2525" s="105"/>
      <c r="E2525" s="104"/>
      <c r="F2525" s="111"/>
      <c r="G2525" s="111"/>
      <c r="H2525" s="111"/>
      <c r="I2525" s="157">
        <v>6</v>
      </c>
      <c r="J2525" s="306">
        <f>ROUND(PRODUCT(E2525:I2525),2)</f>
        <v>6</v>
      </c>
    </row>
    <row r="2526" spans="1:10">
      <c r="A2526" s="523"/>
      <c r="B2526" s="524"/>
      <c r="C2526" s="524"/>
      <c r="D2526" s="524"/>
      <c r="E2526" s="524"/>
      <c r="F2526" s="524"/>
      <c r="G2526" s="524"/>
      <c r="H2526" s="524"/>
      <c r="I2526" s="524"/>
      <c r="J2526" s="525"/>
    </row>
    <row r="2527" spans="1:10" ht="51">
      <c r="A2527" s="132" t="str">
        <f>'[3]Planilha Orçamentária'!A664</f>
        <v>1.11.7.4</v>
      </c>
      <c r="B2527" s="103">
        <f>VLOOKUP(A2527,'[3]Planilha Orçamentária'!A:K,2,0)</f>
        <v>102512</v>
      </c>
      <c r="C2527" s="276" t="str">
        <f>VLOOKUP(A2527,'[3]Planilha Orçamentária'!A:K,3,0)</f>
        <v>PINTURA DE EIXO VIÁRIO SOBRE ASFALTO COM TINTA RETRORREFLETIVA A BASE DE RESINA ACRÍLICA COM MICROESFERAS DE VIDRO, APLICAÇÃO MECÂNICA COM DEMARCADORA AUTOPROPELIDA. AF_05/2021</v>
      </c>
      <c r="D2527" s="105" t="str">
        <f>VLOOKUP(A2527,'[3]Planilha Orçamentária'!A:K,4,0)</f>
        <v>M</v>
      </c>
      <c r="E2527" s="104"/>
      <c r="F2527" s="111"/>
      <c r="G2527" s="111"/>
      <c r="H2527" s="111"/>
      <c r="I2527" s="111"/>
      <c r="J2527" s="107">
        <f>ROUND(SUM(J2529:J2529),2)</f>
        <v>570.15</v>
      </c>
    </row>
    <row r="2528" spans="1:10">
      <c r="A2528" s="251"/>
      <c r="B2528" s="252"/>
      <c r="C2528" s="165" t="s">
        <v>2316</v>
      </c>
      <c r="D2528" s="148"/>
      <c r="E2528" s="357"/>
      <c r="F2528" s="161" t="s">
        <v>1989</v>
      </c>
      <c r="G2528" s="160"/>
      <c r="H2528" s="160"/>
      <c r="I2528" s="357"/>
      <c r="J2528" s="257"/>
    </row>
    <row r="2529" spans="1:10">
      <c r="A2529" s="314"/>
      <c r="B2529" s="314"/>
      <c r="C2529" s="244" t="s">
        <v>2046</v>
      </c>
      <c r="D2529" s="262"/>
      <c r="E2529" s="157"/>
      <c r="F2529" s="157">
        <v>570.15</v>
      </c>
      <c r="G2529" s="157"/>
      <c r="H2529" s="157"/>
      <c r="I2529" s="157"/>
      <c r="J2529" s="306">
        <f>ROUND(PRODUCT(E2529:I2529),2)</f>
        <v>570.15</v>
      </c>
    </row>
    <row r="2530" spans="1:10">
      <c r="A2530" s="523"/>
      <c r="B2530" s="524"/>
      <c r="C2530" s="524"/>
      <c r="D2530" s="524"/>
      <c r="E2530" s="524"/>
      <c r="F2530" s="524"/>
      <c r="G2530" s="524"/>
      <c r="H2530" s="524"/>
      <c r="I2530" s="524"/>
      <c r="J2530" s="525"/>
    </row>
    <row r="2531" spans="1:10" ht="51">
      <c r="A2531" s="132" t="str">
        <f>'[3]Planilha Orçamentária'!A665</f>
        <v>1.11.7.5</v>
      </c>
      <c r="B2531" s="103">
        <f>VLOOKUP(A2531,'[3]Planilha Orçamentária'!A:K,2,0)</f>
        <v>102509</v>
      </c>
      <c r="C2531" s="276" t="str">
        <f>VLOOKUP(A2531,'[3]Planilha Orçamentária'!A:K,3,0)</f>
        <v>PINTURA DE FAIXA DE PEDESTRE OU ZEBRADA TINTA RETRORREFLETIVA A BASE DE RESINA ACRÍLICA COM MICROESFERAS DE VIDRO, E = 30 CM, APLICAÇÃO MANUAL. AF_05/2021</v>
      </c>
      <c r="D2531" s="105" t="str">
        <f>VLOOKUP(A2531,'[3]Planilha Orçamentária'!A:K,4,0)</f>
        <v>M2</v>
      </c>
      <c r="E2531" s="104"/>
      <c r="F2531" s="111"/>
      <c r="G2531" s="111"/>
      <c r="H2531" s="111"/>
      <c r="I2531" s="111"/>
      <c r="J2531" s="107">
        <f>ROUND(SUM(J2533:J2533),2)</f>
        <v>32.04</v>
      </c>
    </row>
    <row r="2532" spans="1:10">
      <c r="A2532" s="251"/>
      <c r="B2532" s="252"/>
      <c r="C2532" s="165" t="s">
        <v>2316</v>
      </c>
      <c r="D2532" s="148"/>
      <c r="E2532" s="357"/>
      <c r="F2532" s="160"/>
      <c r="G2532" s="160"/>
      <c r="H2532" s="160"/>
      <c r="I2532" s="357" t="s">
        <v>2003</v>
      </c>
      <c r="J2532" s="257"/>
    </row>
    <row r="2533" spans="1:10">
      <c r="A2533" s="314"/>
      <c r="B2533" s="314"/>
      <c r="C2533" s="244" t="s">
        <v>2046</v>
      </c>
      <c r="D2533" s="262"/>
      <c r="E2533" s="157"/>
      <c r="F2533" s="157"/>
      <c r="G2533" s="157"/>
      <c r="H2533" s="157"/>
      <c r="I2533" s="157">
        <v>32.04</v>
      </c>
      <c r="J2533" s="306">
        <f>ROUND(PRODUCT(E2533:I2533),2)</f>
        <v>32.04</v>
      </c>
    </row>
    <row r="2534" spans="1:10">
      <c r="A2534" s="523"/>
      <c r="B2534" s="524"/>
      <c r="C2534" s="524"/>
      <c r="D2534" s="524"/>
      <c r="E2534" s="524"/>
      <c r="F2534" s="524"/>
      <c r="G2534" s="524"/>
      <c r="H2534" s="524"/>
      <c r="I2534" s="524"/>
      <c r="J2534" s="525"/>
    </row>
    <row r="2535" spans="1:10">
      <c r="A2535" s="94" t="str">
        <f>'[3]Planilha Orçamentária'!A666</f>
        <v>1.11.8</v>
      </c>
      <c r="B2535" s="95"/>
      <c r="C2535" s="96" t="str">
        <f>VLOOKUP(A2535,'[3]Planilha Orçamentária'!A:K,3,0)</f>
        <v>ACESSIBILIDADE</v>
      </c>
      <c r="D2535" s="96"/>
      <c r="E2535" s="129"/>
      <c r="F2535" s="130"/>
      <c r="G2535" s="130"/>
      <c r="H2535" s="130"/>
      <c r="I2535" s="130"/>
      <c r="J2535" s="131"/>
    </row>
    <row r="2536" spans="1:10" ht="51">
      <c r="A2536" s="251" t="str">
        <f>'[3]Planilha Orçamentária'!A667</f>
        <v>1.11.8.1</v>
      </c>
      <c r="B2536" s="252" t="str">
        <f>VLOOKUP(A2536,'[3]Planilha Orçamentária'!A:K,2,0)</f>
        <v>CP-S12039-81921471</v>
      </c>
      <c r="C2536" s="253" t="str">
        <f>VLOOKUP(A2536,'[3]Planilha Orçamentária'!A:K,3,0)</f>
        <v>Piso tátil direcional e/ou alerta, de concreto, na cor natural, p/deficientes visuais, dimensões 40x40cm, aplicado com argamassa industrializada ac-ii, rejuntado, exclusive regularização de base</v>
      </c>
      <c r="D2536" s="254" t="str">
        <f>VLOOKUP(A2536,'[3]Planilha Orçamentária'!A:K,4,0)</f>
        <v>M2</v>
      </c>
      <c r="E2536" s="255"/>
      <c r="F2536" s="256"/>
      <c r="G2536" s="256"/>
      <c r="H2536" s="256"/>
      <c r="I2536" s="256"/>
      <c r="J2536" s="122">
        <f>ROUND(SUM(J2537:J2538),2)</f>
        <v>11.58</v>
      </c>
    </row>
    <row r="2537" spans="1:10">
      <c r="A2537" s="251"/>
      <c r="B2537" s="252"/>
      <c r="C2537" s="165" t="s">
        <v>2316</v>
      </c>
      <c r="D2537" s="166"/>
      <c r="E2537" s="426"/>
      <c r="F2537" s="149"/>
      <c r="G2537" s="149"/>
      <c r="H2537" s="149"/>
      <c r="I2537" s="426" t="s">
        <v>2003</v>
      </c>
      <c r="J2537" s="257"/>
    </row>
    <row r="2538" spans="1:10">
      <c r="A2538" s="138"/>
      <c r="B2538" s="138"/>
      <c r="C2538" s="244" t="s">
        <v>2046</v>
      </c>
      <c r="D2538" s="262"/>
      <c r="E2538" s="157"/>
      <c r="F2538" s="157"/>
      <c r="G2538" s="157"/>
      <c r="H2538" s="157"/>
      <c r="I2538" s="157">
        <v>11.58</v>
      </c>
      <c r="J2538" s="128">
        <f>ROUND(PRODUCT(E2538:I2538),2)</f>
        <v>11.58</v>
      </c>
    </row>
    <row r="2539" spans="1:10">
      <c r="A2539" s="523"/>
      <c r="B2539" s="524"/>
      <c r="C2539" s="524"/>
      <c r="D2539" s="524"/>
      <c r="E2539" s="524"/>
      <c r="F2539" s="524"/>
      <c r="G2539" s="524"/>
      <c r="H2539" s="524"/>
      <c r="I2539" s="524"/>
      <c r="J2539" s="524"/>
    </row>
    <row r="2540" spans="1:10">
      <c r="A2540" s="94" t="str">
        <f>'[3]Planilha Orçamentária'!A668</f>
        <v>1.11.9</v>
      </c>
      <c r="B2540" s="95"/>
      <c r="C2540" s="96" t="str">
        <f>VLOOKUP(A2540,'[3]Planilha Orçamentária'!A:K,3,0)</f>
        <v>MATERIAIS</v>
      </c>
      <c r="D2540" s="96"/>
      <c r="E2540" s="129"/>
      <c r="F2540" s="130"/>
      <c r="G2540" s="130"/>
      <c r="H2540" s="130"/>
      <c r="I2540" s="130"/>
      <c r="J2540" s="131"/>
    </row>
    <row r="2541" spans="1:10" ht="51">
      <c r="A2541" s="145" t="str">
        <f>'[3]Planilha Orçamentária'!A669</f>
        <v>1.11.9.1</v>
      </c>
      <c r="B2541" s="146">
        <f>VLOOKUP(A2541,'[3]Planilha Orçamentária'!A:K,2,0)</f>
        <v>10775</v>
      </c>
      <c r="C2541" s="147" t="str">
        <f>VLOOKUP(A2541,'[3]Planilha Orçamentária'!A:K,3,0)</f>
        <v xml:space="preserve">LOCACAO DE CONTAINER 2,30 X 6,00 M, ALT. 2,50 M, COM 1 SANITARIO, PARA ESCRITORIO, COMPLETO, SEM DIVISORIAS INTERNAS (NAO INCLUI MOBILIZACAO/DESMOBILIZACAO)                                                                                                                                                                                                                                                                                                                                              </v>
      </c>
      <c r="D2541" s="148" t="str">
        <f>VLOOKUP(A2541,'[3]Planilha Orçamentária'!A:K,4,0)</f>
        <v xml:space="preserve">MES   </v>
      </c>
      <c r="E2541" s="147"/>
      <c r="F2541" s="160"/>
      <c r="G2541" s="160"/>
      <c r="H2541" s="160"/>
      <c r="I2541" s="160"/>
      <c r="J2541" s="218">
        <f>ROUND(SUM(J2543:J2543),2)</f>
        <v>2</v>
      </c>
    </row>
    <row r="2542" spans="1:10" ht="25.5">
      <c r="A2542" s="151"/>
      <c r="B2542" s="152"/>
      <c r="C2542" s="168"/>
      <c r="D2542" s="166"/>
      <c r="E2542" s="168"/>
      <c r="F2542" s="320"/>
      <c r="G2542" s="149"/>
      <c r="H2542" s="149"/>
      <c r="I2542" s="106" t="s">
        <v>1992</v>
      </c>
      <c r="J2542" s="321"/>
    </row>
    <row r="2543" spans="1:10">
      <c r="A2543" s="123"/>
      <c r="B2543" s="123"/>
      <c r="C2543" s="155"/>
      <c r="D2543" s="185"/>
      <c r="E2543" s="116"/>
      <c r="F2543" s="126"/>
      <c r="G2543" s="116"/>
      <c r="H2543" s="116"/>
      <c r="I2543" s="116">
        <f>I2334</f>
        <v>2</v>
      </c>
      <c r="J2543" s="128">
        <f>ROUND(PRODUCT(E2543:I2543),2)</f>
        <v>2</v>
      </c>
    </row>
    <row r="2544" spans="1:10">
      <c r="A2544" s="531"/>
      <c r="B2544" s="531"/>
      <c r="C2544" s="531"/>
      <c r="D2544" s="531"/>
      <c r="E2544" s="531"/>
      <c r="F2544" s="531"/>
      <c r="G2544" s="531"/>
      <c r="H2544" s="531"/>
      <c r="I2544" s="531"/>
      <c r="J2544" s="531"/>
    </row>
    <row r="2545" spans="1:10" ht="38.25">
      <c r="A2545" s="145" t="str">
        <f>'[3]Planilha Orçamentária'!A670</f>
        <v>1.11.9.2</v>
      </c>
      <c r="B2545" s="146">
        <f>VLOOKUP(A2545,'[3]Planilha Orçamentária'!A:K,2,0)</f>
        <v>10776</v>
      </c>
      <c r="C2545" s="147" t="str">
        <f>VLOOKUP(A2545,'[3]Planilha Orçamentária'!A:K,3,0)</f>
        <v xml:space="preserve">LOCACAO DE CONTAINER 2,30 X 6,00 M, ALT. 2,50 M, PARA ESCRITORIO, SEM DIVISORIAS INTERNAS E SEM SANITARIO (NAO INCLUI MOBILIZACAO/DESMOBILIZACAO)                                                                                                                                                                                                                                                                                                                                                         </v>
      </c>
      <c r="D2545" s="148" t="str">
        <f>VLOOKUP(A2545,'[3]Planilha Orçamentária'!A:K,4,0)</f>
        <v xml:space="preserve">MES   </v>
      </c>
      <c r="E2545" s="147"/>
      <c r="F2545" s="160"/>
      <c r="G2545" s="160"/>
      <c r="H2545" s="160"/>
      <c r="I2545" s="160"/>
      <c r="J2545" s="218">
        <f>ROUND(SUM(J2547:J2547),2)</f>
        <v>2</v>
      </c>
    </row>
    <row r="2546" spans="1:10" ht="25.5">
      <c r="A2546" s="151"/>
      <c r="B2546" s="152"/>
      <c r="C2546" s="168"/>
      <c r="D2546" s="166"/>
      <c r="E2546" s="168"/>
      <c r="F2546" s="320"/>
      <c r="G2546" s="149"/>
      <c r="H2546" s="149"/>
      <c r="I2546" s="106" t="s">
        <v>1992</v>
      </c>
      <c r="J2546" s="321"/>
    </row>
    <row r="2547" spans="1:10">
      <c r="A2547" s="123"/>
      <c r="B2547" s="123"/>
      <c r="C2547" s="155"/>
      <c r="D2547" s="185"/>
      <c r="E2547" s="116"/>
      <c r="F2547" s="126"/>
      <c r="G2547" s="116"/>
      <c r="H2547" s="116"/>
      <c r="I2547" s="116">
        <f>I2543</f>
        <v>2</v>
      </c>
      <c r="J2547" s="128">
        <f>ROUND(PRODUCT(E2547:I2547),2)</f>
        <v>2</v>
      </c>
    </row>
    <row r="2548" spans="1:10">
      <c r="A2548" s="531"/>
      <c r="B2548" s="531"/>
      <c r="C2548" s="531"/>
      <c r="D2548" s="531"/>
      <c r="E2548" s="531"/>
      <c r="F2548" s="531"/>
      <c r="G2548" s="531"/>
      <c r="H2548" s="531"/>
      <c r="I2548" s="531"/>
      <c r="J2548" s="531"/>
    </row>
    <row r="2549" spans="1:10" ht="38.25">
      <c r="A2549" s="132" t="str">
        <f>'[3]Planilha Orçamentária'!A671</f>
        <v>1.11.9.3</v>
      </c>
      <c r="B2549" s="108">
        <f>VLOOKUP(A2549,'[3]Planilha Orçamentária'!A:K,2,0)</f>
        <v>1518</v>
      </c>
      <c r="C2549" s="104" t="str">
        <f>VLOOKUP(A2549,'[3]Planilha Orçamentária'!A:K,3,0)</f>
        <v xml:space="preserve">CONCRETO BETUMINOSO USINADO A QUENTE (CBUQ) PARA PAVIMENTACAO ASFALTICA, PADRAO DNIT, FAIXA C, COM CAP 50/70 - AQUISICAO POSTO USINA                                                                                                                                                                                                                                                                                                                                                                      </v>
      </c>
      <c r="D2549" s="105" t="str">
        <f>VLOOKUP(A2549,'[3]Planilha Orçamentária'!A:K,4,0)</f>
        <v xml:space="preserve">T     </v>
      </c>
      <c r="E2549" s="104"/>
      <c r="F2549" s="111"/>
      <c r="G2549" s="111"/>
      <c r="H2549" s="111"/>
      <c r="I2549" s="111"/>
      <c r="J2549" s="122">
        <f>ROUND(SUM(J2550:J2551),2)</f>
        <v>112.82</v>
      </c>
    </row>
    <row r="2550" spans="1:10">
      <c r="A2550" s="174"/>
      <c r="B2550" s="174"/>
      <c r="C2550" s="159" t="s">
        <v>2307</v>
      </c>
      <c r="D2550" s="174"/>
      <c r="E2550" s="174" t="s">
        <v>1193</v>
      </c>
      <c r="F2550" s="174"/>
      <c r="G2550" s="174"/>
      <c r="H2550" s="174"/>
      <c r="I2550" s="174" t="s">
        <v>2007</v>
      </c>
      <c r="J2550" s="174"/>
    </row>
    <row r="2551" spans="1:10">
      <c r="A2551" s="174"/>
      <c r="B2551" s="174"/>
      <c r="C2551" s="322" t="s">
        <v>2083</v>
      </c>
      <c r="D2551" s="174"/>
      <c r="E2551" s="174">
        <v>2.5548000000000002</v>
      </c>
      <c r="F2551" s="174"/>
      <c r="G2551" s="174"/>
      <c r="H2551" s="174"/>
      <c r="I2551" s="286">
        <f>J2424</f>
        <v>44.16</v>
      </c>
      <c r="J2551" s="158">
        <f t="shared" ref="J2551" si="174">ROUND(PRODUCT(E2551:I2551),2)</f>
        <v>112.82</v>
      </c>
    </row>
    <row r="2552" spans="1:10">
      <c r="A2552" s="219"/>
      <c r="B2552" s="323"/>
      <c r="C2552" s="323"/>
      <c r="D2552" s="323"/>
      <c r="E2552" s="323"/>
      <c r="F2552" s="323"/>
      <c r="G2552" s="323"/>
      <c r="H2552" s="323"/>
      <c r="I2552" s="323"/>
      <c r="J2552" s="198"/>
    </row>
    <row r="2553" spans="1:10">
      <c r="A2553" s="132" t="str">
        <f>'[3]Planilha Orçamentária'!A672</f>
        <v>1.11.9.4</v>
      </c>
      <c r="B2553" s="108" t="str">
        <f>VLOOKUP(A2553,'[3]Planilha Orçamentária'!A:K,2,0)</f>
        <v>INS-185032</v>
      </c>
      <c r="C2553" s="104" t="str">
        <f>VLOOKUP(A2553,'[3]Planilha Orçamentária'!A:K,3,0)</f>
        <v>BRITA GRADUADA SIMPLES (BGS)</v>
      </c>
      <c r="D2553" s="105" t="str">
        <f>VLOOKUP(A2553,'[3]Planilha Orçamentária'!A:K,4,0)</f>
        <v>M3</v>
      </c>
      <c r="E2553" s="104"/>
      <c r="F2553" s="111"/>
      <c r="G2553" s="111"/>
      <c r="H2553" s="111"/>
      <c r="I2553" s="111"/>
      <c r="J2553" s="122">
        <f>ROUND(SUM(J2554:J2555),2)</f>
        <v>169.98</v>
      </c>
    </row>
    <row r="2554" spans="1:10">
      <c r="A2554" s="174"/>
      <c r="B2554" s="174"/>
      <c r="C2554" s="159" t="s">
        <v>2307</v>
      </c>
      <c r="D2554" s="174"/>
      <c r="E2554" s="174" t="s">
        <v>1193</v>
      </c>
      <c r="F2554" s="174"/>
      <c r="G2554" s="174"/>
      <c r="H2554" s="174"/>
      <c r="I2554" s="174" t="s">
        <v>2007</v>
      </c>
      <c r="J2554" s="174"/>
    </row>
    <row r="2555" spans="1:10">
      <c r="A2555" s="174"/>
      <c r="B2555" s="174"/>
      <c r="C2555" s="324" t="s">
        <v>2084</v>
      </c>
      <c r="D2555" s="137"/>
      <c r="E2555" s="325">
        <v>1</v>
      </c>
      <c r="F2555" s="174"/>
      <c r="G2555" s="174"/>
      <c r="H2555" s="174"/>
      <c r="I2555" s="286">
        <f>J2406</f>
        <v>169.98</v>
      </c>
      <c r="J2555" s="158">
        <f t="shared" ref="J2555" si="175">ROUND(PRODUCT(E2555:I2555),2)</f>
        <v>169.98</v>
      </c>
    </row>
    <row r="2556" spans="1:10">
      <c r="A2556" s="174"/>
      <c r="B2556" s="174"/>
      <c r="C2556" s="174"/>
      <c r="D2556" s="174"/>
      <c r="E2556" s="174"/>
      <c r="F2556" s="174"/>
      <c r="G2556" s="174"/>
      <c r="H2556" s="174"/>
      <c r="I2556" s="174"/>
      <c r="J2556" s="174"/>
    </row>
    <row r="2557" spans="1:10">
      <c r="A2557" s="219"/>
      <c r="B2557" s="323"/>
      <c r="C2557" s="323"/>
      <c r="D2557" s="323"/>
      <c r="E2557" s="323"/>
      <c r="F2557" s="323"/>
      <c r="G2557" s="323"/>
      <c r="H2557" s="323"/>
      <c r="I2557" s="323"/>
      <c r="J2557" s="197"/>
    </row>
    <row r="2558" spans="1:10">
      <c r="A2558" s="132" t="str">
        <f>'[3]Planilha Orçamentária'!A673</f>
        <v>1.11.9.5</v>
      </c>
      <c r="B2558" s="108" t="str">
        <f>VLOOKUP(A2558,'[3]Planilha Orçamentária'!A:K,2,0)</f>
        <v>M0808</v>
      </c>
      <c r="C2558" s="104" t="str">
        <f>VLOOKUP(A2558,'[3]Planilha Orçamentária'!A:K,3,0)</f>
        <v>Brita 4</v>
      </c>
      <c r="D2558" s="105" t="str">
        <f>VLOOKUP(A2558,'[3]Planilha Orçamentária'!A:K,4,0)</f>
        <v>M3</v>
      </c>
      <c r="E2558" s="104"/>
      <c r="F2558" s="111"/>
      <c r="G2558" s="111"/>
      <c r="H2558" s="111"/>
      <c r="I2558" s="111"/>
      <c r="J2558" s="122">
        <f>ROUND(SUM(J2560:J2560),2)</f>
        <v>200.79</v>
      </c>
    </row>
    <row r="2559" spans="1:10">
      <c r="A2559" s="132"/>
      <c r="B2559" s="108"/>
      <c r="C2559" s="326"/>
      <c r="D2559" s="137"/>
      <c r="E2559" s="137" t="s">
        <v>2085</v>
      </c>
      <c r="F2559" s="174"/>
      <c r="G2559" s="174"/>
      <c r="H2559" s="174"/>
      <c r="I2559" s="174" t="s">
        <v>2007</v>
      </c>
      <c r="J2559" s="122"/>
    </row>
    <row r="2560" spans="1:10" ht="15">
      <c r="A2560" s="132"/>
      <c r="B2560" s="108"/>
      <c r="C2560" s="200" t="s">
        <v>2086</v>
      </c>
      <c r="D2560" s="137"/>
      <c r="E2560" s="327">
        <v>1.26</v>
      </c>
      <c r="F2560" s="174"/>
      <c r="G2560" s="174"/>
      <c r="H2560" s="174"/>
      <c r="I2560" s="286">
        <f>J2402</f>
        <v>159.36000000000001</v>
      </c>
      <c r="J2560" s="158">
        <f t="shared" ref="J2560" si="176">ROUND(PRODUCT(E2560:I2560),2)</f>
        <v>200.79</v>
      </c>
    </row>
    <row r="2561" spans="1:10">
      <c r="A2561" s="219"/>
      <c r="B2561" s="323"/>
      <c r="C2561" s="323"/>
      <c r="D2561" s="323"/>
      <c r="E2561" s="323"/>
      <c r="F2561" s="323"/>
      <c r="G2561" s="323"/>
      <c r="H2561" s="323"/>
      <c r="I2561" s="323"/>
      <c r="J2561" s="197"/>
    </row>
    <row r="2562" spans="1:10">
      <c r="A2562" s="132" t="str">
        <f>'[3]Planilha Orçamentária'!A674</f>
        <v>1.11.9.6</v>
      </c>
      <c r="B2562" s="108" t="str">
        <f>VLOOKUP(A2562,'[3]Planilha Orçamentária'!A:K,2,0)</f>
        <v>M1135</v>
      </c>
      <c r="C2562" s="104" t="str">
        <f>VLOOKUP(A2562,'[3]Planilha Orçamentária'!A:K,3,0)</f>
        <v>Pó de pedra</v>
      </c>
      <c r="D2562" s="105" t="str">
        <f>VLOOKUP(A2562,'[3]Planilha Orçamentária'!A:K,4,0)</f>
        <v>M3</v>
      </c>
      <c r="E2562" s="104"/>
      <c r="F2562" s="111"/>
      <c r="G2562" s="111"/>
      <c r="H2562" s="111"/>
      <c r="I2562" s="111"/>
      <c r="J2562" s="122">
        <f>ROUND(SUM(J2564:J2564),2)</f>
        <v>22.31</v>
      </c>
    </row>
    <row r="2563" spans="1:10">
      <c r="A2563" s="132"/>
      <c r="B2563" s="108"/>
      <c r="C2563" s="326"/>
      <c r="D2563" s="137"/>
      <c r="E2563" s="137" t="s">
        <v>2085</v>
      </c>
      <c r="F2563" s="174"/>
      <c r="G2563" s="174"/>
      <c r="H2563" s="174"/>
      <c r="I2563" s="174" t="s">
        <v>2007</v>
      </c>
      <c r="J2563" s="122"/>
    </row>
    <row r="2564" spans="1:10">
      <c r="A2564" s="132"/>
      <c r="B2564" s="108"/>
      <c r="C2564" s="200" t="s">
        <v>2086</v>
      </c>
      <c r="D2564" s="137"/>
      <c r="E2564" s="137">
        <v>0.14000000000000001</v>
      </c>
      <c r="F2564" s="174"/>
      <c r="G2564" s="174"/>
      <c r="H2564" s="174"/>
      <c r="I2564" s="286">
        <f>I2560</f>
        <v>159.36000000000001</v>
      </c>
      <c r="J2564" s="158">
        <f t="shared" ref="J2564" si="177">ROUND(PRODUCT(E2564:I2564),2)</f>
        <v>22.31</v>
      </c>
    </row>
    <row r="2565" spans="1:10">
      <c r="A2565" s="219"/>
      <c r="B2565" s="323"/>
      <c r="C2565" s="323"/>
      <c r="D2565" s="323"/>
      <c r="E2565" s="323"/>
      <c r="F2565" s="323"/>
      <c r="G2565" s="323"/>
      <c r="H2565" s="323"/>
      <c r="I2565" s="323"/>
      <c r="J2565" s="197"/>
    </row>
    <row r="2566" spans="1:10">
      <c r="A2566" s="132" t="str">
        <f>'[3]Planilha Orçamentária'!A675</f>
        <v>1.11.9.7</v>
      </c>
      <c r="B2566" s="108" t="str">
        <f>VLOOKUP(A2566,'[3]Planilha Orçamentária'!A:K,2,0)</f>
        <v>INS-711371</v>
      </c>
      <c r="C2566" s="104" t="str">
        <f>VLOOKUP(A2566,'[3]Planilha Orçamentária'!A:K,3,0)</f>
        <v>ASFALTO DILUÍDO CM - 30</v>
      </c>
      <c r="D2566" s="105" t="str">
        <f>VLOOKUP(A2566,'[3]Planilha Orçamentária'!A:K,4,0)</f>
        <v>KG</v>
      </c>
      <c r="E2566" s="104"/>
      <c r="F2566" s="111"/>
      <c r="G2566" s="111"/>
      <c r="H2566" s="111"/>
      <c r="I2566" s="111"/>
      <c r="J2566" s="122">
        <f>ROUND(SUM(J2568:J2568),2)</f>
        <v>1059.79</v>
      </c>
    </row>
    <row r="2567" spans="1:10">
      <c r="A2567" s="132"/>
      <c r="B2567" s="108"/>
      <c r="C2567" s="361"/>
      <c r="D2567" s="180"/>
      <c r="E2567" s="174" t="s">
        <v>2085</v>
      </c>
      <c r="F2567" s="161"/>
      <c r="G2567" s="161"/>
      <c r="H2567" s="161"/>
      <c r="I2567" s="210" t="s">
        <v>2003</v>
      </c>
      <c r="J2567" s="122"/>
    </row>
    <row r="2568" spans="1:10">
      <c r="A2568" s="132"/>
      <c r="B2568" s="108"/>
      <c r="C2568" s="324" t="s">
        <v>2087</v>
      </c>
      <c r="D2568" s="137"/>
      <c r="E2568" s="325">
        <v>1.2</v>
      </c>
      <c r="F2568" s="127"/>
      <c r="G2568" s="161"/>
      <c r="H2568" s="161"/>
      <c r="I2568" s="212">
        <f>J2418</f>
        <v>883.16</v>
      </c>
      <c r="J2568" s="158">
        <f t="shared" ref="J2568" si="178">ROUND(PRODUCT(E2568:I2568),2)</f>
        <v>1059.79</v>
      </c>
    </row>
    <row r="2569" spans="1:10">
      <c r="A2569" s="219"/>
      <c r="B2569" s="323"/>
      <c r="C2569" s="323"/>
      <c r="D2569" s="323"/>
      <c r="E2569" s="323"/>
      <c r="F2569" s="323"/>
      <c r="G2569" s="323"/>
      <c r="H2569" s="323"/>
      <c r="I2569" s="323"/>
      <c r="J2569" s="197"/>
    </row>
    <row r="2570" spans="1:10" ht="38.25">
      <c r="A2570" s="132" t="str">
        <f>'[3]Planilha Orçamentária'!A676</f>
        <v>1.11.9.8</v>
      </c>
      <c r="B2570" s="108">
        <f>VLOOKUP(A2570,'[3]Planilha Orçamentária'!A:K,2,0)</f>
        <v>34492</v>
      </c>
      <c r="C2570" s="104" t="str">
        <f>VLOOKUP(A2570,'[3]Planilha Orçamentária'!A:K,3,0)</f>
        <v xml:space="preserve">CONCRETO USINADO BOMBEAVEL, CLASSE DE RESISTENCIA C20, COM BRITA 0 E 1, SLUMP = 100 +/- 20 MM, EXCLUI SERVICO DE BOMBEAMENTO (NBR 8953)                                                                                                                                                                                                                                                                                                                                                                   </v>
      </c>
      <c r="D2570" s="105" t="str">
        <f>VLOOKUP(A2570,'[3]Planilha Orçamentária'!A:K,4,0)</f>
        <v xml:space="preserve">M3    </v>
      </c>
      <c r="E2570" s="104"/>
      <c r="F2570" s="111"/>
      <c r="G2570" s="111"/>
      <c r="H2570" s="111"/>
      <c r="I2570" s="111"/>
      <c r="J2570" s="122">
        <f>ROUND(SUM(J2572:J2572),2)</f>
        <v>67.709999999999994</v>
      </c>
    </row>
    <row r="2571" spans="1:10">
      <c r="A2571" s="132"/>
      <c r="B2571" s="108"/>
      <c r="C2571" s="159"/>
      <c r="D2571" s="174"/>
      <c r="E2571" s="137" t="s">
        <v>2085</v>
      </c>
      <c r="F2571" s="174"/>
      <c r="G2571" s="174"/>
      <c r="H2571" s="174"/>
      <c r="I2571" s="174" t="s">
        <v>2007</v>
      </c>
      <c r="J2571" s="122"/>
    </row>
    <row r="2572" spans="1:10">
      <c r="A2572" s="132"/>
      <c r="B2572" s="108"/>
      <c r="C2572" s="324" t="s">
        <v>2088</v>
      </c>
      <c r="D2572" s="137"/>
      <c r="E2572" s="325">
        <v>1.2130000000000001</v>
      </c>
      <c r="F2572" s="174"/>
      <c r="G2572" s="174"/>
      <c r="H2572" s="174"/>
      <c r="I2572" s="286">
        <f>J2442</f>
        <v>55.82</v>
      </c>
      <c r="J2572" s="158">
        <f t="shared" ref="J2572" si="179">ROUND(PRODUCT(E2572:I2572),2)</f>
        <v>67.709999999999994</v>
      </c>
    </row>
    <row r="2573" spans="1:10">
      <c r="A2573" s="219"/>
      <c r="B2573" s="323"/>
      <c r="C2573" s="323"/>
      <c r="D2573" s="323"/>
      <c r="E2573" s="323"/>
      <c r="F2573" s="323"/>
      <c r="G2573" s="323"/>
      <c r="H2573" s="323"/>
      <c r="I2573" s="323"/>
      <c r="J2573" s="197"/>
    </row>
    <row r="2574" spans="1:10" ht="38.25">
      <c r="A2574" s="132" t="str">
        <f>'[3]Planilha Orçamentária'!A677</f>
        <v>1.11.9.9</v>
      </c>
      <c r="B2574" s="108">
        <f>VLOOKUP(A2574,'[3]Planilha Orçamentária'!A:K,2,0)</f>
        <v>1345</v>
      </c>
      <c r="C2574" s="104" t="str">
        <f>VLOOKUP(A2574,'[3]Planilha Orçamentária'!A:K,3,0)</f>
        <v xml:space="preserve">CHAPA/PAINEL DE MADEIRA COMPENSADA PLASTIFICADA (MADEIRITE PLASTIFICADO) PARA FORMA DE CONCRETO, DE 2200 x 1100 MM, E = *17* MM                                                                                                                                                                                                                                                                                                                                                                           </v>
      </c>
      <c r="D2574" s="105" t="str">
        <f>VLOOKUP(A2574,'[3]Planilha Orçamentária'!A:K,4,0)</f>
        <v xml:space="preserve">M2    </v>
      </c>
      <c r="E2574" s="104"/>
      <c r="F2574" s="111"/>
      <c r="G2574" s="111"/>
      <c r="H2574" s="111"/>
      <c r="I2574" s="111"/>
      <c r="J2574" s="122">
        <f>ROUND(SUM(J2576:J2576),2)</f>
        <v>84.38</v>
      </c>
    </row>
    <row r="2575" spans="1:10">
      <c r="A2575" s="132"/>
      <c r="B2575" s="108"/>
      <c r="C2575" s="159"/>
      <c r="D2575" s="174"/>
      <c r="E2575" s="137" t="s">
        <v>2085</v>
      </c>
      <c r="F2575" s="174"/>
      <c r="G2575" s="174"/>
      <c r="H2575" s="174"/>
      <c r="I2575" s="174" t="s">
        <v>2003</v>
      </c>
      <c r="J2575" s="122"/>
    </row>
    <row r="2576" spans="1:10">
      <c r="A2576" s="132"/>
      <c r="B2576" s="108"/>
      <c r="C2576" s="324" t="s">
        <v>2089</v>
      </c>
      <c r="D2576" s="137"/>
      <c r="E2576" s="325">
        <v>1.05</v>
      </c>
      <c r="F2576" s="174"/>
      <c r="G2576" s="174"/>
      <c r="H2576" s="174"/>
      <c r="I2576" s="286">
        <f>J2487</f>
        <v>80.36</v>
      </c>
      <c r="J2576" s="158">
        <f t="shared" ref="J2576" si="180">ROUND(PRODUCT(E2576:I2576),2)</f>
        <v>84.38</v>
      </c>
    </row>
    <row r="2577" spans="1:30">
      <c r="A2577" s="219"/>
      <c r="B2577" s="323"/>
      <c r="C2577" s="323"/>
      <c r="D2577" s="323"/>
      <c r="E2577" s="323"/>
      <c r="F2577" s="323"/>
      <c r="G2577" s="323"/>
      <c r="H2577" s="323"/>
      <c r="I2577" s="323"/>
      <c r="J2577" s="197"/>
    </row>
    <row r="2578" spans="1:30">
      <c r="A2578" s="93" t="str">
        <f>'[3]Planilha Orçamentária'!A678</f>
        <v>1.12</v>
      </c>
      <c r="B2578" s="526" t="str">
        <f>VLOOKUP(A2578,'[3]Planilha Orçamentária'!A:K,3,0)</f>
        <v>RUA CATANDUVA - CURCURANA</v>
      </c>
      <c r="C2578" s="527"/>
      <c r="D2578" s="527"/>
      <c r="E2578" s="527"/>
      <c r="F2578" s="527"/>
      <c r="G2578" s="527"/>
      <c r="H2578" s="527"/>
      <c r="I2578" s="527"/>
      <c r="J2578" s="527"/>
      <c r="U2578" s="137"/>
      <c r="V2578" s="137"/>
      <c r="W2578" s="137"/>
      <c r="X2578" s="137"/>
      <c r="Y2578" s="137"/>
      <c r="Z2578" s="137"/>
      <c r="AA2578" s="137"/>
      <c r="AB2578" s="137"/>
      <c r="AC2578" s="137"/>
      <c r="AD2578" s="137"/>
    </row>
    <row r="2579" spans="1:30">
      <c r="A2579" s="94" t="str">
        <f>'[3]Planilha Orçamentária'!A679</f>
        <v>1.12.1</v>
      </c>
      <c r="B2579" s="95"/>
      <c r="C2579" s="96" t="str">
        <f>VLOOKUP(A2579,'[3]Planilha Orçamentária'!A:K,3,0)</f>
        <v>INSTALAÇÕES PROVISÓRIAS</v>
      </c>
      <c r="D2579" s="97"/>
      <c r="E2579" s="98"/>
      <c r="F2579" s="99"/>
      <c r="G2579" s="99"/>
      <c r="H2579" s="99"/>
      <c r="I2579" s="100"/>
      <c r="J2579" s="101"/>
      <c r="U2579" s="137"/>
      <c r="V2579" s="137"/>
      <c r="W2579" s="137"/>
      <c r="X2579" s="137"/>
      <c r="Y2579" s="137"/>
      <c r="Z2579" s="137"/>
      <c r="AA2579" s="137"/>
      <c r="AB2579" s="137"/>
      <c r="AC2579" s="137"/>
      <c r="AD2579" s="137"/>
    </row>
    <row r="2580" spans="1:30" ht="25.5">
      <c r="A2580" s="102" t="str">
        <f>'[3]Planilha Orçamentária'!A680</f>
        <v>1.12.1.1</v>
      </c>
      <c r="B2580" s="103" t="str">
        <f>VLOOKUP(A2580,'[3]Planilha Orçamentária'!A:K,2,0)</f>
        <v>CP-74209/001-15055090</v>
      </c>
      <c r="C2580" s="104" t="str">
        <f>VLOOKUP(A2580,'[3]Planilha Orçamentária'!A:K,3,0)</f>
        <v>PLACA DE OBRA EM CHAPA DE ACO GALVANIZADO</v>
      </c>
      <c r="D2580" s="105" t="str">
        <f>VLOOKUP(A2580,'[3]Planilha Orçamentária'!A:K,4,0)</f>
        <v xml:space="preserve">M2    </v>
      </c>
      <c r="E2580" s="104"/>
      <c r="F2580" s="106" t="s">
        <v>1989</v>
      </c>
      <c r="G2580" s="106" t="s">
        <v>1990</v>
      </c>
      <c r="H2580" s="106"/>
      <c r="I2580" s="106" t="s">
        <v>1991</v>
      </c>
      <c r="J2580" s="107">
        <f>ROUND(SUM(J2582:J2582),2)</f>
        <v>8</v>
      </c>
      <c r="U2580" s="137"/>
      <c r="V2580" s="137"/>
      <c r="W2580" s="137"/>
      <c r="X2580" s="137"/>
      <c r="Y2580" s="137"/>
      <c r="Z2580" s="137"/>
      <c r="AA2580" s="137"/>
      <c r="AB2580" s="137"/>
      <c r="AC2580" s="137"/>
      <c r="AD2580" s="137"/>
    </row>
    <row r="2581" spans="1:30">
      <c r="A2581" s="102"/>
      <c r="B2581" s="103"/>
      <c r="C2581" s="110"/>
      <c r="D2581" s="109"/>
      <c r="E2581" s="110"/>
      <c r="F2581" s="111"/>
      <c r="G2581" s="111"/>
      <c r="H2581" s="111"/>
      <c r="I2581" s="111"/>
      <c r="J2581" s="107"/>
      <c r="U2581" s="137"/>
      <c r="V2581" s="137"/>
      <c r="W2581" s="137"/>
      <c r="X2581" s="137"/>
      <c r="Y2581" s="137"/>
      <c r="Z2581" s="137"/>
      <c r="AA2581" s="137"/>
      <c r="AB2581" s="137"/>
      <c r="AC2581" s="137"/>
      <c r="AD2581" s="137"/>
    </row>
    <row r="2582" spans="1:30">
      <c r="A2582" s="102"/>
      <c r="B2582" s="123"/>
      <c r="C2582" s="328"/>
      <c r="D2582" s="114"/>
      <c r="E2582" s="115"/>
      <c r="F2582" s="116">
        <v>2</v>
      </c>
      <c r="G2582" s="116">
        <v>4</v>
      </c>
      <c r="H2582" s="117"/>
      <c r="I2582" s="116">
        <v>1</v>
      </c>
      <c r="J2582" s="118">
        <f>ROUND(PRODUCT(E2582:I2582),2)</f>
        <v>8</v>
      </c>
      <c r="U2582" s="137"/>
      <c r="V2582" s="137"/>
      <c r="W2582" s="137"/>
      <c r="X2582" s="137"/>
      <c r="Y2582" s="137"/>
      <c r="Z2582" s="137"/>
      <c r="AA2582" s="137"/>
      <c r="AB2582" s="137"/>
      <c r="AC2582" s="137"/>
      <c r="AD2582" s="137"/>
    </row>
    <row r="2583" spans="1:30">
      <c r="A2583" s="553"/>
      <c r="B2583" s="554"/>
      <c r="C2583" s="554"/>
      <c r="D2583" s="554"/>
      <c r="E2583" s="554"/>
      <c r="F2583" s="554"/>
      <c r="G2583" s="554"/>
      <c r="H2583" s="554"/>
      <c r="I2583" s="554"/>
      <c r="J2583" s="555"/>
      <c r="U2583" s="137"/>
      <c r="V2583" s="137"/>
      <c r="W2583" s="137"/>
      <c r="X2583" s="137"/>
      <c r="Y2583" s="137"/>
      <c r="Z2583" s="137"/>
      <c r="AA2583" s="137"/>
      <c r="AB2583" s="137"/>
      <c r="AC2583" s="137"/>
      <c r="AD2583" s="137"/>
    </row>
    <row r="2584" spans="1:30" ht="25.5">
      <c r="A2584" s="102" t="str">
        <f>'[3]Planilha Orçamentária'!A681</f>
        <v>1.12.1.2</v>
      </c>
      <c r="B2584" s="108" t="str">
        <f>VLOOKUP(A2584,'[3]Planilha Orçamentária'!A:K,2,0)</f>
        <v>COMP-07440249</v>
      </c>
      <c r="C2584" s="104" t="str">
        <f>VLOOKUP(A2584,'[3]Planilha Orçamentária'!A:K,3,0)</f>
        <v>BANHEIRO QUÍMICO, COM LOCAÇÃO, TRANSPORTE E LIMPEZA</v>
      </c>
      <c r="D2584" s="105" t="str">
        <f>VLOOKUP(A2584,'[3]Planilha Orçamentária'!A:K,4,0)</f>
        <v>MÊS</v>
      </c>
      <c r="E2584" s="104"/>
      <c r="F2584" s="111"/>
      <c r="G2584" s="111"/>
      <c r="H2584" s="111"/>
      <c r="I2584" s="111"/>
      <c r="J2584" s="122">
        <f>ROUND(SUM(J2586:J2586),2)</f>
        <v>12</v>
      </c>
      <c r="U2584" s="137"/>
      <c r="V2584" s="137"/>
      <c r="W2584" s="137"/>
      <c r="X2584" s="137"/>
      <c r="Y2584" s="137"/>
      <c r="Z2584" s="137"/>
      <c r="AA2584" s="137"/>
      <c r="AB2584" s="137"/>
      <c r="AC2584" s="137"/>
      <c r="AD2584" s="137"/>
    </row>
    <row r="2585" spans="1:30" ht="25.5">
      <c r="A2585" s="102"/>
      <c r="B2585" s="108"/>
      <c r="C2585" s="104"/>
      <c r="D2585" s="105"/>
      <c r="E2585" s="104"/>
      <c r="F2585" s="111"/>
      <c r="G2585" s="111"/>
      <c r="H2585" s="111"/>
      <c r="I2585" s="106" t="s">
        <v>1992</v>
      </c>
      <c r="J2585" s="122"/>
      <c r="U2585" s="137"/>
      <c r="V2585" s="137"/>
      <c r="W2585" s="137"/>
      <c r="X2585" s="137"/>
      <c r="Y2585" s="137"/>
      <c r="Z2585" s="137"/>
      <c r="AA2585" s="137"/>
      <c r="AB2585" s="137"/>
      <c r="AC2585" s="137"/>
      <c r="AD2585" s="137"/>
    </row>
    <row r="2586" spans="1:30">
      <c r="A2586" s="102"/>
      <c r="B2586" s="123"/>
      <c r="C2586" s="124"/>
      <c r="D2586" s="125"/>
      <c r="E2586" s="126"/>
      <c r="F2586" s="126"/>
      <c r="G2586" s="117"/>
      <c r="H2586" s="117"/>
      <c r="I2586" s="127">
        <v>12</v>
      </c>
      <c r="J2586" s="128">
        <f>ROUND(PRODUCT(E2586:I2586),2)</f>
        <v>12</v>
      </c>
      <c r="U2586" s="137"/>
      <c r="V2586" s="137"/>
      <c r="W2586" s="137"/>
      <c r="X2586" s="137"/>
      <c r="Y2586" s="137"/>
      <c r="Z2586" s="137"/>
      <c r="AA2586" s="137"/>
      <c r="AB2586" s="137"/>
      <c r="AC2586" s="137"/>
      <c r="AD2586" s="137"/>
    </row>
    <row r="2587" spans="1:30">
      <c r="A2587" s="102"/>
      <c r="B2587" s="123"/>
      <c r="C2587" s="124"/>
      <c r="D2587" s="125"/>
      <c r="E2587" s="126"/>
      <c r="F2587" s="126"/>
      <c r="G2587" s="117"/>
      <c r="H2587" s="117"/>
      <c r="I2587" s="127"/>
      <c r="J2587" s="128"/>
      <c r="U2587" s="137"/>
      <c r="V2587" s="137"/>
      <c r="W2587" s="137"/>
      <c r="X2587" s="137"/>
      <c r="Y2587" s="137"/>
      <c r="Z2587" s="137"/>
      <c r="AA2587" s="137"/>
      <c r="AB2587" s="137"/>
      <c r="AC2587" s="137"/>
      <c r="AD2587" s="137"/>
    </row>
    <row r="2588" spans="1:30">
      <c r="A2588" s="94" t="str">
        <f>'[3]Planilha Orçamentária'!A682</f>
        <v>1.12.2</v>
      </c>
      <c r="B2588" s="95"/>
      <c r="C2588" s="96" t="str">
        <f>VLOOKUP(A2588,'[3]Planilha Orçamentária'!A:K,3,0)</f>
        <v>ADMINISTRAÇÃO LOCAL</v>
      </c>
      <c r="D2588" s="96"/>
      <c r="E2588" s="129"/>
      <c r="F2588" s="130"/>
      <c r="G2588" s="130"/>
      <c r="H2588" s="130"/>
      <c r="I2588" s="130"/>
      <c r="J2588" s="131"/>
      <c r="U2588" s="137"/>
      <c r="V2588" s="137"/>
      <c r="W2588" s="137"/>
      <c r="X2588" s="137"/>
      <c r="Y2588" s="137"/>
      <c r="Z2588" s="137"/>
      <c r="AA2588" s="137"/>
      <c r="AB2588" s="137"/>
      <c r="AC2588" s="137"/>
      <c r="AD2588" s="137"/>
    </row>
    <row r="2589" spans="1:30" ht="25.5">
      <c r="A2589" s="132" t="str">
        <f>'[3]Planilha Orçamentária'!A683</f>
        <v>1.12.2.1</v>
      </c>
      <c r="B2589" s="103">
        <f>VLOOKUP(A2589,'[3]Planilha Orçamentária'!A:K,2,0)</f>
        <v>93565</v>
      </c>
      <c r="C2589" s="104" t="str">
        <f>VLOOKUP(A2589,'[3]Planilha Orçamentária'!A:K,3,0)</f>
        <v>ENGENHEIRO CIVIL DE OBRA JUNIOR COM ENCARGOS COMPLEMENTARES</v>
      </c>
      <c r="D2589" s="105" t="str">
        <f>VLOOKUP(A2589,'[3]Planilha Orçamentária'!A:K,4,0)</f>
        <v>MES</v>
      </c>
      <c r="E2589" s="133"/>
      <c r="F2589" s="134"/>
      <c r="G2589" s="134"/>
      <c r="H2589" s="134"/>
      <c r="I2589" s="134"/>
      <c r="J2589" s="107">
        <f>ROUND(SUM(J2591),2)</f>
        <v>3</v>
      </c>
      <c r="U2589" s="137"/>
      <c r="V2589" s="137"/>
      <c r="W2589" s="137"/>
      <c r="X2589" s="137"/>
      <c r="Y2589" s="137"/>
      <c r="Z2589" s="137"/>
      <c r="AA2589" s="137"/>
      <c r="AB2589" s="137"/>
      <c r="AC2589" s="137"/>
      <c r="AD2589" s="137"/>
    </row>
    <row r="2590" spans="1:30" ht="14.25">
      <c r="A2590" s="132"/>
      <c r="B2590" s="103"/>
      <c r="C2590" s="135"/>
      <c r="D2590" s="105"/>
      <c r="E2590" s="133"/>
      <c r="F2590" s="136"/>
      <c r="G2590" s="136"/>
      <c r="H2590" s="136"/>
      <c r="I2590" s="136"/>
      <c r="J2590" s="107"/>
      <c r="U2590" s="137"/>
      <c r="V2590" s="137"/>
      <c r="W2590" s="137"/>
      <c r="X2590" s="137"/>
      <c r="Y2590" s="137"/>
      <c r="Z2590" s="137"/>
      <c r="AA2590" s="137"/>
      <c r="AB2590" s="137"/>
      <c r="AC2590" s="137"/>
      <c r="AD2590" s="137"/>
    </row>
    <row r="2591" spans="1:30" ht="14.25">
      <c r="A2591" s="137"/>
      <c r="B2591" s="138"/>
      <c r="C2591" s="135" t="s">
        <v>2317</v>
      </c>
      <c r="D2591" s="139"/>
      <c r="E2591" s="136">
        <f>44/176</f>
        <v>0.25</v>
      </c>
      <c r="F2591" s="136"/>
      <c r="G2591" s="136"/>
      <c r="H2591" s="136"/>
      <c r="I2591" s="136">
        <f>I2586</f>
        <v>12</v>
      </c>
      <c r="J2591" s="118">
        <f>ROUND(PRODUCT(E2591:I2591),2)</f>
        <v>3</v>
      </c>
      <c r="U2591" s="137"/>
      <c r="V2591" s="137"/>
      <c r="W2591" s="137"/>
      <c r="X2591" s="137"/>
      <c r="Y2591" s="137"/>
      <c r="Z2591" s="137"/>
      <c r="AA2591" s="137"/>
      <c r="AB2591" s="137"/>
      <c r="AC2591" s="137"/>
      <c r="AD2591" s="137"/>
    </row>
    <row r="2592" spans="1:30" ht="14.25">
      <c r="A2592" s="137"/>
      <c r="B2592" s="138"/>
      <c r="C2592" s="135" t="s">
        <v>2164</v>
      </c>
      <c r="D2592" s="139"/>
      <c r="E2592" s="136"/>
      <c r="F2592" s="136"/>
      <c r="G2592" s="136"/>
      <c r="H2592" s="136"/>
      <c r="I2592" s="136"/>
      <c r="J2592" s="140"/>
      <c r="U2592" s="137"/>
      <c r="V2592" s="137"/>
      <c r="W2592" s="137"/>
      <c r="X2592" s="137"/>
      <c r="Y2592" s="137"/>
      <c r="Z2592" s="137"/>
      <c r="AA2592" s="137"/>
      <c r="AB2592" s="137"/>
      <c r="AC2592" s="137"/>
      <c r="AD2592" s="137"/>
    </row>
    <row r="2593" spans="1:30" ht="14.25">
      <c r="A2593" s="137"/>
      <c r="B2593" s="138"/>
      <c r="C2593" s="135" t="s">
        <v>1995</v>
      </c>
      <c r="D2593" s="141"/>
      <c r="E2593" s="142"/>
      <c r="F2593" s="127"/>
      <c r="G2593" s="117"/>
      <c r="H2593" s="117"/>
      <c r="I2593" s="143"/>
      <c r="J2593" s="144"/>
      <c r="U2593" s="137"/>
      <c r="V2593" s="137"/>
      <c r="W2593" s="137"/>
      <c r="X2593" s="137"/>
      <c r="Y2593" s="137"/>
      <c r="Z2593" s="137"/>
      <c r="AA2593" s="137"/>
      <c r="AB2593" s="137"/>
      <c r="AC2593" s="137"/>
      <c r="AD2593" s="137"/>
    </row>
    <row r="2594" spans="1:30">
      <c r="A2594" s="531"/>
      <c r="B2594" s="531"/>
      <c r="C2594" s="531"/>
      <c r="D2594" s="531"/>
      <c r="E2594" s="531"/>
      <c r="F2594" s="531"/>
      <c r="G2594" s="531"/>
      <c r="H2594" s="531"/>
      <c r="I2594" s="531"/>
      <c r="J2594" s="531"/>
      <c r="U2594" s="137"/>
      <c r="V2594" s="137"/>
      <c r="W2594" s="137"/>
      <c r="X2594" s="137"/>
      <c r="Y2594" s="137"/>
      <c r="Z2594" s="137"/>
      <c r="AA2594" s="137"/>
      <c r="AB2594" s="137"/>
      <c r="AC2594" s="137"/>
      <c r="AD2594" s="137"/>
    </row>
    <row r="2595" spans="1:30" ht="25.5">
      <c r="A2595" s="132" t="str">
        <f>'[3]Planilha Orçamentária'!A684</f>
        <v>1.12.2.2</v>
      </c>
      <c r="B2595" s="103">
        <f>VLOOKUP(A2595,'[3]Planilha Orçamentária'!A:K,2,0)</f>
        <v>93572</v>
      </c>
      <c r="C2595" s="104" t="str">
        <f>VLOOKUP(A2595,'[3]Planilha Orçamentária'!A:K,3,0)</f>
        <v>ENCARREGADO GERAL DE OBRAS COM ENCARGOS COMPLEMENTARES</v>
      </c>
      <c r="D2595" s="105" t="str">
        <f>VLOOKUP(A2595,'[3]Planilha Orçamentária'!A:K,4,0)</f>
        <v>MES</v>
      </c>
      <c r="E2595" s="133"/>
      <c r="F2595" s="134"/>
      <c r="G2595" s="134"/>
      <c r="H2595" s="134"/>
      <c r="I2595" s="134"/>
      <c r="J2595" s="107">
        <f>ROUND(SUM(J2597),2)</f>
        <v>6</v>
      </c>
      <c r="U2595" s="137"/>
      <c r="V2595" s="137"/>
      <c r="W2595" s="137"/>
      <c r="X2595" s="137"/>
      <c r="Y2595" s="137"/>
      <c r="Z2595" s="137"/>
      <c r="AA2595" s="137"/>
      <c r="AB2595" s="137"/>
      <c r="AC2595" s="137"/>
      <c r="AD2595" s="137"/>
    </row>
    <row r="2596" spans="1:30" ht="14.25">
      <c r="A2596" s="132"/>
      <c r="B2596" s="103"/>
      <c r="C2596" s="135"/>
      <c r="D2596" s="105"/>
      <c r="E2596" s="133"/>
      <c r="F2596" s="136"/>
      <c r="G2596" s="136"/>
      <c r="H2596" s="136"/>
      <c r="I2596" s="136"/>
      <c r="J2596" s="107"/>
      <c r="U2596" s="137"/>
      <c r="V2596" s="137"/>
      <c r="W2596" s="137"/>
      <c r="X2596" s="137"/>
      <c r="Y2596" s="137"/>
      <c r="Z2596" s="137"/>
      <c r="AA2596" s="137"/>
      <c r="AB2596" s="137"/>
      <c r="AC2596" s="137"/>
      <c r="AD2596" s="137"/>
    </row>
    <row r="2597" spans="1:30" ht="14.25">
      <c r="A2597" s="137"/>
      <c r="B2597" s="138"/>
      <c r="C2597" s="135" t="s">
        <v>2318</v>
      </c>
      <c r="D2597" s="139"/>
      <c r="E2597" s="136">
        <f>88/176</f>
        <v>0.5</v>
      </c>
      <c r="F2597" s="136"/>
      <c r="G2597" s="136"/>
      <c r="H2597" s="136"/>
      <c r="I2597" s="136">
        <f>I2586</f>
        <v>12</v>
      </c>
      <c r="J2597" s="118">
        <f>ROUND(PRODUCT(E2597:I2597),2)</f>
        <v>6</v>
      </c>
      <c r="U2597" s="137"/>
      <c r="V2597" s="137"/>
      <c r="W2597" s="137"/>
      <c r="X2597" s="137"/>
      <c r="Y2597" s="137"/>
      <c r="Z2597" s="137"/>
      <c r="AA2597" s="137"/>
      <c r="AB2597" s="137"/>
      <c r="AC2597" s="137"/>
      <c r="AD2597" s="137"/>
    </row>
    <row r="2598" spans="1:30" ht="14.25">
      <c r="A2598" s="137"/>
      <c r="B2598" s="138"/>
      <c r="C2598" s="135" t="s">
        <v>1997</v>
      </c>
      <c r="D2598" s="139"/>
      <c r="E2598" s="136"/>
      <c r="F2598" s="136"/>
      <c r="G2598" s="136"/>
      <c r="H2598" s="136"/>
      <c r="I2598" s="136"/>
      <c r="J2598" s="140"/>
      <c r="U2598" s="137"/>
      <c r="V2598" s="137"/>
      <c r="W2598" s="137"/>
      <c r="X2598" s="137"/>
      <c r="Y2598" s="137"/>
      <c r="Z2598" s="137"/>
      <c r="AA2598" s="137"/>
      <c r="AB2598" s="137"/>
      <c r="AC2598" s="137"/>
      <c r="AD2598" s="137"/>
    </row>
    <row r="2599" spans="1:30" ht="14.25">
      <c r="A2599" s="137"/>
      <c r="B2599" s="138"/>
      <c r="C2599" s="135" t="s">
        <v>1995</v>
      </c>
      <c r="D2599" s="141"/>
      <c r="E2599" s="142"/>
      <c r="F2599" s="127"/>
      <c r="G2599" s="117"/>
      <c r="H2599" s="117"/>
      <c r="I2599" s="143"/>
      <c r="J2599" s="144"/>
      <c r="U2599" s="137"/>
      <c r="V2599" s="137"/>
      <c r="W2599" s="137"/>
      <c r="X2599" s="137"/>
      <c r="Y2599" s="137"/>
      <c r="Z2599" s="137"/>
      <c r="AA2599" s="137"/>
      <c r="AB2599" s="137"/>
      <c r="AC2599" s="137"/>
      <c r="AD2599" s="137"/>
    </row>
    <row r="2600" spans="1:30">
      <c r="A2600" s="531"/>
      <c r="B2600" s="531"/>
      <c r="C2600" s="531"/>
      <c r="D2600" s="531"/>
      <c r="E2600" s="531"/>
      <c r="F2600" s="531"/>
      <c r="G2600" s="531"/>
      <c r="H2600" s="531"/>
      <c r="I2600" s="531"/>
      <c r="J2600" s="531"/>
      <c r="U2600" s="137"/>
      <c r="V2600" s="137"/>
      <c r="W2600" s="137"/>
      <c r="X2600" s="137"/>
      <c r="Y2600" s="137"/>
      <c r="Z2600" s="137"/>
      <c r="AA2600" s="137"/>
      <c r="AB2600" s="137"/>
      <c r="AC2600" s="137"/>
      <c r="AD2600" s="137"/>
    </row>
    <row r="2601" spans="1:30">
      <c r="A2601" s="94" t="str">
        <f>'[3]Planilha Orçamentária'!A685</f>
        <v>1.12.3</v>
      </c>
      <c r="B2601" s="95"/>
      <c r="C2601" s="96" t="str">
        <f>VLOOKUP(A2601,'[3]Planilha Orçamentária'!A:K,3,0)</f>
        <v>SERVIÇOS PRELIMINARES</v>
      </c>
      <c r="D2601" s="97"/>
      <c r="E2601" s="98"/>
      <c r="F2601" s="99"/>
      <c r="G2601" s="99"/>
      <c r="H2601" s="99"/>
      <c r="I2601" s="100"/>
      <c r="J2601" s="101"/>
      <c r="U2601" s="137"/>
      <c r="V2601" s="137"/>
      <c r="W2601" s="137"/>
      <c r="X2601" s="137"/>
      <c r="Y2601" s="137"/>
      <c r="Z2601" s="137"/>
      <c r="AA2601" s="137"/>
      <c r="AB2601" s="137"/>
      <c r="AC2601" s="137"/>
      <c r="AD2601" s="137"/>
    </row>
    <row r="2602" spans="1:30">
      <c r="A2602" s="145" t="str">
        <f>'[3]Planilha Orçamentária'!A686</f>
        <v>1.12.3.1</v>
      </c>
      <c r="B2602" s="146">
        <f>VLOOKUP(A2602,'[3]Planilha Orçamentária'!A:K,2,0)</f>
        <v>99064</v>
      </c>
      <c r="C2602" s="147" t="str">
        <f>VLOOKUP(A2602,'[3]Planilha Orçamentária'!A:K,3,0)</f>
        <v>LOCAÇÃO DE PAVIMENTAÇÃO. AF_10/2018</v>
      </c>
      <c r="D2602" s="148" t="str">
        <f>VLOOKUP(A2602,'[3]Planilha Orçamentária'!A:K,4,0)</f>
        <v>M</v>
      </c>
      <c r="E2602" s="147"/>
      <c r="F2602" s="136"/>
      <c r="G2602" s="149"/>
      <c r="H2602" s="149"/>
      <c r="I2602" s="149"/>
      <c r="J2602" s="150">
        <f>ROUND(SUM(J2604:J2605),2)</f>
        <v>1204.78</v>
      </c>
      <c r="U2602" s="137"/>
      <c r="V2602" s="137"/>
      <c r="W2602" s="137"/>
      <c r="X2602" s="137"/>
      <c r="Y2602" s="137"/>
      <c r="Z2602" s="137"/>
      <c r="AA2602" s="137"/>
      <c r="AB2602" s="137"/>
      <c r="AC2602" s="137"/>
      <c r="AD2602" s="137"/>
    </row>
    <row r="2603" spans="1:30">
      <c r="A2603" s="151"/>
      <c r="B2603" s="152"/>
      <c r="C2603" s="147"/>
      <c r="D2603" s="148"/>
      <c r="E2603" s="147"/>
      <c r="F2603" s="106" t="s">
        <v>1989</v>
      </c>
      <c r="G2603" s="149"/>
      <c r="H2603" s="149"/>
      <c r="I2603" s="149"/>
      <c r="J2603" s="150"/>
      <c r="U2603" s="137"/>
      <c r="V2603" s="137"/>
      <c r="W2603" s="137"/>
      <c r="X2603" s="137"/>
      <c r="Y2603" s="137"/>
      <c r="Z2603" s="137"/>
      <c r="AA2603" s="137"/>
      <c r="AB2603" s="137"/>
      <c r="AC2603" s="137"/>
      <c r="AD2603" s="137"/>
    </row>
    <row r="2604" spans="1:30">
      <c r="A2604" s="174"/>
      <c r="B2604" s="174"/>
      <c r="C2604" s="200" t="s">
        <v>2319</v>
      </c>
      <c r="D2604" s="156"/>
      <c r="E2604" s="157"/>
      <c r="F2604" s="136">
        <f>(20-3.57)+(59*20)+(8.35)</f>
        <v>1204.78</v>
      </c>
      <c r="G2604" s="157"/>
      <c r="H2604" s="157"/>
      <c r="I2604" s="157"/>
      <c r="J2604" s="158">
        <f>ROUND(PRODUCT(E2604:I2604),2)</f>
        <v>1204.78</v>
      </c>
      <c r="U2604" s="137"/>
      <c r="V2604" s="137"/>
      <c r="W2604" s="137"/>
      <c r="X2604" s="137"/>
      <c r="Y2604" s="137"/>
      <c r="Z2604" s="137"/>
      <c r="AA2604" s="137"/>
      <c r="AB2604" s="137"/>
      <c r="AC2604" s="137"/>
      <c r="AD2604" s="137"/>
    </row>
    <row r="2605" spans="1:30">
      <c r="A2605" s="531"/>
      <c r="B2605" s="531"/>
      <c r="C2605" s="531"/>
      <c r="D2605" s="531"/>
      <c r="E2605" s="531"/>
      <c r="F2605" s="531"/>
      <c r="G2605" s="531"/>
      <c r="H2605" s="531"/>
      <c r="I2605" s="531"/>
      <c r="J2605" s="531"/>
      <c r="U2605" s="137"/>
      <c r="V2605" s="137"/>
      <c r="W2605" s="137"/>
      <c r="X2605" s="137"/>
      <c r="Y2605" s="137"/>
      <c r="Z2605" s="137"/>
      <c r="AA2605" s="137"/>
      <c r="AB2605" s="137"/>
      <c r="AC2605" s="137"/>
      <c r="AD2605" s="137"/>
    </row>
    <row r="2606" spans="1:30" ht="25.5">
      <c r="A2606" s="145" t="str">
        <f>'[3]Planilha Orçamentária'!A687</f>
        <v>1.12.3.2</v>
      </c>
      <c r="B2606" s="199" t="str">
        <f>VLOOKUP(A2606,'[3]Planilha Orçamentária'!A:K,2,0)</f>
        <v>COMP-17562084</v>
      </c>
      <c r="C2606" s="147" t="str">
        <f>VLOOKUP(A2606,'[3]Planilha Orçamentária'!A:K,3,0)</f>
        <v>DEMOLIÇÃO MANUAL DE CONCRETO SIMPLES</v>
      </c>
      <c r="D2606" s="148" t="str">
        <f>VLOOKUP(A2606,'[3]Planilha Orçamentária'!A:K,4,0)</f>
        <v>M3</v>
      </c>
      <c r="E2606" s="147"/>
      <c r="F2606" s="160"/>
      <c r="G2606" s="160"/>
      <c r="H2606" s="160"/>
      <c r="I2606" s="160"/>
      <c r="J2606" s="150">
        <f>ROUND(SUM(J2608),2)</f>
        <v>16.850000000000001</v>
      </c>
      <c r="U2606" s="137"/>
      <c r="V2606" s="137"/>
      <c r="W2606" s="137"/>
      <c r="X2606" s="137"/>
      <c r="Y2606" s="137"/>
      <c r="Z2606" s="137"/>
      <c r="AA2606" s="137"/>
      <c r="AB2606" s="137"/>
      <c r="AC2606" s="137"/>
      <c r="AD2606" s="137"/>
    </row>
    <row r="2607" spans="1:30">
      <c r="A2607" s="123"/>
      <c r="B2607" s="123"/>
      <c r="C2607" s="415" t="s">
        <v>2320</v>
      </c>
      <c r="D2607" s="123"/>
      <c r="E2607" s="123"/>
      <c r="F2607" s="123"/>
      <c r="G2607" s="123"/>
      <c r="H2607" s="123" t="s">
        <v>2002</v>
      </c>
      <c r="I2607" s="123" t="s">
        <v>2003</v>
      </c>
      <c r="J2607" s="123"/>
      <c r="U2607" s="137"/>
      <c r="V2607" s="137"/>
      <c r="W2607" s="137"/>
      <c r="X2607" s="137"/>
      <c r="Y2607" s="137"/>
      <c r="Z2607" s="137"/>
      <c r="AA2607" s="137"/>
      <c r="AB2607" s="137"/>
      <c r="AC2607" s="137"/>
      <c r="AD2607" s="137"/>
    </row>
    <row r="2608" spans="1:30" ht="25.5">
      <c r="A2608" s="123"/>
      <c r="B2608" s="123"/>
      <c r="C2608" s="162" t="s">
        <v>2004</v>
      </c>
      <c r="D2608" s="123"/>
      <c r="E2608" s="123"/>
      <c r="F2608" s="157"/>
      <c r="G2608" s="157"/>
      <c r="H2608" s="157">
        <v>7.0000000000000007E-2</v>
      </c>
      <c r="I2608" s="157">
        <v>240.73</v>
      </c>
      <c r="J2608" s="128">
        <f>ROUND(PRODUCT(E2608:I2608),2)</f>
        <v>16.850000000000001</v>
      </c>
      <c r="U2608" s="137"/>
      <c r="V2608" s="137"/>
      <c r="W2608" s="137"/>
      <c r="X2608" s="137"/>
      <c r="Y2608" s="137"/>
      <c r="Z2608" s="137"/>
      <c r="AA2608" s="137"/>
      <c r="AB2608" s="137"/>
      <c r="AC2608" s="137"/>
      <c r="AD2608" s="137"/>
    </row>
    <row r="2609" spans="1:30">
      <c r="A2609" s="528"/>
      <c r="B2609" s="529"/>
      <c r="C2609" s="529"/>
      <c r="D2609" s="529"/>
      <c r="E2609" s="529"/>
      <c r="F2609" s="529"/>
      <c r="G2609" s="529"/>
      <c r="H2609" s="529"/>
      <c r="I2609" s="529"/>
      <c r="J2609" s="530"/>
      <c r="U2609" s="137"/>
      <c r="V2609" s="137"/>
      <c r="W2609" s="137"/>
      <c r="X2609" s="137"/>
      <c r="Y2609" s="137"/>
      <c r="Z2609" s="137"/>
      <c r="AA2609" s="137"/>
      <c r="AB2609" s="137"/>
      <c r="AC2609" s="137"/>
      <c r="AD2609" s="137"/>
    </row>
    <row r="2610" spans="1:30" ht="51">
      <c r="A2610" s="145" t="str">
        <f>'[3]Planilha Orçamentária'!A688</f>
        <v>1.12.3.3</v>
      </c>
      <c r="B2610" s="199" t="str">
        <f>VLOOKUP(A2610,'[3]Planilha Orçamentária'!A:K,2,0)</f>
        <v>COMP-35145154</v>
      </c>
      <c r="C2610" s="147" t="str">
        <f>VLOOKUP(A2610,'[3]Planilha Orçamentária'!A:K,3,0)</f>
        <v>CARGA E DESCARGA MECANICA DE SOLO UTILIZANDO CAMINHAO BASCULANTE 14,0M3/36T E PA CARREGADEIRA SOBRE PNEUS 128 HP, CAPACIDADE DA CAÇAMBA 1,7 A 2,8 M3, PESO OPERACIONAL 11632 KH</v>
      </c>
      <c r="D2610" s="148" t="str">
        <f>VLOOKUP(A2610,'[3]Planilha Orçamentária'!A:K,4,0)</f>
        <v>M3</v>
      </c>
      <c r="E2610" s="147"/>
      <c r="F2610" s="160"/>
      <c r="G2610" s="160"/>
      <c r="H2610" s="160"/>
      <c r="I2610" s="160"/>
      <c r="J2610" s="150">
        <f>ROUND(SUM(J2612),2)</f>
        <v>21.06</v>
      </c>
      <c r="U2610" s="137"/>
      <c r="V2610" s="137"/>
      <c r="W2610" s="137"/>
      <c r="X2610" s="137"/>
      <c r="Y2610" s="137"/>
      <c r="Z2610" s="137"/>
      <c r="AA2610" s="137"/>
      <c r="AB2610" s="137"/>
      <c r="AC2610" s="137"/>
      <c r="AD2610" s="137"/>
    </row>
    <row r="2611" spans="1:30">
      <c r="A2611" s="123"/>
      <c r="B2611" s="123"/>
      <c r="C2611" s="165"/>
      <c r="D2611" s="166"/>
      <c r="E2611" s="162" t="s">
        <v>2006</v>
      </c>
      <c r="F2611" s="149"/>
      <c r="G2611" s="149"/>
      <c r="H2611" s="149"/>
      <c r="I2611" s="161" t="s">
        <v>2007</v>
      </c>
      <c r="J2611" s="123"/>
      <c r="U2611" s="137"/>
      <c r="V2611" s="137"/>
      <c r="W2611" s="137"/>
      <c r="X2611" s="137"/>
      <c r="Y2611" s="137"/>
      <c r="Z2611" s="137"/>
      <c r="AA2611" s="137"/>
      <c r="AB2611" s="137"/>
      <c r="AC2611" s="137"/>
      <c r="AD2611" s="137"/>
    </row>
    <row r="2612" spans="1:30">
      <c r="A2612" s="123"/>
      <c r="B2612" s="123"/>
      <c r="C2612" s="165" t="s">
        <v>2008</v>
      </c>
      <c r="D2612" s="166"/>
      <c r="E2612" s="162">
        <v>1.25</v>
      </c>
      <c r="F2612" s="149"/>
      <c r="G2612" s="149"/>
      <c r="H2612" s="149"/>
      <c r="I2612" s="167">
        <f>J2606</f>
        <v>16.850000000000001</v>
      </c>
      <c r="J2612" s="128">
        <f>ROUND(PRODUCT(E2612:I2612),2)</f>
        <v>21.06</v>
      </c>
      <c r="U2612" s="137"/>
      <c r="V2612" s="137"/>
      <c r="W2612" s="137"/>
      <c r="X2612" s="137"/>
      <c r="Y2612" s="137"/>
      <c r="Z2612" s="137"/>
      <c r="AA2612" s="137"/>
      <c r="AB2612" s="137"/>
      <c r="AC2612" s="137"/>
      <c r="AD2612" s="137"/>
    </row>
    <row r="2613" spans="1:30">
      <c r="A2613" s="528"/>
      <c r="B2613" s="529"/>
      <c r="C2613" s="529"/>
      <c r="D2613" s="529"/>
      <c r="E2613" s="529"/>
      <c r="F2613" s="529"/>
      <c r="G2613" s="529"/>
      <c r="H2613" s="529"/>
      <c r="I2613" s="529"/>
      <c r="J2613" s="530"/>
      <c r="U2613" s="137"/>
      <c r="V2613" s="137"/>
      <c r="W2613" s="137"/>
      <c r="X2613" s="137"/>
      <c r="Y2613" s="137"/>
      <c r="Z2613" s="137"/>
      <c r="AA2613" s="137"/>
      <c r="AB2613" s="137"/>
      <c r="AC2613" s="137"/>
      <c r="AD2613" s="137"/>
    </row>
    <row r="2614" spans="1:30" ht="38.25">
      <c r="A2614" s="145" t="str">
        <f>'[3]Planilha Orçamentária'!A689</f>
        <v>1.12.3.4</v>
      </c>
      <c r="B2614" s="199">
        <f>VLOOKUP(A2614,'[3]Planilha Orçamentária'!A:K,2,0)</f>
        <v>95876</v>
      </c>
      <c r="C2614" s="147" t="str">
        <f>VLOOKUP(A2614,'[3]Planilha Orçamentária'!A:K,3,0)</f>
        <v>TRANSPORTE COM CAMINHÃO BASCULANTE DE 14 M³, EM VIA URBANA PAVIMENTADA, DMT ATÉ 30 KM (UNIDADE: M3XKM). AF_07/2020</v>
      </c>
      <c r="D2614" s="148" t="str">
        <f>VLOOKUP(A2614,'[3]Planilha Orçamentária'!A:K,4,0)</f>
        <v>M3XKM</v>
      </c>
      <c r="E2614" s="147"/>
      <c r="F2614" s="160"/>
      <c r="G2614" s="160"/>
      <c r="H2614" s="160"/>
      <c r="I2614" s="160"/>
      <c r="J2614" s="150">
        <f>ROUND(SUM(J2616),2)</f>
        <v>248.51</v>
      </c>
      <c r="U2614" s="137"/>
      <c r="V2614" s="137"/>
      <c r="W2614" s="137"/>
      <c r="X2614" s="137"/>
      <c r="Y2614" s="137"/>
      <c r="Z2614" s="137"/>
      <c r="AA2614" s="137"/>
      <c r="AB2614" s="137"/>
      <c r="AC2614" s="137"/>
      <c r="AD2614" s="137"/>
    </row>
    <row r="2615" spans="1:30">
      <c r="A2615" s="123"/>
      <c r="B2615" s="123"/>
      <c r="C2615" s="171" t="s">
        <v>2321</v>
      </c>
      <c r="D2615" s="123"/>
      <c r="E2615" s="123" t="s">
        <v>2011</v>
      </c>
      <c r="F2615" s="123"/>
      <c r="G2615" s="123"/>
      <c r="H2615" s="123"/>
      <c r="I2615" s="123" t="s">
        <v>2007</v>
      </c>
      <c r="J2615" s="123"/>
      <c r="U2615" s="137"/>
      <c r="V2615" s="137"/>
      <c r="W2615" s="137"/>
      <c r="X2615" s="137"/>
      <c r="Y2615" s="137"/>
      <c r="Z2615" s="137"/>
      <c r="AA2615" s="137"/>
      <c r="AB2615" s="137"/>
      <c r="AC2615" s="137"/>
      <c r="AD2615" s="137"/>
    </row>
    <row r="2616" spans="1:30">
      <c r="A2616" s="123"/>
      <c r="B2616" s="123"/>
      <c r="C2616" s="155" t="s">
        <v>2322</v>
      </c>
      <c r="D2616" s="123"/>
      <c r="E2616" s="162">
        <v>11.8</v>
      </c>
      <c r="F2616" s="162"/>
      <c r="G2616" s="162"/>
      <c r="H2616" s="162"/>
      <c r="I2616" s="172">
        <f>J2610</f>
        <v>21.06</v>
      </c>
      <c r="J2616" s="128">
        <f>ROUND(PRODUCT(E2616:I2616),2)</f>
        <v>248.51</v>
      </c>
      <c r="U2616" s="137"/>
      <c r="V2616" s="137"/>
      <c r="W2616" s="137"/>
      <c r="X2616" s="137"/>
      <c r="Y2616" s="137"/>
      <c r="Z2616" s="137"/>
      <c r="AA2616" s="137"/>
      <c r="AB2616" s="137"/>
      <c r="AC2616" s="137"/>
      <c r="AD2616" s="137"/>
    </row>
    <row r="2617" spans="1:30">
      <c r="A2617" s="528"/>
      <c r="B2617" s="529"/>
      <c r="C2617" s="529"/>
      <c r="D2617" s="529"/>
      <c r="E2617" s="529"/>
      <c r="F2617" s="529"/>
      <c r="G2617" s="529"/>
      <c r="H2617" s="529"/>
      <c r="I2617" s="529"/>
      <c r="J2617" s="530"/>
      <c r="U2617" s="137"/>
      <c r="V2617" s="137"/>
      <c r="W2617" s="137"/>
      <c r="X2617" s="137"/>
      <c r="Y2617" s="137"/>
      <c r="Z2617" s="137"/>
      <c r="AA2617" s="137"/>
      <c r="AB2617" s="137"/>
      <c r="AC2617" s="137"/>
      <c r="AD2617" s="137"/>
    </row>
    <row r="2618" spans="1:30">
      <c r="A2618" s="94" t="str">
        <f>'[3]Planilha Orçamentária'!A690</f>
        <v>1.12.4</v>
      </c>
      <c r="B2618" s="95"/>
      <c r="C2618" s="96" t="str">
        <f>VLOOKUP(A2618,'[3]Planilha Orçamentária'!A:K,3,0)</f>
        <v>TERRAPLENAGEM</v>
      </c>
      <c r="D2618" s="97"/>
      <c r="E2618" s="98"/>
      <c r="F2618" s="99"/>
      <c r="G2618" s="99"/>
      <c r="H2618" s="99"/>
      <c r="I2618" s="100"/>
      <c r="J2618" s="173"/>
      <c r="U2618" s="137"/>
      <c r="V2618" s="137"/>
      <c r="W2618" s="137"/>
      <c r="X2618" s="137"/>
      <c r="Y2618" s="137"/>
      <c r="Z2618" s="137"/>
      <c r="AA2618" s="137"/>
      <c r="AB2618" s="137"/>
      <c r="AC2618" s="137"/>
      <c r="AD2618" s="137"/>
    </row>
    <row r="2619" spans="1:30" ht="38.25">
      <c r="A2619" s="132" t="str">
        <f>'[3]Planilha Orçamentária'!A691</f>
        <v>1.12.4.1</v>
      </c>
      <c r="B2619" s="103" t="str">
        <f>VLOOKUP(A2619,'[3]Planilha Orçamentária'!A:K,2,0)</f>
        <v>CP-74205/001-17324935</v>
      </c>
      <c r="C2619" s="104" t="str">
        <f>VLOOKUP(A2619,'[3]Planilha Orçamentária'!A:K,3,0)</f>
        <v>ESCAVAÇÃO MECÂNICA DE MATERIAL 1A. CATEGORIA, PROVENIENTE DE CORTE DE SUBLEITO (C/TRATOR ESTEIRAS  160HP)</v>
      </c>
      <c r="D2619" s="105" t="str">
        <f>VLOOKUP(A2619,'[3]Planilha Orçamentária'!A:K,4,0)</f>
        <v>M3</v>
      </c>
      <c r="E2619" s="104"/>
      <c r="F2619" s="111"/>
      <c r="G2619" s="111"/>
      <c r="H2619" s="111"/>
      <c r="I2619" s="111"/>
      <c r="J2619" s="107">
        <f>ROUND(SUM(J2621:J2621),2)</f>
        <v>5588.24</v>
      </c>
      <c r="U2619" s="137"/>
      <c r="V2619" s="137"/>
      <c r="W2619" s="137"/>
      <c r="X2619" s="137"/>
      <c r="Y2619" s="137"/>
      <c r="Z2619" s="137"/>
      <c r="AA2619" s="137"/>
      <c r="AB2619" s="137"/>
      <c r="AC2619" s="137"/>
      <c r="AD2619" s="137"/>
    </row>
    <row r="2620" spans="1:30">
      <c r="A2620" s="132"/>
      <c r="B2620" s="103"/>
      <c r="C2620" s="165" t="s">
        <v>2323</v>
      </c>
      <c r="D2620" s="105"/>
      <c r="E2620" s="104"/>
      <c r="F2620" s="111"/>
      <c r="G2620" s="111"/>
      <c r="H2620" s="111"/>
      <c r="I2620" s="106" t="s">
        <v>2007</v>
      </c>
      <c r="J2620" s="107"/>
      <c r="U2620" s="137"/>
      <c r="V2620" s="137"/>
      <c r="W2620" s="137"/>
      <c r="X2620" s="137"/>
      <c r="Y2620" s="137"/>
      <c r="Z2620" s="137"/>
      <c r="AA2620" s="137"/>
      <c r="AB2620" s="137"/>
      <c r="AC2620" s="137"/>
      <c r="AD2620" s="137"/>
    </row>
    <row r="2621" spans="1:30">
      <c r="A2621" s="174"/>
      <c r="B2621" s="175"/>
      <c r="C2621" s="155" t="s">
        <v>2097</v>
      </c>
      <c r="D2621" s="156"/>
      <c r="E2621" s="157"/>
      <c r="F2621" s="157"/>
      <c r="G2621" s="157"/>
      <c r="H2621" s="157"/>
      <c r="I2621" s="157">
        <v>5588.24</v>
      </c>
      <c r="J2621" s="176">
        <f>ROUND(PRODUCT(E2621:I2621),2)</f>
        <v>5588.24</v>
      </c>
      <c r="U2621" s="137"/>
      <c r="V2621" s="137"/>
      <c r="W2621" s="137"/>
      <c r="X2621" s="137"/>
      <c r="Y2621" s="137"/>
      <c r="Z2621" s="137"/>
      <c r="AA2621" s="137"/>
      <c r="AB2621" s="137"/>
      <c r="AC2621" s="137"/>
      <c r="AD2621" s="137"/>
    </row>
    <row r="2622" spans="1:30">
      <c r="A2622" s="549"/>
      <c r="B2622" s="549"/>
      <c r="C2622" s="549"/>
      <c r="D2622" s="549"/>
      <c r="E2622" s="549"/>
      <c r="F2622" s="549"/>
      <c r="G2622" s="549"/>
      <c r="H2622" s="549"/>
      <c r="I2622" s="549"/>
      <c r="J2622" s="549"/>
      <c r="U2622" s="137"/>
      <c r="V2622" s="137"/>
      <c r="W2622" s="137"/>
      <c r="X2622" s="137"/>
      <c r="Y2622" s="137"/>
      <c r="Z2622" s="137"/>
      <c r="AA2622" s="137"/>
      <c r="AB2622" s="137"/>
      <c r="AC2622" s="137"/>
      <c r="AD2622" s="137"/>
    </row>
    <row r="2623" spans="1:30" ht="51">
      <c r="A2623" s="177" t="str">
        <f>'[3]Planilha Orçamentária'!A692</f>
        <v>1.12.4.2</v>
      </c>
      <c r="B2623" s="178" t="str">
        <f>VLOOKUP(A2623,'[3]Planilha Orçamentária'!A:K,2,0)</f>
        <v>COMP-35145154</v>
      </c>
      <c r="C2623" s="179" t="str">
        <f>VLOOKUP(A2623,'[3]Planilha Orçamentária'!A:K,3,0)</f>
        <v>CARGA E DESCARGA MECANICA DE SOLO UTILIZANDO CAMINHAO BASCULANTE 14,0M3/36T E PA CARREGADEIRA SOBRE PNEUS 128 HP, CAPACIDADE DA CAÇAMBA 1,7 A 2,8 M3, PESO OPERACIONAL 11632 KH</v>
      </c>
      <c r="D2623" s="180" t="str">
        <f>VLOOKUP(A2623,'[3]Planilha Orçamentária'!A:K,4,0)</f>
        <v>M3</v>
      </c>
      <c r="E2623" s="179"/>
      <c r="F2623" s="181"/>
      <c r="G2623" s="181"/>
      <c r="H2623" s="181"/>
      <c r="I2623" s="181"/>
      <c r="J2623" s="107">
        <f>ROUND(SUM(J2625:J2625),2)</f>
        <v>6975.96</v>
      </c>
      <c r="U2623" s="137"/>
      <c r="V2623" s="137"/>
      <c r="W2623" s="137"/>
      <c r="X2623" s="137"/>
      <c r="Y2623" s="137"/>
      <c r="Z2623" s="137"/>
      <c r="AA2623" s="137"/>
      <c r="AB2623" s="137"/>
      <c r="AC2623" s="137"/>
      <c r="AD2623" s="137"/>
    </row>
    <row r="2624" spans="1:30">
      <c r="A2624" s="177"/>
      <c r="B2624" s="178"/>
      <c r="C2624" s="155" t="s">
        <v>2015</v>
      </c>
      <c r="D2624" s="180"/>
      <c r="E2624" s="184" t="s">
        <v>2006</v>
      </c>
      <c r="F2624" s="332"/>
      <c r="G2624" s="332"/>
      <c r="H2624" s="332"/>
      <c r="I2624" s="332" t="s">
        <v>2007</v>
      </c>
      <c r="J2624" s="182"/>
      <c r="U2624" s="137"/>
      <c r="V2624" s="137"/>
      <c r="W2624" s="137"/>
      <c r="X2624" s="137"/>
      <c r="Y2624" s="137"/>
      <c r="Z2624" s="137"/>
      <c r="AA2624" s="137"/>
      <c r="AB2624" s="137"/>
      <c r="AC2624" s="137"/>
      <c r="AD2624" s="137"/>
    </row>
    <row r="2625" spans="1:30">
      <c r="A2625" s="177"/>
      <c r="B2625" s="178"/>
      <c r="C2625" s="155" t="s">
        <v>2016</v>
      </c>
      <c r="D2625" s="156"/>
      <c r="E2625" s="157">
        <v>1.25</v>
      </c>
      <c r="F2625" s="116"/>
      <c r="G2625" s="116"/>
      <c r="H2625" s="116"/>
      <c r="I2625" s="116">
        <f>J2619-J2631</f>
        <v>5580.7699999999995</v>
      </c>
      <c r="J2625" s="176">
        <f>ROUND(PRODUCT(E2625:I2625),2)</f>
        <v>6975.96</v>
      </c>
      <c r="U2625" s="137"/>
      <c r="V2625" s="137"/>
      <c r="W2625" s="137"/>
      <c r="X2625" s="137"/>
      <c r="Y2625" s="137"/>
      <c r="Z2625" s="137"/>
      <c r="AA2625" s="137"/>
      <c r="AB2625" s="137"/>
      <c r="AC2625" s="137"/>
      <c r="AD2625" s="137"/>
    </row>
    <row r="2626" spans="1:30">
      <c r="A2626" s="549"/>
      <c r="B2626" s="549"/>
      <c r="C2626" s="549"/>
      <c r="D2626" s="549"/>
      <c r="E2626" s="549"/>
      <c r="F2626" s="549"/>
      <c r="G2626" s="549"/>
      <c r="H2626" s="549"/>
      <c r="I2626" s="549"/>
      <c r="J2626" s="549"/>
      <c r="U2626" s="137"/>
      <c r="V2626" s="137"/>
      <c r="W2626" s="137"/>
      <c r="X2626" s="137"/>
      <c r="Y2626" s="137"/>
      <c r="Z2626" s="137"/>
      <c r="AA2626" s="137"/>
      <c r="AB2626" s="137"/>
      <c r="AC2626" s="137"/>
      <c r="AD2626" s="137"/>
    </row>
    <row r="2627" spans="1:30" ht="38.25">
      <c r="A2627" s="186" t="str">
        <f>'[3]Planilha Orçamentária'!A693</f>
        <v>1.12.4.3</v>
      </c>
      <c r="B2627" s="187">
        <f>VLOOKUP(A2627,'[3]Planilha Orçamentária'!A:K,2,0)</f>
        <v>95876</v>
      </c>
      <c r="C2627" s="188" t="str">
        <f>VLOOKUP(A2627,'[3]Planilha Orçamentária'!A:K,3,0)</f>
        <v>TRANSPORTE COM CAMINHÃO BASCULANTE DE 14 M³, EM VIA URBANA PAVIMENTADA, DMT ATÉ 30 KM (UNIDADE: M3XKM). AF_07/2020</v>
      </c>
      <c r="D2627" s="189" t="str">
        <f>VLOOKUP(A2627,'[3]Planilha Orçamentária'!A:K,4,0)</f>
        <v>M3XKM</v>
      </c>
      <c r="E2627" s="188"/>
      <c r="F2627" s="160"/>
      <c r="G2627" s="160"/>
      <c r="H2627" s="160"/>
      <c r="I2627" s="160"/>
      <c r="J2627" s="122">
        <f>ROUND(SUM(J2629:J2629),2)</f>
        <v>82316.33</v>
      </c>
      <c r="U2627" s="137"/>
      <c r="V2627" s="137"/>
      <c r="W2627" s="137"/>
      <c r="X2627" s="137"/>
      <c r="Y2627" s="137"/>
      <c r="Z2627" s="137"/>
      <c r="AA2627" s="137"/>
      <c r="AB2627" s="137"/>
      <c r="AC2627" s="137"/>
      <c r="AD2627" s="137"/>
    </row>
    <row r="2628" spans="1:30">
      <c r="A2628" s="186"/>
      <c r="B2628" s="187"/>
      <c r="C2628" s="171" t="s">
        <v>2321</v>
      </c>
      <c r="D2628" s="189"/>
      <c r="E2628" s="208" t="s">
        <v>2011</v>
      </c>
      <c r="F2628" s="160"/>
      <c r="G2628" s="160"/>
      <c r="H2628" s="161"/>
      <c r="I2628" s="161" t="s">
        <v>2007</v>
      </c>
      <c r="J2628" s="150"/>
      <c r="U2628" s="137"/>
      <c r="V2628" s="137"/>
      <c r="W2628" s="137"/>
      <c r="X2628" s="137"/>
      <c r="Y2628" s="137"/>
      <c r="Z2628" s="137"/>
      <c r="AA2628" s="137"/>
      <c r="AB2628" s="137"/>
      <c r="AC2628" s="137"/>
      <c r="AD2628" s="137"/>
    </row>
    <row r="2629" spans="1:30">
      <c r="A2629" s="186"/>
      <c r="B2629" s="187"/>
      <c r="C2629" s="155" t="s">
        <v>2324</v>
      </c>
      <c r="D2629" s="156"/>
      <c r="E2629" s="162">
        <v>11.8</v>
      </c>
      <c r="F2629" s="207"/>
      <c r="G2629" s="207"/>
      <c r="H2629" s="207"/>
      <c r="I2629" s="195">
        <f>J2623</f>
        <v>6975.96</v>
      </c>
      <c r="J2629" s="196">
        <f>ROUND(PRODUCT(E2629:I2629),2)</f>
        <v>82316.33</v>
      </c>
      <c r="U2629" s="137"/>
      <c r="V2629" s="137"/>
      <c r="W2629" s="137"/>
      <c r="X2629" s="137"/>
      <c r="Y2629" s="137"/>
      <c r="Z2629" s="137"/>
      <c r="AA2629" s="137"/>
      <c r="AB2629" s="137"/>
      <c r="AC2629" s="137"/>
      <c r="AD2629" s="137"/>
    </row>
    <row r="2630" spans="1:30">
      <c r="A2630" s="532"/>
      <c r="B2630" s="533"/>
      <c r="C2630" s="533"/>
      <c r="D2630" s="533"/>
      <c r="E2630" s="533"/>
      <c r="F2630" s="533"/>
      <c r="G2630" s="533"/>
      <c r="H2630" s="533"/>
      <c r="I2630" s="533"/>
      <c r="J2630" s="534"/>
      <c r="U2630" s="137"/>
      <c r="V2630" s="137"/>
      <c r="W2630" s="137"/>
      <c r="X2630" s="137"/>
      <c r="Y2630" s="137"/>
      <c r="Z2630" s="137"/>
      <c r="AA2630" s="137"/>
      <c r="AB2630" s="137"/>
      <c r="AC2630" s="137"/>
      <c r="AD2630" s="137"/>
    </row>
    <row r="2631" spans="1:30" ht="38.25">
      <c r="A2631" s="132" t="str">
        <f>'[3]Planilha Orçamentária'!A694</f>
        <v>1.12.4.4</v>
      </c>
      <c r="B2631" s="103">
        <f>VLOOKUP(A2631,'[3]Planilha Orçamentária'!A:K,2,0)</f>
        <v>96385</v>
      </c>
      <c r="C2631" s="104" t="str">
        <f>VLOOKUP(A2631,'[3]Planilha Orçamentária'!A:K,3,0)</f>
        <v>EXECUÇÃO E COMPACTAÇÃO DE ATERRO COM SOLO PREDOMINANTEMENTE ARGILOSO - EXCLUSIVE SOLO, ESCAVAÇÃO, CARGA E TRANSPORTE. AF_11/2019</v>
      </c>
      <c r="D2631" s="105" t="str">
        <f>VLOOKUP(A2631,'[3]Planilha Orçamentária'!A:K,4,0)</f>
        <v>M3</v>
      </c>
      <c r="E2631" s="104"/>
      <c r="F2631" s="111"/>
      <c r="G2631" s="111"/>
      <c r="H2631" s="111"/>
      <c r="I2631" s="111"/>
      <c r="J2631" s="107">
        <f>ROUND(SUM(J2633:J2633),2)</f>
        <v>7.47</v>
      </c>
      <c r="U2631" s="137"/>
      <c r="V2631" s="137"/>
      <c r="W2631" s="137"/>
      <c r="X2631" s="137"/>
      <c r="Y2631" s="137"/>
      <c r="Z2631" s="137"/>
      <c r="AA2631" s="137"/>
      <c r="AB2631" s="137"/>
      <c r="AC2631" s="137"/>
      <c r="AD2631" s="137"/>
    </row>
    <row r="2632" spans="1:30">
      <c r="A2632" s="132"/>
      <c r="B2632" s="103"/>
      <c r="C2632" s="165" t="s">
        <v>2323</v>
      </c>
      <c r="D2632" s="105"/>
      <c r="E2632" s="104"/>
      <c r="F2632" s="111"/>
      <c r="G2632" s="111"/>
      <c r="H2632" s="111"/>
      <c r="I2632" s="106" t="s">
        <v>2007</v>
      </c>
      <c r="J2632" s="107"/>
      <c r="U2632" s="137"/>
      <c r="V2632" s="137"/>
      <c r="W2632" s="137"/>
      <c r="X2632" s="137"/>
      <c r="Y2632" s="137"/>
      <c r="Z2632" s="137"/>
      <c r="AA2632" s="137"/>
      <c r="AB2632" s="137"/>
      <c r="AC2632" s="137"/>
      <c r="AD2632" s="137"/>
    </row>
    <row r="2633" spans="1:30">
      <c r="A2633" s="174"/>
      <c r="B2633" s="175"/>
      <c r="C2633" s="155" t="s">
        <v>2097</v>
      </c>
      <c r="D2633" s="156"/>
      <c r="E2633" s="157"/>
      <c r="F2633" s="157"/>
      <c r="G2633" s="157"/>
      <c r="H2633" s="157"/>
      <c r="I2633" s="157">
        <v>7.47</v>
      </c>
      <c r="J2633" s="176">
        <f>ROUND(PRODUCT(E2633:I2633),2)</f>
        <v>7.47</v>
      </c>
      <c r="U2633" s="137"/>
      <c r="V2633" s="137"/>
      <c r="W2633" s="137"/>
      <c r="X2633" s="137"/>
      <c r="Y2633" s="137"/>
      <c r="Z2633" s="137"/>
      <c r="AA2633" s="137"/>
      <c r="AB2633" s="137"/>
      <c r="AC2633" s="137"/>
      <c r="AD2633" s="137"/>
    </row>
    <row r="2634" spans="1:30">
      <c r="A2634" s="549"/>
      <c r="B2634" s="549"/>
      <c r="C2634" s="549"/>
      <c r="D2634" s="549"/>
      <c r="E2634" s="549"/>
      <c r="F2634" s="549"/>
      <c r="G2634" s="549"/>
      <c r="H2634" s="549"/>
      <c r="I2634" s="549"/>
      <c r="J2634" s="549"/>
      <c r="U2634" s="137"/>
      <c r="V2634" s="137"/>
      <c r="W2634" s="137"/>
      <c r="X2634" s="137"/>
      <c r="Y2634" s="137"/>
      <c r="Z2634" s="137"/>
      <c r="AA2634" s="137"/>
      <c r="AB2634" s="137"/>
      <c r="AC2634" s="137"/>
      <c r="AD2634" s="137"/>
    </row>
    <row r="2635" spans="1:30">
      <c r="A2635" s="94" t="str">
        <f>'[3]Planilha Orçamentária'!A695</f>
        <v>1.12.5</v>
      </c>
      <c r="B2635" s="95"/>
      <c r="C2635" s="96" t="str">
        <f>VLOOKUP(A2635,'[3]Planilha Orçamentária'!A:K,3,0)</f>
        <v>PAVIMENTAÇÃO</v>
      </c>
      <c r="D2635" s="97"/>
      <c r="E2635" s="98"/>
      <c r="F2635" s="99"/>
      <c r="G2635" s="99"/>
      <c r="H2635" s="99"/>
      <c r="I2635" s="100"/>
      <c r="J2635" s="131"/>
      <c r="U2635" s="137"/>
      <c r="V2635" s="137"/>
      <c r="W2635" s="137"/>
      <c r="X2635" s="137"/>
      <c r="Y2635" s="137"/>
      <c r="Z2635" s="137"/>
      <c r="AA2635" s="137"/>
      <c r="AB2635" s="137"/>
      <c r="AC2635" s="137"/>
      <c r="AD2635" s="137"/>
    </row>
    <row r="2636" spans="1:30" ht="25.5">
      <c r="A2636" s="145" t="str">
        <f>'[3]Planilha Orçamentária'!A696</f>
        <v>1.12.5.1</v>
      </c>
      <c r="B2636" s="199">
        <f>VLOOKUP(A2636,'[3]Planilha Orçamentária'!A:K,2,0)</f>
        <v>100576</v>
      </c>
      <c r="C2636" s="147" t="str">
        <f>VLOOKUP(A2636,'[3]Planilha Orçamentária'!A:K,3,0)</f>
        <v>REGULARIZAÇÃO E COMPACTAÇÃO DE SUBLEITO DE SOLO  PREDOMINANTEMENTE ARGILOSO. AF_11/2019</v>
      </c>
      <c r="D2636" s="148" t="str">
        <f>VLOOKUP(A2636,'[3]Planilha Orçamentária'!A:K,4,0)</f>
        <v>M2</v>
      </c>
      <c r="E2636" s="147"/>
      <c r="F2636" s="160"/>
      <c r="G2636" s="160"/>
      <c r="H2636" s="160"/>
      <c r="I2636" s="160"/>
      <c r="J2636" s="150">
        <f>ROUND(SUM(J2638:J2638),2)</f>
        <v>8433.4599999999991</v>
      </c>
      <c r="U2636" s="137"/>
      <c r="V2636" s="137"/>
      <c r="W2636" s="137"/>
      <c r="X2636" s="137"/>
      <c r="Y2636" s="137"/>
      <c r="Z2636" s="137"/>
      <c r="AA2636" s="137"/>
      <c r="AB2636" s="137"/>
      <c r="AC2636" s="137"/>
      <c r="AD2636" s="137"/>
    </row>
    <row r="2637" spans="1:30">
      <c r="A2637" s="145"/>
      <c r="B2637" s="199"/>
      <c r="C2637" s="159" t="s">
        <v>2325</v>
      </c>
      <c r="D2637" s="148"/>
      <c r="E2637" s="147"/>
      <c r="F2637" s="161" t="s">
        <v>1989</v>
      </c>
      <c r="G2637" s="161" t="s">
        <v>1990</v>
      </c>
      <c r="H2637" s="160"/>
      <c r="I2637" s="161"/>
      <c r="J2637" s="150"/>
      <c r="U2637" s="137"/>
      <c r="V2637" s="137"/>
      <c r="W2637" s="137"/>
      <c r="X2637" s="137"/>
      <c r="Y2637" s="137"/>
      <c r="Z2637" s="137"/>
      <c r="AA2637" s="137"/>
      <c r="AB2637" s="137"/>
      <c r="AC2637" s="137"/>
      <c r="AD2637" s="137"/>
    </row>
    <row r="2638" spans="1:30" ht="25.5">
      <c r="A2638" s="145"/>
      <c r="B2638" s="199"/>
      <c r="C2638" s="200" t="s">
        <v>2019</v>
      </c>
      <c r="D2638" s="185"/>
      <c r="E2638" s="116"/>
      <c r="F2638" s="136">
        <f>(20-3.57)+(59*20)+(8.35)</f>
        <v>1204.78</v>
      </c>
      <c r="G2638" s="161">
        <f>6+1</f>
        <v>7</v>
      </c>
      <c r="H2638" s="160"/>
      <c r="I2638" s="161"/>
      <c r="J2638" s="158">
        <f>ROUND(PRODUCT(E2638:I2638),2)</f>
        <v>8433.4599999999991</v>
      </c>
      <c r="U2638" s="137"/>
      <c r="V2638" s="137"/>
      <c r="W2638" s="137"/>
      <c r="X2638" s="137"/>
      <c r="Y2638" s="137"/>
      <c r="Z2638" s="137"/>
      <c r="AA2638" s="137"/>
      <c r="AB2638" s="137"/>
      <c r="AC2638" s="137"/>
      <c r="AD2638" s="137"/>
    </row>
    <row r="2639" spans="1:30">
      <c r="A2639" s="550"/>
      <c r="B2639" s="551"/>
      <c r="C2639" s="551"/>
      <c r="D2639" s="551"/>
      <c r="E2639" s="551"/>
      <c r="F2639" s="551"/>
      <c r="G2639" s="551"/>
      <c r="H2639" s="551"/>
      <c r="I2639" s="551"/>
      <c r="J2639" s="552"/>
      <c r="U2639" s="137"/>
      <c r="V2639" s="137"/>
      <c r="W2639" s="137"/>
      <c r="X2639" s="137"/>
      <c r="Y2639" s="137"/>
      <c r="Z2639" s="137"/>
      <c r="AA2639" s="137"/>
      <c r="AB2639" s="137"/>
      <c r="AC2639" s="137"/>
      <c r="AD2639" s="137"/>
    </row>
    <row r="2640" spans="1:30" ht="25.5">
      <c r="A2640" s="145" t="str">
        <f>'[3]Planilha Orçamentária'!A697</f>
        <v>1.12.5.2</v>
      </c>
      <c r="B2640" s="199" t="str">
        <f>VLOOKUP(A2640,'[3]Planilha Orçamentária'!A:K,2,0)</f>
        <v>COMP-47176600</v>
      </c>
      <c r="C2640" s="147" t="str">
        <f>VLOOKUP(A2640,'[3]Planilha Orçamentária'!A:K,3,0)</f>
        <v xml:space="preserve">EXEC. DE ATERRO COM AREIA COM ADENSAMENTO HIDRAULICO </v>
      </c>
      <c r="D2640" s="148" t="str">
        <f>VLOOKUP(A2640,'[3]Planilha Orçamentária'!A:K,4,0)</f>
        <v xml:space="preserve">M3    </v>
      </c>
      <c r="E2640" s="147"/>
      <c r="F2640" s="160"/>
      <c r="G2640" s="160"/>
      <c r="H2640" s="160"/>
      <c r="I2640" s="160"/>
      <c r="J2640" s="150">
        <f>ROUND(SUM(J2642:J2642),2)</f>
        <v>3493.86</v>
      </c>
      <c r="U2640" s="137"/>
      <c r="V2640" s="137"/>
      <c r="W2640" s="137"/>
      <c r="X2640" s="137"/>
      <c r="Y2640" s="137"/>
      <c r="Z2640" s="137"/>
      <c r="AA2640" s="137"/>
      <c r="AB2640" s="137"/>
      <c r="AC2640" s="137"/>
      <c r="AD2640" s="137"/>
    </row>
    <row r="2641" spans="1:30">
      <c r="A2641" s="145"/>
      <c r="B2641" s="145"/>
      <c r="C2641" s="159" t="s">
        <v>2325</v>
      </c>
      <c r="D2641" s="145"/>
      <c r="E2641" s="145"/>
      <c r="F2641" s="161" t="s">
        <v>1989</v>
      </c>
      <c r="G2641" s="161" t="s">
        <v>1990</v>
      </c>
      <c r="H2641" s="161" t="s">
        <v>2002</v>
      </c>
      <c r="I2641" s="145"/>
      <c r="J2641" s="145"/>
      <c r="U2641" s="137"/>
      <c r="V2641" s="137"/>
      <c r="W2641" s="137"/>
      <c r="X2641" s="137"/>
      <c r="Y2641" s="137"/>
      <c r="Z2641" s="137"/>
      <c r="AA2641" s="137"/>
      <c r="AB2641" s="137"/>
      <c r="AC2641" s="137"/>
      <c r="AD2641" s="137"/>
    </row>
    <row r="2642" spans="1:30" ht="28.5">
      <c r="A2642" s="145"/>
      <c r="B2642" s="145"/>
      <c r="C2642" s="204" t="s">
        <v>2326</v>
      </c>
      <c r="D2642" s="145"/>
      <c r="E2642" s="145"/>
      <c r="F2642" s="136">
        <f>F2638</f>
        <v>1204.78</v>
      </c>
      <c r="G2642" s="136">
        <f>6+0.5+0.5-1.2</f>
        <v>5.8</v>
      </c>
      <c r="H2642" s="136">
        <v>0.5</v>
      </c>
      <c r="I2642" s="145"/>
      <c r="J2642" s="158">
        <f>ROUND(PRODUCT(E2642:I2642),2)</f>
        <v>3493.86</v>
      </c>
      <c r="U2642" s="137"/>
      <c r="V2642" s="137"/>
      <c r="W2642" s="137"/>
      <c r="X2642" s="137"/>
      <c r="Y2642" s="137"/>
      <c r="Z2642" s="137"/>
      <c r="AA2642" s="137"/>
      <c r="AB2642" s="137"/>
      <c r="AC2642" s="137"/>
      <c r="AD2642" s="137"/>
    </row>
    <row r="2643" spans="1:30">
      <c r="A2643" s="145"/>
      <c r="B2643" s="145"/>
      <c r="C2643" s="145"/>
      <c r="D2643" s="145"/>
      <c r="E2643" s="145"/>
      <c r="F2643" s="145"/>
      <c r="G2643" s="145"/>
      <c r="H2643" s="145"/>
      <c r="I2643" s="145"/>
      <c r="J2643" s="145"/>
      <c r="U2643" s="137"/>
      <c r="V2643" s="137"/>
      <c r="W2643" s="137"/>
      <c r="X2643" s="137"/>
      <c r="Y2643" s="137"/>
      <c r="Z2643" s="137"/>
      <c r="AA2643" s="137"/>
      <c r="AB2643" s="137"/>
      <c r="AC2643" s="137"/>
      <c r="AD2643" s="137"/>
    </row>
    <row r="2644" spans="1:30" ht="38.25">
      <c r="A2644" s="186" t="str">
        <f>'[3]Planilha Orçamentária'!A698</f>
        <v>1.12.5.3</v>
      </c>
      <c r="B2644" s="187" t="str">
        <f>VLOOKUP(A2644,'[3]Planilha Orçamentária'!A:K,2,0)</f>
        <v>COMP-28881239</v>
      </c>
      <c r="C2644" s="188" t="str">
        <f>VLOOKUP(A2644,'[3]Planilha Orçamentária'!A:K,3,0)</f>
        <v>Base ou sub-base de macadame hidráulico com brita comercial - EXCLUSIVE MATERIAL, CARGA E TRANSPORTE - NÃO DESONERADO</v>
      </c>
      <c r="D2644" s="189" t="str">
        <f>VLOOKUP(A2644,'[3]Planilha Orçamentária'!A:K,4,0)</f>
        <v>M3</v>
      </c>
      <c r="E2644" s="188"/>
      <c r="F2644" s="190"/>
      <c r="G2644" s="190"/>
      <c r="H2644" s="190"/>
      <c r="I2644" s="190"/>
      <c r="J2644" s="203">
        <f>ROUND(SUM(J2646:J2646),2)</f>
        <v>1048.1600000000001</v>
      </c>
      <c r="U2644" s="137"/>
      <c r="V2644" s="137"/>
      <c r="W2644" s="137"/>
      <c r="X2644" s="137"/>
      <c r="Y2644" s="137"/>
      <c r="Z2644" s="137"/>
      <c r="AA2644" s="137"/>
      <c r="AB2644" s="137"/>
      <c r="AC2644" s="137"/>
      <c r="AD2644" s="137"/>
    </row>
    <row r="2645" spans="1:30">
      <c r="A2645" s="186"/>
      <c r="B2645" s="187"/>
      <c r="C2645" s="159" t="s">
        <v>2325</v>
      </c>
      <c r="D2645" s="148"/>
      <c r="E2645" s="147"/>
      <c r="F2645" s="161" t="s">
        <v>1989</v>
      </c>
      <c r="G2645" s="161" t="s">
        <v>1990</v>
      </c>
      <c r="H2645" s="161" t="s">
        <v>2002</v>
      </c>
      <c r="I2645" s="161"/>
      <c r="J2645" s="203"/>
      <c r="U2645" s="137"/>
      <c r="V2645" s="137"/>
      <c r="W2645" s="137"/>
      <c r="X2645" s="137"/>
      <c r="Y2645" s="137"/>
      <c r="Z2645" s="137"/>
      <c r="AA2645" s="137"/>
      <c r="AB2645" s="137"/>
      <c r="AC2645" s="137"/>
      <c r="AD2645" s="137"/>
    </row>
    <row r="2646" spans="1:30" ht="28.5">
      <c r="A2646" s="186"/>
      <c r="B2646" s="187"/>
      <c r="C2646" s="204" t="s">
        <v>2020</v>
      </c>
      <c r="D2646" s="148"/>
      <c r="E2646" s="147"/>
      <c r="F2646" s="167">
        <f>F2638</f>
        <v>1204.78</v>
      </c>
      <c r="G2646" s="136">
        <f>6+0.5+0.5-1.2</f>
        <v>5.8</v>
      </c>
      <c r="H2646" s="161">
        <v>0.15</v>
      </c>
      <c r="I2646" s="167"/>
      <c r="J2646" s="176">
        <f>ROUND(PRODUCT(E2646:I2646),2)</f>
        <v>1048.1600000000001</v>
      </c>
      <c r="U2646" s="137"/>
      <c r="V2646" s="137"/>
      <c r="W2646" s="137"/>
      <c r="X2646" s="137"/>
      <c r="Y2646" s="137"/>
      <c r="Z2646" s="137"/>
      <c r="AA2646" s="137"/>
      <c r="AB2646" s="137"/>
      <c r="AC2646" s="137"/>
      <c r="AD2646" s="137"/>
    </row>
    <row r="2647" spans="1:30">
      <c r="A2647" s="205"/>
      <c r="B2647" s="206"/>
      <c r="C2647" s="171"/>
      <c r="D2647" s="189"/>
      <c r="E2647" s="188"/>
      <c r="F2647" s="207"/>
      <c r="G2647" s="207"/>
      <c r="H2647" s="208"/>
      <c r="I2647" s="209"/>
      <c r="J2647" s="196"/>
      <c r="U2647" s="137"/>
      <c r="V2647" s="137"/>
      <c r="W2647" s="137"/>
      <c r="X2647" s="137"/>
      <c r="Y2647" s="137"/>
      <c r="Z2647" s="137"/>
      <c r="AA2647" s="137"/>
      <c r="AB2647" s="137"/>
      <c r="AC2647" s="137"/>
      <c r="AD2647" s="137"/>
    </row>
    <row r="2648" spans="1:30" ht="38.25">
      <c r="A2648" s="177" t="str">
        <f>'[3]Planilha Orçamentária'!A699</f>
        <v>1.12.5.4</v>
      </c>
      <c r="B2648" s="178" t="str">
        <f>VLOOKUP(A2648,'[3]Planilha Orçamentária'!A:K,2,0)</f>
        <v>CP-96396-26507981</v>
      </c>
      <c r="C2648" s="179" t="str">
        <f>VLOOKUP(A2648,'[3]Planilha Orçamentária'!A:K,3,0)</f>
        <v>EXECUÇÃO E COMPACTAÇÃO DE BASE E OU SUB BASE PARA PAVIMENTAÇÃO DE BRITA GRADUADA SIMPLES - EXCLUSIVE MATERIAL, CARGA E TRANSPORTE</v>
      </c>
      <c r="D2648" s="180" t="str">
        <f>VLOOKUP(A2648,'[3]Planilha Orçamentária'!A:K,4,0)</f>
        <v>M3</v>
      </c>
      <c r="E2648" s="179"/>
      <c r="F2648" s="181"/>
      <c r="G2648" s="181"/>
      <c r="H2648" s="181"/>
      <c r="I2648" s="181"/>
      <c r="J2648" s="182">
        <f>ROUND(SUM(J2650:J2650),2)</f>
        <v>1156.5899999999999</v>
      </c>
      <c r="U2648" s="137"/>
      <c r="V2648" s="137"/>
      <c r="W2648" s="137"/>
      <c r="X2648" s="137"/>
      <c r="Y2648" s="137"/>
      <c r="Z2648" s="137"/>
      <c r="AA2648" s="137"/>
      <c r="AB2648" s="137"/>
      <c r="AC2648" s="137"/>
      <c r="AD2648" s="137"/>
    </row>
    <row r="2649" spans="1:30">
      <c r="A2649" s="177"/>
      <c r="B2649" s="178"/>
      <c r="C2649" s="159" t="s">
        <v>2325</v>
      </c>
      <c r="D2649" s="180"/>
      <c r="E2649" s="184"/>
      <c r="F2649" s="161" t="s">
        <v>1989</v>
      </c>
      <c r="G2649" s="161" t="s">
        <v>1990</v>
      </c>
      <c r="H2649" s="161" t="s">
        <v>2002</v>
      </c>
      <c r="I2649" s="210"/>
      <c r="J2649" s="182"/>
      <c r="U2649" s="137"/>
      <c r="V2649" s="137"/>
      <c r="W2649" s="137"/>
      <c r="X2649" s="137"/>
      <c r="Y2649" s="137"/>
      <c r="Z2649" s="137"/>
      <c r="AA2649" s="137"/>
      <c r="AB2649" s="137"/>
      <c r="AC2649" s="137"/>
      <c r="AD2649" s="137"/>
    </row>
    <row r="2650" spans="1:30" ht="28.5">
      <c r="A2650" s="123"/>
      <c r="B2650" s="211"/>
      <c r="C2650" s="204" t="s">
        <v>2021</v>
      </c>
      <c r="D2650" s="185"/>
      <c r="E2650" s="127"/>
      <c r="F2650" s="127">
        <f>F2646</f>
        <v>1204.78</v>
      </c>
      <c r="G2650" s="161">
        <f>6-1.2</f>
        <v>4.8</v>
      </c>
      <c r="H2650" s="161">
        <v>0.2</v>
      </c>
      <c r="I2650" s="212"/>
      <c r="J2650" s="118">
        <f>ROUND(PRODUCT(E2650:I2650),2)</f>
        <v>1156.5899999999999</v>
      </c>
      <c r="U2650" s="137"/>
      <c r="V2650" s="137"/>
      <c r="W2650" s="137"/>
      <c r="X2650" s="137"/>
      <c r="Y2650" s="137"/>
      <c r="Z2650" s="137"/>
      <c r="AA2650" s="137"/>
      <c r="AB2650" s="137"/>
      <c r="AC2650" s="137"/>
      <c r="AD2650" s="137"/>
    </row>
    <row r="2651" spans="1:30">
      <c r="A2651" s="546"/>
      <c r="B2651" s="547"/>
      <c r="C2651" s="547"/>
      <c r="D2651" s="547"/>
      <c r="E2651" s="547"/>
      <c r="F2651" s="547"/>
      <c r="G2651" s="547"/>
      <c r="H2651" s="547"/>
      <c r="I2651" s="547"/>
      <c r="J2651" s="548"/>
      <c r="U2651" s="137"/>
      <c r="V2651" s="137"/>
      <c r="W2651" s="137"/>
      <c r="X2651" s="137"/>
      <c r="Y2651" s="137"/>
      <c r="Z2651" s="137"/>
      <c r="AA2651" s="137"/>
      <c r="AB2651" s="137"/>
      <c r="AC2651" s="137"/>
      <c r="AD2651" s="137"/>
    </row>
    <row r="2652" spans="1:30" ht="51">
      <c r="A2652" s="132" t="str">
        <f>'[3]Planilha Orçamentária'!A700</f>
        <v>1.12.5.5</v>
      </c>
      <c r="B2652" s="108" t="str">
        <f>VLOOKUP(A2652,'[3]Planilha Orçamentária'!A:K,2,0)</f>
        <v>COMP-35145154</v>
      </c>
      <c r="C2652" s="104" t="str">
        <f>VLOOKUP(A2652,'[3]Planilha Orçamentária'!A:K,3,0)</f>
        <v>CARGA E DESCARGA MECANICA DE SOLO UTILIZANDO CAMINHAO BASCULANTE 14,0M3/36T E PA CARREGADEIRA SOBRE PNEUS 128 HP, CAPACIDADE DA CAÇAMBA 1,7 A 2,8 M3, PESO OPERACIONAL 11632 KH</v>
      </c>
      <c r="D2652" s="105" t="str">
        <f>VLOOKUP(A2652,'[3]Planilha Orçamentária'!A:K,4,0)</f>
        <v>M3</v>
      </c>
      <c r="E2652" s="104"/>
      <c r="F2652" s="111"/>
      <c r="G2652" s="111"/>
      <c r="H2652" s="111"/>
      <c r="I2652" s="111"/>
      <c r="J2652" s="122">
        <f>ROUND(SUM(J2654:J2654),2)</f>
        <v>2755.94</v>
      </c>
      <c r="U2652" s="137"/>
      <c r="V2652" s="137"/>
      <c r="W2652" s="137"/>
      <c r="X2652" s="137"/>
      <c r="Y2652" s="137"/>
      <c r="Z2652" s="137"/>
      <c r="AA2652" s="137"/>
      <c r="AB2652" s="137"/>
      <c r="AC2652" s="137"/>
      <c r="AD2652" s="137"/>
    </row>
    <row r="2653" spans="1:30" ht="25.5">
      <c r="A2653" s="132"/>
      <c r="B2653" s="108"/>
      <c r="C2653" s="147"/>
      <c r="D2653" s="148"/>
      <c r="E2653" s="220" t="s">
        <v>2006</v>
      </c>
      <c r="F2653" s="106"/>
      <c r="G2653" s="111"/>
      <c r="H2653" s="111"/>
      <c r="I2653" s="143" t="s">
        <v>2022</v>
      </c>
      <c r="J2653" s="122"/>
      <c r="U2653" s="137"/>
      <c r="V2653" s="137"/>
      <c r="W2653" s="137"/>
      <c r="X2653" s="137"/>
      <c r="Y2653" s="137"/>
      <c r="Z2653" s="137"/>
      <c r="AA2653" s="137"/>
      <c r="AB2653" s="137"/>
      <c r="AC2653" s="137"/>
      <c r="AD2653" s="137"/>
    </row>
    <row r="2654" spans="1:30" ht="14.25">
      <c r="A2654" s="132"/>
      <c r="B2654" s="108"/>
      <c r="C2654" s="221" t="s">
        <v>2023</v>
      </c>
      <c r="D2654" s="156"/>
      <c r="E2654" s="106">
        <v>1.25</v>
      </c>
      <c r="F2654" s="238"/>
      <c r="G2654" s="205"/>
      <c r="H2654" s="205"/>
      <c r="I2654" s="239">
        <f>J2648+J2644</f>
        <v>2204.75</v>
      </c>
      <c r="J2654" s="342">
        <f t="shared" ref="J2654" si="181">ROUND(PRODUCT(E2654:I2654),2)</f>
        <v>2755.94</v>
      </c>
      <c r="U2654" s="137"/>
      <c r="V2654" s="137"/>
      <c r="W2654" s="137"/>
      <c r="X2654" s="137"/>
      <c r="Y2654" s="137"/>
      <c r="Z2654" s="137"/>
      <c r="AA2654" s="137"/>
      <c r="AB2654" s="137"/>
      <c r="AC2654" s="137"/>
      <c r="AD2654" s="137"/>
    </row>
    <row r="2655" spans="1:30">
      <c r="A2655" s="549"/>
      <c r="B2655" s="549"/>
      <c r="C2655" s="549"/>
      <c r="D2655" s="549"/>
      <c r="E2655" s="549"/>
      <c r="F2655" s="549"/>
      <c r="G2655" s="549"/>
      <c r="H2655" s="549"/>
      <c r="I2655" s="549"/>
      <c r="J2655" s="549"/>
      <c r="U2655" s="137"/>
      <c r="V2655" s="137"/>
      <c r="W2655" s="137"/>
      <c r="X2655" s="137"/>
      <c r="Y2655" s="137"/>
      <c r="Z2655" s="137"/>
      <c r="AA2655" s="137"/>
      <c r="AB2655" s="137"/>
      <c r="AC2655" s="137"/>
      <c r="AD2655" s="137"/>
    </row>
    <row r="2656" spans="1:30" ht="25.5">
      <c r="A2656" s="132" t="str">
        <f>'[3]Planilha Orçamentária'!A701</f>
        <v>1.12.5.6</v>
      </c>
      <c r="B2656" s="108" t="str">
        <f>VLOOKUP(A2656,'[3]Planilha Orçamentária'!A:K,2,0)</f>
        <v>COMP-83526730</v>
      </c>
      <c r="C2656" s="104" t="str">
        <f>VLOOKUP(A2656,'[3]Planilha Orçamentária'!A:K,3,0)</f>
        <v>TRANSPORTE COMERCIAL DE BRITA</v>
      </c>
      <c r="D2656" s="105" t="str">
        <f>VLOOKUP(A2656,'[3]Planilha Orçamentária'!A:K,4,0)</f>
        <v>M3XKM</v>
      </c>
      <c r="E2656" s="104"/>
      <c r="F2656" s="111"/>
      <c r="G2656" s="111"/>
      <c r="H2656" s="111"/>
      <c r="I2656" s="111"/>
      <c r="J2656" s="122">
        <f>ROUND(SUM(J2658:J2658),2)</f>
        <v>33071.279999999999</v>
      </c>
      <c r="U2656" s="137"/>
      <c r="V2656" s="137"/>
      <c r="W2656" s="137"/>
      <c r="X2656" s="137"/>
      <c r="Y2656" s="137"/>
      <c r="Z2656" s="137"/>
      <c r="AA2656" s="137"/>
      <c r="AB2656" s="137"/>
      <c r="AC2656" s="137"/>
      <c r="AD2656" s="137"/>
    </row>
    <row r="2657" spans="1:30">
      <c r="A2657" s="132"/>
      <c r="B2657" s="108"/>
      <c r="C2657" s="159" t="s">
        <v>2327</v>
      </c>
      <c r="D2657" s="105"/>
      <c r="E2657" s="165" t="s">
        <v>2011</v>
      </c>
      <c r="F2657" s="106"/>
      <c r="G2657" s="106"/>
      <c r="H2657" s="106"/>
      <c r="I2657" s="106" t="s">
        <v>2007</v>
      </c>
      <c r="J2657" s="122"/>
      <c r="U2657" s="137"/>
      <c r="V2657" s="137"/>
      <c r="W2657" s="137"/>
      <c r="X2657" s="137"/>
      <c r="Y2657" s="137"/>
      <c r="Z2657" s="137"/>
      <c r="AA2657" s="137"/>
      <c r="AB2657" s="137"/>
      <c r="AC2657" s="137"/>
      <c r="AD2657" s="137"/>
    </row>
    <row r="2658" spans="1:30" ht="14.25">
      <c r="A2658" s="132"/>
      <c r="B2658" s="108"/>
      <c r="C2658" s="204" t="s">
        <v>2328</v>
      </c>
      <c r="D2658" s="174"/>
      <c r="E2658" s="239">
        <v>12</v>
      </c>
      <c r="F2658" s="223"/>
      <c r="G2658" s="174"/>
      <c r="H2658" s="174"/>
      <c r="I2658" s="224">
        <f>J2652</f>
        <v>2755.94</v>
      </c>
      <c r="J2658" s="342">
        <f t="shared" ref="J2658" si="182">ROUND(PRODUCT(E2658:I2658),2)</f>
        <v>33071.279999999999</v>
      </c>
      <c r="U2658" s="137"/>
      <c r="V2658" s="137"/>
      <c r="W2658" s="137"/>
      <c r="X2658" s="137"/>
      <c r="Y2658" s="137"/>
      <c r="Z2658" s="137"/>
      <c r="AA2658" s="137"/>
      <c r="AB2658" s="137"/>
      <c r="AC2658" s="137"/>
      <c r="AD2658" s="137"/>
    </row>
    <row r="2659" spans="1:30">
      <c r="A2659" s="549"/>
      <c r="B2659" s="549"/>
      <c r="C2659" s="549"/>
      <c r="D2659" s="549"/>
      <c r="E2659" s="549"/>
      <c r="F2659" s="549"/>
      <c r="G2659" s="549"/>
      <c r="H2659" s="549"/>
      <c r="I2659" s="549"/>
      <c r="J2659" s="549"/>
      <c r="U2659" s="137"/>
      <c r="V2659" s="137"/>
      <c r="W2659" s="137"/>
      <c r="X2659" s="137"/>
      <c r="Y2659" s="137"/>
      <c r="Z2659" s="137"/>
      <c r="AA2659" s="137"/>
      <c r="AB2659" s="137"/>
      <c r="AC2659" s="137"/>
      <c r="AD2659" s="137"/>
    </row>
    <row r="2660" spans="1:30" ht="25.5">
      <c r="A2660" s="186" t="str">
        <f>'[3]Planilha Orçamentária'!A702</f>
        <v>1.12.5.7</v>
      </c>
      <c r="B2660" s="187" t="str">
        <f>VLOOKUP(A2660,'[3]Planilha Orçamentária'!A:K,2,0)</f>
        <v>CP-96401-52745838</v>
      </c>
      <c r="C2660" s="188" t="str">
        <f>VLOOKUP(A2660,'[3]Planilha Orçamentária'!A:K,3,0)</f>
        <v>EXECUÇÃO DE IMPRIMAÇÃO COM ASFALTO DILUÍDO CM-30, EXCLUSIVE MATERIAL.</v>
      </c>
      <c r="D2660" s="189" t="str">
        <f>VLOOKUP(A2660,'[3]Planilha Orçamentária'!A:K,4,0)</f>
        <v>M2</v>
      </c>
      <c r="E2660" s="188"/>
      <c r="F2660" s="190"/>
      <c r="G2660" s="190"/>
      <c r="H2660" s="190"/>
      <c r="I2660" s="190"/>
      <c r="J2660" s="150">
        <f>ROUND(SUM(J2662:J2664),2)</f>
        <v>6098.05</v>
      </c>
      <c r="U2660" s="137"/>
      <c r="V2660" s="137"/>
      <c r="W2660" s="137"/>
      <c r="X2660" s="137"/>
      <c r="Y2660" s="137"/>
      <c r="Z2660" s="137"/>
      <c r="AA2660" s="137"/>
      <c r="AB2660" s="137"/>
      <c r="AC2660" s="137"/>
      <c r="AD2660" s="137"/>
    </row>
    <row r="2661" spans="1:30">
      <c r="A2661" s="186"/>
      <c r="B2661" s="187"/>
      <c r="C2661" s="159" t="s">
        <v>2325</v>
      </c>
      <c r="D2661" s="189"/>
      <c r="E2661" s="188"/>
      <c r="F2661" s="190"/>
      <c r="G2661" s="190"/>
      <c r="H2661" s="208"/>
      <c r="I2661" s="161" t="s">
        <v>2003</v>
      </c>
      <c r="J2661" s="150"/>
      <c r="U2661" s="137"/>
      <c r="V2661" s="137"/>
      <c r="W2661" s="137"/>
      <c r="X2661" s="137"/>
      <c r="Y2661" s="137"/>
      <c r="Z2661" s="137"/>
      <c r="AA2661" s="137"/>
      <c r="AB2661" s="137"/>
      <c r="AC2661" s="137"/>
      <c r="AD2661" s="137"/>
    </row>
    <row r="2662" spans="1:30" ht="28.5">
      <c r="A2662" s="174"/>
      <c r="B2662" s="174"/>
      <c r="C2662" s="221" t="s">
        <v>2027</v>
      </c>
      <c r="D2662" s="174"/>
      <c r="E2662" s="174"/>
      <c r="F2662" s="223"/>
      <c r="G2662" s="174"/>
      <c r="H2662" s="224"/>
      <c r="I2662" s="224">
        <v>7246.51</v>
      </c>
      <c r="J2662" s="158">
        <f>ROUND(PRODUCT(E2662:I2662),2)</f>
        <v>7246.51</v>
      </c>
      <c r="U2662" s="137"/>
      <c r="V2662" s="137"/>
      <c r="W2662" s="137"/>
      <c r="X2662" s="137"/>
      <c r="Y2662" s="137"/>
      <c r="Z2662" s="137"/>
      <c r="AA2662" s="137"/>
      <c r="AB2662" s="137"/>
      <c r="AC2662" s="137"/>
      <c r="AD2662" s="137"/>
    </row>
    <row r="2663" spans="1:30" ht="14.25">
      <c r="A2663" s="174"/>
      <c r="B2663" s="174"/>
      <c r="C2663" s="221"/>
      <c r="D2663" s="174"/>
      <c r="E2663" s="174"/>
      <c r="F2663" s="223" t="s">
        <v>1989</v>
      </c>
      <c r="G2663" s="174" t="s">
        <v>1990</v>
      </c>
      <c r="H2663" s="224"/>
      <c r="I2663" s="224"/>
      <c r="J2663" s="158"/>
      <c r="U2663" s="137"/>
      <c r="V2663" s="137"/>
      <c r="W2663" s="137"/>
      <c r="X2663" s="137"/>
      <c r="Y2663" s="137"/>
      <c r="Z2663" s="137"/>
      <c r="AA2663" s="137"/>
      <c r="AB2663" s="137"/>
      <c r="AC2663" s="137"/>
      <c r="AD2663" s="137"/>
    </row>
    <row r="2664" spans="1:30" ht="14.25">
      <c r="A2664" s="174"/>
      <c r="B2664" s="174"/>
      <c r="C2664" s="221" t="s">
        <v>2028</v>
      </c>
      <c r="D2664" s="174"/>
      <c r="E2664" s="174">
        <v>-1</v>
      </c>
      <c r="F2664" s="223">
        <v>957.05</v>
      </c>
      <c r="G2664" s="174">
        <v>1.2</v>
      </c>
      <c r="H2664" s="224"/>
      <c r="I2664" s="224"/>
      <c r="J2664" s="158">
        <f>ROUND(PRODUCT(E2664:I2664),2)</f>
        <v>-1148.46</v>
      </c>
      <c r="U2664" s="137"/>
      <c r="V2664" s="137"/>
      <c r="W2664" s="137"/>
      <c r="X2664" s="137"/>
      <c r="Y2664" s="137"/>
      <c r="Z2664" s="137"/>
      <c r="AA2664" s="137"/>
      <c r="AB2664" s="137"/>
      <c r="AC2664" s="137"/>
      <c r="AD2664" s="137"/>
    </row>
    <row r="2665" spans="1:30">
      <c r="A2665" s="549"/>
      <c r="B2665" s="549"/>
      <c r="C2665" s="549"/>
      <c r="D2665" s="549"/>
      <c r="E2665" s="549"/>
      <c r="F2665" s="549"/>
      <c r="G2665" s="549"/>
      <c r="H2665" s="549"/>
      <c r="I2665" s="549"/>
      <c r="J2665" s="549"/>
      <c r="U2665" s="137"/>
      <c r="V2665" s="137"/>
      <c r="W2665" s="137"/>
      <c r="X2665" s="137"/>
      <c r="Y2665" s="137"/>
      <c r="Z2665" s="137"/>
      <c r="AA2665" s="137"/>
      <c r="AB2665" s="137"/>
      <c r="AC2665" s="137"/>
      <c r="AD2665" s="137"/>
    </row>
    <row r="2666" spans="1:30" ht="38.25">
      <c r="A2666" s="225" t="str">
        <f>'[3]Planilha Orçamentária'!A703</f>
        <v>1.12.5.8</v>
      </c>
      <c r="B2666" s="226" t="str">
        <f>VLOOKUP(A2666,'[3]Planilha Orçamentária'!A:K,2,0)</f>
        <v>CP-95995-51339760</v>
      </c>
      <c r="C2666" s="227" t="str">
        <f>VLOOKUP(A2666,'[3]Planilha Orçamentária'!A:K,3,0)</f>
        <v>EXECUÇÃO DE PAVIMENTO COM APLICAÇÃO DE CONCRETO ASFÁLTICO, CAMADA DE ROLAMENTO - EXCLUSIVE CARGA E TRANSPORTE E CONCRETO BETUMINOSO</v>
      </c>
      <c r="D2666" s="228" t="str">
        <f>VLOOKUP(A2666,'[3]Planilha Orçamentária'!A:K,4,0)</f>
        <v>M3</v>
      </c>
      <c r="E2666" s="227"/>
      <c r="F2666" s="229"/>
      <c r="G2666" s="229"/>
      <c r="H2666" s="229"/>
      <c r="I2666" s="229"/>
      <c r="J2666" s="182">
        <f>ROUND(SUM(J2667:J2670),2)</f>
        <v>304.91000000000003</v>
      </c>
      <c r="U2666" s="137"/>
      <c r="V2666" s="137"/>
      <c r="W2666" s="137"/>
      <c r="X2666" s="137"/>
      <c r="Y2666" s="137"/>
      <c r="Z2666" s="137"/>
      <c r="AA2666" s="137"/>
      <c r="AB2666" s="137"/>
      <c r="AC2666" s="137"/>
      <c r="AD2666" s="137"/>
    </row>
    <row r="2667" spans="1:30">
      <c r="A2667" s="329"/>
      <c r="B2667" s="416"/>
      <c r="C2667" s="162" t="s">
        <v>2325</v>
      </c>
      <c r="D2667" s="254"/>
      <c r="E2667" s="359"/>
      <c r="F2667" s="320"/>
      <c r="G2667" s="320"/>
      <c r="H2667" s="320" t="s">
        <v>2002</v>
      </c>
      <c r="I2667" s="169" t="s">
        <v>2003</v>
      </c>
      <c r="J2667" s="306"/>
      <c r="U2667" s="137"/>
      <c r="V2667" s="137"/>
      <c r="W2667" s="137"/>
      <c r="X2667" s="137"/>
      <c r="Y2667" s="137"/>
      <c r="Z2667" s="137"/>
      <c r="AA2667" s="137"/>
      <c r="AB2667" s="137"/>
      <c r="AC2667" s="137"/>
      <c r="AD2667" s="137"/>
    </row>
    <row r="2668" spans="1:30" ht="14.25">
      <c r="A2668" s="174"/>
      <c r="B2668" s="174"/>
      <c r="C2668" s="221" t="s">
        <v>2029</v>
      </c>
      <c r="D2668" s="174"/>
      <c r="E2668" s="224"/>
      <c r="F2668" s="223"/>
      <c r="G2668" s="174"/>
      <c r="H2668" s="174">
        <v>0.05</v>
      </c>
      <c r="I2668" s="224">
        <f>J2662</f>
        <v>7246.51</v>
      </c>
      <c r="J2668" s="158">
        <f>ROUND(PRODUCT(E2668:I2668),2)</f>
        <v>362.33</v>
      </c>
      <c r="U2668" s="137"/>
      <c r="V2668" s="137"/>
      <c r="W2668" s="137"/>
      <c r="X2668" s="137"/>
      <c r="Y2668" s="137"/>
      <c r="Z2668" s="137"/>
      <c r="AA2668" s="137"/>
      <c r="AB2668" s="137"/>
      <c r="AC2668" s="137"/>
      <c r="AD2668" s="137"/>
    </row>
    <row r="2669" spans="1:30" ht="14.25">
      <c r="A2669" s="174"/>
      <c r="B2669" s="174"/>
      <c r="C2669" s="221"/>
      <c r="D2669" s="174"/>
      <c r="E2669" s="174"/>
      <c r="F2669" s="223" t="s">
        <v>1989</v>
      </c>
      <c r="G2669" s="174" t="s">
        <v>1990</v>
      </c>
      <c r="H2669" s="174" t="s">
        <v>2002</v>
      </c>
      <c r="I2669" s="224"/>
      <c r="J2669" s="158"/>
      <c r="U2669" s="137"/>
      <c r="V2669" s="137"/>
      <c r="W2669" s="137"/>
      <c r="X2669" s="137"/>
      <c r="Y2669" s="137"/>
      <c r="Z2669" s="137"/>
      <c r="AA2669" s="137"/>
      <c r="AB2669" s="137"/>
      <c r="AC2669" s="137"/>
      <c r="AD2669" s="137"/>
    </row>
    <row r="2670" spans="1:30" ht="14.25">
      <c r="A2670" s="174"/>
      <c r="B2670" s="174"/>
      <c r="C2670" s="221" t="s">
        <v>2028</v>
      </c>
      <c r="D2670" s="174"/>
      <c r="E2670" s="174">
        <v>-1</v>
      </c>
      <c r="F2670" s="223">
        <f>F2664</f>
        <v>957.05</v>
      </c>
      <c r="G2670" s="174">
        <v>1.2</v>
      </c>
      <c r="H2670" s="174">
        <v>0.05</v>
      </c>
      <c r="I2670" s="224"/>
      <c r="J2670" s="158">
        <f>ROUND(PRODUCT(E2670:I2670),2)</f>
        <v>-57.42</v>
      </c>
      <c r="U2670" s="137"/>
      <c r="V2670" s="137"/>
      <c r="W2670" s="137"/>
      <c r="X2670" s="137"/>
      <c r="Y2670" s="137"/>
      <c r="Z2670" s="137"/>
      <c r="AA2670" s="137"/>
      <c r="AB2670" s="137"/>
      <c r="AC2670" s="137"/>
      <c r="AD2670" s="137"/>
    </row>
    <row r="2671" spans="1:30">
      <c r="A2671" s="546"/>
      <c r="B2671" s="547"/>
      <c r="C2671" s="547"/>
      <c r="D2671" s="547"/>
      <c r="E2671" s="547"/>
      <c r="F2671" s="547"/>
      <c r="G2671" s="547"/>
      <c r="H2671" s="547"/>
      <c r="I2671" s="547"/>
      <c r="J2671" s="547"/>
      <c r="U2671" s="137"/>
      <c r="V2671" s="137"/>
      <c r="W2671" s="137"/>
      <c r="X2671" s="137"/>
      <c r="Y2671" s="137"/>
      <c r="Z2671" s="137"/>
      <c r="AA2671" s="137"/>
      <c r="AB2671" s="137"/>
      <c r="AC2671" s="137"/>
      <c r="AD2671" s="137"/>
    </row>
    <row r="2672" spans="1:30" ht="38.25">
      <c r="A2672" s="132" t="str">
        <f>'[3]Planilha Orçamentária'!A704</f>
        <v>1.12.5.9</v>
      </c>
      <c r="B2672" s="108" t="str">
        <f>VLOOKUP(A2672,'[3]Planilha Orçamentária'!A:K,2,0)</f>
        <v>COMP-10034101</v>
      </c>
      <c r="C2672" s="104" t="str">
        <f>VLOOKUP(A2672,'[3]Planilha Orçamentária'!A:K,3,0)</f>
        <v>CARGA, MANOBRAS E DESCARGA DE MISTURA BETUMINOSA A QUENTE, COM CAMINHAO BASCULANTE 6 M3, DESCARGA EM VIBRO-ACABADORA</v>
      </c>
      <c r="D2672" s="105" t="str">
        <f>VLOOKUP(A2672,'[3]Planilha Orçamentária'!A:K,4,0)</f>
        <v>M3</v>
      </c>
      <c r="E2672" s="104"/>
      <c r="F2672" s="111"/>
      <c r="G2672" s="111"/>
      <c r="H2672" s="111"/>
      <c r="I2672" s="111"/>
      <c r="J2672" s="122">
        <f>ROUND(SUM(J2674:J2674),2)</f>
        <v>304.91000000000003</v>
      </c>
      <c r="U2672" s="137"/>
      <c r="V2672" s="137"/>
      <c r="W2672" s="137"/>
      <c r="X2672" s="137"/>
      <c r="Y2672" s="137"/>
      <c r="Z2672" s="137"/>
      <c r="AA2672" s="137"/>
      <c r="AB2672" s="137"/>
      <c r="AC2672" s="137"/>
      <c r="AD2672" s="137"/>
    </row>
    <row r="2673" spans="1:30" ht="14.25">
      <c r="A2673" s="132"/>
      <c r="B2673" s="108"/>
      <c r="C2673" s="204"/>
      <c r="D2673" s="105"/>
      <c r="E2673" s="104"/>
      <c r="F2673" s="106"/>
      <c r="G2673" s="111"/>
      <c r="H2673" s="111"/>
      <c r="I2673" s="143" t="s">
        <v>2007</v>
      </c>
      <c r="J2673" s="122"/>
      <c r="U2673" s="137"/>
      <c r="V2673" s="137"/>
      <c r="W2673" s="137"/>
      <c r="X2673" s="137"/>
      <c r="Y2673" s="137"/>
      <c r="Z2673" s="137"/>
      <c r="AA2673" s="137"/>
      <c r="AB2673" s="137"/>
      <c r="AC2673" s="137"/>
      <c r="AD2673" s="137"/>
    </row>
    <row r="2674" spans="1:30" ht="14.25">
      <c r="A2674" s="225"/>
      <c r="B2674" s="236"/>
      <c r="C2674" s="237" t="s">
        <v>2030</v>
      </c>
      <c r="D2674" s="205"/>
      <c r="E2674" s="205"/>
      <c r="F2674" s="238"/>
      <c r="G2674" s="205"/>
      <c r="H2674" s="205"/>
      <c r="I2674" s="239">
        <f>J2666</f>
        <v>304.91000000000003</v>
      </c>
      <c r="J2674" s="128">
        <f t="shared" ref="J2674" si="183">ROUND(PRODUCT(E2674:I2674),2)</f>
        <v>304.91000000000003</v>
      </c>
      <c r="U2674" s="137"/>
      <c r="V2674" s="137"/>
      <c r="W2674" s="137"/>
      <c r="X2674" s="137"/>
      <c r="Y2674" s="137"/>
      <c r="Z2674" s="137"/>
      <c r="AA2674" s="137"/>
      <c r="AB2674" s="137"/>
      <c r="AC2674" s="137"/>
      <c r="AD2674" s="137"/>
    </row>
    <row r="2675" spans="1:30">
      <c r="A2675" s="528"/>
      <c r="B2675" s="529"/>
      <c r="C2675" s="529"/>
      <c r="D2675" s="529"/>
      <c r="E2675" s="529"/>
      <c r="F2675" s="529"/>
      <c r="G2675" s="529"/>
      <c r="H2675" s="529"/>
      <c r="I2675" s="529"/>
      <c r="J2675" s="529"/>
      <c r="U2675" s="137"/>
      <c r="V2675" s="137"/>
      <c r="W2675" s="137"/>
      <c r="X2675" s="137"/>
      <c r="Y2675" s="137"/>
      <c r="Z2675" s="137"/>
      <c r="AA2675" s="137"/>
      <c r="AB2675" s="137"/>
      <c r="AC2675" s="137"/>
      <c r="AD2675" s="137"/>
    </row>
    <row r="2676" spans="1:30" ht="25.5">
      <c r="A2676" s="132" t="str">
        <f>'[3]Planilha Orçamentária'!A705</f>
        <v>1.12.5.10</v>
      </c>
      <c r="B2676" s="108" t="str">
        <f>VLOOKUP(A2676,'[3]Planilha Orçamentária'!A:K,2,0)</f>
        <v>CP-95303-56931542</v>
      </c>
      <c r="C2676" s="104" t="str">
        <f>VLOOKUP(A2676,'[3]Planilha Orçamentária'!A:K,3,0)</f>
        <v>TRANSPORTE COM CAMINHÃO BASCULANTE 10 M3 DE MASSA ASFALTICA PARA PAVIMENTAÇÃO URBANA</v>
      </c>
      <c r="D2676" s="105" t="str">
        <f>VLOOKUP(A2676,'[3]Planilha Orçamentária'!A:K,4,0)</f>
        <v>M3XKM</v>
      </c>
      <c r="E2676" s="104"/>
      <c r="F2676" s="111"/>
      <c r="G2676" s="111"/>
      <c r="H2676" s="111"/>
      <c r="I2676" s="111"/>
      <c r="J2676" s="122">
        <f>ROUND(SUM(J2678:J2678),2)</f>
        <v>6860.48</v>
      </c>
      <c r="U2676" s="137"/>
      <c r="V2676" s="137"/>
      <c r="W2676" s="137"/>
      <c r="X2676" s="137"/>
      <c r="Y2676" s="137"/>
      <c r="Z2676" s="137"/>
      <c r="AA2676" s="137"/>
      <c r="AB2676" s="137"/>
      <c r="AC2676" s="137"/>
      <c r="AD2676" s="137"/>
    </row>
    <row r="2677" spans="1:30" ht="25.5">
      <c r="A2677" s="132"/>
      <c r="B2677" s="108"/>
      <c r="C2677" s="159" t="s">
        <v>2329</v>
      </c>
      <c r="D2677" s="241"/>
      <c r="E2677" s="165" t="s">
        <v>2011</v>
      </c>
      <c r="F2677" s="106"/>
      <c r="G2677" s="106"/>
      <c r="H2677" s="160"/>
      <c r="I2677" s="167" t="s">
        <v>2025</v>
      </c>
      <c r="J2677" s="122"/>
      <c r="U2677" s="137"/>
      <c r="V2677" s="137"/>
      <c r="W2677" s="137"/>
      <c r="X2677" s="137"/>
      <c r="Y2677" s="137"/>
      <c r="Z2677" s="137"/>
      <c r="AA2677" s="137"/>
      <c r="AB2677" s="137"/>
      <c r="AC2677" s="137"/>
      <c r="AD2677" s="137"/>
    </row>
    <row r="2678" spans="1:30" ht="14.25">
      <c r="A2678" s="225"/>
      <c r="B2678" s="236"/>
      <c r="C2678" s="221" t="s">
        <v>2330</v>
      </c>
      <c r="D2678" s="241"/>
      <c r="E2678" s="127">
        <v>22.5</v>
      </c>
      <c r="F2678" s="106"/>
      <c r="G2678" s="242"/>
      <c r="H2678" s="160"/>
      <c r="I2678" s="243">
        <f>J2672</f>
        <v>304.91000000000003</v>
      </c>
      <c r="J2678" s="128">
        <f t="shared" ref="J2678" si="184">ROUND(PRODUCT(E2678:I2678),2)</f>
        <v>6860.48</v>
      </c>
      <c r="U2678" s="137"/>
      <c r="V2678" s="137"/>
      <c r="W2678" s="137"/>
      <c r="X2678" s="137"/>
      <c r="Y2678" s="137"/>
      <c r="Z2678" s="137"/>
      <c r="AA2678" s="137"/>
      <c r="AB2678" s="137"/>
      <c r="AC2678" s="137"/>
      <c r="AD2678" s="137"/>
    </row>
    <row r="2679" spans="1:30">
      <c r="A2679" s="528"/>
      <c r="B2679" s="529"/>
      <c r="C2679" s="529"/>
      <c r="D2679" s="529"/>
      <c r="E2679" s="529"/>
      <c r="F2679" s="529"/>
      <c r="G2679" s="529"/>
      <c r="H2679" s="529"/>
      <c r="I2679" s="529"/>
      <c r="J2679" s="529"/>
      <c r="U2679" s="137"/>
      <c r="V2679" s="137"/>
      <c r="W2679" s="137"/>
      <c r="X2679" s="137"/>
      <c r="Y2679" s="137"/>
      <c r="Z2679" s="137"/>
      <c r="AA2679" s="137"/>
      <c r="AB2679" s="137"/>
      <c r="AC2679" s="137"/>
      <c r="AD2679" s="137"/>
    </row>
    <row r="2680" spans="1:30" ht="25.5">
      <c r="A2680" s="132" t="str">
        <f>'[3]Planilha Orçamentária'!A706</f>
        <v>1.12.5.11</v>
      </c>
      <c r="B2680" s="108" t="str">
        <f>VLOOKUP(A2680,'[3]Planilha Orçamentária'!A:K,2,0)</f>
        <v>CP-97084-89637704</v>
      </c>
      <c r="C2680" s="104" t="str">
        <f>VLOOKUP(A2680,'[3]Planilha Orçamentária'!A:K,3,0)</f>
        <v>REGULARIZACAO E COMPACTAÇÃO MANUAL DE TERRENO COM PLACA VIBRATÓRIA</v>
      </c>
      <c r="D2680" s="105" t="str">
        <f>VLOOKUP(A2680,'[3]Planilha Orçamentária'!A:K,4,0)</f>
        <v>M2</v>
      </c>
      <c r="E2680" s="104"/>
      <c r="F2680" s="111"/>
      <c r="G2680" s="111"/>
      <c r="H2680" s="111"/>
      <c r="I2680" s="111"/>
      <c r="J2680" s="122">
        <f>ROUND(SUM(J2682:J2682),2)</f>
        <v>3850.61</v>
      </c>
      <c r="U2680" s="137"/>
      <c r="V2680" s="137"/>
      <c r="W2680" s="137"/>
      <c r="X2680" s="137"/>
      <c r="Y2680" s="137"/>
      <c r="Z2680" s="137"/>
      <c r="AA2680" s="137"/>
      <c r="AB2680" s="137"/>
      <c r="AC2680" s="137"/>
      <c r="AD2680" s="137"/>
    </row>
    <row r="2681" spans="1:30">
      <c r="A2681" s="132"/>
      <c r="B2681" s="108"/>
      <c r="C2681" s="159" t="s">
        <v>2325</v>
      </c>
      <c r="D2681" s="105"/>
      <c r="E2681" s="104"/>
      <c r="F2681" s="106"/>
      <c r="G2681" s="111"/>
      <c r="H2681" s="111"/>
      <c r="I2681" s="161" t="s">
        <v>2003</v>
      </c>
      <c r="J2681" s="122"/>
      <c r="U2681" s="137"/>
      <c r="V2681" s="137"/>
      <c r="W2681" s="137"/>
      <c r="X2681" s="137"/>
      <c r="Y2681" s="137"/>
      <c r="Z2681" s="137"/>
      <c r="AA2681" s="137"/>
      <c r="AB2681" s="137"/>
      <c r="AC2681" s="137"/>
      <c r="AD2681" s="137"/>
    </row>
    <row r="2682" spans="1:30">
      <c r="A2682" s="225"/>
      <c r="B2682" s="236"/>
      <c r="C2682" s="244" t="s">
        <v>2033</v>
      </c>
      <c r="D2682" s="174"/>
      <c r="E2682" s="174"/>
      <c r="F2682" s="223"/>
      <c r="G2682" s="143"/>
      <c r="H2682" s="143"/>
      <c r="I2682" s="127">
        <v>3850.61</v>
      </c>
      <c r="J2682" s="128">
        <f t="shared" ref="J2682" si="185">ROUND(PRODUCT(E2682:I2682),2)</f>
        <v>3850.61</v>
      </c>
      <c r="U2682" s="137"/>
      <c r="V2682" s="137"/>
      <c r="W2682" s="137"/>
      <c r="X2682" s="137"/>
      <c r="Y2682" s="137"/>
      <c r="Z2682" s="137"/>
      <c r="AA2682" s="137"/>
      <c r="AB2682" s="137"/>
      <c r="AC2682" s="137"/>
      <c r="AD2682" s="137"/>
    </row>
    <row r="2683" spans="1:30">
      <c r="A2683" s="528"/>
      <c r="B2683" s="529"/>
      <c r="C2683" s="529"/>
      <c r="D2683" s="529"/>
      <c r="E2683" s="529"/>
      <c r="F2683" s="529"/>
      <c r="G2683" s="529"/>
      <c r="H2683" s="529"/>
      <c r="I2683" s="529"/>
      <c r="J2683" s="529"/>
      <c r="U2683" s="137"/>
      <c r="V2683" s="137"/>
      <c r="W2683" s="137"/>
      <c r="X2683" s="137"/>
      <c r="Y2683" s="137"/>
      <c r="Z2683" s="137"/>
      <c r="AA2683" s="137"/>
      <c r="AB2683" s="137"/>
      <c r="AC2683" s="137"/>
      <c r="AD2683" s="137"/>
    </row>
    <row r="2684" spans="1:30" ht="51">
      <c r="A2684" s="132" t="str">
        <f>'[3]Planilha Orçamentária'!A707</f>
        <v>1.12.5.12</v>
      </c>
      <c r="B2684" s="108" t="str">
        <f>VLOOKUP(A2684,'[3]Planilha Orçamentária'!A:K,2,0)</f>
        <v>CP-94991-12549457</v>
      </c>
      <c r="C2684" s="104" t="str">
        <f>VLOOKUP(A2684,'[3]Planilha Orçamentária'!A:K,3,0)</f>
        <v>EXECUÇÃO DE PASSEIO (CALÇADA) OU PISO DE CONCRETO COM CONCRETO MOLDADO IN LOCO, USINADO, ACABAMENTO CONVENCIONAL, NÃO ARMADO - EXCLUINDO O CONCRETO USINADO 20MPA</v>
      </c>
      <c r="D2684" s="105" t="str">
        <f>VLOOKUP(A2684,'[3]Planilha Orçamentária'!A:K,4,0)</f>
        <v>M3</v>
      </c>
      <c r="E2684" s="104"/>
      <c r="F2684" s="111"/>
      <c r="G2684" s="111"/>
      <c r="H2684" s="111"/>
      <c r="I2684" s="111"/>
      <c r="J2684" s="122">
        <f>ROUND(SUM(J2686:J2687),2)</f>
        <v>268.2</v>
      </c>
      <c r="U2684" s="137"/>
      <c r="V2684" s="137"/>
      <c r="W2684" s="137"/>
      <c r="X2684" s="137"/>
      <c r="Y2684" s="137"/>
      <c r="Z2684" s="137"/>
      <c r="AA2684" s="137"/>
      <c r="AB2684" s="137"/>
      <c r="AC2684" s="137"/>
      <c r="AD2684" s="137"/>
    </row>
    <row r="2685" spans="1:30">
      <c r="A2685" s="132"/>
      <c r="B2685" s="108"/>
      <c r="C2685" s="159" t="s">
        <v>2325</v>
      </c>
      <c r="D2685" s="105"/>
      <c r="E2685" s="104"/>
      <c r="F2685" s="106"/>
      <c r="G2685" s="111"/>
      <c r="H2685" s="111"/>
      <c r="I2685" s="111"/>
      <c r="J2685" s="122"/>
      <c r="U2685" s="137"/>
      <c r="V2685" s="137"/>
      <c r="W2685" s="137"/>
      <c r="X2685" s="137"/>
      <c r="Y2685" s="137"/>
      <c r="Z2685" s="137"/>
      <c r="AA2685" s="137"/>
      <c r="AB2685" s="137"/>
      <c r="AC2685" s="137"/>
      <c r="AD2685" s="137"/>
    </row>
    <row r="2686" spans="1:30">
      <c r="A2686" s="225"/>
      <c r="B2686" s="236"/>
      <c r="C2686" s="244" t="s">
        <v>2033</v>
      </c>
      <c r="D2686" s="174"/>
      <c r="E2686" s="174"/>
      <c r="F2686" s="223"/>
      <c r="G2686" s="143"/>
      <c r="H2686" s="143">
        <v>7.0000000000000007E-2</v>
      </c>
      <c r="I2686" s="127">
        <f>J2680</f>
        <v>3850.61</v>
      </c>
      <c r="J2686" s="128">
        <f t="shared" ref="J2686:J2687" si="186">ROUND(PRODUCT(E2686:I2686),2)</f>
        <v>269.54000000000002</v>
      </c>
      <c r="U2686" s="137"/>
      <c r="V2686" s="137"/>
      <c r="W2686" s="137"/>
      <c r="X2686" s="137"/>
      <c r="Y2686" s="137"/>
      <c r="Z2686" s="137"/>
      <c r="AA2686" s="137"/>
      <c r="AB2686" s="137"/>
      <c r="AC2686" s="137"/>
      <c r="AD2686" s="137"/>
    </row>
    <row r="2687" spans="1:30">
      <c r="A2687" s="132"/>
      <c r="B2687" s="108"/>
      <c r="C2687" s="155" t="s">
        <v>2034</v>
      </c>
      <c r="D2687" s="174"/>
      <c r="E2687" s="174">
        <v>-1</v>
      </c>
      <c r="F2687" s="223"/>
      <c r="G2687" s="143"/>
      <c r="H2687" s="143">
        <v>7.0000000000000007E-2</v>
      </c>
      <c r="I2687" s="127">
        <f>J2791</f>
        <v>19.2</v>
      </c>
      <c r="J2687" s="128">
        <f t="shared" si="186"/>
        <v>-1.34</v>
      </c>
      <c r="U2687" s="137"/>
      <c r="V2687" s="137"/>
      <c r="W2687" s="137"/>
      <c r="X2687" s="137"/>
      <c r="Y2687" s="137"/>
      <c r="Z2687" s="137"/>
      <c r="AA2687" s="137"/>
      <c r="AB2687" s="137"/>
      <c r="AC2687" s="137"/>
      <c r="AD2687" s="137"/>
    </row>
    <row r="2688" spans="1:30">
      <c r="A2688" s="528"/>
      <c r="B2688" s="529"/>
      <c r="C2688" s="529"/>
      <c r="D2688" s="529"/>
      <c r="E2688" s="529"/>
      <c r="F2688" s="529"/>
      <c r="G2688" s="529"/>
      <c r="H2688" s="529"/>
      <c r="I2688" s="529"/>
      <c r="J2688" s="529"/>
      <c r="U2688" s="137"/>
      <c r="V2688" s="137"/>
      <c r="W2688" s="137"/>
      <c r="X2688" s="137"/>
      <c r="Y2688" s="137"/>
      <c r="Z2688" s="137"/>
      <c r="AA2688" s="137"/>
      <c r="AB2688" s="137"/>
      <c r="AC2688" s="137"/>
      <c r="AD2688" s="137"/>
    </row>
    <row r="2689" spans="1:30" ht="63.75">
      <c r="A2689" s="132" t="str">
        <f>'[3]Planilha Orçamentária'!A708</f>
        <v>1.12.5.13</v>
      </c>
      <c r="B2689" s="108">
        <f>VLOOKUP(A2689,'[3]Planilha Orçamentária'!A:K,2,0)</f>
        <v>94273</v>
      </c>
      <c r="C2689" s="104" t="str">
        <f>VLOOKUP(A2689,'[3]Planilha Orçamentária'!A:K,3,0)</f>
        <v>ASSENTAMENTO DE GUIA (MEIO-FIO) EM TRECHO RETO, CONFECCIONADA EM CONCRETO PRÉ-FABRICADO, DIMENSÕES 100X15X13X30 CM (COMPRIMENTO X BASE INFERIOR X BASE SUPERIOR X ALTURA), PARA VIAS URBANAS (USO VIÁRIO). AF_06/2016</v>
      </c>
      <c r="D2689" s="105" t="str">
        <f>VLOOKUP(A2689,'[3]Planilha Orçamentária'!A:K,4,0)</f>
        <v>M</v>
      </c>
      <c r="E2689" s="104"/>
      <c r="F2689" s="111"/>
      <c r="G2689" s="111"/>
      <c r="H2689" s="111"/>
      <c r="I2689" s="111"/>
      <c r="J2689" s="122">
        <f>ROUND(SUM(J2691:J2692),2)</f>
        <v>2433.85</v>
      </c>
      <c r="U2689" s="137"/>
      <c r="V2689" s="137"/>
      <c r="W2689" s="137"/>
      <c r="X2689" s="137"/>
      <c r="Y2689" s="137"/>
      <c r="Z2689" s="137"/>
      <c r="AA2689" s="137"/>
      <c r="AB2689" s="137"/>
      <c r="AC2689" s="137"/>
      <c r="AD2689" s="137"/>
    </row>
    <row r="2690" spans="1:30">
      <c r="A2690" s="132"/>
      <c r="B2690" s="108"/>
      <c r="C2690" s="159" t="s">
        <v>2325</v>
      </c>
      <c r="D2690" s="105"/>
      <c r="E2690" s="104"/>
      <c r="F2690" s="106" t="s">
        <v>1989</v>
      </c>
      <c r="G2690" s="111"/>
      <c r="H2690" s="111"/>
      <c r="I2690" s="111"/>
      <c r="J2690" s="122"/>
      <c r="U2690" s="137"/>
      <c r="V2690" s="137"/>
      <c r="W2690" s="137"/>
      <c r="X2690" s="137"/>
      <c r="Y2690" s="137"/>
      <c r="Z2690" s="137"/>
      <c r="AA2690" s="137"/>
      <c r="AB2690" s="137"/>
      <c r="AC2690" s="137"/>
      <c r="AD2690" s="137"/>
    </row>
    <row r="2691" spans="1:30" ht="25.5">
      <c r="A2691" s="132"/>
      <c r="B2691" s="108"/>
      <c r="C2691" s="247" t="s">
        <v>2035</v>
      </c>
      <c r="D2691" s="105"/>
      <c r="E2691" s="104"/>
      <c r="F2691" s="223">
        <f>2365.82-F2696</f>
        <v>2307.02</v>
      </c>
      <c r="G2691" s="111"/>
      <c r="H2691" s="111"/>
      <c r="I2691" s="111"/>
      <c r="J2691" s="128">
        <f t="shared" ref="J2691:J2692" si="187">ROUND(PRODUCT(E2691:I2691),2)</f>
        <v>2307.02</v>
      </c>
      <c r="U2691" s="137"/>
      <c r="V2691" s="137"/>
      <c r="W2691" s="137"/>
      <c r="X2691" s="137"/>
      <c r="Y2691" s="137"/>
      <c r="Z2691" s="137"/>
      <c r="AA2691" s="137"/>
      <c r="AB2691" s="137"/>
      <c r="AC2691" s="137"/>
      <c r="AD2691" s="137"/>
    </row>
    <row r="2692" spans="1:30">
      <c r="A2692" s="132"/>
      <c r="B2692" s="108"/>
      <c r="C2692" s="247" t="s">
        <v>2036</v>
      </c>
      <c r="D2692" s="105"/>
      <c r="E2692" s="104"/>
      <c r="F2692" s="223">
        <v>126.83</v>
      </c>
      <c r="G2692" s="111"/>
      <c r="H2692" s="111"/>
      <c r="I2692" s="111"/>
      <c r="J2692" s="128">
        <f t="shared" si="187"/>
        <v>126.83</v>
      </c>
      <c r="U2692" s="137"/>
      <c r="V2692" s="137"/>
      <c r="W2692" s="137"/>
      <c r="X2692" s="137"/>
      <c r="Y2692" s="137"/>
      <c r="Z2692" s="137"/>
      <c r="AA2692" s="137"/>
      <c r="AB2692" s="137"/>
      <c r="AC2692" s="137"/>
      <c r="AD2692" s="137"/>
    </row>
    <row r="2693" spans="1:30">
      <c r="A2693" s="528"/>
      <c r="B2693" s="529"/>
      <c r="C2693" s="529"/>
      <c r="D2693" s="529"/>
      <c r="E2693" s="529"/>
      <c r="F2693" s="529"/>
      <c r="G2693" s="529"/>
      <c r="H2693" s="529"/>
      <c r="I2693" s="529"/>
      <c r="J2693" s="529"/>
      <c r="U2693" s="137"/>
      <c r="V2693" s="137"/>
      <c r="W2693" s="137"/>
      <c r="X2693" s="137"/>
      <c r="Y2693" s="137"/>
      <c r="Z2693" s="137"/>
      <c r="AA2693" s="137"/>
      <c r="AB2693" s="137"/>
      <c r="AC2693" s="137"/>
      <c r="AD2693" s="137"/>
    </row>
    <row r="2694" spans="1:30" ht="63.75">
      <c r="A2694" s="132" t="str">
        <f>'[3]Planilha Orçamentária'!A709</f>
        <v>1.12.5.14</v>
      </c>
      <c r="B2694" s="108">
        <f>VLOOKUP(A2694,'[3]Planilha Orçamentária'!A:K,2,0)</f>
        <v>94274</v>
      </c>
      <c r="C2694" s="104" t="str">
        <f>VLOOKUP(A2694,'[3]Planilha Orçamentária'!A:K,3,0)</f>
        <v>ASSENTAMENTO DE GUIA (MEIO-FIO) EM TRECHO CURVO, CONFECCIONADA EM CONCRETO PRÉ-FABRICADO, DIMENSÕES 100X15X13X30 CM (COMPRIMENTO X BASE INFERIOR X BASE SUPERIOR X ALTURA), PARA VIAS URBANAS (USO VIÁRIO). AF_06/2016</v>
      </c>
      <c r="D2694" s="105" t="str">
        <f>VLOOKUP(A2694,'[3]Planilha Orçamentária'!A:K,4,0)</f>
        <v>M</v>
      </c>
      <c r="E2694" s="104"/>
      <c r="F2694" s="111"/>
      <c r="G2694" s="111"/>
      <c r="H2694" s="111"/>
      <c r="I2694" s="111"/>
      <c r="J2694" s="122">
        <f>ROUND(SUM(J2696:J2696),2)</f>
        <v>58.8</v>
      </c>
      <c r="U2694" s="137"/>
      <c r="V2694" s="137"/>
      <c r="W2694" s="137"/>
      <c r="X2694" s="137"/>
      <c r="Y2694" s="137"/>
      <c r="Z2694" s="137"/>
      <c r="AA2694" s="137"/>
      <c r="AB2694" s="137"/>
      <c r="AC2694" s="137"/>
      <c r="AD2694" s="137"/>
    </row>
    <row r="2695" spans="1:30">
      <c r="A2695" s="132"/>
      <c r="B2695" s="108"/>
      <c r="C2695" s="159" t="s">
        <v>2325</v>
      </c>
      <c r="D2695" s="105"/>
      <c r="E2695" s="104"/>
      <c r="F2695" s="106" t="s">
        <v>1989</v>
      </c>
      <c r="G2695" s="111"/>
      <c r="H2695" s="111"/>
      <c r="I2695" s="111"/>
      <c r="J2695" s="122"/>
      <c r="U2695" s="137"/>
      <c r="V2695" s="137"/>
      <c r="W2695" s="137"/>
      <c r="X2695" s="137"/>
      <c r="Y2695" s="137"/>
      <c r="Z2695" s="137"/>
      <c r="AA2695" s="137"/>
      <c r="AB2695" s="137"/>
      <c r="AC2695" s="137"/>
      <c r="AD2695" s="137"/>
    </row>
    <row r="2696" spans="1:30">
      <c r="A2696" s="225"/>
      <c r="B2696" s="236"/>
      <c r="C2696" s="245" t="s">
        <v>2037</v>
      </c>
      <c r="D2696" s="228"/>
      <c r="E2696" s="227"/>
      <c r="F2696" s="246">
        <f>1.15+2.43+2.54+7.86+7.25+3.1+3.18+3.2+3.08+3.2+3.11+3.15+3.1+3+3.14+3.15+3.16</f>
        <v>58.8</v>
      </c>
      <c r="G2696" s="229"/>
      <c r="H2696" s="229"/>
      <c r="I2696" s="229"/>
      <c r="J2696" s="128">
        <f t="shared" ref="J2696" si="188">ROUND(PRODUCT(E2696:I2696),2)</f>
        <v>58.8</v>
      </c>
      <c r="U2696" s="137"/>
      <c r="V2696" s="137"/>
      <c r="W2696" s="137"/>
      <c r="X2696" s="137"/>
      <c r="Y2696" s="137"/>
      <c r="Z2696" s="137"/>
      <c r="AA2696" s="137"/>
      <c r="AB2696" s="137"/>
      <c r="AC2696" s="137"/>
      <c r="AD2696" s="137"/>
    </row>
    <row r="2697" spans="1:30">
      <c r="A2697" s="528"/>
      <c r="B2697" s="529"/>
      <c r="C2697" s="529"/>
      <c r="D2697" s="529"/>
      <c r="E2697" s="529"/>
      <c r="F2697" s="529"/>
      <c r="G2697" s="529"/>
      <c r="H2697" s="529"/>
      <c r="I2697" s="529"/>
      <c r="J2697" s="529"/>
      <c r="U2697" s="137"/>
      <c r="V2697" s="137"/>
      <c r="W2697" s="137"/>
      <c r="X2697" s="137"/>
      <c r="Y2697" s="137"/>
      <c r="Z2697" s="137"/>
      <c r="AA2697" s="137"/>
      <c r="AB2697" s="137"/>
      <c r="AC2697" s="137"/>
      <c r="AD2697" s="137"/>
    </row>
    <row r="2698" spans="1:30" ht="38.25">
      <c r="A2698" s="132" t="str">
        <f>'[3]Planilha Orçamentária'!A710</f>
        <v>1.12.5.15</v>
      </c>
      <c r="B2698" s="108">
        <f>VLOOKUP(A2698,'[3]Planilha Orçamentária'!A:K,2,0)</f>
        <v>94287</v>
      </c>
      <c r="C2698" s="104" t="str">
        <f>VLOOKUP(A2698,'[3]Planilha Orçamentária'!A:K,3,0)</f>
        <v>EXECUÇÃO DE SARJETA DE CONCRETO USINADO, MOLDADA  IN LOCO  EM TRECHO RETO, 30 CM BASE X 10 CM ALTURA. AF_06/2016</v>
      </c>
      <c r="D2698" s="105" t="str">
        <f>VLOOKUP(A2698,'[3]Planilha Orçamentária'!A:K,4,0)</f>
        <v>M</v>
      </c>
      <c r="E2698" s="104"/>
      <c r="F2698" s="111"/>
      <c r="G2698" s="111"/>
      <c r="H2698" s="111"/>
      <c r="I2698" s="111"/>
      <c r="J2698" s="122">
        <f>ROUND(SUM(J2701:J2701),2)</f>
        <v>227.95</v>
      </c>
      <c r="U2698" s="137"/>
      <c r="V2698" s="137"/>
      <c r="W2698" s="137"/>
      <c r="X2698" s="137"/>
      <c r="Y2698" s="137"/>
      <c r="Z2698" s="137"/>
      <c r="AA2698" s="137"/>
      <c r="AB2698" s="137"/>
      <c r="AC2698" s="137"/>
      <c r="AD2698" s="137"/>
    </row>
    <row r="2699" spans="1:30">
      <c r="A2699" s="132"/>
      <c r="B2699" s="108"/>
      <c r="C2699" s="159" t="s">
        <v>2325</v>
      </c>
      <c r="D2699" s="105"/>
      <c r="E2699" s="104"/>
      <c r="F2699" s="106"/>
      <c r="G2699" s="111"/>
      <c r="H2699" s="111"/>
      <c r="I2699" s="111"/>
      <c r="J2699" s="122"/>
      <c r="U2699" s="137"/>
      <c r="V2699" s="137"/>
      <c r="W2699" s="137"/>
      <c r="X2699" s="137"/>
      <c r="Y2699" s="137"/>
      <c r="Z2699" s="137"/>
      <c r="AA2699" s="137"/>
      <c r="AB2699" s="137"/>
      <c r="AC2699" s="137"/>
      <c r="AD2699" s="137"/>
    </row>
    <row r="2700" spans="1:30">
      <c r="A2700" s="132"/>
      <c r="B2700" s="108"/>
      <c r="C2700" s="247"/>
      <c r="D2700" s="105"/>
      <c r="E2700" s="104"/>
      <c r="F2700" s="106" t="s">
        <v>1989</v>
      </c>
      <c r="G2700" s="111"/>
      <c r="H2700" s="111"/>
      <c r="I2700" s="111"/>
      <c r="J2700" s="122"/>
      <c r="U2700" s="137"/>
      <c r="V2700" s="137"/>
      <c r="W2700" s="137"/>
      <c r="X2700" s="137"/>
      <c r="Y2700" s="137"/>
      <c r="Z2700" s="137"/>
      <c r="AA2700" s="137"/>
      <c r="AB2700" s="137"/>
      <c r="AC2700" s="137"/>
      <c r="AD2700" s="137"/>
    </row>
    <row r="2701" spans="1:30">
      <c r="A2701" s="132"/>
      <c r="B2701" s="108"/>
      <c r="C2701" s="247" t="s">
        <v>2331</v>
      </c>
      <c r="D2701" s="105"/>
      <c r="E2701" s="136"/>
      <c r="F2701" s="136">
        <f>(79.55/0.3)-F2705</f>
        <v>227.94666666666669</v>
      </c>
      <c r="G2701" s="111"/>
      <c r="H2701" s="111"/>
      <c r="I2701" s="111"/>
      <c r="J2701" s="128">
        <f t="shared" ref="J2701" si="189">ROUND(PRODUCT(E2701:I2701),2)</f>
        <v>227.95</v>
      </c>
      <c r="U2701" s="137"/>
      <c r="V2701" s="137"/>
      <c r="W2701" s="137"/>
      <c r="X2701" s="137"/>
      <c r="Y2701" s="137"/>
      <c r="Z2701" s="137"/>
      <c r="AA2701" s="137"/>
      <c r="AB2701" s="137"/>
      <c r="AC2701" s="137"/>
      <c r="AD2701" s="137"/>
    </row>
    <row r="2702" spans="1:30">
      <c r="A2702" s="528"/>
      <c r="B2702" s="529"/>
      <c r="C2702" s="529"/>
      <c r="D2702" s="529"/>
      <c r="E2702" s="529"/>
      <c r="F2702" s="529"/>
      <c r="G2702" s="529"/>
      <c r="H2702" s="529"/>
      <c r="I2702" s="529"/>
      <c r="J2702" s="529"/>
      <c r="U2702" s="137"/>
      <c r="V2702" s="137"/>
      <c r="W2702" s="137"/>
      <c r="X2702" s="137"/>
      <c r="Y2702" s="137"/>
      <c r="Z2702" s="137"/>
      <c r="AA2702" s="137"/>
      <c r="AB2702" s="137"/>
      <c r="AC2702" s="137"/>
      <c r="AD2702" s="137"/>
    </row>
    <row r="2703" spans="1:30" ht="38.25">
      <c r="A2703" s="132" t="str">
        <f>'[3]Planilha Orçamentária'!A711</f>
        <v>1.12.5.16</v>
      </c>
      <c r="B2703" s="108">
        <f>VLOOKUP(A2703,'[3]Planilha Orçamentária'!A:K,2,0)</f>
        <v>94288</v>
      </c>
      <c r="C2703" s="104" t="str">
        <f>VLOOKUP(A2703,'[3]Planilha Orçamentária'!A:K,3,0)</f>
        <v>EXECUÇÃO DE SARJETA DE CONCRETO USINADO, MOLDADA  IN LOCO  EM TRECHO CURVO, 30 CM BASE X 10 CM ALTURA. AF_06/2016</v>
      </c>
      <c r="D2703" s="105" t="str">
        <f>VLOOKUP(A2703,'[3]Planilha Orçamentária'!A:K,4,0)</f>
        <v>M</v>
      </c>
      <c r="E2703" s="104"/>
      <c r="F2703" s="111"/>
      <c r="G2703" s="111"/>
      <c r="H2703" s="111"/>
      <c r="I2703" s="111"/>
      <c r="J2703" s="122">
        <f>ROUND(SUM(J2705:J2705),2)</f>
        <v>37.22</v>
      </c>
      <c r="U2703" s="137"/>
      <c r="V2703" s="137"/>
      <c r="W2703" s="137"/>
      <c r="X2703" s="137"/>
      <c r="Y2703" s="137"/>
      <c r="Z2703" s="137"/>
      <c r="AA2703" s="137"/>
      <c r="AB2703" s="137"/>
      <c r="AC2703" s="137"/>
      <c r="AD2703" s="137"/>
    </row>
    <row r="2704" spans="1:30">
      <c r="A2704" s="123"/>
      <c r="B2704" s="123"/>
      <c r="C2704" s="159" t="s">
        <v>2325</v>
      </c>
      <c r="D2704" s="123"/>
      <c r="E2704" s="123"/>
      <c r="F2704" s="106" t="s">
        <v>1989</v>
      </c>
      <c r="G2704" s="123"/>
      <c r="H2704" s="123"/>
      <c r="I2704" s="123"/>
      <c r="J2704" s="123"/>
      <c r="U2704" s="137"/>
      <c r="V2704" s="137"/>
      <c r="W2704" s="137"/>
      <c r="X2704" s="137"/>
      <c r="Y2704" s="137"/>
      <c r="Z2704" s="137"/>
      <c r="AA2704" s="137"/>
      <c r="AB2704" s="137"/>
      <c r="AC2704" s="137"/>
      <c r="AD2704" s="137"/>
    </row>
    <row r="2705" spans="1:30">
      <c r="A2705" s="123"/>
      <c r="B2705" s="123"/>
      <c r="C2705" s="247" t="s">
        <v>2332</v>
      </c>
      <c r="D2705" s="123"/>
      <c r="E2705" s="123"/>
      <c r="F2705" s="123">
        <f>1.15+7.25+7.86+3.2+3.01+3.01+3.15+3.15+3.01+2.43</f>
        <v>37.219999999999992</v>
      </c>
      <c r="G2705" s="123"/>
      <c r="H2705" s="123"/>
      <c r="I2705" s="123"/>
      <c r="J2705" s="128">
        <f t="shared" ref="J2705" si="190">ROUND(PRODUCT(E2705:I2705),2)</f>
        <v>37.22</v>
      </c>
      <c r="U2705" s="137"/>
      <c r="V2705" s="137"/>
      <c r="W2705" s="137"/>
      <c r="X2705" s="137"/>
      <c r="Y2705" s="137"/>
      <c r="Z2705" s="137"/>
      <c r="AA2705" s="137"/>
      <c r="AB2705" s="137"/>
      <c r="AC2705" s="137"/>
      <c r="AD2705" s="137"/>
    </row>
    <row r="2706" spans="1:30">
      <c r="A2706" s="230"/>
      <c r="B2706" s="240"/>
      <c r="C2706" s="427"/>
      <c r="D2706" s="240"/>
      <c r="E2706" s="240"/>
      <c r="F2706" s="240"/>
      <c r="G2706" s="240"/>
      <c r="H2706" s="240"/>
      <c r="I2706" s="240"/>
      <c r="J2706" s="428"/>
      <c r="U2706" s="137"/>
      <c r="V2706" s="137"/>
      <c r="W2706" s="137"/>
      <c r="X2706" s="137"/>
      <c r="Y2706" s="137"/>
      <c r="Z2706" s="137"/>
      <c r="AA2706" s="137"/>
      <c r="AB2706" s="137"/>
      <c r="AC2706" s="137"/>
      <c r="AD2706" s="137"/>
    </row>
    <row r="2707" spans="1:30">
      <c r="A2707" s="528"/>
      <c r="B2707" s="529"/>
      <c r="C2707" s="529"/>
      <c r="D2707" s="529"/>
      <c r="E2707" s="529"/>
      <c r="F2707" s="529"/>
      <c r="G2707" s="529"/>
      <c r="H2707" s="529"/>
      <c r="I2707" s="529"/>
      <c r="J2707" s="529"/>
      <c r="U2707" s="137"/>
      <c r="V2707" s="137"/>
      <c r="W2707" s="137"/>
      <c r="X2707" s="137"/>
      <c r="Y2707" s="137"/>
      <c r="Z2707" s="137"/>
      <c r="AA2707" s="137"/>
      <c r="AB2707" s="137"/>
      <c r="AC2707" s="137"/>
      <c r="AD2707" s="137"/>
    </row>
    <row r="2708" spans="1:30">
      <c r="A2708" s="94" t="str">
        <f>'[3]Planilha Orçamentária'!A712</f>
        <v>1.12.6</v>
      </c>
      <c r="B2708" s="95"/>
      <c r="C2708" s="96" t="str">
        <f>VLOOKUP(A2708,'[3]Planilha Orçamentária'!A:K,3,0)</f>
        <v>DRENAGEM</v>
      </c>
      <c r="D2708" s="96"/>
      <c r="E2708" s="129"/>
      <c r="F2708" s="130"/>
      <c r="G2708" s="130"/>
      <c r="H2708" s="130"/>
      <c r="I2708" s="130"/>
      <c r="J2708" s="131"/>
      <c r="U2708" s="137"/>
      <c r="V2708" s="137"/>
      <c r="W2708" s="137"/>
      <c r="X2708" s="137"/>
      <c r="Y2708" s="137"/>
      <c r="Z2708" s="137"/>
      <c r="AA2708" s="137"/>
      <c r="AB2708" s="137"/>
      <c r="AC2708" s="137"/>
      <c r="AD2708" s="137"/>
    </row>
    <row r="2709" spans="1:30" ht="63.75">
      <c r="A2709" s="251" t="str">
        <f>'[3]Planilha Orçamentária'!A713</f>
        <v>1.12.6.1</v>
      </c>
      <c r="B2709" s="252">
        <f>VLOOKUP(A2709,'[3]Planilha Orçamentária'!A:K,2,0)</f>
        <v>90091</v>
      </c>
      <c r="C2709" s="253" t="str">
        <f>VLOOKUP(A2709,'[3]Planilha Orçamentária'!A:K,3,0)</f>
        <v>ESCAVAÇÃO MECANIZADA DE VALA COM PROF. ATÉ 1,5 M (MÉDIA MONTANTE E JUSANTE/UMA COMPOSIÇÃO POR TRECHO), ESCAVADEIRA (0,8 M3), LARG. DE 1,5 M A 2,5 M, EM SOLO DE 1A CATEGORIA, LOCAIS COM BAIXO NÍVEL DE INTERFERÊNCIA. AF_02/2021</v>
      </c>
      <c r="D2709" s="254" t="str">
        <f>VLOOKUP(A2709,'[3]Planilha Orçamentária'!A:K,4,0)</f>
        <v>M3</v>
      </c>
      <c r="E2709" s="255"/>
      <c r="F2709" s="256"/>
      <c r="G2709" s="256"/>
      <c r="H2709" s="256"/>
      <c r="I2709" s="256"/>
      <c r="J2709" s="257">
        <f>ROUND(SUM(J2710:J2714),2)</f>
        <v>482.35</v>
      </c>
      <c r="U2709" s="137"/>
      <c r="V2709" s="137"/>
      <c r="W2709" s="137"/>
      <c r="X2709" s="137"/>
      <c r="Y2709" s="137"/>
      <c r="Z2709" s="137"/>
      <c r="AA2709" s="137"/>
      <c r="AB2709" s="137"/>
      <c r="AC2709" s="137"/>
      <c r="AD2709" s="137"/>
    </row>
    <row r="2710" spans="1:30">
      <c r="A2710" s="258"/>
      <c r="B2710" s="258"/>
      <c r="C2710" s="259" t="s">
        <v>2333</v>
      </c>
      <c r="D2710" s="258"/>
      <c r="E2710" s="258"/>
      <c r="F2710" s="161"/>
      <c r="G2710" s="161"/>
      <c r="H2710" s="161"/>
      <c r="I2710" s="258"/>
      <c r="J2710" s="258"/>
      <c r="U2710" s="137"/>
      <c r="V2710" s="137"/>
      <c r="W2710" s="137"/>
      <c r="X2710" s="137"/>
      <c r="Y2710" s="137"/>
      <c r="Z2710" s="137"/>
      <c r="AA2710" s="137"/>
      <c r="AB2710" s="137"/>
      <c r="AC2710" s="137"/>
      <c r="AD2710" s="137"/>
    </row>
    <row r="2711" spans="1:30" ht="14.25">
      <c r="A2711" s="258"/>
      <c r="B2711" s="258"/>
      <c r="C2711" s="204" t="s">
        <v>2048</v>
      </c>
      <c r="D2711" s="148"/>
      <c r="E2711" s="147"/>
      <c r="F2711" s="161" t="s">
        <v>1989</v>
      </c>
      <c r="G2711" s="161" t="s">
        <v>1990</v>
      </c>
      <c r="H2711" s="161" t="s">
        <v>2049</v>
      </c>
      <c r="I2711" s="161"/>
      <c r="J2711" s="158"/>
      <c r="U2711" s="137"/>
      <c r="V2711" s="137"/>
      <c r="W2711" s="137"/>
      <c r="X2711" s="137"/>
      <c r="Y2711" s="137"/>
      <c r="Z2711" s="137"/>
      <c r="AA2711" s="137"/>
      <c r="AB2711" s="137"/>
      <c r="AC2711" s="137"/>
      <c r="AD2711" s="137"/>
    </row>
    <row r="2712" spans="1:30" ht="28.5">
      <c r="A2712" s="258"/>
      <c r="B2712" s="258"/>
      <c r="C2712" s="260" t="s">
        <v>2334</v>
      </c>
      <c r="D2712" s="148"/>
      <c r="E2712" s="147"/>
      <c r="F2712" s="223">
        <v>957.05</v>
      </c>
      <c r="G2712" s="223">
        <f>1.2+0.6</f>
        <v>1.7999999999999998</v>
      </c>
      <c r="H2712" s="223">
        <f>1.13-0.85</f>
        <v>0.27999999999999992</v>
      </c>
      <c r="I2712" s="223"/>
      <c r="J2712" s="128">
        <f>ROUND(PRODUCT(E2712:I2712),2)</f>
        <v>482.35</v>
      </c>
      <c r="K2712" s="82">
        <f>(1.55+0.55+1.3)/3</f>
        <v>1.1333333333333335</v>
      </c>
      <c r="U2712" s="137"/>
      <c r="V2712" s="137"/>
      <c r="W2712" s="137"/>
      <c r="X2712" s="137"/>
      <c r="Y2712" s="137"/>
      <c r="Z2712" s="137"/>
      <c r="AA2712" s="137"/>
      <c r="AB2712" s="137"/>
      <c r="AC2712" s="137"/>
      <c r="AD2712" s="137"/>
    </row>
    <row r="2713" spans="1:30">
      <c r="A2713" s="258"/>
      <c r="B2713" s="258"/>
      <c r="C2713" s="261" t="s">
        <v>2335</v>
      </c>
      <c r="D2713" s="262"/>
      <c r="E2713" s="263"/>
      <c r="F2713" s="264"/>
      <c r="G2713" s="264"/>
      <c r="H2713" s="263"/>
      <c r="I2713" s="263"/>
      <c r="J2713" s="158"/>
      <c r="K2713" s="82" t="s">
        <v>2277</v>
      </c>
      <c r="U2713" s="137"/>
      <c r="V2713" s="137"/>
      <c r="W2713" s="137"/>
      <c r="X2713" s="137"/>
      <c r="Y2713" s="137"/>
      <c r="Z2713" s="137"/>
      <c r="AA2713" s="137"/>
      <c r="AB2713" s="137"/>
      <c r="AC2713" s="137"/>
      <c r="AD2713" s="137"/>
    </row>
    <row r="2714" spans="1:30">
      <c r="A2714" s="535"/>
      <c r="B2714" s="536"/>
      <c r="C2714" s="536"/>
      <c r="D2714" s="536"/>
      <c r="E2714" s="536"/>
      <c r="F2714" s="536"/>
      <c r="G2714" s="536"/>
      <c r="H2714" s="536"/>
      <c r="I2714" s="536"/>
      <c r="J2714" s="537"/>
      <c r="U2714" s="137"/>
      <c r="V2714" s="137"/>
      <c r="W2714" s="137"/>
      <c r="X2714" s="137"/>
      <c r="Y2714" s="137"/>
      <c r="Z2714" s="137"/>
      <c r="AA2714" s="137"/>
      <c r="AB2714" s="137"/>
      <c r="AC2714" s="137"/>
      <c r="AD2714" s="137"/>
    </row>
    <row r="2715" spans="1:30" ht="63.75">
      <c r="A2715" s="251" t="str">
        <f>'[3]Planilha Orçamentária'!A714</f>
        <v>1.12.6.2</v>
      </c>
      <c r="B2715" s="252">
        <f>VLOOKUP(A2715,'[3]Planilha Orçamentária'!A:K,2,0)</f>
        <v>93367</v>
      </c>
      <c r="C2715" s="253" t="str">
        <f>VLOOKUP(A2715,'[3]Planilha Orçamentária'!A:K,3,0)</f>
        <v>REATERRO MECANIZADO DE VALA COM ESCAVADEIRA HIDRÁULICA (CAPACIDADE DA CAÇAMBA: 0,8 M³ / POTÊNCIA: 111 HP), LARGURA DE 1,5 A 2,5 M, PROFUNDIDADE ATÉ 1,5 M, COM SOLO DE 1ª CATEGORIA EM LOCAIS COM BAIXO NÍVEL DE INTERFERÊNCIA. AF_04/2016</v>
      </c>
      <c r="D2715" s="254" t="str">
        <f>VLOOKUP(A2715,'[3]Planilha Orçamentária'!A:K,4,0)</f>
        <v>M3</v>
      </c>
      <c r="E2715" s="255"/>
      <c r="F2715" s="256"/>
      <c r="G2715" s="256"/>
      <c r="H2715" s="256"/>
      <c r="I2715" s="256"/>
      <c r="J2715" s="257">
        <f>ROUND(SUM(J2716:J2719),2)</f>
        <v>214.38</v>
      </c>
      <c r="U2715" s="137"/>
      <c r="V2715" s="137"/>
      <c r="W2715" s="137"/>
      <c r="X2715" s="137"/>
      <c r="Y2715" s="137"/>
      <c r="Z2715" s="137"/>
      <c r="AA2715" s="137"/>
      <c r="AB2715" s="137"/>
      <c r="AC2715" s="137"/>
      <c r="AD2715" s="137"/>
    </row>
    <row r="2716" spans="1:30">
      <c r="A2716" s="258"/>
      <c r="B2716" s="258"/>
      <c r="C2716" s="259" t="s">
        <v>2333</v>
      </c>
      <c r="D2716" s="258"/>
      <c r="E2716" s="258"/>
      <c r="F2716" s="258"/>
      <c r="G2716" s="258"/>
      <c r="H2716" s="258"/>
      <c r="I2716" s="258"/>
      <c r="J2716" s="258"/>
      <c r="U2716" s="137"/>
      <c r="V2716" s="137"/>
      <c r="W2716" s="137"/>
      <c r="X2716" s="137"/>
      <c r="Y2716" s="137"/>
      <c r="Z2716" s="137"/>
      <c r="AA2716" s="137"/>
      <c r="AB2716" s="137"/>
      <c r="AC2716" s="137"/>
      <c r="AD2716" s="137"/>
    </row>
    <row r="2717" spans="1:30" ht="25.5">
      <c r="A2717" s="258"/>
      <c r="B2717" s="258"/>
      <c r="C2717" s="267" t="s">
        <v>2053</v>
      </c>
      <c r="D2717" s="258"/>
      <c r="E2717" s="258"/>
      <c r="F2717" s="258"/>
      <c r="G2717" s="258"/>
      <c r="H2717" s="258"/>
      <c r="I2717" s="258"/>
      <c r="J2717" s="258"/>
      <c r="U2717" s="137"/>
      <c r="V2717" s="137"/>
      <c r="W2717" s="137"/>
      <c r="X2717" s="137"/>
      <c r="Y2717" s="137"/>
      <c r="Z2717" s="137"/>
      <c r="AA2717" s="137"/>
      <c r="AB2717" s="137"/>
      <c r="AC2717" s="137"/>
      <c r="AD2717" s="137"/>
    </row>
    <row r="2718" spans="1:30" ht="15">
      <c r="A2718" s="258"/>
      <c r="B2718" s="258"/>
      <c r="C2718" s="268" t="s">
        <v>2054</v>
      </c>
      <c r="D2718" s="258"/>
      <c r="E2718" s="258"/>
      <c r="F2718" s="269"/>
      <c r="G2718" s="269"/>
      <c r="H2718" s="269"/>
      <c r="I2718" s="263">
        <f>J2709</f>
        <v>482.35</v>
      </c>
      <c r="J2718" s="158">
        <f>ROUND(PRODUCT(E2718:I2718),2)</f>
        <v>482.35</v>
      </c>
      <c r="U2718" s="137"/>
      <c r="V2718" s="137"/>
      <c r="W2718" s="137"/>
      <c r="X2718" s="137"/>
      <c r="Y2718" s="137"/>
      <c r="Z2718" s="137"/>
      <c r="AA2718" s="137"/>
      <c r="AB2718" s="137"/>
      <c r="AC2718" s="137"/>
      <c r="AD2718" s="137"/>
    </row>
    <row r="2719" spans="1:30" ht="25.5">
      <c r="A2719" s="258"/>
      <c r="B2719" s="258"/>
      <c r="C2719" s="268" t="s">
        <v>2055</v>
      </c>
      <c r="D2719" s="270"/>
      <c r="E2719" s="270">
        <v>-1</v>
      </c>
      <c r="F2719" s="271">
        <f>F2712</f>
        <v>957.05</v>
      </c>
      <c r="G2719" s="123">
        <v>1</v>
      </c>
      <c r="H2719" s="272">
        <f>H2712</f>
        <v>0.27999999999999992</v>
      </c>
      <c r="I2719" s="269"/>
      <c r="J2719" s="158">
        <f>ROUND(PRODUCT(E2719:I2719),2)</f>
        <v>-267.97000000000003</v>
      </c>
      <c r="U2719" s="137"/>
      <c r="V2719" s="137"/>
      <c r="W2719" s="137"/>
      <c r="X2719" s="137"/>
      <c r="Y2719" s="137"/>
      <c r="Z2719" s="137"/>
      <c r="AA2719" s="137"/>
      <c r="AB2719" s="137"/>
      <c r="AC2719" s="137"/>
      <c r="AD2719" s="137"/>
    </row>
    <row r="2720" spans="1:30">
      <c r="A2720" s="535"/>
      <c r="B2720" s="536"/>
      <c r="C2720" s="536"/>
      <c r="D2720" s="536"/>
      <c r="E2720" s="536"/>
      <c r="F2720" s="536"/>
      <c r="G2720" s="536"/>
      <c r="H2720" s="536"/>
      <c r="I2720" s="536"/>
      <c r="J2720" s="537"/>
      <c r="U2720" s="137"/>
      <c r="V2720" s="137"/>
      <c r="W2720" s="137"/>
      <c r="X2720" s="137"/>
      <c r="Y2720" s="137"/>
      <c r="Z2720" s="137"/>
      <c r="AA2720" s="137"/>
      <c r="AB2720" s="137"/>
      <c r="AC2720" s="137"/>
      <c r="AD2720" s="137"/>
    </row>
    <row r="2721" spans="1:30" ht="51">
      <c r="A2721" s="251" t="str">
        <f>'[3]Planilha Orçamentária'!A715</f>
        <v>1.12.6.3</v>
      </c>
      <c r="B2721" s="252" t="str">
        <f>VLOOKUP(A2721,'[3]Planilha Orçamentária'!A:K,2,0)</f>
        <v>COMP-35145154</v>
      </c>
      <c r="C2721" s="253" t="str">
        <f>VLOOKUP(A2721,'[3]Planilha Orçamentária'!A:K,3,0)</f>
        <v>CARGA E DESCARGA MECANICA DE SOLO UTILIZANDO CAMINHAO BASCULANTE 14,0M3/36T E PA CARREGADEIRA SOBRE PNEUS 128 HP, CAPACIDADE DA CAÇAMBA 1,7 A 2,8 M3, PESO OPERACIONAL 11632 KH</v>
      </c>
      <c r="D2721" s="254" t="str">
        <f>VLOOKUP(A2721,'[3]Planilha Orçamentária'!A:K,4,0)</f>
        <v>M3</v>
      </c>
      <c r="E2721" s="255"/>
      <c r="F2721" s="256"/>
      <c r="G2721" s="256"/>
      <c r="H2721" s="256"/>
      <c r="I2721" s="256"/>
      <c r="J2721" s="257">
        <f>ROUND(SUM(J2722:J2723),2)</f>
        <v>334.96</v>
      </c>
      <c r="U2721" s="137"/>
      <c r="V2721" s="137"/>
      <c r="W2721" s="137"/>
      <c r="X2721" s="137"/>
      <c r="Y2721" s="137"/>
      <c r="Z2721" s="137"/>
      <c r="AA2721" s="137"/>
      <c r="AB2721" s="137"/>
      <c r="AC2721" s="137"/>
      <c r="AD2721" s="137"/>
    </row>
    <row r="2722" spans="1:30" ht="25.5">
      <c r="A2722" s="258"/>
      <c r="B2722" s="258"/>
      <c r="C2722" s="159"/>
      <c r="D2722" s="148"/>
      <c r="E2722" s="159" t="s">
        <v>2006</v>
      </c>
      <c r="F2722" s="161"/>
      <c r="G2722" s="161"/>
      <c r="H2722" s="161"/>
      <c r="I2722" s="161" t="s">
        <v>2056</v>
      </c>
      <c r="J2722" s="258"/>
      <c r="U2722" s="137"/>
      <c r="V2722" s="137"/>
      <c r="W2722" s="137"/>
      <c r="X2722" s="137"/>
      <c r="Y2722" s="137"/>
      <c r="Z2722" s="137"/>
      <c r="AA2722" s="137"/>
      <c r="AB2722" s="137"/>
      <c r="AC2722" s="137"/>
      <c r="AD2722" s="137"/>
    </row>
    <row r="2723" spans="1:30" ht="14.25">
      <c r="A2723" s="258"/>
      <c r="B2723" s="258"/>
      <c r="C2723" s="273" t="s">
        <v>2057</v>
      </c>
      <c r="D2723" s="274"/>
      <c r="E2723" s="263">
        <v>1.25</v>
      </c>
      <c r="F2723" s="157"/>
      <c r="G2723" s="275"/>
      <c r="H2723" s="275"/>
      <c r="I2723" s="275">
        <f>J2709-J2715</f>
        <v>267.97000000000003</v>
      </c>
      <c r="J2723" s="158">
        <f>ROUND(PRODUCT(E2723:I2723),2)</f>
        <v>334.96</v>
      </c>
      <c r="U2723" s="137"/>
      <c r="V2723" s="137"/>
      <c r="W2723" s="137"/>
      <c r="X2723" s="137"/>
      <c r="Y2723" s="137"/>
      <c r="Z2723" s="137"/>
      <c r="AA2723" s="137"/>
      <c r="AB2723" s="137"/>
      <c r="AC2723" s="137"/>
      <c r="AD2723" s="137"/>
    </row>
    <row r="2724" spans="1:30">
      <c r="A2724" s="535"/>
      <c r="B2724" s="536"/>
      <c r="C2724" s="536"/>
      <c r="D2724" s="536"/>
      <c r="E2724" s="536"/>
      <c r="F2724" s="536"/>
      <c r="G2724" s="536"/>
      <c r="H2724" s="536"/>
      <c r="I2724" s="536"/>
      <c r="J2724" s="537"/>
      <c r="U2724" s="137"/>
      <c r="V2724" s="137"/>
      <c r="W2724" s="137"/>
      <c r="X2724" s="137"/>
      <c r="Y2724" s="137"/>
      <c r="Z2724" s="137"/>
      <c r="AA2724" s="137"/>
      <c r="AB2724" s="137"/>
      <c r="AC2724" s="137"/>
      <c r="AD2724" s="137"/>
    </row>
    <row r="2725" spans="1:30" ht="38.25">
      <c r="A2725" s="251" t="str">
        <f>'[3]Planilha Orçamentária'!A716</f>
        <v>1.12.6.4</v>
      </c>
      <c r="B2725" s="252">
        <f>VLOOKUP(A2725,'[3]Planilha Orçamentária'!A:K,2,0)</f>
        <v>95876</v>
      </c>
      <c r="C2725" s="276" t="str">
        <f>VLOOKUP(A2725,'[3]Planilha Orçamentária'!A:K,3,0)</f>
        <v>TRANSPORTE COM CAMINHÃO BASCULANTE DE 14 M³, EM VIA URBANA PAVIMENTADA, DMT ATÉ 30 KM (UNIDADE: M3XKM). AF_07/2020</v>
      </c>
      <c r="D2725" s="105" t="str">
        <f>VLOOKUP(A2725,'[3]Planilha Orçamentária'!A:K,4,0)</f>
        <v>M3XKM</v>
      </c>
      <c r="E2725" s="104"/>
      <c r="F2725" s="256"/>
      <c r="G2725" s="256"/>
      <c r="H2725" s="256"/>
      <c r="I2725" s="256"/>
      <c r="J2725" s="257">
        <f>ROUND(SUM(J2726:J2727),2)</f>
        <v>3952.53</v>
      </c>
      <c r="U2725" s="137"/>
      <c r="V2725" s="137"/>
      <c r="W2725" s="137"/>
      <c r="X2725" s="137"/>
      <c r="Y2725" s="137"/>
      <c r="Z2725" s="137"/>
      <c r="AA2725" s="137"/>
      <c r="AB2725" s="137"/>
      <c r="AC2725" s="137"/>
      <c r="AD2725" s="137"/>
    </row>
    <row r="2726" spans="1:30">
      <c r="A2726" s="258"/>
      <c r="B2726" s="258"/>
      <c r="C2726" s="159" t="s">
        <v>2336</v>
      </c>
      <c r="D2726" s="148"/>
      <c r="E2726" s="159" t="s">
        <v>2011</v>
      </c>
      <c r="F2726" s="258"/>
      <c r="G2726" s="258"/>
      <c r="H2726" s="258"/>
      <c r="I2726" s="258" t="s">
        <v>2007</v>
      </c>
      <c r="J2726" s="258"/>
      <c r="U2726" s="137"/>
      <c r="V2726" s="137"/>
      <c r="W2726" s="137"/>
      <c r="X2726" s="137"/>
      <c r="Y2726" s="137"/>
      <c r="Z2726" s="137"/>
      <c r="AA2726" s="137"/>
      <c r="AB2726" s="137"/>
      <c r="AC2726" s="137"/>
      <c r="AD2726" s="137"/>
    </row>
    <row r="2727" spans="1:30" ht="14.25">
      <c r="A2727" s="258"/>
      <c r="B2727" s="258"/>
      <c r="C2727" s="273" t="s">
        <v>2337</v>
      </c>
      <c r="D2727" s="274"/>
      <c r="E2727" s="277">
        <v>11.8</v>
      </c>
      <c r="F2727" s="258"/>
      <c r="G2727" s="258"/>
      <c r="H2727" s="258"/>
      <c r="I2727" s="278">
        <f>J2721</f>
        <v>334.96</v>
      </c>
      <c r="J2727" s="158">
        <f>ROUND(PRODUCT(E2727:I2727),2)</f>
        <v>3952.53</v>
      </c>
      <c r="U2727" s="137"/>
      <c r="V2727" s="137"/>
      <c r="W2727" s="137"/>
      <c r="X2727" s="137"/>
      <c r="Y2727" s="137"/>
      <c r="Z2727" s="137"/>
      <c r="AA2727" s="137"/>
      <c r="AB2727" s="137"/>
      <c r="AC2727" s="137"/>
      <c r="AD2727" s="137"/>
    </row>
    <row r="2728" spans="1:30">
      <c r="A2728" s="535"/>
      <c r="B2728" s="536"/>
      <c r="C2728" s="536"/>
      <c r="D2728" s="536"/>
      <c r="E2728" s="536"/>
      <c r="F2728" s="536"/>
      <c r="G2728" s="536"/>
      <c r="H2728" s="536"/>
      <c r="I2728" s="536"/>
      <c r="J2728" s="537"/>
      <c r="U2728" s="137"/>
      <c r="V2728" s="137"/>
      <c r="W2728" s="137"/>
      <c r="X2728" s="137"/>
      <c r="Y2728" s="137"/>
      <c r="Z2728" s="137"/>
      <c r="AA2728" s="137"/>
      <c r="AB2728" s="137"/>
      <c r="AC2728" s="137"/>
      <c r="AD2728" s="137"/>
    </row>
    <row r="2729" spans="1:30" ht="38.25">
      <c r="A2729" s="251" t="str">
        <f>'[3]Planilha Orçamentária'!A717</f>
        <v>1.12.6.5</v>
      </c>
      <c r="B2729" s="252">
        <f>VLOOKUP(A2729,'[3]Planilha Orçamentária'!A:K,2,0)</f>
        <v>94971</v>
      </c>
      <c r="C2729" s="253" t="str">
        <f>VLOOKUP(A2729,'[3]Planilha Orçamentária'!A:K,3,0)</f>
        <v>CONCRETO FCK = 25MPA, TRAÇO 1:2,3:2,7 (EM MASSA SECA DE CIMENTO/ AREIA MÉDIA/ BRITA 1) - PREPARO MECÂNICO COM BETONEIRA 600 L. AF_05/2021</v>
      </c>
      <c r="D2729" s="254" t="str">
        <f>VLOOKUP(A2729,'[3]Planilha Orçamentária'!A:K,4,0)</f>
        <v>M3</v>
      </c>
      <c r="E2729" s="255"/>
      <c r="F2729" s="256"/>
      <c r="G2729" s="256"/>
      <c r="H2729" s="256"/>
      <c r="I2729" s="256"/>
      <c r="J2729" s="257">
        <f>ROUND(SUM(J2730:J2732),2)</f>
        <v>150.68</v>
      </c>
      <c r="U2729" s="137"/>
      <c r="V2729" s="137"/>
      <c r="W2729" s="137"/>
      <c r="X2729" s="137"/>
      <c r="Y2729" s="137"/>
      <c r="Z2729" s="137"/>
      <c r="AA2729" s="137"/>
      <c r="AB2729" s="137"/>
      <c r="AC2729" s="137"/>
      <c r="AD2729" s="137"/>
    </row>
    <row r="2730" spans="1:30" ht="28.5">
      <c r="A2730" s="258"/>
      <c r="B2730" s="258"/>
      <c r="C2730" s="221" t="s">
        <v>2060</v>
      </c>
      <c r="D2730" s="258"/>
      <c r="E2730" s="258"/>
      <c r="F2730" s="161"/>
      <c r="G2730" s="161"/>
      <c r="H2730" s="161"/>
      <c r="I2730" s="279"/>
      <c r="J2730" s="258"/>
      <c r="U2730" s="137"/>
      <c r="V2730" s="137"/>
      <c r="W2730" s="137"/>
      <c r="X2730" s="137"/>
      <c r="Y2730" s="137"/>
      <c r="Z2730" s="137"/>
      <c r="AA2730" s="137"/>
      <c r="AB2730" s="137"/>
      <c r="AC2730" s="137"/>
      <c r="AD2730" s="137"/>
    </row>
    <row r="2731" spans="1:30" ht="14.25">
      <c r="A2731" s="258"/>
      <c r="B2731" s="258"/>
      <c r="C2731" s="280" t="s">
        <v>2338</v>
      </c>
      <c r="D2731" s="123"/>
      <c r="E2731" s="123"/>
      <c r="F2731" s="281">
        <f>F2712</f>
        <v>957.05</v>
      </c>
      <c r="G2731" s="282">
        <v>1.2</v>
      </c>
      <c r="H2731" s="123">
        <v>0.15</v>
      </c>
      <c r="I2731" s="281"/>
      <c r="J2731" s="158">
        <f>ROUND(PRODUCT(E2731:I2731),2)</f>
        <v>172.27</v>
      </c>
      <c r="U2731" s="137"/>
      <c r="V2731" s="137"/>
      <c r="W2731" s="137"/>
      <c r="X2731" s="137"/>
      <c r="Y2731" s="137"/>
      <c r="Z2731" s="137"/>
      <c r="AA2731" s="137"/>
      <c r="AB2731" s="137"/>
      <c r="AC2731" s="137"/>
      <c r="AD2731" s="137"/>
    </row>
    <row r="2732" spans="1:30" ht="28.5">
      <c r="A2732" s="265"/>
      <c r="B2732" s="266"/>
      <c r="C2732" s="280" t="s">
        <v>2062</v>
      </c>
      <c r="D2732" s="123"/>
      <c r="E2732" s="123">
        <v>-1</v>
      </c>
      <c r="F2732" s="283">
        <v>1.8800000000000001E-2</v>
      </c>
      <c r="G2732" s="136">
        <f>F2731</f>
        <v>957.05</v>
      </c>
      <c r="H2732" s="136">
        <v>0.15</v>
      </c>
      <c r="I2732" s="136">
        <v>8</v>
      </c>
      <c r="J2732" s="158">
        <f>ROUND(PRODUCT(E2732:I2732),2)</f>
        <v>-21.59</v>
      </c>
      <c r="U2732" s="137"/>
      <c r="V2732" s="137"/>
      <c r="W2732" s="137"/>
      <c r="X2732" s="137"/>
      <c r="Y2732" s="137"/>
      <c r="Z2732" s="137"/>
      <c r="AA2732" s="137"/>
      <c r="AB2732" s="137"/>
      <c r="AC2732" s="137"/>
      <c r="AD2732" s="137"/>
    </row>
    <row r="2733" spans="1:30">
      <c r="A2733" s="535"/>
      <c r="B2733" s="536"/>
      <c r="C2733" s="536"/>
      <c r="D2733" s="536"/>
      <c r="E2733" s="536"/>
      <c r="F2733" s="536"/>
      <c r="G2733" s="536"/>
      <c r="H2733" s="536"/>
      <c r="I2733" s="536"/>
      <c r="J2733" s="537"/>
      <c r="U2733" s="137"/>
      <c r="V2733" s="137"/>
      <c r="W2733" s="137"/>
      <c r="X2733" s="137"/>
      <c r="Y2733" s="137"/>
      <c r="Z2733" s="137"/>
      <c r="AA2733" s="137"/>
      <c r="AB2733" s="137"/>
      <c r="AC2733" s="137"/>
      <c r="AD2733" s="137"/>
    </row>
    <row r="2734" spans="1:30" ht="38.25">
      <c r="A2734" s="251" t="str">
        <f>'[3]Planilha Orçamentária'!A718</f>
        <v>1.12.6.6</v>
      </c>
      <c r="B2734" s="252">
        <f>VLOOKUP(A2734,'[3]Planilha Orçamentária'!A:K,2,0)</f>
        <v>94974</v>
      </c>
      <c r="C2734" s="253" t="str">
        <f>VLOOKUP(A2734,'[3]Planilha Orçamentária'!A:K,3,0)</f>
        <v>CONCRETO MAGRO PARA LASTRO, TRAÇO 1:4,5:4,5 (EM MASSA SECA DE CIMENTO/ AREIA MÉDIA/ BRITA 1) - PREPARO MANUAL. AF_05/2021</v>
      </c>
      <c r="D2734" s="254" t="str">
        <f>VLOOKUP(A2734,'[3]Planilha Orçamentária'!A:K,4,0)</f>
        <v>M3</v>
      </c>
      <c r="E2734" s="255"/>
      <c r="F2734" s="256"/>
      <c r="G2734" s="256"/>
      <c r="H2734" s="256"/>
      <c r="I2734" s="279"/>
      <c r="J2734" s="257">
        <f>ROUND(SUM(J2735:J2736),2)</f>
        <v>114.85</v>
      </c>
      <c r="U2734" s="137"/>
      <c r="V2734" s="137"/>
      <c r="W2734" s="137"/>
      <c r="X2734" s="137"/>
      <c r="Y2734" s="137"/>
      <c r="Z2734" s="137"/>
      <c r="AA2734" s="137"/>
      <c r="AB2734" s="137"/>
      <c r="AC2734" s="137"/>
      <c r="AD2734" s="137"/>
    </row>
    <row r="2735" spans="1:30">
      <c r="A2735" s="258"/>
      <c r="B2735" s="258"/>
      <c r="C2735" s="259" t="s">
        <v>2333</v>
      </c>
      <c r="D2735" s="258"/>
      <c r="E2735" s="258"/>
      <c r="F2735" s="263" t="s">
        <v>1989</v>
      </c>
      <c r="G2735" s="263" t="s">
        <v>1990</v>
      </c>
      <c r="H2735" s="263" t="s">
        <v>2002</v>
      </c>
      <c r="I2735" s="279"/>
      <c r="J2735" s="258"/>
      <c r="U2735" s="137"/>
      <c r="V2735" s="137"/>
      <c r="W2735" s="137"/>
      <c r="X2735" s="137"/>
      <c r="Y2735" s="137"/>
      <c r="Z2735" s="137"/>
      <c r="AA2735" s="137"/>
      <c r="AB2735" s="137"/>
      <c r="AC2735" s="137"/>
      <c r="AD2735" s="137"/>
    </row>
    <row r="2736" spans="1:30" ht="14.25">
      <c r="A2736" s="258"/>
      <c r="B2736" s="258"/>
      <c r="C2736" s="284" t="s">
        <v>2063</v>
      </c>
      <c r="D2736" s="123"/>
      <c r="E2736" s="123"/>
      <c r="F2736" s="285">
        <f>F2712</f>
        <v>957.05</v>
      </c>
      <c r="G2736" s="282">
        <v>1.2</v>
      </c>
      <c r="H2736" s="123">
        <v>0.1</v>
      </c>
      <c r="I2736" s="278"/>
      <c r="J2736" s="158">
        <f>ROUND(PRODUCT(E2736:I2736),2)</f>
        <v>114.85</v>
      </c>
      <c r="U2736" s="137"/>
      <c r="V2736" s="137"/>
      <c r="W2736" s="137"/>
      <c r="X2736" s="137"/>
      <c r="Y2736" s="137"/>
      <c r="Z2736" s="137"/>
      <c r="AA2736" s="137"/>
      <c r="AB2736" s="137"/>
      <c r="AC2736" s="137"/>
      <c r="AD2736" s="137"/>
    </row>
    <row r="2737" spans="1:30">
      <c r="A2737" s="535"/>
      <c r="B2737" s="536"/>
      <c r="C2737" s="536"/>
      <c r="D2737" s="536"/>
      <c r="E2737" s="536"/>
      <c r="F2737" s="536"/>
      <c r="G2737" s="536"/>
      <c r="H2737" s="536"/>
      <c r="I2737" s="536"/>
      <c r="J2737" s="537"/>
      <c r="U2737" s="137"/>
      <c r="V2737" s="137"/>
      <c r="W2737" s="137"/>
      <c r="X2737" s="137"/>
      <c r="Y2737" s="137"/>
      <c r="Z2737" s="137"/>
      <c r="AA2737" s="137"/>
      <c r="AB2737" s="137"/>
      <c r="AC2737" s="137"/>
      <c r="AD2737" s="137"/>
    </row>
    <row r="2738" spans="1:30" ht="38.25">
      <c r="A2738" s="251" t="str">
        <f>'[3]Planilha Orçamentária'!A719</f>
        <v>1.12.6.7</v>
      </c>
      <c r="B2738" s="252">
        <f>VLOOKUP(A2738,'[3]Planilha Orçamentária'!A:K,2,0)</f>
        <v>92771</v>
      </c>
      <c r="C2738" s="253" t="str">
        <f>VLOOKUP(A2738,'[3]Planilha Orçamentária'!A:K,3,0)</f>
        <v>ARMAÇÃO DE LAJE DE ESTRUTURA CONVENCIONAL DE CONCRETO ARMADO UTILIZANDO AÇO CA-50 DE 10,0 MM - MONTAGEM. AF_06/2022</v>
      </c>
      <c r="D2738" s="254" t="str">
        <f>VLOOKUP(A2738,'[3]Planilha Orçamentária'!A:K,4,0)</f>
        <v>KG</v>
      </c>
      <c r="E2738" s="255"/>
      <c r="F2738" s="256"/>
      <c r="G2738" s="256"/>
      <c r="H2738" s="256"/>
      <c r="I2738" s="256"/>
      <c r="J2738" s="257">
        <f>ROUND(SUM(J2739:J2740),2)</f>
        <v>9608.7800000000007</v>
      </c>
      <c r="U2738" s="137"/>
      <c r="V2738" s="137"/>
      <c r="W2738" s="137"/>
      <c r="X2738" s="137"/>
      <c r="Y2738" s="137"/>
      <c r="Z2738" s="137"/>
      <c r="AA2738" s="137"/>
      <c r="AB2738" s="137"/>
      <c r="AC2738" s="137"/>
      <c r="AD2738" s="137"/>
    </row>
    <row r="2739" spans="1:30">
      <c r="A2739" s="258"/>
      <c r="B2739" s="258"/>
      <c r="C2739" s="259" t="s">
        <v>2333</v>
      </c>
      <c r="D2739" s="258"/>
      <c r="E2739" s="279"/>
      <c r="F2739" s="263" t="s">
        <v>2064</v>
      </c>
      <c r="G2739" s="263"/>
      <c r="H2739" s="263"/>
      <c r="I2739" s="279" t="s">
        <v>2065</v>
      </c>
      <c r="J2739" s="258"/>
      <c r="U2739" s="137"/>
      <c r="V2739" s="137"/>
      <c r="W2739" s="137"/>
      <c r="X2739" s="137"/>
      <c r="Y2739" s="137"/>
      <c r="Z2739" s="137"/>
      <c r="AA2739" s="137"/>
      <c r="AB2739" s="137"/>
      <c r="AC2739" s="137"/>
      <c r="AD2739" s="137"/>
    </row>
    <row r="2740" spans="1:30" ht="28.5">
      <c r="A2740" s="258"/>
      <c r="B2740" s="258"/>
      <c r="C2740" s="221" t="s">
        <v>2066</v>
      </c>
      <c r="D2740" s="105"/>
      <c r="E2740" s="104"/>
      <c r="F2740" s="278">
        <f>F2712</f>
        <v>957.05</v>
      </c>
      <c r="G2740" s="278"/>
      <c r="H2740" s="278"/>
      <c r="I2740" s="278">
        <v>10.039999999999999</v>
      </c>
      <c r="J2740" s="158">
        <f>ROUND(PRODUCT(E2740:I2740),2)</f>
        <v>9608.7800000000007</v>
      </c>
      <c r="U2740" s="137"/>
      <c r="V2740" s="137"/>
      <c r="W2740" s="137"/>
      <c r="X2740" s="137"/>
      <c r="Y2740" s="137"/>
      <c r="Z2740" s="137"/>
      <c r="AA2740" s="137"/>
      <c r="AB2740" s="137"/>
      <c r="AC2740" s="137"/>
      <c r="AD2740" s="137"/>
    </row>
    <row r="2741" spans="1:30">
      <c r="A2741" s="535"/>
      <c r="B2741" s="536"/>
      <c r="C2741" s="536"/>
      <c r="D2741" s="536"/>
      <c r="E2741" s="536"/>
      <c r="F2741" s="536"/>
      <c r="G2741" s="536"/>
      <c r="H2741" s="536"/>
      <c r="I2741" s="536"/>
      <c r="J2741" s="537"/>
      <c r="U2741" s="137"/>
      <c r="V2741" s="137"/>
      <c r="W2741" s="137"/>
      <c r="X2741" s="137"/>
      <c r="Y2741" s="137"/>
      <c r="Z2741" s="137"/>
      <c r="AA2741" s="137"/>
      <c r="AB2741" s="137"/>
      <c r="AC2741" s="137"/>
      <c r="AD2741" s="137"/>
    </row>
    <row r="2742" spans="1:30" ht="51">
      <c r="A2742" s="251" t="str">
        <f>'[3]Planilha Orçamentária'!A720</f>
        <v>1.12.6.8</v>
      </c>
      <c r="B2742" s="252" t="str">
        <f>VLOOKUP(A2742,'[3]Planilha Orçamentária'!A:K,2,0)</f>
        <v>CP-92268-29291149</v>
      </c>
      <c r="C2742" s="253" t="str">
        <f>VLOOKUP(A2742,'[3]Planilha Orçamentária'!A:K,3,0)</f>
        <v>FABRICAÇÃO DE FÔRMA PARA LAJES, EM CHAPA DE MADEIRA COMPENSADA PLASTIFICADA, E = 18 MM - EXCLUINDO O PAINEL DE MADEIRA COMPENSADA PLASTIFICADA DE 2200 x 1100 MM, E = *17* MM</v>
      </c>
      <c r="D2742" s="254" t="str">
        <f>VLOOKUP(A2742,'[3]Planilha Orçamentária'!A:K,4,0)</f>
        <v>M2</v>
      </c>
      <c r="E2742" s="255"/>
      <c r="F2742" s="256"/>
      <c r="G2742" s="256"/>
      <c r="H2742" s="256"/>
      <c r="I2742" s="256"/>
      <c r="J2742" s="257">
        <f>ROUND(SUM(J2743:J2744),2)</f>
        <v>689.08</v>
      </c>
      <c r="U2742" s="137"/>
      <c r="V2742" s="137"/>
      <c r="W2742" s="137"/>
      <c r="X2742" s="137"/>
      <c r="Y2742" s="137"/>
      <c r="Z2742" s="137"/>
      <c r="AA2742" s="137"/>
      <c r="AB2742" s="137"/>
      <c r="AC2742" s="137"/>
      <c r="AD2742" s="137"/>
    </row>
    <row r="2743" spans="1:30">
      <c r="A2743" s="258"/>
      <c r="B2743" s="258"/>
      <c r="C2743" s="259" t="s">
        <v>2333</v>
      </c>
      <c r="D2743" s="174"/>
      <c r="E2743" s="279"/>
      <c r="F2743" s="174" t="s">
        <v>2067</v>
      </c>
      <c r="G2743" s="174" t="s">
        <v>2002</v>
      </c>
      <c r="H2743" s="174" t="s">
        <v>1989</v>
      </c>
      <c r="I2743" s="174"/>
      <c r="J2743" s="258"/>
      <c r="U2743" s="137"/>
      <c r="V2743" s="137"/>
      <c r="W2743" s="137"/>
      <c r="X2743" s="137"/>
      <c r="Y2743" s="137"/>
      <c r="Z2743" s="137"/>
      <c r="AA2743" s="137"/>
      <c r="AB2743" s="137"/>
      <c r="AC2743" s="137"/>
      <c r="AD2743" s="137"/>
    </row>
    <row r="2744" spans="1:30" ht="28.5">
      <c r="A2744" s="258"/>
      <c r="B2744" s="258"/>
      <c r="C2744" s="280" t="s">
        <v>2339</v>
      </c>
      <c r="D2744" s="156"/>
      <c r="E2744" s="157"/>
      <c r="F2744" s="136">
        <f>1.2*4</f>
        <v>4.8</v>
      </c>
      <c r="G2744" s="136">
        <v>0.15</v>
      </c>
      <c r="H2744" s="136">
        <f>F2740</f>
        <v>957.05</v>
      </c>
      <c r="I2744" s="286"/>
      <c r="J2744" s="158">
        <f>ROUND(PRODUCT(E2744:I2744),2)</f>
        <v>689.08</v>
      </c>
      <c r="U2744" s="137"/>
      <c r="V2744" s="137"/>
      <c r="W2744" s="137"/>
      <c r="X2744" s="137"/>
      <c r="Y2744" s="137"/>
      <c r="Z2744" s="137"/>
      <c r="AA2744" s="137"/>
      <c r="AB2744" s="137"/>
      <c r="AC2744" s="137"/>
      <c r="AD2744" s="137"/>
    </row>
    <row r="2745" spans="1:30">
      <c r="A2745" s="535"/>
      <c r="B2745" s="536"/>
      <c r="C2745" s="536"/>
      <c r="D2745" s="536"/>
      <c r="E2745" s="536"/>
      <c r="F2745" s="536"/>
      <c r="G2745" s="536"/>
      <c r="H2745" s="536"/>
      <c r="I2745" s="536"/>
      <c r="J2745" s="537"/>
      <c r="U2745" s="137"/>
      <c r="V2745" s="137"/>
      <c r="W2745" s="137"/>
      <c r="X2745" s="137"/>
      <c r="Y2745" s="137"/>
      <c r="Z2745" s="137"/>
      <c r="AA2745" s="137"/>
      <c r="AB2745" s="137"/>
      <c r="AC2745" s="137"/>
      <c r="AD2745" s="137"/>
    </row>
    <row r="2746" spans="1:30" ht="51">
      <c r="A2746" s="251" t="str">
        <f>'[3]Planilha Orçamentária'!A721</f>
        <v>1.12.6.9</v>
      </c>
      <c r="B2746" s="252">
        <f>VLOOKUP(A2746,'[3]Planilha Orçamentária'!A:K,2,0)</f>
        <v>103320</v>
      </c>
      <c r="C2746" s="253" t="str">
        <f>VLOOKUP(A2746,'[3]Planilha Orçamentária'!A:K,3,0)</f>
        <v>ALVENARIA DE VEDAÇÃO DE BLOCOS VAZADOS DE CONCRETO DE 19X19X39 CM (ESPESSURA 19 CM) E ARGAMASSA DE ASSENTAMENTO COM PREPARO EM BETONEIRA. AF_12/2021</v>
      </c>
      <c r="D2746" s="254" t="str">
        <f>VLOOKUP(A2746,'[3]Planilha Orçamentária'!A:K,4,0)</f>
        <v>M2</v>
      </c>
      <c r="E2746" s="255"/>
      <c r="F2746" s="256"/>
      <c r="G2746" s="256"/>
      <c r="H2746" s="256"/>
      <c r="I2746" s="256"/>
      <c r="J2746" s="257">
        <f>ROUND(SUM(J2747:J2748),2)</f>
        <v>2169.31</v>
      </c>
      <c r="U2746" s="137"/>
      <c r="V2746" s="137"/>
      <c r="W2746" s="137"/>
      <c r="X2746" s="137"/>
      <c r="Y2746" s="137"/>
      <c r="Z2746" s="137"/>
      <c r="AA2746" s="137"/>
      <c r="AB2746" s="137"/>
      <c r="AC2746" s="137"/>
      <c r="AD2746" s="137"/>
    </row>
    <row r="2747" spans="1:30">
      <c r="A2747" s="258"/>
      <c r="B2747" s="258"/>
      <c r="C2747" s="259" t="s">
        <v>2333</v>
      </c>
      <c r="D2747" s="174"/>
      <c r="E2747" s="279"/>
      <c r="F2747" s="174" t="s">
        <v>1989</v>
      </c>
      <c r="G2747" s="174"/>
      <c r="H2747" s="174" t="s">
        <v>2069</v>
      </c>
      <c r="I2747" s="174" t="s">
        <v>2070</v>
      </c>
      <c r="J2747" s="258"/>
      <c r="U2747" s="137"/>
      <c r="V2747" s="137"/>
      <c r="W2747" s="137"/>
      <c r="X2747" s="137"/>
      <c r="Y2747" s="137"/>
      <c r="Z2747" s="137"/>
      <c r="AA2747" s="137"/>
      <c r="AB2747" s="137"/>
      <c r="AC2747" s="137"/>
      <c r="AD2747" s="137"/>
    </row>
    <row r="2748" spans="1:30" ht="28.5">
      <c r="A2748" s="258"/>
      <c r="B2748" s="258"/>
      <c r="C2748" s="280" t="s">
        <v>2340</v>
      </c>
      <c r="D2748" s="156"/>
      <c r="E2748" s="157"/>
      <c r="F2748" s="136">
        <f>H2744</f>
        <v>957.05</v>
      </c>
      <c r="G2748" s="136"/>
      <c r="H2748" s="136">
        <f>(1.55+0.55+1.3)/3</f>
        <v>1.1333333333333335</v>
      </c>
      <c r="I2748" s="136">
        <v>2</v>
      </c>
      <c r="J2748" s="158">
        <f>ROUND(PRODUCT(E2748:I2748),2)</f>
        <v>2169.31</v>
      </c>
      <c r="U2748" s="137"/>
      <c r="V2748" s="137"/>
      <c r="W2748" s="137"/>
      <c r="X2748" s="137"/>
      <c r="Y2748" s="137"/>
      <c r="Z2748" s="137"/>
      <c r="AA2748" s="137"/>
      <c r="AB2748" s="137"/>
      <c r="AC2748" s="137"/>
      <c r="AD2748" s="137"/>
    </row>
    <row r="2749" spans="1:30">
      <c r="A2749" s="535"/>
      <c r="B2749" s="536"/>
      <c r="C2749" s="536"/>
      <c r="D2749" s="536"/>
      <c r="E2749" s="536"/>
      <c r="F2749" s="536"/>
      <c r="G2749" s="536"/>
      <c r="H2749" s="536"/>
      <c r="I2749" s="536"/>
      <c r="J2749" s="537"/>
      <c r="U2749" s="137"/>
      <c r="V2749" s="137"/>
      <c r="W2749" s="137"/>
      <c r="X2749" s="137"/>
      <c r="Y2749" s="137"/>
      <c r="Z2749" s="137"/>
      <c r="AA2749" s="137"/>
      <c r="AB2749" s="137"/>
      <c r="AC2749" s="137"/>
      <c r="AD2749" s="137"/>
    </row>
    <row r="2750" spans="1:30" ht="51">
      <c r="A2750" s="251" t="str">
        <f>'[3]Planilha Orçamentária'!A722</f>
        <v>1.12.6.10</v>
      </c>
      <c r="B2750" s="252">
        <f>VLOOKUP(A2750,'[3]Planilha Orçamentária'!A:K,2,0)</f>
        <v>87879</v>
      </c>
      <c r="C2750" s="253" t="str">
        <f>VLOOKUP(A2750,'[3]Planilha Orçamentária'!A:K,3,0)</f>
        <v>CHAPISCO APLICADO EM ALVENARIAS E ESTRUTURAS DE CONCRETO INTERNAS, COM COLHER DE PEDREIRO.  ARGAMASSA TRAÇO 1:3 COM PREPARO EM BETONEIRA 400L. AF_06/2014</v>
      </c>
      <c r="D2750" s="254" t="str">
        <f>VLOOKUP(A2750,'[3]Planilha Orçamentária'!A:K,4,0)</f>
        <v>M2</v>
      </c>
      <c r="E2750" s="255"/>
      <c r="F2750" s="256"/>
      <c r="G2750" s="256"/>
      <c r="H2750" s="256"/>
      <c r="I2750" s="256"/>
      <c r="J2750" s="257">
        <f>ROUND(SUM(J2751:J2752),2)</f>
        <v>2169.31</v>
      </c>
      <c r="U2750" s="137"/>
      <c r="V2750" s="137"/>
      <c r="W2750" s="137"/>
      <c r="X2750" s="137"/>
      <c r="Y2750" s="137"/>
      <c r="Z2750" s="137"/>
      <c r="AA2750" s="137"/>
      <c r="AB2750" s="137"/>
      <c r="AC2750" s="137"/>
      <c r="AD2750" s="137"/>
    </row>
    <row r="2751" spans="1:30">
      <c r="A2751" s="258"/>
      <c r="B2751" s="258"/>
      <c r="C2751" s="259" t="s">
        <v>2333</v>
      </c>
      <c r="D2751" s="258"/>
      <c r="E2751" s="258"/>
      <c r="F2751" s="258"/>
      <c r="G2751" s="258"/>
      <c r="H2751" s="136"/>
      <c r="I2751" s="287"/>
      <c r="J2751" s="258"/>
      <c r="U2751" s="137"/>
      <c r="V2751" s="137"/>
      <c r="W2751" s="137"/>
      <c r="X2751" s="137"/>
      <c r="Y2751" s="137"/>
      <c r="Z2751" s="137"/>
      <c r="AA2751" s="137"/>
      <c r="AB2751" s="137"/>
      <c r="AC2751" s="137"/>
      <c r="AD2751" s="137"/>
    </row>
    <row r="2752" spans="1:30" ht="14.25">
      <c r="A2752" s="258"/>
      <c r="B2752" s="258"/>
      <c r="C2752" s="280" t="s">
        <v>2072</v>
      </c>
      <c r="D2752" s="156"/>
      <c r="E2752" s="157"/>
      <c r="F2752" s="136"/>
      <c r="G2752" s="136"/>
      <c r="H2752" s="136"/>
      <c r="I2752" s="288">
        <f>J2746</f>
        <v>2169.31</v>
      </c>
      <c r="J2752" s="158">
        <f>ROUND(PRODUCT(E2752:I2752),2)</f>
        <v>2169.31</v>
      </c>
      <c r="U2752" s="137"/>
      <c r="V2752" s="137"/>
      <c r="W2752" s="137"/>
      <c r="X2752" s="137"/>
      <c r="Y2752" s="137"/>
      <c r="Z2752" s="137"/>
      <c r="AA2752" s="137"/>
      <c r="AB2752" s="137"/>
      <c r="AC2752" s="137"/>
      <c r="AD2752" s="137"/>
    </row>
    <row r="2753" spans="1:30">
      <c r="A2753" s="535"/>
      <c r="B2753" s="536"/>
      <c r="C2753" s="536"/>
      <c r="D2753" s="536"/>
      <c r="E2753" s="536"/>
      <c r="F2753" s="536"/>
      <c r="G2753" s="536"/>
      <c r="H2753" s="536"/>
      <c r="I2753" s="536"/>
      <c r="J2753" s="537"/>
      <c r="U2753" s="137"/>
      <c r="V2753" s="137"/>
      <c r="W2753" s="137"/>
      <c r="X2753" s="137"/>
      <c r="Y2753" s="137"/>
      <c r="Z2753" s="137"/>
      <c r="AA2753" s="137"/>
      <c r="AB2753" s="137"/>
      <c r="AC2753" s="137"/>
      <c r="AD2753" s="137"/>
    </row>
    <row r="2754" spans="1:30" ht="63.75">
      <c r="A2754" s="251" t="str">
        <f>'[3]Planilha Orçamentária'!A723</f>
        <v>1.12.6.11</v>
      </c>
      <c r="B2754" s="252">
        <f>VLOOKUP(A2754,'[3]Planilha Orçamentária'!A:K,2,0)</f>
        <v>87547</v>
      </c>
      <c r="C2754" s="253" t="str">
        <f>VLOOKUP(A2754,'[3]Planilha Orçamentária'!A:K,3,0)</f>
        <v>MASSA ÚNICA, PARA RECEBIMENTO DE PINTURA, EM ARGAMASSA TRAÇO 1:2:8, PREPARO MECÂNICO COM BETONEIRA 400L, APLICADA MANUALMENTE EM FACES INTERNAS DE PAREDES, ESPESSURA DE 10MM, COM EXECUÇÃO DE TALISCAS. AF_06/2014</v>
      </c>
      <c r="D2754" s="254" t="str">
        <f>VLOOKUP(A2754,'[3]Planilha Orçamentária'!A:K,4,0)</f>
        <v>M2</v>
      </c>
      <c r="E2754" s="255"/>
      <c r="F2754" s="256"/>
      <c r="G2754" s="256"/>
      <c r="H2754" s="256"/>
      <c r="I2754" s="256"/>
      <c r="J2754" s="257">
        <f>ROUND(SUM(J2755:J2756),2)</f>
        <v>2169.31</v>
      </c>
      <c r="U2754" s="137"/>
      <c r="V2754" s="137"/>
      <c r="W2754" s="137"/>
      <c r="X2754" s="137"/>
      <c r="Y2754" s="137"/>
      <c r="Z2754" s="137"/>
      <c r="AA2754" s="137"/>
      <c r="AB2754" s="137"/>
      <c r="AC2754" s="137"/>
      <c r="AD2754" s="137"/>
    </row>
    <row r="2755" spans="1:30">
      <c r="A2755" s="258"/>
      <c r="B2755" s="258"/>
      <c r="C2755" s="259" t="s">
        <v>2333</v>
      </c>
      <c r="D2755" s="258"/>
      <c r="E2755" s="258"/>
      <c r="F2755" s="258"/>
      <c r="G2755" s="258"/>
      <c r="H2755" s="136"/>
      <c r="I2755" s="287"/>
      <c r="J2755" s="258"/>
      <c r="U2755" s="137"/>
      <c r="V2755" s="137"/>
      <c r="W2755" s="137"/>
      <c r="X2755" s="137"/>
      <c r="Y2755" s="137"/>
      <c r="Z2755" s="137"/>
      <c r="AA2755" s="137"/>
      <c r="AB2755" s="137"/>
      <c r="AC2755" s="137"/>
      <c r="AD2755" s="137"/>
    </row>
    <row r="2756" spans="1:30" ht="14.25">
      <c r="A2756" s="258"/>
      <c r="B2756" s="258"/>
      <c r="C2756" s="280" t="s">
        <v>2072</v>
      </c>
      <c r="D2756" s="156"/>
      <c r="E2756" s="157"/>
      <c r="F2756" s="136"/>
      <c r="G2756" s="136"/>
      <c r="H2756" s="136"/>
      <c r="I2756" s="288">
        <f>J2750</f>
        <v>2169.31</v>
      </c>
      <c r="J2756" s="158">
        <f>ROUND(PRODUCT(E2756:I2756),2)</f>
        <v>2169.31</v>
      </c>
      <c r="U2756" s="137"/>
      <c r="V2756" s="137"/>
      <c r="W2756" s="137"/>
      <c r="X2756" s="137"/>
      <c r="Y2756" s="137"/>
      <c r="Z2756" s="137"/>
      <c r="AA2756" s="137"/>
      <c r="AB2756" s="137"/>
      <c r="AC2756" s="137"/>
      <c r="AD2756" s="137"/>
    </row>
    <row r="2757" spans="1:30">
      <c r="A2757" s="535"/>
      <c r="B2757" s="536"/>
      <c r="C2757" s="536"/>
      <c r="D2757" s="536"/>
      <c r="E2757" s="536"/>
      <c r="F2757" s="536"/>
      <c r="G2757" s="536"/>
      <c r="H2757" s="536"/>
      <c r="I2757" s="536"/>
      <c r="J2757" s="537"/>
      <c r="U2757" s="137"/>
      <c r="V2757" s="137"/>
      <c r="W2757" s="137"/>
      <c r="X2757" s="137"/>
      <c r="Y2757" s="137"/>
      <c r="Z2757" s="137"/>
      <c r="AA2757" s="137"/>
      <c r="AB2757" s="137"/>
      <c r="AC2757" s="137"/>
      <c r="AD2757" s="137"/>
    </row>
    <row r="2758" spans="1:30" ht="38.25">
      <c r="A2758" s="251" t="str">
        <f>'[3]Planilha Orçamentária'!A724</f>
        <v>1.12.6.12</v>
      </c>
      <c r="B2758" s="252">
        <f>VLOOKUP(A2758,'[3]Planilha Orçamentária'!A:K,2,0)</f>
        <v>94975</v>
      </c>
      <c r="C2758" s="253" t="str">
        <f>VLOOKUP(A2758,'[3]Planilha Orçamentária'!A:K,3,0)</f>
        <v>CONCRETO FCK = 15MPA, TRAÇO 1:3,4:3,5 (EM MASSA SECA DE CIMENTO/ AREIA MÉDIA/ BRITA 1) - PREPARO MANUAL. AF_05/2021</v>
      </c>
      <c r="D2758" s="254" t="str">
        <f>VLOOKUP(A2758,'[3]Planilha Orçamentária'!A:K,4,0)</f>
        <v>M3</v>
      </c>
      <c r="E2758" s="255"/>
      <c r="F2758" s="256"/>
      <c r="G2758" s="256"/>
      <c r="H2758" s="256"/>
      <c r="I2758" s="256"/>
      <c r="J2758" s="257">
        <f>ROUND(SUM(J2759:J2761),2)</f>
        <v>230.72</v>
      </c>
      <c r="U2758" s="137"/>
      <c r="V2758" s="137"/>
      <c r="W2758" s="137"/>
      <c r="X2758" s="137"/>
      <c r="Y2758" s="137"/>
      <c r="Z2758" s="137"/>
      <c r="AA2758" s="137"/>
      <c r="AB2758" s="137"/>
      <c r="AC2758" s="137"/>
      <c r="AD2758" s="137"/>
    </row>
    <row r="2759" spans="1:30">
      <c r="A2759" s="258"/>
      <c r="B2759" s="258"/>
      <c r="C2759" s="259" t="s">
        <v>2333</v>
      </c>
      <c r="D2759" s="258"/>
      <c r="E2759" s="258"/>
      <c r="F2759" s="258" t="s">
        <v>1989</v>
      </c>
      <c r="G2759" s="258"/>
      <c r="H2759" s="136"/>
      <c r="I2759" s="287"/>
      <c r="J2759" s="258"/>
      <c r="U2759" s="137"/>
      <c r="V2759" s="137"/>
      <c r="W2759" s="137"/>
      <c r="X2759" s="137"/>
      <c r="Y2759" s="137"/>
      <c r="Z2759" s="137"/>
      <c r="AA2759" s="137"/>
      <c r="AB2759" s="137"/>
      <c r="AC2759" s="137"/>
      <c r="AD2759" s="137"/>
    </row>
    <row r="2760" spans="1:30" ht="28.5">
      <c r="A2760" s="258"/>
      <c r="B2760" s="258"/>
      <c r="C2760" s="221" t="s">
        <v>2048</v>
      </c>
      <c r="D2760" s="289"/>
      <c r="E2760" s="290" t="s">
        <v>2073</v>
      </c>
      <c r="F2760" s="290" t="s">
        <v>2074</v>
      </c>
      <c r="G2760" s="282"/>
      <c r="H2760" s="290" t="s">
        <v>2075</v>
      </c>
      <c r="I2760" s="287"/>
      <c r="J2760" s="258"/>
      <c r="U2760" s="137"/>
      <c r="V2760" s="137"/>
      <c r="W2760" s="137"/>
      <c r="X2760" s="137"/>
      <c r="Y2760" s="137"/>
      <c r="Z2760" s="137"/>
      <c r="AA2760" s="137"/>
      <c r="AB2760" s="137"/>
      <c r="AC2760" s="137"/>
      <c r="AD2760" s="137"/>
    </row>
    <row r="2761" spans="1:30" ht="28.5">
      <c r="A2761" s="258"/>
      <c r="B2761" s="258"/>
      <c r="C2761" s="280" t="s">
        <v>2076</v>
      </c>
      <c r="D2761" s="289"/>
      <c r="E2761" s="291">
        <f>0.294*0.14*0.19</f>
        <v>7.8203999999999999E-3</v>
      </c>
      <c r="F2761" s="282">
        <v>13.6</v>
      </c>
      <c r="G2761" s="292"/>
      <c r="H2761" s="136">
        <f>J2746</f>
        <v>2169.31</v>
      </c>
      <c r="I2761" s="287"/>
      <c r="J2761" s="158">
        <f>ROUND(PRODUCT(E2761:I2761),2)</f>
        <v>230.72</v>
      </c>
      <c r="U2761" s="137"/>
      <c r="V2761" s="137"/>
      <c r="W2761" s="137"/>
      <c r="X2761" s="137"/>
      <c r="Y2761" s="137"/>
      <c r="Z2761" s="137"/>
      <c r="AA2761" s="137"/>
      <c r="AB2761" s="137"/>
      <c r="AC2761" s="137"/>
      <c r="AD2761" s="137"/>
    </row>
    <row r="2762" spans="1:30">
      <c r="A2762" s="535"/>
      <c r="B2762" s="536"/>
      <c r="C2762" s="536"/>
      <c r="D2762" s="536"/>
      <c r="E2762" s="536"/>
      <c r="F2762" s="536"/>
      <c r="G2762" s="536"/>
      <c r="H2762" s="536"/>
      <c r="I2762" s="536"/>
      <c r="J2762" s="537"/>
      <c r="U2762" s="137"/>
      <c r="V2762" s="137"/>
      <c r="W2762" s="137"/>
      <c r="X2762" s="137"/>
      <c r="Y2762" s="137"/>
      <c r="Z2762" s="137"/>
      <c r="AA2762" s="137"/>
      <c r="AB2762" s="137"/>
      <c r="AC2762" s="137"/>
      <c r="AD2762" s="137"/>
    </row>
    <row r="2763" spans="1:30" ht="25.5">
      <c r="A2763" s="251" t="str">
        <f>'[3]Planilha Orçamentária'!A725</f>
        <v>1.12.6.13</v>
      </c>
      <c r="B2763" s="252" t="str">
        <f>VLOOKUP(A2763,'[3]Planilha Orçamentária'!A:K,2,0)</f>
        <v>CP-74157/004-48264518</v>
      </c>
      <c r="C2763" s="253" t="str">
        <f>VLOOKUP(A2763,'[3]Planilha Orçamentária'!A:K,3,0)</f>
        <v>LANCAMENTO/APLICACAO MANUAL DE CONCRETO EM FUNDACOES (concreto magro)</v>
      </c>
      <c r="D2763" s="254" t="str">
        <f>VLOOKUP(A2763,'[3]Planilha Orçamentária'!A:K,4,0)</f>
        <v>M3</v>
      </c>
      <c r="E2763" s="255"/>
      <c r="F2763" s="256"/>
      <c r="G2763" s="256"/>
      <c r="H2763" s="256"/>
      <c r="I2763" s="256"/>
      <c r="J2763" s="257">
        <f>ROUND(SUM(J2764:J2765),2)</f>
        <v>496.25</v>
      </c>
      <c r="U2763" s="137"/>
      <c r="V2763" s="137"/>
      <c r="W2763" s="137"/>
      <c r="X2763" s="137"/>
      <c r="Y2763" s="137"/>
      <c r="Z2763" s="137"/>
      <c r="AA2763" s="137"/>
      <c r="AB2763" s="137"/>
      <c r="AC2763" s="137"/>
      <c r="AD2763" s="137"/>
    </row>
    <row r="2764" spans="1:30">
      <c r="A2764" s="258"/>
      <c r="B2764" s="258"/>
      <c r="C2764" s="259" t="s">
        <v>2333</v>
      </c>
      <c r="D2764" s="258"/>
      <c r="E2764" s="258"/>
      <c r="F2764" s="258"/>
      <c r="G2764" s="258"/>
      <c r="H2764" s="136"/>
      <c r="I2764" s="287"/>
      <c r="J2764" s="258"/>
      <c r="U2764" s="137"/>
      <c r="V2764" s="137"/>
      <c r="W2764" s="137"/>
      <c r="X2764" s="137"/>
      <c r="Y2764" s="137"/>
      <c r="Z2764" s="137"/>
      <c r="AA2764" s="137"/>
      <c r="AB2764" s="137"/>
      <c r="AC2764" s="137"/>
      <c r="AD2764" s="137"/>
    </row>
    <row r="2765" spans="1:30" ht="14.25">
      <c r="A2765" s="258"/>
      <c r="B2765" s="258"/>
      <c r="C2765" s="280" t="s">
        <v>2341</v>
      </c>
      <c r="D2765" s="156"/>
      <c r="E2765" s="157"/>
      <c r="F2765" s="136"/>
      <c r="G2765" s="136"/>
      <c r="H2765" s="136"/>
      <c r="I2765" s="136">
        <f>J2758+J2734+J2729</f>
        <v>496.25</v>
      </c>
      <c r="J2765" s="158">
        <f>ROUND(PRODUCT(E2765:I2765),2)</f>
        <v>496.25</v>
      </c>
      <c r="U2765" s="137"/>
      <c r="V2765" s="137"/>
      <c r="W2765" s="137"/>
      <c r="X2765" s="137"/>
      <c r="Y2765" s="137"/>
      <c r="Z2765" s="137"/>
      <c r="AA2765" s="137"/>
      <c r="AB2765" s="137"/>
      <c r="AC2765" s="137"/>
      <c r="AD2765" s="137"/>
    </row>
    <row r="2766" spans="1:30">
      <c r="A2766" s="535"/>
      <c r="B2766" s="536"/>
      <c r="C2766" s="536"/>
      <c r="D2766" s="536"/>
      <c r="E2766" s="536"/>
      <c r="F2766" s="536"/>
      <c r="G2766" s="536"/>
      <c r="H2766" s="536"/>
      <c r="I2766" s="536"/>
      <c r="J2766" s="537"/>
      <c r="U2766" s="137"/>
      <c r="V2766" s="137"/>
      <c r="W2766" s="137"/>
      <c r="X2766" s="137"/>
      <c r="Y2766" s="137"/>
      <c r="Z2766" s="137"/>
      <c r="AA2766" s="137"/>
      <c r="AB2766" s="137"/>
      <c r="AC2766" s="137"/>
      <c r="AD2766" s="137"/>
    </row>
    <row r="2767" spans="1:30">
      <c r="A2767" s="94" t="str">
        <f>'[3]Planilha Orçamentária'!A726</f>
        <v>1.12.7</v>
      </c>
      <c r="B2767" s="95"/>
      <c r="C2767" s="96" t="str">
        <f>VLOOKUP(A2767,'[3]Planilha Orçamentária'!A:K,3,0)</f>
        <v>SINALIZAÇÃO</v>
      </c>
      <c r="D2767" s="97"/>
      <c r="E2767" s="98"/>
      <c r="F2767" s="99"/>
      <c r="G2767" s="99"/>
      <c r="H2767" s="99"/>
      <c r="I2767" s="100"/>
      <c r="J2767" s="131"/>
      <c r="U2767" s="137"/>
      <c r="V2767" s="137"/>
      <c r="W2767" s="137"/>
      <c r="X2767" s="137"/>
      <c r="Y2767" s="137"/>
      <c r="Z2767" s="137"/>
      <c r="AA2767" s="137"/>
      <c r="AB2767" s="137"/>
      <c r="AC2767" s="137"/>
      <c r="AD2767" s="137"/>
    </row>
    <row r="2768" spans="1:30" ht="25.5">
      <c r="A2768" s="251" t="str">
        <f>'[3]Planilha Orçamentária'!A727</f>
        <v>1.12.7.1</v>
      </c>
      <c r="B2768" s="252">
        <f>VLOOKUP(A2768,'[3]Planilha Orçamentária'!A:K,2,0)</f>
        <v>5213421</v>
      </c>
      <c r="C2768" s="253" t="str">
        <f>VLOOKUP(A2768,'[3]Planilha Orçamentária'!A:K,3,0)</f>
        <v>Confecção de placa em aço nº 16 galvanizado, com película tipo I + IV</v>
      </c>
      <c r="D2768" s="254" t="str">
        <f>VLOOKUP(A2768,'[3]Planilha Orçamentária'!A:K,4,0)</f>
        <v xml:space="preserve">M2    </v>
      </c>
      <c r="E2768" s="255"/>
      <c r="F2768" s="256"/>
      <c r="G2768" s="256"/>
      <c r="H2768" s="256"/>
      <c r="I2768" s="256"/>
      <c r="J2768" s="257">
        <f>ROUND(SUM(J2769:J2773),2)</f>
        <v>7.93</v>
      </c>
      <c r="U2768" s="137"/>
      <c r="V2768" s="137"/>
      <c r="W2768" s="137"/>
      <c r="X2768" s="137"/>
      <c r="Y2768" s="137"/>
      <c r="Z2768" s="137"/>
      <c r="AA2768" s="137"/>
      <c r="AB2768" s="137"/>
      <c r="AC2768" s="137"/>
      <c r="AD2768" s="137"/>
    </row>
    <row r="2769" spans="1:30">
      <c r="A2769" s="293"/>
      <c r="B2769" s="294"/>
      <c r="C2769" s="165" t="s">
        <v>2342</v>
      </c>
      <c r="D2769" s="105"/>
      <c r="E2769" s="241"/>
      <c r="F2769" s="105"/>
      <c r="G2769" s="105"/>
      <c r="H2769" s="241" t="s">
        <v>2003</v>
      </c>
      <c r="I2769" s="241" t="s">
        <v>1446</v>
      </c>
      <c r="J2769" s="299"/>
      <c r="U2769" s="137"/>
      <c r="V2769" s="137"/>
      <c r="W2769" s="137"/>
      <c r="X2769" s="137"/>
      <c r="Y2769" s="137"/>
      <c r="Z2769" s="137"/>
      <c r="AA2769" s="137"/>
      <c r="AB2769" s="137"/>
      <c r="AC2769" s="137"/>
      <c r="AD2769" s="137"/>
    </row>
    <row r="2770" spans="1:30">
      <c r="A2770" s="293"/>
      <c r="B2770" s="294"/>
      <c r="C2770" s="244" t="s">
        <v>2079</v>
      </c>
      <c r="D2770" s="307"/>
      <c r="E2770" s="116"/>
      <c r="F2770" s="116"/>
      <c r="G2770" s="116"/>
      <c r="H2770" s="116">
        <v>0.2</v>
      </c>
      <c r="I2770" s="157">
        <v>10</v>
      </c>
      <c r="J2770" s="118">
        <f>ROUND(PRODUCT(E2770:I2770),2)</f>
        <v>2</v>
      </c>
      <c r="U2770" s="137"/>
      <c r="V2770" s="137"/>
      <c r="W2770" s="137"/>
      <c r="X2770" s="137"/>
      <c r="Y2770" s="137"/>
      <c r="Z2770" s="137"/>
      <c r="AA2770" s="137"/>
      <c r="AB2770" s="137"/>
      <c r="AC2770" s="137"/>
      <c r="AD2770" s="137"/>
    </row>
    <row r="2771" spans="1:30">
      <c r="A2771" s="311"/>
      <c r="B2771" s="345"/>
      <c r="C2771" s="409" t="s">
        <v>2081</v>
      </c>
      <c r="D2771" s="303"/>
      <c r="E2771" s="304"/>
      <c r="F2771" s="304"/>
      <c r="G2771" s="304"/>
      <c r="H2771" s="304">
        <f>0.5*0.5</f>
        <v>0.25</v>
      </c>
      <c r="I2771" s="410">
        <v>8</v>
      </c>
      <c r="J2771" s="118">
        <f>ROUND(PRODUCT(E2771:I2771),2)</f>
        <v>2</v>
      </c>
      <c r="U2771" s="137"/>
      <c r="V2771" s="137"/>
      <c r="W2771" s="137"/>
      <c r="X2771" s="137"/>
      <c r="Y2771" s="137"/>
      <c r="Z2771" s="137"/>
      <c r="AA2771" s="137"/>
      <c r="AB2771" s="137"/>
      <c r="AC2771" s="137"/>
      <c r="AD2771" s="137"/>
    </row>
    <row r="2772" spans="1:30" ht="14.25">
      <c r="A2772" s="311"/>
      <c r="B2772" s="345"/>
      <c r="C2772" s="390" t="s">
        <v>2116</v>
      </c>
      <c r="D2772" s="391"/>
      <c r="E2772" s="392"/>
      <c r="F2772" s="393"/>
      <c r="G2772" s="393"/>
      <c r="H2772" s="304">
        <f>3.14*0.25^2</f>
        <v>0.19625000000000001</v>
      </c>
      <c r="I2772" s="410">
        <v>20</v>
      </c>
      <c r="J2772" s="306">
        <f>ROUND(PRODUCT(E2772:I2772),2)</f>
        <v>3.93</v>
      </c>
      <c r="U2772" s="137"/>
      <c r="V2772" s="137"/>
      <c r="W2772" s="137"/>
      <c r="X2772" s="137"/>
      <c r="Y2772" s="137"/>
      <c r="Z2772" s="137"/>
      <c r="AA2772" s="137"/>
      <c r="AB2772" s="137"/>
      <c r="AC2772" s="137"/>
      <c r="AD2772" s="137"/>
    </row>
    <row r="2773" spans="1:30">
      <c r="A2773" s="538"/>
      <c r="B2773" s="539"/>
      <c r="C2773" s="539"/>
      <c r="D2773" s="539"/>
      <c r="E2773" s="539"/>
      <c r="F2773" s="539"/>
      <c r="G2773" s="539"/>
      <c r="H2773" s="539"/>
      <c r="I2773" s="539"/>
      <c r="J2773" s="539"/>
      <c r="U2773" s="137"/>
      <c r="V2773" s="137"/>
      <c r="W2773" s="137"/>
      <c r="X2773" s="137"/>
      <c r="Y2773" s="137"/>
      <c r="Z2773" s="137"/>
      <c r="AA2773" s="137"/>
      <c r="AB2773" s="137"/>
      <c r="AC2773" s="137"/>
      <c r="AD2773" s="137"/>
    </row>
    <row r="2774" spans="1:30" ht="38.25">
      <c r="A2774" s="132" t="str">
        <f>'[3]Planilha Orçamentária'!A728</f>
        <v>1.12.7.2</v>
      </c>
      <c r="B2774" s="103">
        <f>VLOOKUP(A2774,'[3]Planilha Orçamentária'!A:K,2,0)</f>
        <v>5216111</v>
      </c>
      <c r="C2774" s="276" t="str">
        <f>VLOOKUP(A2774,'[3]Planilha Orçamentária'!A:K,3,0)</f>
        <v>FORNECIMENTO E IMPLANTAÇÃO DE SUPORTE E TRAVESSA PARA PLACA DE SINALIZAÇÃO EM MADEIRA DE LEI TRATADA 8 X 8 CM</v>
      </c>
      <c r="D2774" s="105" t="str">
        <f>VLOOKUP(A2774,'[3]Planilha Orçamentária'!A:K,4,0)</f>
        <v>UND</v>
      </c>
      <c r="E2774" s="104"/>
      <c r="F2774" s="111"/>
      <c r="G2774" s="111"/>
      <c r="H2774" s="111"/>
      <c r="I2774" s="111"/>
      <c r="J2774" s="107">
        <f>ROUND(SUM(J2775:J2776),2)</f>
        <v>30</v>
      </c>
      <c r="U2774" s="137"/>
      <c r="V2774" s="137"/>
      <c r="W2774" s="137"/>
      <c r="X2774" s="137"/>
      <c r="Y2774" s="137"/>
      <c r="Z2774" s="137"/>
      <c r="AA2774" s="137"/>
      <c r="AB2774" s="137"/>
      <c r="AC2774" s="137"/>
      <c r="AD2774" s="137"/>
    </row>
    <row r="2775" spans="1:30">
      <c r="A2775" s="138"/>
      <c r="B2775" s="138"/>
      <c r="C2775" s="165" t="s">
        <v>2342</v>
      </c>
      <c r="D2775" s="105"/>
      <c r="E2775" s="104"/>
      <c r="F2775" s="111"/>
      <c r="G2775" s="111"/>
      <c r="H2775" s="111"/>
      <c r="I2775" s="241" t="s">
        <v>1446</v>
      </c>
      <c r="J2775" s="118"/>
      <c r="U2775" s="137"/>
      <c r="V2775" s="137"/>
      <c r="W2775" s="137"/>
      <c r="X2775" s="137"/>
      <c r="Y2775" s="137"/>
      <c r="Z2775" s="137"/>
      <c r="AA2775" s="137"/>
      <c r="AB2775" s="137"/>
      <c r="AC2775" s="137"/>
      <c r="AD2775" s="137"/>
    </row>
    <row r="2776" spans="1:30">
      <c r="A2776" s="314"/>
      <c r="B2776" s="314"/>
      <c r="C2776" s="244" t="s">
        <v>2046</v>
      </c>
      <c r="D2776" s="307"/>
      <c r="E2776" s="313"/>
      <c r="F2776" s="116"/>
      <c r="G2776" s="116"/>
      <c r="H2776" s="157"/>
      <c r="I2776" s="157">
        <v>30</v>
      </c>
      <c r="J2776" s="118">
        <f>ROUND(PRODUCT(E2776:I2776),2)</f>
        <v>30</v>
      </c>
      <c r="U2776" s="137"/>
      <c r="V2776" s="137"/>
      <c r="W2776" s="137"/>
      <c r="X2776" s="137"/>
      <c r="Y2776" s="137"/>
      <c r="Z2776" s="137"/>
      <c r="AA2776" s="137"/>
      <c r="AB2776" s="137"/>
      <c r="AC2776" s="137"/>
      <c r="AD2776" s="137"/>
    </row>
    <row r="2777" spans="1:30">
      <c r="A2777" s="524"/>
      <c r="B2777" s="524"/>
      <c r="C2777" s="524"/>
      <c r="D2777" s="524"/>
      <c r="E2777" s="524"/>
      <c r="F2777" s="524"/>
      <c r="G2777" s="524"/>
      <c r="H2777" s="524"/>
      <c r="I2777" s="524"/>
      <c r="J2777" s="525"/>
      <c r="U2777" s="137"/>
      <c r="V2777" s="137"/>
      <c r="W2777" s="137"/>
      <c r="X2777" s="137"/>
      <c r="Y2777" s="137"/>
      <c r="Z2777" s="137"/>
      <c r="AA2777" s="137"/>
      <c r="AB2777" s="137"/>
      <c r="AC2777" s="137"/>
      <c r="AD2777" s="137"/>
    </row>
    <row r="2778" spans="1:30" ht="25.5">
      <c r="A2778" s="132" t="str">
        <f>'[3]Planilha Orçamentária'!A729</f>
        <v>1.12.7.3</v>
      </c>
      <c r="B2778" s="103" t="str">
        <f>VLOOKUP(A2778,'[3]Planilha Orçamentária'!A:K,2,0)</f>
        <v>COMP-58084869</v>
      </c>
      <c r="C2778" s="276" t="str">
        <f>VLOOKUP(A2778,'[3]Planilha Orçamentária'!A:K,3,0)</f>
        <v>PLACA ESMALTADA PARA IDENTIFICAÇÃO NR DE RUA, DIMENSÕES 45X25CM</v>
      </c>
      <c r="D2778" s="105" t="str">
        <f>VLOOKUP(A2778,'[3]Planilha Orçamentária'!A:K,4,0)</f>
        <v>UND</v>
      </c>
      <c r="E2778" s="104"/>
      <c r="F2778" s="111"/>
      <c r="G2778" s="111"/>
      <c r="H2778" s="111"/>
      <c r="I2778" s="111"/>
      <c r="J2778" s="107">
        <f>ROUND(SUM(J2780:J2780),2)</f>
        <v>10</v>
      </c>
      <c r="U2778" s="137"/>
      <c r="V2778" s="137"/>
      <c r="W2778" s="137"/>
      <c r="X2778" s="137"/>
      <c r="Y2778" s="137"/>
      <c r="Z2778" s="137"/>
      <c r="AA2778" s="137"/>
      <c r="AB2778" s="137"/>
      <c r="AC2778" s="137"/>
      <c r="AD2778" s="137"/>
    </row>
    <row r="2779" spans="1:30">
      <c r="A2779" s="251"/>
      <c r="B2779" s="252"/>
      <c r="C2779" s="165" t="s">
        <v>2342</v>
      </c>
      <c r="D2779" s="105"/>
      <c r="E2779" s="104"/>
      <c r="F2779" s="111"/>
      <c r="G2779" s="111"/>
      <c r="H2779" s="111"/>
      <c r="I2779" s="241" t="s">
        <v>1446</v>
      </c>
      <c r="J2779" s="257"/>
      <c r="U2779" s="137"/>
      <c r="V2779" s="137"/>
      <c r="W2779" s="137"/>
      <c r="X2779" s="137"/>
      <c r="Y2779" s="137"/>
      <c r="Z2779" s="137"/>
      <c r="AA2779" s="137"/>
      <c r="AB2779" s="137"/>
      <c r="AC2779" s="137"/>
      <c r="AD2779" s="137"/>
    </row>
    <row r="2780" spans="1:30">
      <c r="A2780" s="314"/>
      <c r="B2780" s="314"/>
      <c r="C2780" s="244" t="s">
        <v>2046</v>
      </c>
      <c r="D2780" s="105"/>
      <c r="E2780" s="104"/>
      <c r="F2780" s="111"/>
      <c r="G2780" s="111"/>
      <c r="H2780" s="111"/>
      <c r="I2780" s="157">
        <v>10</v>
      </c>
      <c r="J2780" s="306">
        <f>ROUND(PRODUCT(E2780:I2780),2)</f>
        <v>10</v>
      </c>
      <c r="U2780" s="137"/>
      <c r="V2780" s="137"/>
      <c r="W2780" s="137"/>
      <c r="X2780" s="137"/>
      <c r="Y2780" s="137"/>
      <c r="Z2780" s="137"/>
      <c r="AA2780" s="137"/>
      <c r="AB2780" s="137"/>
      <c r="AC2780" s="137"/>
      <c r="AD2780" s="137"/>
    </row>
    <row r="2781" spans="1:30">
      <c r="A2781" s="523"/>
      <c r="B2781" s="524"/>
      <c r="C2781" s="524"/>
      <c r="D2781" s="524"/>
      <c r="E2781" s="524"/>
      <c r="F2781" s="524"/>
      <c r="G2781" s="524"/>
      <c r="H2781" s="524"/>
      <c r="I2781" s="524"/>
      <c r="J2781" s="525"/>
      <c r="U2781" s="137"/>
      <c r="V2781" s="137"/>
      <c r="W2781" s="137"/>
      <c r="X2781" s="137"/>
      <c r="Y2781" s="137"/>
      <c r="Z2781" s="137"/>
      <c r="AA2781" s="137"/>
      <c r="AB2781" s="137"/>
      <c r="AC2781" s="137"/>
      <c r="AD2781" s="137"/>
    </row>
    <row r="2782" spans="1:30" ht="51">
      <c r="A2782" s="132" t="str">
        <f>'[3]Planilha Orçamentária'!A730</f>
        <v>1.12.7.4</v>
      </c>
      <c r="B2782" s="103">
        <f>VLOOKUP(A2782,'[3]Planilha Orçamentária'!A:K,2,0)</f>
        <v>102509</v>
      </c>
      <c r="C2782" s="276" t="str">
        <f>VLOOKUP(A2782,'[3]Planilha Orçamentária'!A:K,3,0)</f>
        <v>PINTURA DE FAIXA DE PEDESTRE OU ZEBRADA TINTA RETRORREFLETIVA A BASE DE RESINA ACRÍLICA COM MICROESFERAS DE VIDRO, E = 30 CM, APLICAÇÃO MANUAL. AF_05/2021</v>
      </c>
      <c r="D2782" s="105" t="str">
        <f>VLOOKUP(A2782,'[3]Planilha Orçamentária'!A:K,4,0)</f>
        <v>M2</v>
      </c>
      <c r="E2782" s="104"/>
      <c r="F2782" s="111"/>
      <c r="G2782" s="111"/>
      <c r="H2782" s="111"/>
      <c r="I2782" s="111"/>
      <c r="J2782" s="107">
        <f>ROUND(SUM(J2784:J2784),2)</f>
        <v>54.17</v>
      </c>
      <c r="U2782" s="137"/>
      <c r="V2782" s="137"/>
      <c r="W2782" s="137"/>
      <c r="X2782" s="137"/>
      <c r="Y2782" s="137"/>
      <c r="Z2782" s="137"/>
      <c r="AA2782" s="137"/>
      <c r="AB2782" s="137"/>
      <c r="AC2782" s="137"/>
      <c r="AD2782" s="137"/>
    </row>
    <row r="2783" spans="1:30">
      <c r="A2783" s="251"/>
      <c r="B2783" s="252"/>
      <c r="C2783" s="165" t="s">
        <v>2342</v>
      </c>
      <c r="D2783" s="148"/>
      <c r="E2783" s="357"/>
      <c r="F2783" s="160"/>
      <c r="G2783" s="160"/>
      <c r="H2783" s="160"/>
      <c r="I2783" s="357" t="s">
        <v>2003</v>
      </c>
      <c r="J2783" s="257"/>
      <c r="U2783" s="137"/>
      <c r="V2783" s="137"/>
      <c r="W2783" s="137"/>
      <c r="X2783" s="137"/>
      <c r="Y2783" s="137"/>
      <c r="Z2783" s="137"/>
      <c r="AA2783" s="137"/>
      <c r="AB2783" s="137"/>
      <c r="AC2783" s="137"/>
      <c r="AD2783" s="137"/>
    </row>
    <row r="2784" spans="1:30">
      <c r="A2784" s="314"/>
      <c r="B2784" s="314"/>
      <c r="C2784" s="244" t="s">
        <v>2046</v>
      </c>
      <c r="D2784" s="262"/>
      <c r="E2784" s="157"/>
      <c r="F2784" s="157"/>
      <c r="G2784" s="157"/>
      <c r="H2784" s="157"/>
      <c r="I2784" s="157">
        <v>54.17</v>
      </c>
      <c r="J2784" s="306">
        <f>ROUND(PRODUCT(E2784:I2784),2)</f>
        <v>54.17</v>
      </c>
      <c r="U2784" s="137"/>
      <c r="V2784" s="137"/>
      <c r="W2784" s="137"/>
      <c r="X2784" s="137"/>
      <c r="Y2784" s="137"/>
      <c r="Z2784" s="137"/>
      <c r="AA2784" s="137"/>
      <c r="AB2784" s="137"/>
      <c r="AC2784" s="137"/>
      <c r="AD2784" s="137"/>
    </row>
    <row r="2785" spans="1:30">
      <c r="A2785" s="523"/>
      <c r="B2785" s="524"/>
      <c r="C2785" s="524"/>
      <c r="D2785" s="524"/>
      <c r="E2785" s="524"/>
      <c r="F2785" s="524"/>
      <c r="G2785" s="524"/>
      <c r="H2785" s="524"/>
      <c r="I2785" s="524"/>
      <c r="J2785" s="525"/>
      <c r="U2785" s="137"/>
      <c r="V2785" s="137"/>
      <c r="W2785" s="137"/>
      <c r="X2785" s="137"/>
      <c r="Y2785" s="137"/>
      <c r="Z2785" s="137"/>
      <c r="AA2785" s="137"/>
      <c r="AB2785" s="137"/>
      <c r="AC2785" s="137"/>
      <c r="AD2785" s="137"/>
    </row>
    <row r="2786" spans="1:30" ht="51">
      <c r="A2786" s="132" t="str">
        <f>'[3]Planilha Orçamentária'!A731</f>
        <v>1.12.7.5</v>
      </c>
      <c r="B2786" s="103">
        <f>VLOOKUP(A2786,'[3]Planilha Orçamentária'!A:K,2,0)</f>
        <v>102512</v>
      </c>
      <c r="C2786" s="276" t="str">
        <f>VLOOKUP(A2786,'[3]Planilha Orçamentária'!A:K,3,0)</f>
        <v>PINTURA DE EIXO VIÁRIO SOBRE ASFALTO COM TINTA RETRORREFLETIVA A BASE DE RESINA ACRÍLICA COM MICROESFERAS DE VIDRO, APLICAÇÃO MECÂNICA COM DEMARCADORA AUTOPROPELIDA. AF_05/2021</v>
      </c>
      <c r="D2786" s="105" t="str">
        <f>VLOOKUP(A2786,'[3]Planilha Orçamentária'!A:K,4,0)</f>
        <v>M</v>
      </c>
      <c r="E2786" s="104"/>
      <c r="F2786" s="111"/>
      <c r="G2786" s="111"/>
      <c r="H2786" s="111"/>
      <c r="I2786" s="111"/>
      <c r="J2786" s="107">
        <f>ROUND(SUM(J2788:J2788),2)</f>
        <v>3505.17</v>
      </c>
      <c r="U2786" s="137"/>
      <c r="V2786" s="137"/>
      <c r="W2786" s="137"/>
      <c r="X2786" s="137"/>
      <c r="Y2786" s="137"/>
      <c r="Z2786" s="137"/>
      <c r="AA2786" s="137"/>
      <c r="AB2786" s="137"/>
      <c r="AC2786" s="137"/>
      <c r="AD2786" s="137"/>
    </row>
    <row r="2787" spans="1:30">
      <c r="A2787" s="251"/>
      <c r="B2787" s="252"/>
      <c r="C2787" s="165" t="s">
        <v>2342</v>
      </c>
      <c r="D2787" s="148"/>
      <c r="E2787" s="357"/>
      <c r="F2787" s="161" t="s">
        <v>1989</v>
      </c>
      <c r="G2787" s="160"/>
      <c r="H2787" s="160"/>
      <c r="I2787" s="357"/>
      <c r="J2787" s="257"/>
      <c r="U2787" s="137"/>
      <c r="V2787" s="137"/>
      <c r="W2787" s="137"/>
      <c r="X2787" s="137"/>
      <c r="Y2787" s="137"/>
      <c r="Z2787" s="137"/>
      <c r="AA2787" s="137"/>
      <c r="AB2787" s="137"/>
      <c r="AC2787" s="137"/>
      <c r="AD2787" s="137"/>
    </row>
    <row r="2788" spans="1:30">
      <c r="A2788" s="314"/>
      <c r="B2788" s="314"/>
      <c r="C2788" s="244" t="s">
        <v>2046</v>
      </c>
      <c r="D2788" s="262"/>
      <c r="E2788" s="157"/>
      <c r="F2788" s="157">
        <v>3505.17</v>
      </c>
      <c r="G2788" s="157"/>
      <c r="H2788" s="157"/>
      <c r="I2788" s="157"/>
      <c r="J2788" s="306">
        <f>ROUND(PRODUCT(E2788:I2788),2)</f>
        <v>3505.17</v>
      </c>
      <c r="U2788" s="137"/>
      <c r="V2788" s="137"/>
      <c r="W2788" s="137"/>
      <c r="X2788" s="137"/>
      <c r="Y2788" s="137"/>
      <c r="Z2788" s="137"/>
      <c r="AA2788" s="137"/>
      <c r="AB2788" s="137"/>
      <c r="AC2788" s="137"/>
      <c r="AD2788" s="137"/>
    </row>
    <row r="2789" spans="1:30">
      <c r="A2789" s="523"/>
      <c r="B2789" s="524"/>
      <c r="C2789" s="524"/>
      <c r="D2789" s="524"/>
      <c r="E2789" s="524"/>
      <c r="F2789" s="524"/>
      <c r="G2789" s="524"/>
      <c r="H2789" s="524"/>
      <c r="I2789" s="524"/>
      <c r="J2789" s="525"/>
      <c r="U2789" s="137"/>
      <c r="V2789" s="137"/>
      <c r="W2789" s="137"/>
      <c r="X2789" s="137"/>
      <c r="Y2789" s="137"/>
      <c r="Z2789" s="137"/>
      <c r="AA2789" s="137"/>
      <c r="AB2789" s="137"/>
      <c r="AC2789" s="137"/>
      <c r="AD2789" s="137"/>
    </row>
    <row r="2790" spans="1:30">
      <c r="A2790" s="94" t="str">
        <f>'[3]Planilha Orçamentária'!A732</f>
        <v>1.12.8</v>
      </c>
      <c r="B2790" s="95"/>
      <c r="C2790" s="96" t="str">
        <f>VLOOKUP(A2790,'[3]Planilha Orçamentária'!A:K,3,0)</f>
        <v>ACESSIBILIDADE</v>
      </c>
      <c r="D2790" s="96"/>
      <c r="E2790" s="129"/>
      <c r="F2790" s="130"/>
      <c r="G2790" s="130"/>
      <c r="H2790" s="130"/>
      <c r="I2790" s="130"/>
      <c r="J2790" s="131"/>
      <c r="U2790" s="137"/>
      <c r="V2790" s="137"/>
      <c r="W2790" s="137"/>
      <c r="X2790" s="137"/>
      <c r="Y2790" s="137"/>
      <c r="Z2790" s="137"/>
      <c r="AA2790" s="137"/>
      <c r="AB2790" s="137"/>
      <c r="AC2790" s="137"/>
      <c r="AD2790" s="137"/>
    </row>
    <row r="2791" spans="1:30" ht="51">
      <c r="A2791" s="251" t="str">
        <f>'[3]Planilha Orçamentária'!A733</f>
        <v>1.12.8.1</v>
      </c>
      <c r="B2791" s="252" t="str">
        <f>VLOOKUP(A2791,'[3]Planilha Orçamentária'!A:K,2,0)</f>
        <v>CP-S12039-81921471</v>
      </c>
      <c r="C2791" s="253" t="str">
        <f>VLOOKUP(A2791,'[3]Planilha Orçamentária'!A:K,3,0)</f>
        <v>Piso tátil direcional e/ou alerta, de concreto, na cor natural, p/deficientes visuais, dimensões 40x40cm, aplicado com argamassa industrializada ac-ii, rejuntado, exclusive regularização de base</v>
      </c>
      <c r="D2791" s="254" t="str">
        <f>VLOOKUP(A2791,'[3]Planilha Orçamentária'!A:K,4,0)</f>
        <v>M2</v>
      </c>
      <c r="E2791" s="255"/>
      <c r="F2791" s="256"/>
      <c r="G2791" s="256"/>
      <c r="H2791" s="256"/>
      <c r="I2791" s="256"/>
      <c r="J2791" s="122">
        <f>ROUND(SUM(J2792:J2793),2)</f>
        <v>19.2</v>
      </c>
      <c r="U2791" s="137"/>
      <c r="V2791" s="137"/>
      <c r="W2791" s="137"/>
      <c r="X2791" s="137"/>
      <c r="Y2791" s="137"/>
      <c r="Z2791" s="137"/>
      <c r="AA2791" s="137"/>
      <c r="AB2791" s="137"/>
      <c r="AC2791" s="137"/>
      <c r="AD2791" s="137"/>
    </row>
    <row r="2792" spans="1:30">
      <c r="A2792" s="251"/>
      <c r="B2792" s="252"/>
      <c r="C2792" s="165" t="s">
        <v>2342</v>
      </c>
      <c r="D2792" s="166"/>
      <c r="E2792" s="426"/>
      <c r="F2792" s="149"/>
      <c r="G2792" s="149"/>
      <c r="H2792" s="149"/>
      <c r="I2792" s="426" t="s">
        <v>2003</v>
      </c>
      <c r="J2792" s="257"/>
      <c r="U2792" s="137"/>
      <c r="V2792" s="137"/>
      <c r="W2792" s="137"/>
      <c r="X2792" s="137"/>
      <c r="Y2792" s="137"/>
      <c r="Z2792" s="137"/>
      <c r="AA2792" s="137"/>
      <c r="AB2792" s="137"/>
      <c r="AC2792" s="137"/>
      <c r="AD2792" s="137"/>
    </row>
    <row r="2793" spans="1:30">
      <c r="A2793" s="138"/>
      <c r="B2793" s="138"/>
      <c r="C2793" s="244" t="s">
        <v>2046</v>
      </c>
      <c r="D2793" s="262"/>
      <c r="E2793" s="157"/>
      <c r="F2793" s="157"/>
      <c r="G2793" s="157"/>
      <c r="H2793" s="157"/>
      <c r="I2793" s="157">
        <v>19.2</v>
      </c>
      <c r="J2793" s="128">
        <f>ROUND(PRODUCT(E2793:I2793),2)</f>
        <v>19.2</v>
      </c>
      <c r="U2793" s="137"/>
      <c r="V2793" s="137"/>
      <c r="W2793" s="137"/>
      <c r="X2793" s="137"/>
      <c r="Y2793" s="137"/>
      <c r="Z2793" s="137"/>
      <c r="AA2793" s="137"/>
      <c r="AB2793" s="137"/>
      <c r="AC2793" s="137"/>
      <c r="AD2793" s="137"/>
    </row>
    <row r="2794" spans="1:30">
      <c r="A2794" s="523"/>
      <c r="B2794" s="524"/>
      <c r="C2794" s="524"/>
      <c r="D2794" s="524"/>
      <c r="E2794" s="524"/>
      <c r="F2794" s="524"/>
      <c r="G2794" s="524"/>
      <c r="H2794" s="524"/>
      <c r="I2794" s="524"/>
      <c r="J2794" s="524"/>
      <c r="U2794" s="137"/>
      <c r="V2794" s="137"/>
      <c r="W2794" s="137"/>
      <c r="X2794" s="137"/>
      <c r="Y2794" s="137"/>
      <c r="Z2794" s="137"/>
      <c r="AA2794" s="137"/>
      <c r="AB2794" s="137"/>
      <c r="AC2794" s="137"/>
      <c r="AD2794" s="137"/>
    </row>
    <row r="2795" spans="1:30">
      <c r="A2795" s="94" t="str">
        <f>'[3]Planilha Orçamentária'!A734</f>
        <v>1.12.9</v>
      </c>
      <c r="B2795" s="95"/>
      <c r="C2795" s="96" t="str">
        <f>VLOOKUP(A2795,'[3]Planilha Orçamentária'!A:K,3,0)</f>
        <v>MATERIAIS</v>
      </c>
      <c r="D2795" s="96"/>
      <c r="E2795" s="129"/>
      <c r="F2795" s="130"/>
      <c r="G2795" s="130"/>
      <c r="H2795" s="130"/>
      <c r="I2795" s="130"/>
      <c r="J2795" s="131"/>
      <c r="U2795" s="137"/>
      <c r="V2795" s="137"/>
      <c r="W2795" s="137"/>
      <c r="X2795" s="137"/>
      <c r="Y2795" s="137"/>
      <c r="Z2795" s="137"/>
      <c r="AA2795" s="137"/>
      <c r="AB2795" s="137"/>
      <c r="AC2795" s="137"/>
      <c r="AD2795" s="137"/>
    </row>
    <row r="2796" spans="1:30" ht="51">
      <c r="A2796" s="145" t="str">
        <f>'[3]Planilha Orçamentária'!A735</f>
        <v>1.12.9.1</v>
      </c>
      <c r="B2796" s="146">
        <f>VLOOKUP(A2796,'[3]Planilha Orçamentária'!A:K,2,0)</f>
        <v>10775</v>
      </c>
      <c r="C2796" s="147" t="str">
        <f>VLOOKUP(A2796,'[3]Planilha Orçamentária'!A:K,3,0)</f>
        <v xml:space="preserve">LOCACAO DE CONTAINER 2,30 X 6,00 M, ALT. 2,50 M, COM 1 SANITARIO, PARA ESCRITORIO, COMPLETO, SEM DIVISORIAS INTERNAS (NAO INCLUI MOBILIZACAO/DESMOBILIZACAO)                                                                                                                                                                                                                                                                                                                                              </v>
      </c>
      <c r="D2796" s="148" t="str">
        <f>VLOOKUP(A2796,'[3]Planilha Orçamentária'!A:K,4,0)</f>
        <v xml:space="preserve">MES   </v>
      </c>
      <c r="E2796" s="147"/>
      <c r="F2796" s="160"/>
      <c r="G2796" s="160"/>
      <c r="H2796" s="160"/>
      <c r="I2796" s="160"/>
      <c r="J2796" s="218">
        <f>ROUND(SUM(J2798:J2798),2)</f>
        <v>12</v>
      </c>
      <c r="U2796" s="137"/>
      <c r="V2796" s="137"/>
      <c r="W2796" s="137"/>
      <c r="X2796" s="137"/>
      <c r="Y2796" s="137"/>
      <c r="Z2796" s="137"/>
      <c r="AA2796" s="137"/>
      <c r="AB2796" s="137"/>
      <c r="AC2796" s="137"/>
      <c r="AD2796" s="137"/>
    </row>
    <row r="2797" spans="1:30" ht="25.5">
      <c r="A2797" s="151"/>
      <c r="B2797" s="152"/>
      <c r="C2797" s="168"/>
      <c r="D2797" s="166"/>
      <c r="E2797" s="168"/>
      <c r="F2797" s="320"/>
      <c r="G2797" s="149"/>
      <c r="H2797" s="149"/>
      <c r="I2797" s="106" t="s">
        <v>1992</v>
      </c>
      <c r="J2797" s="321"/>
      <c r="U2797" s="137"/>
      <c r="V2797" s="137"/>
      <c r="W2797" s="137"/>
      <c r="X2797" s="137"/>
      <c r="Y2797" s="137"/>
      <c r="Z2797" s="137"/>
      <c r="AA2797" s="137"/>
      <c r="AB2797" s="137"/>
      <c r="AC2797" s="137"/>
      <c r="AD2797" s="137"/>
    </row>
    <row r="2798" spans="1:30">
      <c r="A2798" s="123"/>
      <c r="B2798" s="123"/>
      <c r="C2798" s="155"/>
      <c r="D2798" s="185"/>
      <c r="E2798" s="116"/>
      <c r="F2798" s="126"/>
      <c r="G2798" s="116"/>
      <c r="H2798" s="116"/>
      <c r="I2798" s="116">
        <f>I2586</f>
        <v>12</v>
      </c>
      <c r="J2798" s="128">
        <f>ROUND(PRODUCT(E2798:I2798),2)</f>
        <v>12</v>
      </c>
      <c r="U2798" s="137"/>
      <c r="V2798" s="137"/>
      <c r="W2798" s="137"/>
      <c r="X2798" s="137"/>
      <c r="Y2798" s="137"/>
      <c r="Z2798" s="137"/>
      <c r="AA2798" s="137"/>
      <c r="AB2798" s="137"/>
      <c r="AC2798" s="137"/>
      <c r="AD2798" s="137"/>
    </row>
    <row r="2799" spans="1:30">
      <c r="A2799" s="531"/>
      <c r="B2799" s="531"/>
      <c r="C2799" s="531"/>
      <c r="D2799" s="531"/>
      <c r="E2799" s="531"/>
      <c r="F2799" s="531"/>
      <c r="G2799" s="531"/>
      <c r="H2799" s="531"/>
      <c r="I2799" s="531"/>
      <c r="J2799" s="531"/>
      <c r="U2799" s="137"/>
      <c r="V2799" s="137"/>
      <c r="W2799" s="137"/>
      <c r="X2799" s="137"/>
      <c r="Y2799" s="137"/>
      <c r="Z2799" s="137"/>
      <c r="AA2799" s="137"/>
      <c r="AB2799" s="137"/>
      <c r="AC2799" s="137"/>
      <c r="AD2799" s="137"/>
    </row>
    <row r="2800" spans="1:30" ht="38.25">
      <c r="A2800" s="145" t="str">
        <f>'[3]Planilha Orçamentária'!A736</f>
        <v>1.12.9.2</v>
      </c>
      <c r="B2800" s="146">
        <f>VLOOKUP(A2800,'[3]Planilha Orçamentária'!A:K,2,0)</f>
        <v>10776</v>
      </c>
      <c r="C2800" s="147" t="str">
        <f>VLOOKUP(A2800,'[3]Planilha Orçamentária'!A:K,3,0)</f>
        <v xml:space="preserve">LOCACAO DE CONTAINER 2,30 X 6,00 M, ALT. 2,50 M, PARA ESCRITORIO, SEM DIVISORIAS INTERNAS E SEM SANITARIO (NAO INCLUI MOBILIZACAO/DESMOBILIZACAO)                                                                                                                                                                                                                                                                                                                                                         </v>
      </c>
      <c r="D2800" s="148" t="str">
        <f>VLOOKUP(A2800,'[3]Planilha Orçamentária'!A:K,4,0)</f>
        <v xml:space="preserve">MES   </v>
      </c>
      <c r="E2800" s="147"/>
      <c r="F2800" s="160"/>
      <c r="G2800" s="160"/>
      <c r="H2800" s="160"/>
      <c r="I2800" s="160"/>
      <c r="J2800" s="218">
        <f>ROUND(SUM(J2802:J2802),2)</f>
        <v>12</v>
      </c>
      <c r="U2800" s="137"/>
      <c r="V2800" s="137"/>
      <c r="W2800" s="137"/>
      <c r="X2800" s="137"/>
      <c r="Y2800" s="137"/>
      <c r="Z2800" s="137"/>
      <c r="AA2800" s="137"/>
      <c r="AB2800" s="137"/>
      <c r="AC2800" s="137"/>
      <c r="AD2800" s="137"/>
    </row>
    <row r="2801" spans="1:30" ht="25.5">
      <c r="A2801" s="151"/>
      <c r="B2801" s="152"/>
      <c r="C2801" s="168"/>
      <c r="D2801" s="166"/>
      <c r="E2801" s="168"/>
      <c r="F2801" s="320"/>
      <c r="G2801" s="149"/>
      <c r="H2801" s="149"/>
      <c r="I2801" s="106" t="s">
        <v>1992</v>
      </c>
      <c r="J2801" s="321"/>
      <c r="U2801" s="137"/>
      <c r="V2801" s="137"/>
      <c r="W2801" s="137"/>
      <c r="X2801" s="137"/>
      <c r="Y2801" s="137"/>
      <c r="Z2801" s="137"/>
      <c r="AA2801" s="137"/>
      <c r="AB2801" s="137"/>
      <c r="AC2801" s="137"/>
      <c r="AD2801" s="137"/>
    </row>
    <row r="2802" spans="1:30">
      <c r="A2802" s="123"/>
      <c r="B2802" s="123"/>
      <c r="C2802" s="155"/>
      <c r="D2802" s="185"/>
      <c r="E2802" s="116"/>
      <c r="F2802" s="126"/>
      <c r="G2802" s="116"/>
      <c r="H2802" s="116"/>
      <c r="I2802" s="116">
        <f>I2798</f>
        <v>12</v>
      </c>
      <c r="J2802" s="128">
        <f>ROUND(PRODUCT(E2802:I2802),2)</f>
        <v>12</v>
      </c>
      <c r="U2802" s="137"/>
      <c r="V2802" s="137"/>
      <c r="W2802" s="137"/>
      <c r="X2802" s="137"/>
      <c r="Y2802" s="137"/>
      <c r="Z2802" s="137"/>
      <c r="AA2802" s="137"/>
      <c r="AB2802" s="137"/>
      <c r="AC2802" s="137"/>
      <c r="AD2802" s="137"/>
    </row>
    <row r="2803" spans="1:30">
      <c r="A2803" s="531"/>
      <c r="B2803" s="531"/>
      <c r="C2803" s="531"/>
      <c r="D2803" s="531"/>
      <c r="E2803" s="531"/>
      <c r="F2803" s="531"/>
      <c r="G2803" s="531"/>
      <c r="H2803" s="531"/>
      <c r="I2803" s="531"/>
      <c r="J2803" s="531"/>
      <c r="U2803" s="137"/>
      <c r="V2803" s="137"/>
      <c r="W2803" s="137"/>
      <c r="X2803" s="137"/>
      <c r="Y2803" s="137"/>
      <c r="Z2803" s="137"/>
      <c r="AA2803" s="137"/>
      <c r="AB2803" s="137"/>
      <c r="AC2803" s="137"/>
      <c r="AD2803" s="137"/>
    </row>
    <row r="2804" spans="1:30" ht="38.25">
      <c r="A2804" s="132" t="str">
        <f>'[3]Planilha Orçamentária'!A737</f>
        <v>1.12.9.3</v>
      </c>
      <c r="B2804" s="108">
        <f>VLOOKUP(A2804,'[3]Planilha Orçamentária'!A:K,2,0)</f>
        <v>1518</v>
      </c>
      <c r="C2804" s="104" t="str">
        <f>VLOOKUP(A2804,'[3]Planilha Orçamentária'!A:K,3,0)</f>
        <v xml:space="preserve">CONCRETO BETUMINOSO USINADO A QUENTE (CBUQ) PARA PAVIMENTACAO ASFALTICA, PADRAO DNIT, FAIXA C, COM CAP 50/70 - AQUISICAO POSTO USINA                                                                                                                                                                                                                                                                                                                                                                      </v>
      </c>
      <c r="D2804" s="105" t="str">
        <f>VLOOKUP(A2804,'[3]Planilha Orçamentária'!A:K,4,0)</f>
        <v xml:space="preserve">T     </v>
      </c>
      <c r="E2804" s="104"/>
      <c r="F2804" s="111"/>
      <c r="G2804" s="111"/>
      <c r="H2804" s="111"/>
      <c r="I2804" s="111"/>
      <c r="J2804" s="122">
        <f>ROUND(SUM(J2805:J2806),2)</f>
        <v>778.98</v>
      </c>
      <c r="U2804" s="137"/>
      <c r="V2804" s="137"/>
      <c r="W2804" s="137"/>
      <c r="X2804" s="137"/>
      <c r="Y2804" s="137"/>
      <c r="Z2804" s="137"/>
      <c r="AA2804" s="137"/>
      <c r="AB2804" s="137"/>
      <c r="AC2804" s="137"/>
      <c r="AD2804" s="137"/>
    </row>
    <row r="2805" spans="1:30">
      <c r="A2805" s="174"/>
      <c r="B2805" s="174"/>
      <c r="C2805" s="159" t="s">
        <v>2325</v>
      </c>
      <c r="D2805" s="174"/>
      <c r="E2805" s="174" t="s">
        <v>1193</v>
      </c>
      <c r="F2805" s="174"/>
      <c r="G2805" s="174"/>
      <c r="H2805" s="174"/>
      <c r="I2805" s="174" t="s">
        <v>2007</v>
      </c>
      <c r="J2805" s="174"/>
      <c r="U2805" s="137"/>
      <c r="V2805" s="137"/>
      <c r="W2805" s="137"/>
      <c r="X2805" s="137"/>
      <c r="Y2805" s="137"/>
      <c r="Z2805" s="137"/>
      <c r="AA2805" s="137"/>
      <c r="AB2805" s="137"/>
      <c r="AC2805" s="137"/>
      <c r="AD2805" s="137"/>
    </row>
    <row r="2806" spans="1:30">
      <c r="A2806" s="174"/>
      <c r="B2806" s="174"/>
      <c r="C2806" s="322" t="s">
        <v>2083</v>
      </c>
      <c r="D2806" s="174"/>
      <c r="E2806" s="174">
        <v>2.5548000000000002</v>
      </c>
      <c r="F2806" s="174"/>
      <c r="G2806" s="174"/>
      <c r="H2806" s="174"/>
      <c r="I2806" s="286">
        <f>J2666</f>
        <v>304.91000000000003</v>
      </c>
      <c r="J2806" s="158">
        <f t="shared" ref="J2806" si="191">ROUND(PRODUCT(E2806:I2806),2)</f>
        <v>778.98</v>
      </c>
      <c r="U2806" s="137"/>
      <c r="V2806" s="137"/>
      <c r="W2806" s="137"/>
      <c r="X2806" s="137"/>
      <c r="Y2806" s="137"/>
      <c r="Z2806" s="137"/>
      <c r="AA2806" s="137"/>
      <c r="AB2806" s="137"/>
      <c r="AC2806" s="137"/>
      <c r="AD2806" s="137"/>
    </row>
    <row r="2807" spans="1:30">
      <c r="A2807" s="219"/>
      <c r="B2807" s="323"/>
      <c r="C2807" s="323"/>
      <c r="D2807" s="323"/>
      <c r="E2807" s="323"/>
      <c r="F2807" s="323"/>
      <c r="G2807" s="323"/>
      <c r="H2807" s="323"/>
      <c r="I2807" s="323"/>
      <c r="J2807" s="198"/>
      <c r="U2807" s="137"/>
      <c r="V2807" s="137"/>
      <c r="W2807" s="137"/>
      <c r="X2807" s="137"/>
      <c r="Y2807" s="137"/>
      <c r="Z2807" s="137"/>
      <c r="AA2807" s="137"/>
      <c r="AB2807" s="137"/>
      <c r="AC2807" s="137"/>
      <c r="AD2807" s="137"/>
    </row>
    <row r="2808" spans="1:30">
      <c r="A2808" s="132" t="str">
        <f>'[3]Planilha Orçamentária'!A738</f>
        <v>1.12.9.4</v>
      </c>
      <c r="B2808" s="108" t="str">
        <f>VLOOKUP(A2808,'[3]Planilha Orçamentária'!A:K,2,0)</f>
        <v>INS-185032</v>
      </c>
      <c r="C2808" s="104" t="str">
        <f>VLOOKUP(A2808,'[3]Planilha Orçamentária'!A:K,3,0)</f>
        <v>BRITA GRADUADA SIMPLES (BGS)</v>
      </c>
      <c r="D2808" s="105" t="str">
        <f>VLOOKUP(A2808,'[3]Planilha Orçamentária'!A:K,4,0)</f>
        <v>M3</v>
      </c>
      <c r="E2808" s="104"/>
      <c r="F2808" s="111"/>
      <c r="G2808" s="111"/>
      <c r="H2808" s="111"/>
      <c r="I2808" s="111"/>
      <c r="J2808" s="122">
        <f>ROUND(SUM(J2809:J2810),2)</f>
        <v>1156.5899999999999</v>
      </c>
      <c r="U2808" s="137"/>
      <c r="V2808" s="137"/>
      <c r="W2808" s="137"/>
      <c r="X2808" s="137"/>
      <c r="Y2808" s="137"/>
      <c r="Z2808" s="137"/>
      <c r="AA2808" s="137"/>
      <c r="AB2808" s="137"/>
      <c r="AC2808" s="137"/>
      <c r="AD2808" s="137"/>
    </row>
    <row r="2809" spans="1:30">
      <c r="A2809" s="174"/>
      <c r="B2809" s="174"/>
      <c r="C2809" s="159" t="s">
        <v>2325</v>
      </c>
      <c r="D2809" s="174"/>
      <c r="E2809" s="174" t="s">
        <v>1193</v>
      </c>
      <c r="F2809" s="174"/>
      <c r="G2809" s="174"/>
      <c r="H2809" s="174"/>
      <c r="I2809" s="174" t="s">
        <v>2007</v>
      </c>
      <c r="J2809" s="174"/>
      <c r="U2809" s="137"/>
      <c r="V2809" s="137"/>
      <c r="W2809" s="137"/>
      <c r="X2809" s="137"/>
      <c r="Y2809" s="137"/>
      <c r="Z2809" s="137"/>
      <c r="AA2809" s="137"/>
      <c r="AB2809" s="137"/>
      <c r="AC2809" s="137"/>
      <c r="AD2809" s="137"/>
    </row>
    <row r="2810" spans="1:30">
      <c r="A2810" s="174"/>
      <c r="B2810" s="174"/>
      <c r="C2810" s="324" t="s">
        <v>2084</v>
      </c>
      <c r="D2810" s="137"/>
      <c r="E2810" s="325">
        <v>1</v>
      </c>
      <c r="F2810" s="174"/>
      <c r="G2810" s="174"/>
      <c r="H2810" s="174"/>
      <c r="I2810" s="286">
        <f>J2648</f>
        <v>1156.5899999999999</v>
      </c>
      <c r="J2810" s="158">
        <f t="shared" ref="J2810" si="192">ROUND(PRODUCT(E2810:I2810),2)</f>
        <v>1156.5899999999999</v>
      </c>
      <c r="U2810" s="137"/>
      <c r="V2810" s="137"/>
      <c r="W2810" s="137"/>
      <c r="X2810" s="137"/>
      <c r="Y2810" s="137"/>
      <c r="Z2810" s="137"/>
      <c r="AA2810" s="137"/>
      <c r="AB2810" s="137"/>
      <c r="AC2810" s="137"/>
      <c r="AD2810" s="137"/>
    </row>
    <row r="2811" spans="1:30">
      <c r="A2811" s="219"/>
      <c r="B2811" s="323"/>
      <c r="C2811" s="323"/>
      <c r="D2811" s="323"/>
      <c r="E2811" s="323"/>
      <c r="F2811" s="323"/>
      <c r="G2811" s="323"/>
      <c r="H2811" s="323"/>
      <c r="I2811" s="323"/>
      <c r="J2811" s="197"/>
      <c r="U2811" s="137"/>
      <c r="V2811" s="137"/>
      <c r="W2811" s="137"/>
      <c r="X2811" s="137"/>
      <c r="Y2811" s="137"/>
      <c r="Z2811" s="137"/>
      <c r="AA2811" s="137"/>
      <c r="AB2811" s="137"/>
      <c r="AC2811" s="137"/>
      <c r="AD2811" s="137"/>
    </row>
    <row r="2812" spans="1:30">
      <c r="A2812" s="132" t="str">
        <f>'[3]Planilha Orçamentária'!A739</f>
        <v>1.12.9.5</v>
      </c>
      <c r="B2812" s="108" t="str">
        <f>VLOOKUP(A2812,'[3]Planilha Orçamentária'!A:K,2,0)</f>
        <v>M0808</v>
      </c>
      <c r="C2812" s="104" t="str">
        <f>VLOOKUP(A2812,'[3]Planilha Orçamentária'!A:K,3,0)</f>
        <v>Brita 4</v>
      </c>
      <c r="D2812" s="105" t="str">
        <f>VLOOKUP(A2812,'[3]Planilha Orçamentária'!A:K,4,0)</f>
        <v>M3</v>
      </c>
      <c r="E2812" s="104"/>
      <c r="F2812" s="111"/>
      <c r="G2812" s="111"/>
      <c r="H2812" s="111"/>
      <c r="I2812" s="111"/>
      <c r="J2812" s="122">
        <f>ROUND(SUM(J2814:J2814),2)</f>
        <v>1320.68</v>
      </c>
      <c r="U2812" s="137"/>
      <c r="V2812" s="137"/>
      <c r="W2812" s="137"/>
      <c r="X2812" s="137"/>
      <c r="Y2812" s="137"/>
      <c r="Z2812" s="137"/>
      <c r="AA2812" s="137"/>
      <c r="AB2812" s="137"/>
      <c r="AC2812" s="137"/>
      <c r="AD2812" s="137"/>
    </row>
    <row r="2813" spans="1:30">
      <c r="A2813" s="132"/>
      <c r="B2813" s="108"/>
      <c r="C2813" s="326"/>
      <c r="D2813" s="137"/>
      <c r="E2813" s="137" t="s">
        <v>2085</v>
      </c>
      <c r="F2813" s="174"/>
      <c r="G2813" s="174"/>
      <c r="H2813" s="174"/>
      <c r="I2813" s="174" t="s">
        <v>2007</v>
      </c>
      <c r="J2813" s="122"/>
      <c r="U2813" s="137"/>
      <c r="V2813" s="137"/>
      <c r="W2813" s="137"/>
      <c r="X2813" s="137"/>
      <c r="Y2813" s="137"/>
      <c r="Z2813" s="137"/>
      <c r="AA2813" s="137"/>
      <c r="AB2813" s="137"/>
      <c r="AC2813" s="137"/>
      <c r="AD2813" s="137"/>
    </row>
    <row r="2814" spans="1:30" ht="15">
      <c r="A2814" s="132"/>
      <c r="B2814" s="108"/>
      <c r="C2814" s="200" t="s">
        <v>2086</v>
      </c>
      <c r="D2814" s="137"/>
      <c r="E2814" s="327">
        <v>1.26</v>
      </c>
      <c r="F2814" s="174"/>
      <c r="G2814" s="174"/>
      <c r="H2814" s="174"/>
      <c r="I2814" s="286">
        <f>J2644</f>
        <v>1048.1600000000001</v>
      </c>
      <c r="J2814" s="158">
        <f t="shared" ref="J2814" si="193">ROUND(PRODUCT(E2814:I2814),2)</f>
        <v>1320.68</v>
      </c>
      <c r="U2814" s="137"/>
      <c r="V2814" s="137"/>
      <c r="W2814" s="137"/>
      <c r="X2814" s="137"/>
      <c r="Y2814" s="137"/>
      <c r="Z2814" s="137"/>
      <c r="AA2814" s="137"/>
      <c r="AB2814" s="137"/>
      <c r="AC2814" s="137"/>
      <c r="AD2814" s="137"/>
    </row>
    <row r="2815" spans="1:30">
      <c r="A2815" s="219"/>
      <c r="B2815" s="323"/>
      <c r="C2815" s="323"/>
      <c r="D2815" s="323"/>
      <c r="E2815" s="323"/>
      <c r="F2815" s="323"/>
      <c r="G2815" s="323"/>
      <c r="H2815" s="323"/>
      <c r="I2815" s="323"/>
      <c r="J2815" s="197"/>
      <c r="U2815" s="137"/>
      <c r="V2815" s="137"/>
      <c r="W2815" s="137"/>
      <c r="X2815" s="137"/>
      <c r="Y2815" s="137"/>
      <c r="Z2815" s="137"/>
      <c r="AA2815" s="137"/>
      <c r="AB2815" s="137"/>
      <c r="AC2815" s="137"/>
      <c r="AD2815" s="137"/>
    </row>
    <row r="2816" spans="1:30">
      <c r="A2816" s="132" t="str">
        <f>'[3]Planilha Orçamentária'!A740</f>
        <v>1.12.9.6</v>
      </c>
      <c r="B2816" s="108" t="str">
        <f>VLOOKUP(A2816,'[3]Planilha Orçamentária'!A:K,2,0)</f>
        <v>M1135</v>
      </c>
      <c r="C2816" s="104" t="str">
        <f>VLOOKUP(A2816,'[3]Planilha Orçamentária'!A:K,3,0)</f>
        <v>Pó de pedra</v>
      </c>
      <c r="D2816" s="105" t="str">
        <f>VLOOKUP(A2816,'[3]Planilha Orçamentária'!A:K,4,0)</f>
        <v>M3</v>
      </c>
      <c r="E2816" s="104"/>
      <c r="F2816" s="111"/>
      <c r="G2816" s="111"/>
      <c r="H2816" s="111"/>
      <c r="I2816" s="111"/>
      <c r="J2816" s="122">
        <f>ROUND(SUM(J2818:J2818),2)</f>
        <v>146.74</v>
      </c>
      <c r="U2816" s="137"/>
      <c r="V2816" s="137"/>
      <c r="W2816" s="137"/>
      <c r="X2816" s="137"/>
      <c r="Y2816" s="137"/>
      <c r="Z2816" s="137"/>
      <c r="AA2816" s="137"/>
      <c r="AB2816" s="137"/>
      <c r="AC2816" s="137"/>
      <c r="AD2816" s="137"/>
    </row>
    <row r="2817" spans="1:30">
      <c r="A2817" s="132"/>
      <c r="B2817" s="108"/>
      <c r="C2817" s="326"/>
      <c r="D2817" s="137"/>
      <c r="E2817" s="137" t="s">
        <v>2085</v>
      </c>
      <c r="F2817" s="174"/>
      <c r="G2817" s="174"/>
      <c r="H2817" s="174"/>
      <c r="I2817" s="174" t="s">
        <v>2007</v>
      </c>
      <c r="J2817" s="122"/>
      <c r="U2817" s="137"/>
      <c r="V2817" s="137"/>
      <c r="W2817" s="137"/>
      <c r="X2817" s="137"/>
      <c r="Y2817" s="137"/>
      <c r="Z2817" s="137"/>
      <c r="AA2817" s="137"/>
      <c r="AB2817" s="137"/>
      <c r="AC2817" s="137"/>
      <c r="AD2817" s="137"/>
    </row>
    <row r="2818" spans="1:30">
      <c r="A2818" s="132"/>
      <c r="B2818" s="108"/>
      <c r="C2818" s="200" t="s">
        <v>2086</v>
      </c>
      <c r="D2818" s="137"/>
      <c r="E2818" s="137">
        <v>0.14000000000000001</v>
      </c>
      <c r="F2818" s="174"/>
      <c r="G2818" s="174"/>
      <c r="H2818" s="174"/>
      <c r="I2818" s="286">
        <f>I2814</f>
        <v>1048.1600000000001</v>
      </c>
      <c r="J2818" s="158">
        <f t="shared" ref="J2818" si="194">ROUND(PRODUCT(E2818:I2818),2)</f>
        <v>146.74</v>
      </c>
      <c r="U2818" s="137"/>
      <c r="V2818" s="137"/>
      <c r="W2818" s="137"/>
      <c r="X2818" s="137"/>
      <c r="Y2818" s="137"/>
      <c r="Z2818" s="137"/>
      <c r="AA2818" s="137"/>
      <c r="AB2818" s="137"/>
      <c r="AC2818" s="137"/>
      <c r="AD2818" s="137"/>
    </row>
    <row r="2819" spans="1:30">
      <c r="A2819" s="219"/>
      <c r="B2819" s="323"/>
      <c r="C2819" s="323"/>
      <c r="D2819" s="323"/>
      <c r="E2819" s="323"/>
      <c r="F2819" s="323"/>
      <c r="G2819" s="323"/>
      <c r="H2819" s="323"/>
      <c r="I2819" s="323"/>
      <c r="J2819" s="197"/>
      <c r="U2819" s="137"/>
      <c r="V2819" s="137"/>
      <c r="W2819" s="137"/>
      <c r="X2819" s="137"/>
      <c r="Y2819" s="137"/>
      <c r="Z2819" s="137"/>
      <c r="AA2819" s="137"/>
      <c r="AB2819" s="137"/>
      <c r="AC2819" s="137"/>
      <c r="AD2819" s="137"/>
    </row>
    <row r="2820" spans="1:30">
      <c r="A2820" s="132" t="str">
        <f>'[3]Planilha Orçamentária'!A741</f>
        <v>1.12.9.7</v>
      </c>
      <c r="B2820" s="108" t="str">
        <f>VLOOKUP(A2820,'[3]Planilha Orçamentária'!A:K,2,0)</f>
        <v>INS-711371</v>
      </c>
      <c r="C2820" s="104" t="str">
        <f>VLOOKUP(A2820,'[3]Planilha Orçamentária'!A:K,3,0)</f>
        <v>ASFALTO DILUÍDO CM - 30</v>
      </c>
      <c r="D2820" s="105" t="str">
        <f>VLOOKUP(A2820,'[3]Planilha Orçamentária'!A:K,4,0)</f>
        <v>KG</v>
      </c>
      <c r="E2820" s="104"/>
      <c r="F2820" s="111"/>
      <c r="G2820" s="111"/>
      <c r="H2820" s="111"/>
      <c r="I2820" s="111"/>
      <c r="J2820" s="122">
        <f>ROUND(SUM(J2822:J2822),2)</f>
        <v>7317.66</v>
      </c>
      <c r="U2820" s="137"/>
      <c r="V2820" s="137"/>
      <c r="W2820" s="137"/>
      <c r="X2820" s="137"/>
      <c r="Y2820" s="137"/>
      <c r="Z2820" s="137"/>
      <c r="AA2820" s="137"/>
      <c r="AB2820" s="137"/>
      <c r="AC2820" s="137"/>
      <c r="AD2820" s="137"/>
    </row>
    <row r="2821" spans="1:30">
      <c r="A2821" s="132"/>
      <c r="B2821" s="108"/>
      <c r="C2821" s="361"/>
      <c r="D2821" s="180"/>
      <c r="E2821" s="174" t="s">
        <v>2085</v>
      </c>
      <c r="F2821" s="161"/>
      <c r="G2821" s="161"/>
      <c r="H2821" s="161"/>
      <c r="I2821" s="210" t="s">
        <v>2003</v>
      </c>
      <c r="J2821" s="122"/>
      <c r="U2821" s="137"/>
      <c r="V2821" s="137"/>
      <c r="W2821" s="137"/>
      <c r="X2821" s="137"/>
      <c r="Y2821" s="137"/>
      <c r="Z2821" s="137"/>
      <c r="AA2821" s="137"/>
      <c r="AB2821" s="137"/>
      <c r="AC2821" s="137"/>
      <c r="AD2821" s="137"/>
    </row>
    <row r="2822" spans="1:30">
      <c r="A2822" s="132"/>
      <c r="B2822" s="108"/>
      <c r="C2822" s="324" t="s">
        <v>2087</v>
      </c>
      <c r="D2822" s="137"/>
      <c r="E2822" s="325">
        <v>1.2</v>
      </c>
      <c r="F2822" s="127"/>
      <c r="G2822" s="161"/>
      <c r="H2822" s="161"/>
      <c r="I2822" s="212">
        <f>J2660</f>
        <v>6098.05</v>
      </c>
      <c r="J2822" s="158">
        <f t="shared" ref="J2822" si="195">ROUND(PRODUCT(E2822:I2822),2)</f>
        <v>7317.66</v>
      </c>
      <c r="U2822" s="137"/>
      <c r="V2822" s="137"/>
      <c r="W2822" s="137"/>
      <c r="X2822" s="137"/>
      <c r="Y2822" s="137"/>
      <c r="Z2822" s="137"/>
      <c r="AA2822" s="137"/>
      <c r="AB2822" s="137"/>
      <c r="AC2822" s="137"/>
      <c r="AD2822" s="137"/>
    </row>
    <row r="2823" spans="1:30">
      <c r="A2823" s="219"/>
      <c r="B2823" s="323"/>
      <c r="C2823" s="323"/>
      <c r="D2823" s="323"/>
      <c r="E2823" s="323"/>
      <c r="F2823" s="323"/>
      <c r="G2823" s="323"/>
      <c r="H2823" s="323"/>
      <c r="I2823" s="323"/>
      <c r="J2823" s="197"/>
      <c r="U2823" s="137"/>
      <c r="V2823" s="137"/>
      <c r="W2823" s="137"/>
      <c r="X2823" s="137"/>
      <c r="Y2823" s="137"/>
      <c r="Z2823" s="137"/>
      <c r="AA2823" s="137"/>
      <c r="AB2823" s="137"/>
      <c r="AC2823" s="137"/>
      <c r="AD2823" s="137"/>
    </row>
    <row r="2824" spans="1:30" ht="38.25">
      <c r="A2824" s="132" t="str">
        <f>'[3]Planilha Orçamentária'!A742</f>
        <v>1.12.9.8</v>
      </c>
      <c r="B2824" s="108">
        <f>VLOOKUP(A2824,'[3]Planilha Orçamentária'!A:K,2,0)</f>
        <v>34492</v>
      </c>
      <c r="C2824" s="104" t="str">
        <f>VLOOKUP(A2824,'[3]Planilha Orçamentária'!A:K,3,0)</f>
        <v xml:space="preserve">CONCRETO USINADO BOMBEAVEL, CLASSE DE RESISTENCIA C20, COM BRITA 0 E 1, SLUMP = 100 +/- 20 MM, EXCLUI SERVICO DE BOMBEAMENTO (NBR 8953)                                                                                                                                                                                                                                                                                                                                                                   </v>
      </c>
      <c r="D2824" s="105" t="str">
        <f>VLOOKUP(A2824,'[3]Planilha Orçamentária'!A:K,4,0)</f>
        <v xml:space="preserve">M3    </v>
      </c>
      <c r="E2824" s="104"/>
      <c r="F2824" s="111"/>
      <c r="G2824" s="111"/>
      <c r="H2824" s="111"/>
      <c r="I2824" s="111"/>
      <c r="J2824" s="122">
        <f>ROUND(SUM(J2826:J2826),2)</f>
        <v>325.33</v>
      </c>
      <c r="U2824" s="137"/>
      <c r="V2824" s="137"/>
      <c r="W2824" s="137"/>
      <c r="X2824" s="137"/>
      <c r="Y2824" s="137"/>
      <c r="Z2824" s="137"/>
      <c r="AA2824" s="137"/>
      <c r="AB2824" s="137"/>
      <c r="AC2824" s="137"/>
      <c r="AD2824" s="137"/>
    </row>
    <row r="2825" spans="1:30">
      <c r="A2825" s="132"/>
      <c r="B2825" s="108"/>
      <c r="C2825" s="159"/>
      <c r="D2825" s="174"/>
      <c r="E2825" s="137" t="s">
        <v>2085</v>
      </c>
      <c r="F2825" s="174"/>
      <c r="G2825" s="174"/>
      <c r="H2825" s="174"/>
      <c r="I2825" s="174" t="s">
        <v>2007</v>
      </c>
      <c r="J2825" s="122"/>
      <c r="U2825" s="137"/>
      <c r="V2825" s="137"/>
      <c r="W2825" s="137"/>
      <c r="X2825" s="137"/>
      <c r="Y2825" s="137"/>
      <c r="Z2825" s="137"/>
      <c r="AA2825" s="137"/>
      <c r="AB2825" s="137"/>
      <c r="AC2825" s="137"/>
      <c r="AD2825" s="137"/>
    </row>
    <row r="2826" spans="1:30">
      <c r="A2826" s="132"/>
      <c r="B2826" s="108"/>
      <c r="C2826" s="324" t="s">
        <v>2088</v>
      </c>
      <c r="D2826" s="137"/>
      <c r="E2826" s="325">
        <v>1.2130000000000001</v>
      </c>
      <c r="F2826" s="174"/>
      <c r="G2826" s="174"/>
      <c r="H2826" s="174"/>
      <c r="I2826" s="286">
        <f>J2684</f>
        <v>268.2</v>
      </c>
      <c r="J2826" s="158">
        <f t="shared" ref="J2826" si="196">ROUND(PRODUCT(E2826:I2826),2)</f>
        <v>325.33</v>
      </c>
      <c r="U2826" s="137"/>
      <c r="V2826" s="137"/>
      <c r="W2826" s="137"/>
      <c r="X2826" s="137"/>
      <c r="Y2826" s="137"/>
      <c r="Z2826" s="137"/>
      <c r="AA2826" s="137"/>
      <c r="AB2826" s="137"/>
      <c r="AC2826" s="137"/>
      <c r="AD2826" s="137"/>
    </row>
    <row r="2827" spans="1:30">
      <c r="A2827" s="219"/>
      <c r="B2827" s="323"/>
      <c r="C2827" s="323"/>
      <c r="D2827" s="323"/>
      <c r="E2827" s="323"/>
      <c r="F2827" s="323"/>
      <c r="G2827" s="323"/>
      <c r="H2827" s="323"/>
      <c r="I2827" s="323"/>
      <c r="J2827" s="197"/>
      <c r="U2827" s="137"/>
      <c r="V2827" s="137"/>
      <c r="W2827" s="137"/>
      <c r="X2827" s="137"/>
      <c r="Y2827" s="137"/>
      <c r="Z2827" s="137"/>
      <c r="AA2827" s="137"/>
      <c r="AB2827" s="137"/>
      <c r="AC2827" s="137"/>
      <c r="AD2827" s="137"/>
    </row>
    <row r="2828" spans="1:30" ht="38.25">
      <c r="A2828" s="132" t="str">
        <f>'[3]Planilha Orçamentária'!A743</f>
        <v>1.12.9.9</v>
      </c>
      <c r="B2828" s="108">
        <f>VLOOKUP(A2828,'[3]Planilha Orçamentária'!A:K,2,0)</f>
        <v>1345</v>
      </c>
      <c r="C2828" s="104" t="str">
        <f>VLOOKUP(A2828,'[3]Planilha Orçamentária'!A:K,3,0)</f>
        <v xml:space="preserve">CHAPA/PAINEL DE MADEIRA COMPENSADA PLASTIFICADA (MADEIRITE PLASTIFICADO) PARA FORMA DE CONCRETO, DE 2200 x 1100 MM, E = *17* MM                                                                                                                                                                                                                                                                                                                                                                           </v>
      </c>
      <c r="D2828" s="105" t="str">
        <f>VLOOKUP(A2828,'[3]Planilha Orçamentária'!A:K,4,0)</f>
        <v xml:space="preserve">M2    </v>
      </c>
      <c r="E2828" s="104"/>
      <c r="F2828" s="111"/>
      <c r="G2828" s="111"/>
      <c r="H2828" s="111"/>
      <c r="I2828" s="111"/>
      <c r="J2828" s="122">
        <f>ROUND(SUM(J2830:J2830),2)</f>
        <v>723.53</v>
      </c>
      <c r="U2828" s="137"/>
      <c r="V2828" s="137"/>
      <c r="W2828" s="137"/>
      <c r="X2828" s="137"/>
      <c r="Y2828" s="137"/>
      <c r="Z2828" s="137"/>
      <c r="AA2828" s="137"/>
      <c r="AB2828" s="137"/>
      <c r="AC2828" s="137"/>
      <c r="AD2828" s="137"/>
    </row>
    <row r="2829" spans="1:30">
      <c r="A2829" s="132"/>
      <c r="B2829" s="108"/>
      <c r="C2829" s="159"/>
      <c r="D2829" s="174"/>
      <c r="E2829" s="137" t="s">
        <v>2085</v>
      </c>
      <c r="F2829" s="174"/>
      <c r="G2829" s="174"/>
      <c r="H2829" s="174"/>
      <c r="I2829" s="174" t="s">
        <v>2003</v>
      </c>
      <c r="J2829" s="122"/>
      <c r="U2829" s="137"/>
      <c r="V2829" s="137"/>
      <c r="W2829" s="137"/>
      <c r="X2829" s="137"/>
      <c r="Y2829" s="137"/>
      <c r="Z2829" s="137"/>
      <c r="AA2829" s="137"/>
      <c r="AB2829" s="137"/>
      <c r="AC2829" s="137"/>
      <c r="AD2829" s="137"/>
    </row>
    <row r="2830" spans="1:30">
      <c r="A2830" s="132"/>
      <c r="B2830" s="108"/>
      <c r="C2830" s="324" t="s">
        <v>2089</v>
      </c>
      <c r="D2830" s="137"/>
      <c r="E2830" s="325">
        <v>1.05</v>
      </c>
      <c r="F2830" s="174"/>
      <c r="G2830" s="174"/>
      <c r="H2830" s="174"/>
      <c r="I2830" s="286">
        <f>J2742</f>
        <v>689.08</v>
      </c>
      <c r="J2830" s="158">
        <f t="shared" ref="J2830" si="197">ROUND(PRODUCT(E2830:I2830),2)</f>
        <v>723.53</v>
      </c>
      <c r="U2830" s="137"/>
      <c r="V2830" s="137"/>
      <c r="W2830" s="137"/>
      <c r="X2830" s="137"/>
      <c r="Y2830" s="137"/>
      <c r="Z2830" s="137"/>
      <c r="AA2830" s="137"/>
      <c r="AB2830" s="137"/>
      <c r="AC2830" s="137"/>
      <c r="AD2830" s="137"/>
    </row>
    <row r="2831" spans="1:30">
      <c r="A2831" s="219"/>
      <c r="B2831" s="323"/>
      <c r="C2831" s="323"/>
      <c r="D2831" s="323"/>
      <c r="E2831" s="323"/>
      <c r="F2831" s="323"/>
      <c r="G2831" s="323"/>
      <c r="H2831" s="323"/>
      <c r="I2831" s="323"/>
      <c r="J2831" s="197"/>
      <c r="U2831" s="137"/>
      <c r="V2831" s="137"/>
      <c r="W2831" s="137"/>
      <c r="X2831" s="137"/>
      <c r="Y2831" s="137"/>
      <c r="Z2831" s="137"/>
      <c r="AA2831" s="137"/>
      <c r="AB2831" s="137"/>
      <c r="AC2831" s="137"/>
      <c r="AD2831" s="137"/>
    </row>
    <row r="2832" spans="1:30">
      <c r="A2832" s="93" t="str">
        <f>'[3]Planilha Orçamentária'!A744</f>
        <v>1.13</v>
      </c>
      <c r="B2832" s="526" t="str">
        <f>VLOOKUP(A2832,'[3]Planilha Orçamentária'!A:K,3,0)</f>
        <v>RUA JORNALISTA HERCÍLIO CELSO - CANDEIAS</v>
      </c>
      <c r="C2832" s="527"/>
      <c r="D2832" s="527"/>
      <c r="E2832" s="527"/>
      <c r="F2832" s="527"/>
      <c r="G2832" s="527"/>
      <c r="H2832" s="527"/>
      <c r="I2832" s="527"/>
      <c r="J2832" s="527"/>
      <c r="U2832" s="137"/>
      <c r="V2832" s="137"/>
      <c r="W2832" s="137"/>
      <c r="X2832" s="137"/>
      <c r="Y2832" s="137"/>
      <c r="Z2832" s="137"/>
      <c r="AA2832" s="137"/>
      <c r="AB2832" s="137"/>
      <c r="AC2832" s="137"/>
      <c r="AD2832" s="137"/>
    </row>
    <row r="2833" spans="1:30" ht="12.75" customHeight="1">
      <c r="A2833" s="94" t="str">
        <f>'[3]Planilha Orçamentária'!A745</f>
        <v>1.13.1</v>
      </c>
      <c r="B2833" s="95"/>
      <c r="C2833" s="96" t="str">
        <f>VLOOKUP(A2833,'[3]Planilha Orçamentária'!A:K,3,0)</f>
        <v>INSTALAÇÕES PROVISÓRIAS</v>
      </c>
      <c r="D2833" s="97"/>
      <c r="E2833" s="98"/>
      <c r="F2833" s="99"/>
      <c r="G2833" s="99"/>
      <c r="H2833" s="99"/>
      <c r="I2833" s="100"/>
      <c r="J2833" s="101"/>
      <c r="U2833" s="137"/>
      <c r="V2833" s="137"/>
      <c r="W2833" s="137"/>
      <c r="X2833" s="137"/>
      <c r="Y2833" s="137"/>
      <c r="Z2833" s="137"/>
      <c r="AA2833" s="137"/>
      <c r="AB2833" s="137"/>
      <c r="AC2833" s="137"/>
      <c r="AD2833" s="137"/>
    </row>
    <row r="2834" spans="1:30" ht="25.5" customHeight="1">
      <c r="A2834" s="102" t="str">
        <f>'[3]Planilha Orçamentária'!A746</f>
        <v>1.13.1.1</v>
      </c>
      <c r="B2834" s="103" t="str">
        <f>VLOOKUP(A2834,'[3]Planilha Orçamentária'!A:K,2,0)</f>
        <v>CP-74209/001-15055090</v>
      </c>
      <c r="C2834" s="104" t="str">
        <f>VLOOKUP(A2834,'[3]Planilha Orçamentária'!A:K,3,0)</f>
        <v>PLACA DE OBRA EM CHAPA DE ACO GALVANIZADO</v>
      </c>
      <c r="D2834" s="105" t="str">
        <f>VLOOKUP(A2834,'[3]Planilha Orçamentária'!A:K,4,0)</f>
        <v xml:space="preserve">M2    </v>
      </c>
      <c r="E2834" s="104"/>
      <c r="F2834" s="106" t="s">
        <v>1989</v>
      </c>
      <c r="G2834" s="106" t="s">
        <v>1990</v>
      </c>
      <c r="H2834" s="106"/>
      <c r="I2834" s="106" t="s">
        <v>1991</v>
      </c>
      <c r="J2834" s="107">
        <f>ROUND(SUM(J2836:J2836),2)</f>
        <v>8</v>
      </c>
      <c r="U2834" s="137"/>
      <c r="V2834" s="137"/>
      <c r="W2834" s="137"/>
      <c r="X2834" s="137"/>
      <c r="Y2834" s="137"/>
      <c r="Z2834" s="137"/>
      <c r="AA2834" s="137"/>
      <c r="AB2834" s="137"/>
      <c r="AC2834" s="137"/>
      <c r="AD2834" s="137"/>
    </row>
    <row r="2835" spans="1:30">
      <c r="A2835" s="102"/>
      <c r="B2835" s="103"/>
      <c r="C2835" s="110"/>
      <c r="D2835" s="109"/>
      <c r="E2835" s="110"/>
      <c r="F2835" s="111"/>
      <c r="G2835" s="111"/>
      <c r="H2835" s="111"/>
      <c r="I2835" s="111"/>
      <c r="J2835" s="107"/>
      <c r="U2835" s="137"/>
      <c r="V2835" s="137"/>
      <c r="W2835" s="137"/>
      <c r="X2835" s="137"/>
      <c r="Y2835" s="137"/>
      <c r="Z2835" s="137"/>
      <c r="AA2835" s="137"/>
      <c r="AB2835" s="137"/>
      <c r="AC2835" s="137"/>
      <c r="AD2835" s="137"/>
    </row>
    <row r="2836" spans="1:30">
      <c r="A2836" s="102"/>
      <c r="B2836" s="123"/>
      <c r="C2836" s="328"/>
      <c r="D2836" s="114"/>
      <c r="E2836" s="115"/>
      <c r="F2836" s="116">
        <v>2</v>
      </c>
      <c r="G2836" s="116">
        <v>4</v>
      </c>
      <c r="H2836" s="117"/>
      <c r="I2836" s="116">
        <v>1</v>
      </c>
      <c r="J2836" s="118">
        <f>ROUND(PRODUCT(E2836:I2836),2)</f>
        <v>8</v>
      </c>
      <c r="U2836" s="137"/>
      <c r="V2836" s="137"/>
      <c r="W2836" s="137"/>
      <c r="X2836" s="137"/>
      <c r="Y2836" s="137"/>
      <c r="Z2836" s="137"/>
      <c r="AA2836" s="137"/>
      <c r="AB2836" s="137"/>
      <c r="AC2836" s="137"/>
      <c r="AD2836" s="137"/>
    </row>
    <row r="2837" spans="1:30">
      <c r="A2837" s="553"/>
      <c r="B2837" s="554"/>
      <c r="C2837" s="554"/>
      <c r="D2837" s="554"/>
      <c r="E2837" s="554"/>
      <c r="F2837" s="554"/>
      <c r="G2837" s="554"/>
      <c r="H2837" s="554"/>
      <c r="I2837" s="554"/>
      <c r="J2837" s="555"/>
      <c r="U2837" s="137"/>
      <c r="V2837" s="137"/>
      <c r="W2837" s="137"/>
      <c r="X2837" s="137"/>
      <c r="Y2837" s="137"/>
      <c r="Z2837" s="137"/>
      <c r="AA2837" s="137"/>
      <c r="AB2837" s="137"/>
      <c r="AC2837" s="137"/>
      <c r="AD2837" s="137"/>
    </row>
    <row r="2838" spans="1:30" ht="25.5" customHeight="1">
      <c r="A2838" s="102" t="str">
        <f>'[3]Planilha Orçamentária'!A747</f>
        <v>1.13.1.2</v>
      </c>
      <c r="B2838" s="108" t="str">
        <f>VLOOKUP(A2838,'[3]Planilha Orçamentária'!A:K,2,0)</f>
        <v>COMP-07440249</v>
      </c>
      <c r="C2838" s="104" t="str">
        <f>VLOOKUP(A2838,'[3]Planilha Orçamentária'!A:K,3,0)</f>
        <v>BANHEIRO QUÍMICO, COM LOCAÇÃO, TRANSPORTE E LIMPEZA</v>
      </c>
      <c r="D2838" s="105" t="str">
        <f>VLOOKUP(A2838,'[3]Planilha Orçamentária'!A:K,4,0)</f>
        <v>MÊS</v>
      </c>
      <c r="E2838" s="104"/>
      <c r="F2838" s="111"/>
      <c r="G2838" s="111"/>
      <c r="H2838" s="111"/>
      <c r="I2838" s="111"/>
      <c r="J2838" s="122">
        <f>ROUND(SUM(J2840:J2840),2)</f>
        <v>12</v>
      </c>
      <c r="U2838" s="137"/>
      <c r="V2838" s="137"/>
      <c r="W2838" s="137"/>
      <c r="X2838" s="137"/>
      <c r="Y2838" s="137"/>
      <c r="Z2838" s="137"/>
      <c r="AA2838" s="137"/>
      <c r="AB2838" s="137"/>
      <c r="AC2838" s="137"/>
      <c r="AD2838" s="137"/>
    </row>
    <row r="2839" spans="1:30" ht="25.5">
      <c r="A2839" s="102"/>
      <c r="B2839" s="108"/>
      <c r="C2839" s="104"/>
      <c r="D2839" s="105"/>
      <c r="E2839" s="104"/>
      <c r="F2839" s="111"/>
      <c r="G2839" s="111"/>
      <c r="H2839" s="111"/>
      <c r="I2839" s="106" t="s">
        <v>1992</v>
      </c>
      <c r="J2839" s="122"/>
      <c r="U2839" s="137"/>
      <c r="V2839" s="137"/>
      <c r="W2839" s="137"/>
      <c r="X2839" s="137"/>
      <c r="Y2839" s="137"/>
      <c r="Z2839" s="137"/>
      <c r="AA2839" s="137"/>
      <c r="AB2839" s="137"/>
      <c r="AC2839" s="137"/>
      <c r="AD2839" s="137"/>
    </row>
    <row r="2840" spans="1:30">
      <c r="A2840" s="102"/>
      <c r="B2840" s="123"/>
      <c r="C2840" s="124"/>
      <c r="D2840" s="125"/>
      <c r="E2840" s="126"/>
      <c r="F2840" s="126"/>
      <c r="G2840" s="117"/>
      <c r="H2840" s="117"/>
      <c r="I2840" s="127">
        <v>12</v>
      </c>
      <c r="J2840" s="128">
        <f>ROUND(PRODUCT(E2840:I2840),2)</f>
        <v>12</v>
      </c>
      <c r="U2840" s="137"/>
      <c r="V2840" s="137"/>
      <c r="W2840" s="137"/>
      <c r="X2840" s="137"/>
      <c r="Y2840" s="137"/>
      <c r="Z2840" s="137"/>
      <c r="AA2840" s="137"/>
      <c r="AB2840" s="137"/>
      <c r="AC2840" s="137"/>
      <c r="AD2840" s="137"/>
    </row>
    <row r="2841" spans="1:30">
      <c r="A2841" s="102"/>
      <c r="B2841" s="123"/>
      <c r="C2841" s="124"/>
      <c r="D2841" s="125"/>
      <c r="E2841" s="126"/>
      <c r="F2841" s="126"/>
      <c r="G2841" s="117"/>
      <c r="H2841" s="117"/>
      <c r="I2841" s="127"/>
      <c r="J2841" s="128"/>
      <c r="U2841" s="137"/>
      <c r="V2841" s="137"/>
      <c r="W2841" s="137"/>
      <c r="X2841" s="137"/>
      <c r="Y2841" s="137"/>
      <c r="Z2841" s="137"/>
      <c r="AA2841" s="137"/>
      <c r="AB2841" s="137"/>
      <c r="AC2841" s="137"/>
      <c r="AD2841" s="137"/>
    </row>
    <row r="2842" spans="1:30">
      <c r="A2842" s="94" t="str">
        <f>'[3]Planilha Orçamentária'!A748</f>
        <v>1.13.2</v>
      </c>
      <c r="B2842" s="95"/>
      <c r="C2842" s="96" t="str">
        <f>VLOOKUP(A2842,'[3]Planilha Orçamentária'!A:K,3,0)</f>
        <v>ADMINISTRAÇÃO LOCAL</v>
      </c>
      <c r="D2842" s="96"/>
      <c r="E2842" s="129"/>
      <c r="F2842" s="130"/>
      <c r="G2842" s="130"/>
      <c r="H2842" s="130"/>
      <c r="I2842" s="130"/>
      <c r="J2842" s="131"/>
      <c r="U2842" s="137"/>
      <c r="V2842" s="137"/>
      <c r="W2842" s="137"/>
      <c r="X2842" s="137"/>
      <c r="Y2842" s="137"/>
      <c r="Z2842" s="137"/>
      <c r="AA2842" s="137"/>
      <c r="AB2842" s="137"/>
      <c r="AC2842" s="137"/>
      <c r="AD2842" s="137"/>
    </row>
    <row r="2843" spans="1:30" ht="25.5">
      <c r="A2843" s="132" t="str">
        <f>'[3]Planilha Orçamentária'!A749</f>
        <v>1.13.2.1</v>
      </c>
      <c r="B2843" s="103">
        <f>VLOOKUP(A2843,'[3]Planilha Orçamentária'!A:K,2,0)</f>
        <v>93565</v>
      </c>
      <c r="C2843" s="104" t="str">
        <f>VLOOKUP(A2843,'[3]Planilha Orçamentária'!A:K,3,0)</f>
        <v>ENGENHEIRO CIVIL DE OBRA JUNIOR COM ENCARGOS COMPLEMENTARES</v>
      </c>
      <c r="D2843" s="105" t="str">
        <f>VLOOKUP(A2843,'[3]Planilha Orçamentária'!A:K,4,0)</f>
        <v>MES</v>
      </c>
      <c r="E2843" s="133"/>
      <c r="F2843" s="134"/>
      <c r="G2843" s="134"/>
      <c r="H2843" s="134"/>
      <c r="I2843" s="134"/>
      <c r="J2843" s="107">
        <f>ROUND(SUM(J2845),2)</f>
        <v>3</v>
      </c>
      <c r="U2843" s="137"/>
      <c r="V2843" s="137"/>
      <c r="W2843" s="137"/>
      <c r="X2843" s="137"/>
      <c r="Y2843" s="137"/>
      <c r="Z2843" s="137"/>
      <c r="AA2843" s="137"/>
      <c r="AB2843" s="137"/>
      <c r="AC2843" s="137"/>
      <c r="AD2843" s="137"/>
    </row>
    <row r="2844" spans="1:30" ht="12.75" customHeight="1">
      <c r="A2844" s="132"/>
      <c r="B2844" s="103"/>
      <c r="C2844" s="135"/>
      <c r="D2844" s="105"/>
      <c r="E2844" s="133"/>
      <c r="F2844" s="136"/>
      <c r="G2844" s="136"/>
      <c r="H2844" s="136"/>
      <c r="I2844" s="136"/>
      <c r="J2844" s="107"/>
      <c r="U2844" s="137"/>
      <c r="V2844" s="137"/>
      <c r="W2844" s="137"/>
      <c r="X2844" s="137"/>
      <c r="Y2844" s="137"/>
      <c r="Z2844" s="137"/>
      <c r="AA2844" s="137"/>
      <c r="AB2844" s="137"/>
      <c r="AC2844" s="137"/>
      <c r="AD2844" s="137"/>
    </row>
    <row r="2845" spans="1:30" ht="14.25">
      <c r="A2845" s="137"/>
      <c r="B2845" s="138"/>
      <c r="C2845" s="135" t="s">
        <v>2317</v>
      </c>
      <c r="D2845" s="139"/>
      <c r="E2845" s="136">
        <f>44/176</f>
        <v>0.25</v>
      </c>
      <c r="F2845" s="136"/>
      <c r="G2845" s="136"/>
      <c r="H2845" s="136"/>
      <c r="I2845" s="136">
        <f>I2840</f>
        <v>12</v>
      </c>
      <c r="J2845" s="118">
        <f>ROUND(PRODUCT(E2845:I2845),2)</f>
        <v>3</v>
      </c>
      <c r="U2845" s="137"/>
      <c r="V2845" s="137"/>
      <c r="W2845" s="137"/>
      <c r="X2845" s="137"/>
      <c r="Y2845" s="137"/>
      <c r="Z2845" s="137"/>
      <c r="AA2845" s="137"/>
      <c r="AB2845" s="137"/>
      <c r="AC2845" s="137"/>
      <c r="AD2845" s="137"/>
    </row>
    <row r="2846" spans="1:30" ht="14.25">
      <c r="A2846" s="137"/>
      <c r="B2846" s="138"/>
      <c r="C2846" s="135" t="s">
        <v>2164</v>
      </c>
      <c r="D2846" s="139"/>
      <c r="E2846" s="136"/>
      <c r="F2846" s="136"/>
      <c r="G2846" s="136"/>
      <c r="H2846" s="136"/>
      <c r="I2846" s="136"/>
      <c r="J2846" s="140"/>
      <c r="U2846" s="137"/>
      <c r="V2846" s="137"/>
      <c r="W2846" s="137"/>
      <c r="X2846" s="137"/>
      <c r="Y2846" s="137"/>
      <c r="Z2846" s="137"/>
      <c r="AA2846" s="137"/>
      <c r="AB2846" s="137"/>
      <c r="AC2846" s="137"/>
      <c r="AD2846" s="137"/>
    </row>
    <row r="2847" spans="1:30" ht="14.25">
      <c r="A2847" s="137"/>
      <c r="B2847" s="138"/>
      <c r="C2847" s="135" t="s">
        <v>1995</v>
      </c>
      <c r="D2847" s="141"/>
      <c r="E2847" s="142"/>
      <c r="F2847" s="127"/>
      <c r="G2847" s="117"/>
      <c r="H2847" s="117"/>
      <c r="I2847" s="143"/>
      <c r="J2847" s="144"/>
      <c r="U2847" s="137"/>
      <c r="V2847" s="137"/>
      <c r="W2847" s="137"/>
      <c r="X2847" s="137"/>
      <c r="Y2847" s="137"/>
      <c r="Z2847" s="137"/>
      <c r="AA2847" s="137"/>
      <c r="AB2847" s="137"/>
      <c r="AC2847" s="137"/>
      <c r="AD2847" s="137"/>
    </row>
    <row r="2848" spans="1:30">
      <c r="A2848" s="531"/>
      <c r="B2848" s="531"/>
      <c r="C2848" s="531"/>
      <c r="D2848" s="531"/>
      <c r="E2848" s="531"/>
      <c r="F2848" s="531"/>
      <c r="G2848" s="531"/>
      <c r="H2848" s="531"/>
      <c r="I2848" s="531"/>
      <c r="J2848" s="531"/>
      <c r="U2848" s="137"/>
      <c r="V2848" s="137"/>
      <c r="W2848" s="137"/>
      <c r="X2848" s="137"/>
      <c r="Y2848" s="137"/>
      <c r="Z2848" s="137"/>
      <c r="AA2848" s="137"/>
      <c r="AB2848" s="137"/>
      <c r="AC2848" s="137"/>
      <c r="AD2848" s="137"/>
    </row>
    <row r="2849" spans="1:30" ht="25.5">
      <c r="A2849" s="132" t="str">
        <f>'[3]Planilha Orçamentária'!A750</f>
        <v>1.13.2.2</v>
      </c>
      <c r="B2849" s="103">
        <f>VLOOKUP(A2849,'[3]Planilha Orçamentária'!A:K,2,0)</f>
        <v>93572</v>
      </c>
      <c r="C2849" s="104" t="str">
        <f>VLOOKUP(A2849,'[3]Planilha Orçamentária'!A:K,3,0)</f>
        <v>ENCARREGADO GERAL DE OBRAS COM ENCARGOS COMPLEMENTARES</v>
      </c>
      <c r="D2849" s="105" t="str">
        <f>VLOOKUP(A2849,'[3]Planilha Orçamentária'!A:K,4,0)</f>
        <v>MES</v>
      </c>
      <c r="E2849" s="133"/>
      <c r="F2849" s="134"/>
      <c r="G2849" s="134"/>
      <c r="H2849" s="134"/>
      <c r="I2849" s="134"/>
      <c r="J2849" s="107">
        <f>ROUND(SUM(J2851),2)</f>
        <v>6</v>
      </c>
      <c r="U2849" s="137"/>
      <c r="V2849" s="137"/>
      <c r="W2849" s="137"/>
      <c r="X2849" s="137"/>
      <c r="Y2849" s="137"/>
      <c r="Z2849" s="137"/>
      <c r="AA2849" s="137"/>
      <c r="AB2849" s="137"/>
      <c r="AC2849" s="137"/>
      <c r="AD2849" s="137"/>
    </row>
    <row r="2850" spans="1:30" ht="14.25">
      <c r="A2850" s="132"/>
      <c r="B2850" s="103"/>
      <c r="C2850" s="135"/>
      <c r="D2850" s="105"/>
      <c r="E2850" s="133"/>
      <c r="F2850" s="136"/>
      <c r="G2850" s="136"/>
      <c r="H2850" s="136"/>
      <c r="I2850" s="136"/>
      <c r="J2850" s="107"/>
      <c r="U2850" s="137"/>
      <c r="V2850" s="137"/>
      <c r="W2850" s="137"/>
      <c r="X2850" s="137"/>
      <c r="Y2850" s="137"/>
      <c r="Z2850" s="137"/>
      <c r="AA2850" s="137"/>
      <c r="AB2850" s="137"/>
      <c r="AC2850" s="137"/>
      <c r="AD2850" s="137"/>
    </row>
    <row r="2851" spans="1:30" ht="14.25">
      <c r="A2851" s="137"/>
      <c r="B2851" s="138"/>
      <c r="C2851" s="135" t="s">
        <v>2318</v>
      </c>
      <c r="D2851" s="139"/>
      <c r="E2851" s="136">
        <f>88/176</f>
        <v>0.5</v>
      </c>
      <c r="F2851" s="136"/>
      <c r="G2851" s="136"/>
      <c r="H2851" s="136"/>
      <c r="I2851" s="136">
        <f>I2840</f>
        <v>12</v>
      </c>
      <c r="J2851" s="118">
        <f>ROUND(PRODUCT(E2851:I2851),2)</f>
        <v>6</v>
      </c>
      <c r="U2851" s="137"/>
      <c r="V2851" s="137"/>
      <c r="W2851" s="137"/>
      <c r="X2851" s="137"/>
      <c r="Y2851" s="137"/>
      <c r="Z2851" s="137"/>
      <c r="AA2851" s="137"/>
      <c r="AB2851" s="137"/>
      <c r="AC2851" s="137"/>
      <c r="AD2851" s="137"/>
    </row>
    <row r="2852" spans="1:30" ht="14.25">
      <c r="A2852" s="137"/>
      <c r="B2852" s="138"/>
      <c r="C2852" s="135" t="s">
        <v>1997</v>
      </c>
      <c r="D2852" s="139"/>
      <c r="E2852" s="136"/>
      <c r="F2852" s="136"/>
      <c r="G2852" s="136"/>
      <c r="H2852" s="136"/>
      <c r="I2852" s="136"/>
      <c r="J2852" s="140"/>
      <c r="U2852" s="137"/>
      <c r="V2852" s="137"/>
      <c r="W2852" s="137"/>
      <c r="X2852" s="137"/>
      <c r="Y2852" s="137"/>
      <c r="Z2852" s="137"/>
      <c r="AA2852" s="137"/>
      <c r="AB2852" s="137"/>
      <c r="AC2852" s="137"/>
      <c r="AD2852" s="137"/>
    </row>
    <row r="2853" spans="1:30" ht="14.25">
      <c r="A2853" s="137"/>
      <c r="B2853" s="138"/>
      <c r="C2853" s="135" t="s">
        <v>1995</v>
      </c>
      <c r="D2853" s="141"/>
      <c r="E2853" s="142"/>
      <c r="F2853" s="127"/>
      <c r="G2853" s="117"/>
      <c r="H2853" s="117"/>
      <c r="I2853" s="143"/>
      <c r="J2853" s="144"/>
      <c r="U2853" s="137"/>
      <c r="V2853" s="137"/>
      <c r="W2853" s="137"/>
      <c r="X2853" s="137"/>
      <c r="Y2853" s="137"/>
      <c r="Z2853" s="137"/>
      <c r="AA2853" s="137"/>
      <c r="AB2853" s="137"/>
      <c r="AC2853" s="137"/>
      <c r="AD2853" s="137"/>
    </row>
    <row r="2854" spans="1:30">
      <c r="A2854" s="531"/>
      <c r="B2854" s="531"/>
      <c r="C2854" s="531"/>
      <c r="D2854" s="531"/>
      <c r="E2854" s="531"/>
      <c r="F2854" s="531"/>
      <c r="G2854" s="531"/>
      <c r="H2854" s="531"/>
      <c r="I2854" s="531"/>
      <c r="J2854" s="531"/>
      <c r="U2854" s="137"/>
      <c r="V2854" s="137"/>
      <c r="W2854" s="137"/>
      <c r="X2854" s="137"/>
      <c r="Y2854" s="137"/>
      <c r="Z2854" s="137"/>
      <c r="AA2854" s="137"/>
      <c r="AB2854" s="137"/>
      <c r="AC2854" s="137"/>
      <c r="AD2854" s="137"/>
    </row>
    <row r="2855" spans="1:30" ht="12.75" customHeight="1">
      <c r="A2855" s="94" t="str">
        <f>'[3]Planilha Orçamentária'!A751</f>
        <v>1.13.3</v>
      </c>
      <c r="B2855" s="95"/>
      <c r="C2855" s="96" t="str">
        <f>VLOOKUP(A2855,'[3]Planilha Orçamentária'!A:K,3,0)</f>
        <v>SERVIÇOS PRELIMINARES</v>
      </c>
      <c r="D2855" s="97"/>
      <c r="E2855" s="98"/>
      <c r="F2855" s="99"/>
      <c r="G2855" s="99"/>
      <c r="H2855" s="99"/>
      <c r="I2855" s="100"/>
      <c r="J2855" s="101"/>
      <c r="U2855" s="137"/>
      <c r="V2855" s="137"/>
      <c r="W2855" s="137"/>
      <c r="X2855" s="137"/>
      <c r="Y2855" s="137"/>
      <c r="Z2855" s="137"/>
      <c r="AA2855" s="137"/>
      <c r="AB2855" s="137"/>
      <c r="AC2855" s="137"/>
      <c r="AD2855" s="137"/>
    </row>
    <row r="2856" spans="1:30" ht="12.75" customHeight="1">
      <c r="A2856" s="145" t="str">
        <f>'[3]Planilha Orçamentária'!A752</f>
        <v>1.13.3.1</v>
      </c>
      <c r="B2856" s="146">
        <f>VLOOKUP(A2856,'[3]Planilha Orçamentária'!A:K,2,0)</f>
        <v>99064</v>
      </c>
      <c r="C2856" s="147" t="str">
        <f>VLOOKUP(A2856,'[3]Planilha Orçamentária'!A:K,3,0)</f>
        <v>LOCAÇÃO DE PAVIMENTAÇÃO. AF_10/2018</v>
      </c>
      <c r="D2856" s="148" t="str">
        <f>VLOOKUP(A2856,'[3]Planilha Orçamentária'!A:K,4,0)</f>
        <v>M</v>
      </c>
      <c r="E2856" s="147"/>
      <c r="F2856" s="136"/>
      <c r="G2856" s="149"/>
      <c r="H2856" s="149"/>
      <c r="I2856" s="149"/>
      <c r="J2856" s="150">
        <f>ROUND(SUM(J2858:J2860),2)</f>
        <v>1664.61</v>
      </c>
      <c r="U2856" s="137"/>
      <c r="V2856" s="137"/>
      <c r="W2856" s="137"/>
      <c r="X2856" s="137"/>
      <c r="Y2856" s="137"/>
      <c r="Z2856" s="137"/>
      <c r="AA2856" s="137"/>
      <c r="AB2856" s="137"/>
      <c r="AC2856" s="137"/>
      <c r="AD2856" s="137"/>
    </row>
    <row r="2857" spans="1:30" ht="12.75" customHeight="1">
      <c r="A2857" s="151"/>
      <c r="B2857" s="152"/>
      <c r="C2857" s="147"/>
      <c r="D2857" s="148"/>
      <c r="E2857" s="147"/>
      <c r="F2857" s="106" t="s">
        <v>1989</v>
      </c>
      <c r="G2857" s="149"/>
      <c r="H2857" s="149"/>
      <c r="I2857" s="149"/>
      <c r="J2857" s="150"/>
      <c r="U2857" s="137"/>
      <c r="V2857" s="137"/>
      <c r="W2857" s="137"/>
      <c r="X2857" s="137"/>
      <c r="Y2857" s="137"/>
      <c r="Z2857" s="137"/>
      <c r="AA2857" s="137"/>
      <c r="AB2857" s="137"/>
      <c r="AC2857" s="137"/>
      <c r="AD2857" s="137"/>
    </row>
    <row r="2858" spans="1:30" ht="12.75" customHeight="1">
      <c r="A2858" s="174"/>
      <c r="B2858" s="174"/>
      <c r="C2858" s="200" t="s">
        <v>2343</v>
      </c>
      <c r="D2858" s="156"/>
      <c r="E2858" s="157"/>
      <c r="F2858" s="136">
        <f>(20-7.05)+(3*20)+(2.35)</f>
        <v>75.3</v>
      </c>
      <c r="G2858" s="157"/>
      <c r="H2858" s="157"/>
      <c r="I2858" s="157"/>
      <c r="J2858" s="158">
        <f>ROUND(PRODUCT(E2858:I2858),2)</f>
        <v>75.3</v>
      </c>
      <c r="U2858" s="137"/>
      <c r="V2858" s="137"/>
      <c r="W2858" s="137"/>
      <c r="X2858" s="137"/>
      <c r="Y2858" s="137"/>
      <c r="Z2858" s="137"/>
      <c r="AA2858" s="137"/>
      <c r="AB2858" s="137"/>
      <c r="AC2858" s="137"/>
      <c r="AD2858" s="137"/>
    </row>
    <row r="2859" spans="1:30" ht="12.75" customHeight="1">
      <c r="A2859" s="174"/>
      <c r="B2859" s="174"/>
      <c r="C2859" s="200" t="s">
        <v>2344</v>
      </c>
      <c r="D2859" s="156"/>
      <c r="E2859" s="157"/>
      <c r="F2859" s="136">
        <f>(20-19.08)+(79*20)+(8.39)</f>
        <v>1589.3100000000002</v>
      </c>
      <c r="G2859" s="157"/>
      <c r="H2859" s="157"/>
      <c r="I2859" s="157"/>
      <c r="J2859" s="158">
        <f>ROUND(PRODUCT(E2859:I2859),2)</f>
        <v>1589.31</v>
      </c>
      <c r="U2859" s="137"/>
      <c r="V2859" s="137"/>
      <c r="W2859" s="137"/>
      <c r="X2859" s="137"/>
      <c r="Y2859" s="137"/>
      <c r="Z2859" s="137"/>
      <c r="AA2859" s="137"/>
      <c r="AB2859" s="137"/>
      <c r="AC2859" s="137"/>
      <c r="AD2859" s="137"/>
    </row>
    <row r="2860" spans="1:30">
      <c r="A2860" s="531"/>
      <c r="B2860" s="531"/>
      <c r="C2860" s="531"/>
      <c r="D2860" s="531"/>
      <c r="E2860" s="531"/>
      <c r="F2860" s="531"/>
      <c r="G2860" s="531"/>
      <c r="H2860" s="531"/>
      <c r="I2860" s="531"/>
      <c r="J2860" s="531"/>
      <c r="U2860" s="137"/>
      <c r="V2860" s="137"/>
      <c r="W2860" s="137"/>
      <c r="X2860" s="137"/>
      <c r="Y2860" s="137"/>
      <c r="Z2860" s="137"/>
      <c r="AA2860" s="137"/>
      <c r="AB2860" s="137"/>
      <c r="AC2860" s="137"/>
      <c r="AD2860" s="137"/>
    </row>
    <row r="2861" spans="1:30" ht="25.5">
      <c r="A2861" s="145" t="str">
        <f>'[3]Planilha Orçamentária'!A753</f>
        <v>1.13.3.2</v>
      </c>
      <c r="B2861" s="199" t="str">
        <f>VLOOKUP(A2861,'[3]Planilha Orçamentária'!A:K,2,0)</f>
        <v>COMP-17562084</v>
      </c>
      <c r="C2861" s="147" t="str">
        <f>VLOOKUP(A2861,'[3]Planilha Orçamentária'!A:K,3,0)</f>
        <v>DEMOLIÇÃO MANUAL DE CONCRETO SIMPLES</v>
      </c>
      <c r="D2861" s="148" t="str">
        <f>VLOOKUP(A2861,'[3]Planilha Orçamentária'!A:K,4,0)</f>
        <v>M3</v>
      </c>
      <c r="E2861" s="147"/>
      <c r="F2861" s="160"/>
      <c r="G2861" s="160"/>
      <c r="H2861" s="160"/>
      <c r="I2861" s="160"/>
      <c r="J2861" s="150">
        <f>ROUND(SUM(J2863),2)</f>
        <v>74.53</v>
      </c>
      <c r="U2861" s="137"/>
      <c r="V2861" s="137"/>
      <c r="W2861" s="137"/>
      <c r="X2861" s="137"/>
      <c r="Y2861" s="137"/>
      <c r="Z2861" s="137"/>
      <c r="AA2861" s="137"/>
      <c r="AB2861" s="137"/>
      <c r="AC2861" s="137"/>
      <c r="AD2861" s="137"/>
    </row>
    <row r="2862" spans="1:30">
      <c r="A2862" s="123"/>
      <c r="B2862" s="123"/>
      <c r="C2862" s="415" t="s">
        <v>2345</v>
      </c>
      <c r="D2862" s="123"/>
      <c r="E2862" s="123"/>
      <c r="F2862" s="123"/>
      <c r="G2862" s="123"/>
      <c r="H2862" s="123" t="s">
        <v>2002</v>
      </c>
      <c r="I2862" s="123" t="s">
        <v>2003</v>
      </c>
      <c r="J2862" s="123"/>
      <c r="U2862" s="137"/>
      <c r="V2862" s="137"/>
      <c r="W2862" s="137"/>
      <c r="X2862" s="137"/>
      <c r="Y2862" s="137"/>
      <c r="Z2862" s="137"/>
      <c r="AA2862" s="137"/>
      <c r="AB2862" s="137"/>
      <c r="AC2862" s="137"/>
      <c r="AD2862" s="137"/>
    </row>
    <row r="2863" spans="1:30" ht="25.5">
      <c r="A2863" s="123"/>
      <c r="B2863" s="123"/>
      <c r="C2863" s="162" t="s">
        <v>2004</v>
      </c>
      <c r="D2863" s="123"/>
      <c r="E2863" s="123"/>
      <c r="F2863" s="157"/>
      <c r="G2863" s="157"/>
      <c r="H2863" s="157">
        <v>7.0000000000000007E-2</v>
      </c>
      <c r="I2863" s="157">
        <v>1064.78</v>
      </c>
      <c r="J2863" s="128">
        <f>ROUND(PRODUCT(E2863:I2863),2)</f>
        <v>74.53</v>
      </c>
      <c r="U2863" s="137"/>
      <c r="V2863" s="137"/>
      <c r="W2863" s="137"/>
      <c r="X2863" s="137"/>
      <c r="Y2863" s="137"/>
      <c r="Z2863" s="137"/>
      <c r="AA2863" s="137"/>
      <c r="AB2863" s="137"/>
      <c r="AC2863" s="137"/>
      <c r="AD2863" s="137"/>
    </row>
    <row r="2864" spans="1:30">
      <c r="A2864" s="528"/>
      <c r="B2864" s="529"/>
      <c r="C2864" s="529"/>
      <c r="D2864" s="529"/>
      <c r="E2864" s="529"/>
      <c r="F2864" s="529"/>
      <c r="G2864" s="529"/>
      <c r="H2864" s="529"/>
      <c r="I2864" s="529"/>
      <c r="J2864" s="530"/>
      <c r="U2864" s="137"/>
      <c r="V2864" s="137"/>
      <c r="W2864" s="137"/>
      <c r="X2864" s="137"/>
      <c r="Y2864" s="137"/>
      <c r="Z2864" s="137"/>
      <c r="AA2864" s="137"/>
      <c r="AB2864" s="137"/>
      <c r="AC2864" s="137"/>
      <c r="AD2864" s="137"/>
    </row>
    <row r="2865" spans="1:30" ht="51">
      <c r="A2865" s="145" t="str">
        <f>'[3]Planilha Orçamentária'!A754</f>
        <v>1.13.3.3</v>
      </c>
      <c r="B2865" s="199" t="str">
        <f>VLOOKUP(A2865,'[3]Planilha Orçamentária'!A:K,2,0)</f>
        <v>COMP-35145154</v>
      </c>
      <c r="C2865" s="147" t="str">
        <f>VLOOKUP(A2865,'[3]Planilha Orçamentária'!A:K,3,0)</f>
        <v>CARGA E DESCARGA MECANICA DE SOLO UTILIZANDO CAMINHAO BASCULANTE 14,0M3/36T E PA CARREGADEIRA SOBRE PNEUS 128 HP, CAPACIDADE DA CAÇAMBA 1,7 A 2,8 M3, PESO OPERACIONAL 11632 KH</v>
      </c>
      <c r="D2865" s="148" t="str">
        <f>VLOOKUP(A2865,'[3]Planilha Orçamentária'!A:K,4,0)</f>
        <v>M3</v>
      </c>
      <c r="E2865" s="147"/>
      <c r="F2865" s="160"/>
      <c r="G2865" s="160"/>
      <c r="H2865" s="160"/>
      <c r="I2865" s="160"/>
      <c r="J2865" s="150">
        <f>ROUND(SUM(J2867),2)</f>
        <v>93.16</v>
      </c>
      <c r="U2865" s="137"/>
      <c r="V2865" s="137"/>
      <c r="W2865" s="137"/>
      <c r="X2865" s="137"/>
      <c r="Y2865" s="137"/>
      <c r="Z2865" s="137"/>
      <c r="AA2865" s="137"/>
      <c r="AB2865" s="137"/>
      <c r="AC2865" s="137"/>
      <c r="AD2865" s="137"/>
    </row>
    <row r="2866" spans="1:30">
      <c r="A2866" s="123"/>
      <c r="B2866" s="123"/>
      <c r="C2866" s="165"/>
      <c r="D2866" s="166"/>
      <c r="E2866" s="162" t="s">
        <v>2006</v>
      </c>
      <c r="F2866" s="149"/>
      <c r="G2866" s="149"/>
      <c r="H2866" s="149"/>
      <c r="I2866" s="161" t="s">
        <v>2007</v>
      </c>
      <c r="J2866" s="123"/>
      <c r="U2866" s="137"/>
      <c r="V2866" s="137"/>
      <c r="W2866" s="137"/>
      <c r="X2866" s="137"/>
      <c r="Y2866" s="137"/>
      <c r="Z2866" s="137"/>
      <c r="AA2866" s="137"/>
      <c r="AB2866" s="137"/>
      <c r="AC2866" s="137"/>
      <c r="AD2866" s="137"/>
    </row>
    <row r="2867" spans="1:30">
      <c r="A2867" s="123"/>
      <c r="B2867" s="123"/>
      <c r="C2867" s="165" t="s">
        <v>2008</v>
      </c>
      <c r="D2867" s="166"/>
      <c r="E2867" s="162">
        <v>1.25</v>
      </c>
      <c r="F2867" s="149"/>
      <c r="G2867" s="149"/>
      <c r="H2867" s="149"/>
      <c r="I2867" s="167">
        <f>J2861</f>
        <v>74.53</v>
      </c>
      <c r="J2867" s="128">
        <f>ROUND(PRODUCT(E2867:I2867),2)</f>
        <v>93.16</v>
      </c>
      <c r="U2867" s="137"/>
      <c r="V2867" s="137"/>
      <c r="W2867" s="137"/>
      <c r="X2867" s="137"/>
      <c r="Y2867" s="137"/>
      <c r="Z2867" s="137"/>
      <c r="AA2867" s="137"/>
      <c r="AB2867" s="137"/>
      <c r="AC2867" s="137"/>
      <c r="AD2867" s="137"/>
    </row>
    <row r="2868" spans="1:30">
      <c r="A2868" s="528"/>
      <c r="B2868" s="529"/>
      <c r="C2868" s="529"/>
      <c r="D2868" s="529"/>
      <c r="E2868" s="529"/>
      <c r="F2868" s="529"/>
      <c r="G2868" s="529"/>
      <c r="H2868" s="529"/>
      <c r="I2868" s="529"/>
      <c r="J2868" s="530"/>
      <c r="U2868" s="137"/>
      <c r="V2868" s="137"/>
      <c r="W2868" s="137"/>
      <c r="X2868" s="137"/>
      <c r="Y2868" s="137"/>
      <c r="Z2868" s="137"/>
      <c r="AA2868" s="137"/>
      <c r="AB2868" s="137"/>
      <c r="AC2868" s="137"/>
      <c r="AD2868" s="137"/>
    </row>
    <row r="2869" spans="1:30" ht="38.25">
      <c r="A2869" s="145" t="str">
        <f>'[3]Planilha Orçamentária'!A755</f>
        <v>1.13.3.4</v>
      </c>
      <c r="B2869" s="199">
        <f>VLOOKUP(A2869,'[3]Planilha Orçamentária'!A:K,2,0)</f>
        <v>95876</v>
      </c>
      <c r="C2869" s="147" t="str">
        <f>VLOOKUP(A2869,'[3]Planilha Orçamentária'!A:K,3,0)</f>
        <v>TRANSPORTE COM CAMINHÃO BASCULANTE DE 14 M³, EM VIA URBANA PAVIMENTADA, DMT ATÉ 30 KM (UNIDADE: M3XKM). AF_07/2020</v>
      </c>
      <c r="D2869" s="148" t="str">
        <f>VLOOKUP(A2869,'[3]Planilha Orçamentária'!A:K,4,0)</f>
        <v>M3XKM</v>
      </c>
      <c r="E2869" s="147"/>
      <c r="F2869" s="160"/>
      <c r="G2869" s="160"/>
      <c r="H2869" s="160"/>
      <c r="I2869" s="160"/>
      <c r="J2869" s="150">
        <f>ROUND(SUM(J2871),2)</f>
        <v>624.16999999999996</v>
      </c>
      <c r="U2869" s="137"/>
      <c r="V2869" s="137"/>
      <c r="W2869" s="137"/>
      <c r="X2869" s="137"/>
      <c r="Y2869" s="137"/>
      <c r="Z2869" s="137"/>
      <c r="AA2869" s="137"/>
      <c r="AB2869" s="137"/>
      <c r="AC2869" s="137"/>
      <c r="AD2869" s="137"/>
    </row>
    <row r="2870" spans="1:30">
      <c r="A2870" s="123"/>
      <c r="B2870" s="123"/>
      <c r="C2870" s="171" t="s">
        <v>2346</v>
      </c>
      <c r="D2870" s="123"/>
      <c r="E2870" s="123" t="s">
        <v>2011</v>
      </c>
      <c r="F2870" s="123"/>
      <c r="G2870" s="123"/>
      <c r="H2870" s="123"/>
      <c r="I2870" s="123" t="s">
        <v>2007</v>
      </c>
      <c r="J2870" s="123"/>
      <c r="U2870" s="137"/>
      <c r="V2870" s="137"/>
      <c r="W2870" s="137"/>
      <c r="X2870" s="137"/>
      <c r="Y2870" s="137"/>
      <c r="Z2870" s="137"/>
      <c r="AA2870" s="137"/>
      <c r="AB2870" s="137"/>
      <c r="AC2870" s="137"/>
      <c r="AD2870" s="137"/>
    </row>
    <row r="2871" spans="1:30">
      <c r="A2871" s="123"/>
      <c r="B2871" s="123"/>
      <c r="C2871" s="155" t="s">
        <v>2347</v>
      </c>
      <c r="D2871" s="123"/>
      <c r="E2871" s="162">
        <v>6.7</v>
      </c>
      <c r="F2871" s="162"/>
      <c r="G2871" s="162"/>
      <c r="H2871" s="162"/>
      <c r="I2871" s="172">
        <f>J2865</f>
        <v>93.16</v>
      </c>
      <c r="J2871" s="128">
        <f>ROUND(PRODUCT(E2871:I2871),2)</f>
        <v>624.16999999999996</v>
      </c>
      <c r="U2871" s="137"/>
      <c r="V2871" s="137"/>
      <c r="W2871" s="137"/>
      <c r="X2871" s="137"/>
      <c r="Y2871" s="137"/>
      <c r="Z2871" s="137"/>
      <c r="AA2871" s="137"/>
      <c r="AB2871" s="137"/>
      <c r="AC2871" s="137"/>
      <c r="AD2871" s="137"/>
    </row>
    <row r="2872" spans="1:30">
      <c r="A2872" s="528"/>
      <c r="B2872" s="529"/>
      <c r="C2872" s="529"/>
      <c r="D2872" s="529"/>
      <c r="E2872" s="529"/>
      <c r="F2872" s="529"/>
      <c r="G2872" s="529"/>
      <c r="H2872" s="529"/>
      <c r="I2872" s="529"/>
      <c r="J2872" s="530"/>
      <c r="U2872" s="137"/>
      <c r="V2872" s="137"/>
      <c r="W2872" s="137"/>
      <c r="X2872" s="137"/>
      <c r="Y2872" s="137"/>
      <c r="Z2872" s="137"/>
      <c r="AA2872" s="137"/>
      <c r="AB2872" s="137"/>
      <c r="AC2872" s="137"/>
      <c r="AD2872" s="137"/>
    </row>
    <row r="2873" spans="1:30">
      <c r="A2873" s="94" t="str">
        <f>'[3]Planilha Orçamentária'!A756</f>
        <v>1.13.4</v>
      </c>
      <c r="B2873" s="95"/>
      <c r="C2873" s="96" t="str">
        <f>VLOOKUP(A2873,'[3]Planilha Orçamentária'!A:K,3,0)</f>
        <v>TERRAPLENAGEM</v>
      </c>
      <c r="D2873" s="97"/>
      <c r="E2873" s="98"/>
      <c r="F2873" s="99"/>
      <c r="G2873" s="99"/>
      <c r="H2873" s="99"/>
      <c r="I2873" s="100"/>
      <c r="J2873" s="173"/>
      <c r="U2873" s="137"/>
      <c r="V2873" s="137"/>
      <c r="W2873" s="137"/>
      <c r="X2873" s="137"/>
      <c r="Y2873" s="137"/>
      <c r="Z2873" s="137"/>
      <c r="AA2873" s="137"/>
      <c r="AB2873" s="137"/>
      <c r="AC2873" s="137"/>
      <c r="AD2873" s="137"/>
    </row>
    <row r="2874" spans="1:30" ht="38.25">
      <c r="A2874" s="132" t="str">
        <f>'[3]Planilha Orçamentária'!A757</f>
        <v>1.13.4.1</v>
      </c>
      <c r="B2874" s="103" t="str">
        <f>VLOOKUP(A2874,'[3]Planilha Orçamentária'!A:K,2,0)</f>
        <v>CP-74205/001-17324935</v>
      </c>
      <c r="C2874" s="104" t="str">
        <f>VLOOKUP(A2874,'[3]Planilha Orçamentária'!A:K,3,0)</f>
        <v>ESCAVAÇÃO MECÂNICA DE MATERIAL 1A. CATEGORIA, PROVENIENTE DE CORTE DE SUBLEITO (C/TRATOR ESTEIRAS  160HP)</v>
      </c>
      <c r="D2874" s="105" t="str">
        <f>VLOOKUP(A2874,'[3]Planilha Orçamentária'!A:K,4,0)</f>
        <v>M3</v>
      </c>
      <c r="E2874" s="104"/>
      <c r="F2874" s="111"/>
      <c r="G2874" s="111"/>
      <c r="H2874" s="111"/>
      <c r="I2874" s="111"/>
      <c r="J2874" s="107">
        <f>ROUND(SUM(J2876:J2876),2)</f>
        <v>7113.27</v>
      </c>
      <c r="U2874" s="137"/>
      <c r="V2874" s="137"/>
      <c r="W2874" s="137"/>
      <c r="X2874" s="137"/>
      <c r="Y2874" s="137"/>
      <c r="Z2874" s="137"/>
      <c r="AA2874" s="137"/>
      <c r="AB2874" s="137"/>
      <c r="AC2874" s="137"/>
      <c r="AD2874" s="137"/>
    </row>
    <row r="2875" spans="1:30">
      <c r="A2875" s="132"/>
      <c r="B2875" s="103"/>
      <c r="C2875" s="165" t="s">
        <v>2348</v>
      </c>
      <c r="D2875" s="105"/>
      <c r="E2875" s="104"/>
      <c r="F2875" s="111"/>
      <c r="G2875" s="111"/>
      <c r="H2875" s="111"/>
      <c r="I2875" s="106" t="s">
        <v>2007</v>
      </c>
      <c r="J2875" s="107"/>
      <c r="U2875" s="137"/>
      <c r="V2875" s="137"/>
      <c r="W2875" s="137"/>
      <c r="X2875" s="137"/>
      <c r="Y2875" s="137"/>
      <c r="Z2875" s="137"/>
      <c r="AA2875" s="137"/>
      <c r="AB2875" s="137"/>
      <c r="AC2875" s="137"/>
      <c r="AD2875" s="137"/>
    </row>
    <row r="2876" spans="1:30">
      <c r="A2876" s="174"/>
      <c r="B2876" s="175"/>
      <c r="C2876" s="155" t="s">
        <v>2097</v>
      </c>
      <c r="D2876" s="156"/>
      <c r="E2876" s="157"/>
      <c r="F2876" s="157"/>
      <c r="G2876" s="157"/>
      <c r="H2876" s="157"/>
      <c r="I2876" s="157">
        <f>462.83+6650.44</f>
        <v>7113.2699999999995</v>
      </c>
      <c r="J2876" s="176">
        <f>ROUND(PRODUCT(E2876:I2876),2)</f>
        <v>7113.27</v>
      </c>
      <c r="U2876" s="137"/>
      <c r="V2876" s="137"/>
      <c r="W2876" s="137"/>
      <c r="X2876" s="137"/>
      <c r="Y2876" s="137"/>
      <c r="Z2876" s="137"/>
      <c r="AA2876" s="137"/>
      <c r="AB2876" s="137"/>
      <c r="AC2876" s="137"/>
      <c r="AD2876" s="137"/>
    </row>
    <row r="2877" spans="1:30">
      <c r="A2877" s="549"/>
      <c r="B2877" s="549"/>
      <c r="C2877" s="549"/>
      <c r="D2877" s="549"/>
      <c r="E2877" s="549"/>
      <c r="F2877" s="549"/>
      <c r="G2877" s="549"/>
      <c r="H2877" s="549"/>
      <c r="I2877" s="549"/>
      <c r="J2877" s="549"/>
      <c r="U2877" s="137"/>
      <c r="V2877" s="137"/>
      <c r="W2877" s="137"/>
      <c r="X2877" s="137"/>
      <c r="Y2877" s="137"/>
      <c r="Z2877" s="137"/>
      <c r="AA2877" s="137"/>
      <c r="AB2877" s="137"/>
      <c r="AC2877" s="137"/>
      <c r="AD2877" s="137"/>
    </row>
    <row r="2878" spans="1:30" ht="51">
      <c r="A2878" s="177" t="str">
        <f>'[3]Planilha Orçamentária'!A758</f>
        <v>1.13.4.2</v>
      </c>
      <c r="B2878" s="178" t="str">
        <f>VLOOKUP(A2878,'[3]Planilha Orçamentária'!A:K,2,0)</f>
        <v>COMP-35145154</v>
      </c>
      <c r="C2878" s="179" t="str">
        <f>VLOOKUP(A2878,'[3]Planilha Orçamentária'!A:K,3,0)</f>
        <v>CARGA E DESCARGA MECANICA DE SOLO UTILIZANDO CAMINHAO BASCULANTE 14,0M3/36T E PA CARREGADEIRA SOBRE PNEUS 128 HP, CAPACIDADE DA CAÇAMBA 1,7 A 2,8 M3, PESO OPERACIONAL 11632 KH</v>
      </c>
      <c r="D2878" s="180" t="str">
        <f>VLOOKUP(A2878,'[3]Planilha Orçamentária'!A:K,4,0)</f>
        <v>M3</v>
      </c>
      <c r="E2878" s="179"/>
      <c r="F2878" s="181"/>
      <c r="G2878" s="181"/>
      <c r="H2878" s="181"/>
      <c r="I2878" s="181"/>
      <c r="J2878" s="107">
        <f>ROUND(SUM(J2880:J2880),2)</f>
        <v>8888.9</v>
      </c>
      <c r="U2878" s="137"/>
      <c r="V2878" s="137"/>
      <c r="W2878" s="137"/>
      <c r="X2878" s="137"/>
      <c r="Y2878" s="137"/>
      <c r="Z2878" s="137"/>
      <c r="AA2878" s="137"/>
      <c r="AB2878" s="137"/>
      <c r="AC2878" s="137"/>
      <c r="AD2878" s="137"/>
    </row>
    <row r="2879" spans="1:30">
      <c r="A2879" s="177"/>
      <c r="B2879" s="178"/>
      <c r="C2879" s="155" t="s">
        <v>2015</v>
      </c>
      <c r="D2879" s="180"/>
      <c r="E2879" s="184" t="s">
        <v>2006</v>
      </c>
      <c r="F2879" s="332"/>
      <c r="G2879" s="332"/>
      <c r="H2879" s="332"/>
      <c r="I2879" s="332" t="s">
        <v>2007</v>
      </c>
      <c r="J2879" s="182"/>
      <c r="U2879" s="137"/>
      <c r="V2879" s="137"/>
      <c r="W2879" s="137"/>
      <c r="X2879" s="137"/>
      <c r="Y2879" s="137"/>
      <c r="Z2879" s="137"/>
      <c r="AA2879" s="137"/>
      <c r="AB2879" s="137"/>
      <c r="AC2879" s="137"/>
      <c r="AD2879" s="137"/>
    </row>
    <row r="2880" spans="1:30">
      <c r="A2880" s="177"/>
      <c r="B2880" s="178"/>
      <c r="C2880" s="155" t="s">
        <v>2016</v>
      </c>
      <c r="D2880" s="156"/>
      <c r="E2880" s="157">
        <v>1.25</v>
      </c>
      <c r="F2880" s="116"/>
      <c r="G2880" s="116"/>
      <c r="H2880" s="116"/>
      <c r="I2880" s="116">
        <f>J2874-J2886</f>
        <v>7111.1200000000008</v>
      </c>
      <c r="J2880" s="176">
        <f>ROUND(PRODUCT(E2880:I2880),2)</f>
        <v>8888.9</v>
      </c>
      <c r="U2880" s="137"/>
      <c r="V2880" s="137"/>
      <c r="W2880" s="137"/>
      <c r="X2880" s="137"/>
      <c r="Y2880" s="137"/>
      <c r="Z2880" s="137"/>
      <c r="AA2880" s="137"/>
      <c r="AB2880" s="137"/>
      <c r="AC2880" s="137"/>
      <c r="AD2880" s="137"/>
    </row>
    <row r="2881" spans="1:30">
      <c r="A2881" s="549"/>
      <c r="B2881" s="549"/>
      <c r="C2881" s="549"/>
      <c r="D2881" s="549"/>
      <c r="E2881" s="549"/>
      <c r="F2881" s="549"/>
      <c r="G2881" s="549"/>
      <c r="H2881" s="549"/>
      <c r="I2881" s="549"/>
      <c r="J2881" s="549"/>
      <c r="U2881" s="137"/>
      <c r="V2881" s="137"/>
      <c r="W2881" s="137"/>
      <c r="X2881" s="137"/>
      <c r="Y2881" s="137"/>
      <c r="Z2881" s="137"/>
      <c r="AA2881" s="137"/>
      <c r="AB2881" s="137"/>
      <c r="AC2881" s="137"/>
      <c r="AD2881" s="137"/>
    </row>
    <row r="2882" spans="1:30" ht="38.25">
      <c r="A2882" s="186" t="str">
        <f>'[3]Planilha Orçamentária'!A759</f>
        <v>1.13.4.3</v>
      </c>
      <c r="B2882" s="187">
        <f>VLOOKUP(A2882,'[3]Planilha Orçamentária'!A:K,2,0)</f>
        <v>95876</v>
      </c>
      <c r="C2882" s="188" t="str">
        <f>VLOOKUP(A2882,'[3]Planilha Orçamentária'!A:K,3,0)</f>
        <v>TRANSPORTE COM CAMINHÃO BASCULANTE DE 14 M³, EM VIA URBANA PAVIMENTADA, DMT ATÉ 30 KM (UNIDADE: M3XKM). AF_07/2020</v>
      </c>
      <c r="D2882" s="189" t="str">
        <f>VLOOKUP(A2882,'[3]Planilha Orçamentária'!A:K,4,0)</f>
        <v>M3XKM</v>
      </c>
      <c r="E2882" s="188"/>
      <c r="F2882" s="160"/>
      <c r="G2882" s="160"/>
      <c r="H2882" s="160"/>
      <c r="I2882" s="160"/>
      <c r="J2882" s="122">
        <f>ROUND(SUM(J2884:J2884),2)</f>
        <v>59555.63</v>
      </c>
      <c r="U2882" s="137"/>
      <c r="V2882" s="137"/>
      <c r="W2882" s="137"/>
      <c r="X2882" s="137"/>
      <c r="Y2882" s="137"/>
      <c r="Z2882" s="137"/>
      <c r="AA2882" s="137"/>
      <c r="AB2882" s="137"/>
      <c r="AC2882" s="137"/>
      <c r="AD2882" s="137"/>
    </row>
    <row r="2883" spans="1:30">
      <c r="A2883" s="186"/>
      <c r="B2883" s="187"/>
      <c r="C2883" s="171" t="s">
        <v>2346</v>
      </c>
      <c r="D2883" s="189"/>
      <c r="E2883" s="208" t="s">
        <v>2011</v>
      </c>
      <c r="F2883" s="160"/>
      <c r="G2883" s="160"/>
      <c r="H2883" s="161"/>
      <c r="I2883" s="161" t="s">
        <v>2007</v>
      </c>
      <c r="J2883" s="150"/>
      <c r="U2883" s="137"/>
      <c r="V2883" s="137"/>
      <c r="W2883" s="137"/>
      <c r="X2883" s="137"/>
      <c r="Y2883" s="137"/>
      <c r="Z2883" s="137"/>
      <c r="AA2883" s="137"/>
      <c r="AB2883" s="137"/>
      <c r="AC2883" s="137"/>
      <c r="AD2883" s="137"/>
    </row>
    <row r="2884" spans="1:30">
      <c r="A2884" s="186"/>
      <c r="B2884" s="187"/>
      <c r="C2884" s="155" t="s">
        <v>2347</v>
      </c>
      <c r="D2884" s="156"/>
      <c r="E2884" s="162">
        <v>6.7</v>
      </c>
      <c r="F2884" s="207"/>
      <c r="G2884" s="207"/>
      <c r="H2884" s="207"/>
      <c r="I2884" s="195">
        <f>J2878</f>
        <v>8888.9</v>
      </c>
      <c r="J2884" s="196">
        <f>ROUND(PRODUCT(E2884:I2884),2)</f>
        <v>59555.63</v>
      </c>
      <c r="U2884" s="137"/>
      <c r="V2884" s="137"/>
      <c r="W2884" s="137"/>
      <c r="X2884" s="137"/>
      <c r="Y2884" s="137"/>
      <c r="Z2884" s="137"/>
      <c r="AA2884" s="137"/>
      <c r="AB2884" s="137"/>
      <c r="AC2884" s="137"/>
      <c r="AD2884" s="137"/>
    </row>
    <row r="2885" spans="1:30">
      <c r="A2885" s="532"/>
      <c r="B2885" s="533"/>
      <c r="C2885" s="533"/>
      <c r="D2885" s="533"/>
      <c r="E2885" s="533"/>
      <c r="F2885" s="533"/>
      <c r="G2885" s="533"/>
      <c r="H2885" s="533"/>
      <c r="I2885" s="533"/>
      <c r="J2885" s="534"/>
      <c r="U2885" s="137"/>
      <c r="V2885" s="137"/>
      <c r="W2885" s="137"/>
      <c r="X2885" s="137"/>
      <c r="Y2885" s="137"/>
      <c r="Z2885" s="137"/>
      <c r="AA2885" s="137"/>
      <c r="AB2885" s="137"/>
      <c r="AC2885" s="137"/>
      <c r="AD2885" s="137"/>
    </row>
    <row r="2886" spans="1:30" ht="38.25">
      <c r="A2886" s="132" t="str">
        <f>'[3]Planilha Orçamentária'!A760</f>
        <v>1.13.4.4</v>
      </c>
      <c r="B2886" s="103">
        <f>VLOOKUP(A2886,'[3]Planilha Orçamentária'!A:K,2,0)</f>
        <v>96385</v>
      </c>
      <c r="C2886" s="104" t="str">
        <f>VLOOKUP(A2886,'[3]Planilha Orçamentária'!A:K,3,0)</f>
        <v>EXECUÇÃO E COMPACTAÇÃO DE ATERRO COM SOLO PREDOMINANTEMENTE ARGILOSO - EXCLUSIVE SOLO, ESCAVAÇÃO, CARGA E TRANSPORTE. AF_11/2019</v>
      </c>
      <c r="D2886" s="105" t="str">
        <f>VLOOKUP(A2886,'[3]Planilha Orçamentária'!A:K,4,0)</f>
        <v>M3</v>
      </c>
      <c r="E2886" s="104"/>
      <c r="F2886" s="111"/>
      <c r="G2886" s="111"/>
      <c r="H2886" s="111"/>
      <c r="I2886" s="111"/>
      <c r="J2886" s="107">
        <f>ROUND(SUM(J2888:J2888),2)</f>
        <v>2.15</v>
      </c>
      <c r="U2886" s="137"/>
      <c r="V2886" s="137"/>
      <c r="W2886" s="137"/>
      <c r="X2886" s="137"/>
      <c r="Y2886" s="137"/>
      <c r="Z2886" s="137"/>
      <c r="AA2886" s="137"/>
      <c r="AB2886" s="137"/>
      <c r="AC2886" s="137"/>
      <c r="AD2886" s="137"/>
    </row>
    <row r="2887" spans="1:30">
      <c r="A2887" s="132"/>
      <c r="B2887" s="103"/>
      <c r="C2887" s="165" t="s">
        <v>2348</v>
      </c>
      <c r="D2887" s="105"/>
      <c r="E2887" s="104"/>
      <c r="F2887" s="111"/>
      <c r="G2887" s="111"/>
      <c r="H2887" s="111"/>
      <c r="I2887" s="106" t="s">
        <v>2007</v>
      </c>
      <c r="J2887" s="107"/>
      <c r="U2887" s="137"/>
      <c r="V2887" s="137"/>
      <c r="W2887" s="137"/>
      <c r="X2887" s="137"/>
      <c r="Y2887" s="137"/>
      <c r="Z2887" s="137"/>
      <c r="AA2887" s="137"/>
      <c r="AB2887" s="137"/>
      <c r="AC2887" s="137"/>
      <c r="AD2887" s="137"/>
    </row>
    <row r="2888" spans="1:30">
      <c r="A2888" s="174"/>
      <c r="B2888" s="175"/>
      <c r="C2888" s="155" t="s">
        <v>2097</v>
      </c>
      <c r="D2888" s="156"/>
      <c r="E2888" s="157"/>
      <c r="F2888" s="157"/>
      <c r="G2888" s="157"/>
      <c r="H2888" s="157"/>
      <c r="I2888" s="157">
        <v>2.15</v>
      </c>
      <c r="J2888" s="176">
        <f>ROUND(PRODUCT(E2888:I2888),2)</f>
        <v>2.15</v>
      </c>
      <c r="U2888" s="137"/>
      <c r="V2888" s="137"/>
      <c r="W2888" s="137"/>
      <c r="X2888" s="137"/>
      <c r="Y2888" s="137"/>
      <c r="Z2888" s="137"/>
      <c r="AA2888" s="137"/>
      <c r="AB2888" s="137"/>
      <c r="AC2888" s="137"/>
      <c r="AD2888" s="137"/>
    </row>
    <row r="2889" spans="1:30">
      <c r="A2889" s="549"/>
      <c r="B2889" s="549"/>
      <c r="C2889" s="549"/>
      <c r="D2889" s="549"/>
      <c r="E2889" s="549"/>
      <c r="F2889" s="549"/>
      <c r="G2889" s="549"/>
      <c r="H2889" s="549"/>
      <c r="I2889" s="549"/>
      <c r="J2889" s="549"/>
      <c r="U2889" s="137"/>
      <c r="V2889" s="137"/>
      <c r="W2889" s="137"/>
      <c r="X2889" s="137"/>
      <c r="Y2889" s="137"/>
      <c r="Z2889" s="137"/>
      <c r="AA2889" s="137"/>
      <c r="AB2889" s="137"/>
      <c r="AC2889" s="137"/>
      <c r="AD2889" s="137"/>
    </row>
    <row r="2890" spans="1:30">
      <c r="A2890" s="94" t="str">
        <f>'[3]Planilha Orçamentária'!A761</f>
        <v>1.13.5</v>
      </c>
      <c r="B2890" s="95"/>
      <c r="C2890" s="96" t="str">
        <f>VLOOKUP(A2890,'[3]Planilha Orçamentária'!A:K,3,0)</f>
        <v>PAVIMENTAÇÃO</v>
      </c>
      <c r="D2890" s="97"/>
      <c r="E2890" s="98"/>
      <c r="F2890" s="99"/>
      <c r="G2890" s="99"/>
      <c r="H2890" s="99"/>
      <c r="I2890" s="100"/>
      <c r="J2890" s="131"/>
      <c r="U2890" s="137"/>
      <c r="V2890" s="137"/>
      <c r="W2890" s="137"/>
      <c r="X2890" s="137"/>
      <c r="Y2890" s="137"/>
      <c r="Z2890" s="137"/>
      <c r="AA2890" s="137"/>
      <c r="AB2890" s="137"/>
      <c r="AC2890" s="137"/>
      <c r="AD2890" s="137"/>
    </row>
    <row r="2891" spans="1:30" ht="25.5">
      <c r="A2891" s="102" t="str">
        <f>'[3]Planilha Orçamentária'!A762</f>
        <v>1.13.5.1</v>
      </c>
      <c r="B2891" s="108">
        <f>VLOOKUP(A2891,'[3]Planilha Orçamentária'!A:K,2,0)</f>
        <v>96001</v>
      </c>
      <c r="C2891" s="104" t="str">
        <f>VLOOKUP(A2891,'[3]Planilha Orçamentária'!A:K,3,0)</f>
        <v>FRESAGEM DE PAVIMENTO ASFÁLTICO (PROFUNDIDADE ATÉ 5,0 CM) - EXCLUSIVE TRANSPORTE. AF_11/2019</v>
      </c>
      <c r="D2891" s="105" t="str">
        <f>VLOOKUP(A2891,'[3]Planilha Orçamentária'!A:K,4,0)</f>
        <v>M2</v>
      </c>
      <c r="E2891" s="104"/>
      <c r="F2891" s="106"/>
      <c r="G2891" s="106"/>
      <c r="H2891" s="106"/>
      <c r="I2891" s="106"/>
      <c r="J2891" s="122">
        <f>ROUND(SUM(J2893:J2893),2)</f>
        <v>243.32</v>
      </c>
      <c r="U2891" s="137"/>
      <c r="V2891" s="137"/>
      <c r="W2891" s="137"/>
      <c r="X2891" s="137"/>
      <c r="Y2891" s="137"/>
      <c r="Z2891" s="137"/>
      <c r="AA2891" s="137"/>
      <c r="AB2891" s="137"/>
      <c r="AC2891" s="137"/>
      <c r="AD2891" s="137"/>
    </row>
    <row r="2892" spans="1:30">
      <c r="A2892" s="138"/>
      <c r="B2892" s="138"/>
      <c r="C2892" s="159" t="s">
        <v>2349</v>
      </c>
      <c r="D2892" s="105"/>
      <c r="E2892" s="104"/>
      <c r="F2892" s="111"/>
      <c r="G2892" s="111"/>
      <c r="H2892" s="111"/>
      <c r="I2892" s="106" t="s">
        <v>2003</v>
      </c>
      <c r="J2892" s="325"/>
      <c r="U2892" s="137"/>
      <c r="V2892" s="137"/>
      <c r="W2892" s="137"/>
      <c r="X2892" s="137"/>
      <c r="Y2892" s="137"/>
      <c r="Z2892" s="137"/>
      <c r="AA2892" s="137"/>
      <c r="AB2892" s="137"/>
      <c r="AC2892" s="137"/>
      <c r="AD2892" s="137"/>
    </row>
    <row r="2893" spans="1:30">
      <c r="A2893" s="138"/>
      <c r="B2893" s="138"/>
      <c r="C2893" s="328" t="s">
        <v>2350</v>
      </c>
      <c r="D2893" s="125"/>
      <c r="E2893" s="126"/>
      <c r="F2893" s="126"/>
      <c r="G2893" s="126"/>
      <c r="H2893" s="126"/>
      <c r="I2893" s="126">
        <v>243.32</v>
      </c>
      <c r="J2893" s="128">
        <f>ROUND(PRODUCT(E2893:I2893),2)</f>
        <v>243.32</v>
      </c>
      <c r="U2893" s="137"/>
      <c r="V2893" s="137"/>
      <c r="W2893" s="137"/>
      <c r="X2893" s="137"/>
      <c r="Y2893" s="137"/>
      <c r="Z2893" s="137"/>
      <c r="AA2893" s="137"/>
      <c r="AB2893" s="137"/>
      <c r="AC2893" s="137"/>
      <c r="AD2893" s="137"/>
    </row>
    <row r="2894" spans="1:30">
      <c r="A2894" s="523"/>
      <c r="B2894" s="524"/>
      <c r="C2894" s="524"/>
      <c r="D2894" s="524"/>
      <c r="E2894" s="524"/>
      <c r="F2894" s="524"/>
      <c r="G2894" s="524"/>
      <c r="H2894" s="524"/>
      <c r="I2894" s="524"/>
      <c r="J2894" s="525"/>
      <c r="U2894" s="137"/>
      <c r="V2894" s="137"/>
      <c r="W2894" s="137"/>
      <c r="X2894" s="137"/>
      <c r="Y2894" s="137"/>
      <c r="Z2894" s="137"/>
      <c r="AA2894" s="137"/>
      <c r="AB2894" s="137"/>
      <c r="AC2894" s="137"/>
      <c r="AD2894" s="137"/>
    </row>
    <row r="2895" spans="1:30" ht="51">
      <c r="A2895" s="102" t="str">
        <f>'[3]Planilha Orçamentária'!A763</f>
        <v>1.13.5.2</v>
      </c>
      <c r="B2895" s="108">
        <f>VLOOKUP(A2895,'[3]Planilha Orçamentária'!A:K,2,0)</f>
        <v>100983</v>
      </c>
      <c r="C2895" s="104" t="str">
        <f>VLOOKUP(A2895,'[3]Planilha Orçamentária'!A:K,3,0)</f>
        <v>CARGA, MANOBRA E DESCARGA DE ENTULHO EM CAMINHÃO BASCULANTE 14 M³ - CARGA COM ESCAVADEIRA HIDRÁULICA  (CAÇAMBA DE 0,80 M³ / 111 HP) E DESCARGA LIVRE (UNIDADE: M3). AF_07/2020</v>
      </c>
      <c r="D2895" s="105" t="str">
        <f>VLOOKUP(A2895,'[3]Planilha Orçamentária'!A:K,4,0)</f>
        <v>M3</v>
      </c>
      <c r="E2895" s="104"/>
      <c r="F2895" s="106"/>
      <c r="G2895" s="106"/>
      <c r="H2895" s="106"/>
      <c r="I2895" s="106"/>
      <c r="J2895" s="122">
        <f>ROUND(SUM(J2897:J2897),2)</f>
        <v>12.17</v>
      </c>
      <c r="U2895" s="137"/>
      <c r="V2895" s="137"/>
      <c r="W2895" s="137"/>
      <c r="X2895" s="137"/>
      <c r="Y2895" s="137"/>
      <c r="Z2895" s="137"/>
      <c r="AA2895" s="137"/>
      <c r="AB2895" s="137"/>
      <c r="AC2895" s="137"/>
      <c r="AD2895" s="137"/>
    </row>
    <row r="2896" spans="1:30">
      <c r="A2896" s="138"/>
      <c r="B2896" s="138"/>
      <c r="C2896" s="159" t="s">
        <v>2349</v>
      </c>
      <c r="D2896" s="105"/>
      <c r="E2896" s="104"/>
      <c r="F2896" s="111"/>
      <c r="G2896" s="111"/>
      <c r="H2896" s="106" t="s">
        <v>2002</v>
      </c>
      <c r="I2896" s="106" t="s">
        <v>2003</v>
      </c>
      <c r="J2896" s="325"/>
      <c r="U2896" s="137"/>
      <c r="V2896" s="137"/>
      <c r="W2896" s="137"/>
      <c r="X2896" s="137"/>
      <c r="Y2896" s="137"/>
      <c r="Z2896" s="137"/>
      <c r="AA2896" s="137"/>
      <c r="AB2896" s="137"/>
      <c r="AC2896" s="137"/>
      <c r="AD2896" s="137"/>
    </row>
    <row r="2897" spans="1:30">
      <c r="A2897" s="138"/>
      <c r="B2897" s="138"/>
      <c r="C2897" s="328" t="s">
        <v>2351</v>
      </c>
      <c r="D2897" s="125"/>
      <c r="E2897" s="126"/>
      <c r="F2897" s="126"/>
      <c r="G2897" s="126"/>
      <c r="H2897" s="126">
        <v>0.05</v>
      </c>
      <c r="I2897" s="126">
        <f>J2891</f>
        <v>243.32</v>
      </c>
      <c r="J2897" s="128">
        <f>ROUND(PRODUCT(E2897:I2897),2)</f>
        <v>12.17</v>
      </c>
      <c r="U2897" s="137"/>
      <c r="V2897" s="137"/>
      <c r="W2897" s="137"/>
      <c r="X2897" s="137"/>
      <c r="Y2897" s="137"/>
      <c r="Z2897" s="137"/>
      <c r="AA2897" s="137"/>
      <c r="AB2897" s="137"/>
      <c r="AC2897" s="137"/>
      <c r="AD2897" s="137"/>
    </row>
    <row r="2898" spans="1:30">
      <c r="A2898" s="523"/>
      <c r="B2898" s="524"/>
      <c r="C2898" s="524"/>
      <c r="D2898" s="524"/>
      <c r="E2898" s="524"/>
      <c r="F2898" s="524"/>
      <c r="G2898" s="524"/>
      <c r="H2898" s="524"/>
      <c r="I2898" s="524"/>
      <c r="J2898" s="525"/>
      <c r="U2898" s="137"/>
      <c r="V2898" s="137"/>
      <c r="W2898" s="137"/>
      <c r="X2898" s="137"/>
      <c r="Y2898" s="137"/>
      <c r="Z2898" s="137"/>
      <c r="AA2898" s="137"/>
      <c r="AB2898" s="137"/>
      <c r="AC2898" s="137"/>
      <c r="AD2898" s="137"/>
    </row>
    <row r="2899" spans="1:30" ht="38.25">
      <c r="A2899" s="102" t="str">
        <f>'[3]Planilha Orçamentária'!A764</f>
        <v>1.13.5.3</v>
      </c>
      <c r="B2899" s="108">
        <f>VLOOKUP(A2899,'[3]Planilha Orçamentária'!A:K,2,0)</f>
        <v>95876</v>
      </c>
      <c r="C2899" s="104" t="str">
        <f>VLOOKUP(A2899,'[3]Planilha Orçamentária'!A:K,3,0)</f>
        <v>TRANSPORTE COM CAMINHÃO BASCULANTE DE 14 M³, EM VIA URBANA PAVIMENTADA, DMT ATÉ 30 KM (UNIDADE: M3XKM). AF_07/2020</v>
      </c>
      <c r="D2899" s="105" t="str">
        <f>VLOOKUP(A2899,'[3]Planilha Orçamentária'!A:K,4,0)</f>
        <v>M3XKM</v>
      </c>
      <c r="E2899" s="104"/>
      <c r="F2899" s="106"/>
      <c r="G2899" s="106"/>
      <c r="H2899" s="106"/>
      <c r="I2899" s="106"/>
      <c r="J2899" s="122">
        <f>ROUND(SUM(J2901:J2901),2)</f>
        <v>81.540000000000006</v>
      </c>
      <c r="U2899" s="137"/>
      <c r="V2899" s="137"/>
      <c r="W2899" s="137"/>
      <c r="X2899" s="137"/>
      <c r="Y2899" s="137"/>
      <c r="Z2899" s="137"/>
      <c r="AA2899" s="137"/>
      <c r="AB2899" s="137"/>
      <c r="AC2899" s="137"/>
      <c r="AD2899" s="137"/>
    </row>
    <row r="2900" spans="1:30">
      <c r="A2900" s="138"/>
      <c r="B2900" s="138"/>
      <c r="C2900" s="159" t="s">
        <v>2349</v>
      </c>
      <c r="D2900" s="105"/>
      <c r="E2900" s="104"/>
      <c r="F2900" s="111"/>
      <c r="G2900" s="111"/>
      <c r="H2900" s="111"/>
      <c r="I2900" s="111"/>
      <c r="J2900" s="325"/>
      <c r="U2900" s="137"/>
      <c r="V2900" s="137"/>
      <c r="W2900" s="137"/>
      <c r="X2900" s="137"/>
      <c r="Y2900" s="137"/>
      <c r="Z2900" s="137"/>
      <c r="AA2900" s="137"/>
      <c r="AB2900" s="137"/>
      <c r="AC2900" s="137"/>
      <c r="AD2900" s="137"/>
    </row>
    <row r="2901" spans="1:30">
      <c r="A2901" s="138"/>
      <c r="B2901" s="138"/>
      <c r="C2901" s="155" t="s">
        <v>2347</v>
      </c>
      <c r="D2901" s="156"/>
      <c r="E2901" s="162">
        <v>6.7</v>
      </c>
      <c r="F2901" s="126"/>
      <c r="G2901" s="126"/>
      <c r="H2901" s="126"/>
      <c r="I2901" s="126">
        <f>J2895</f>
        <v>12.17</v>
      </c>
      <c r="J2901" s="128">
        <f>ROUND(PRODUCT(E2901:I2901),2)</f>
        <v>81.540000000000006</v>
      </c>
      <c r="U2901" s="137"/>
      <c r="V2901" s="137"/>
      <c r="W2901" s="137"/>
      <c r="X2901" s="137"/>
      <c r="Y2901" s="137"/>
      <c r="Z2901" s="137"/>
      <c r="AA2901" s="137"/>
      <c r="AB2901" s="137"/>
      <c r="AC2901" s="137"/>
      <c r="AD2901" s="137"/>
    </row>
    <row r="2902" spans="1:30">
      <c r="A2902" s="523"/>
      <c r="B2902" s="524"/>
      <c r="C2902" s="524"/>
      <c r="D2902" s="524"/>
      <c r="E2902" s="524"/>
      <c r="F2902" s="524"/>
      <c r="G2902" s="524"/>
      <c r="H2902" s="524"/>
      <c r="I2902" s="524"/>
      <c r="J2902" s="525"/>
      <c r="U2902" s="137"/>
      <c r="V2902" s="137"/>
      <c r="W2902" s="137"/>
      <c r="X2902" s="137"/>
      <c r="Y2902" s="137"/>
      <c r="Z2902" s="137"/>
      <c r="AA2902" s="137"/>
      <c r="AB2902" s="137"/>
      <c r="AC2902" s="137"/>
      <c r="AD2902" s="137"/>
    </row>
    <row r="2903" spans="1:30" ht="25.5">
      <c r="A2903" s="102" t="str">
        <f>'[3]Planilha Orçamentária'!A765</f>
        <v>1.13.5.4</v>
      </c>
      <c r="B2903" s="108">
        <f>VLOOKUP(A2903,'[3]Planilha Orçamentária'!A:K,2,0)</f>
        <v>96402</v>
      </c>
      <c r="C2903" s="104" t="str">
        <f>VLOOKUP(A2903,'[3]Planilha Orçamentária'!A:K,3,0)</f>
        <v>EXECUÇÃO DE PINTURA DE LIGAÇÃO COM EMULSÃO ASFÁLTICA RR-2C. AF_11/2019</v>
      </c>
      <c r="D2903" s="105" t="str">
        <f>VLOOKUP(A2903,'[3]Planilha Orçamentária'!A:K,4,0)</f>
        <v>M2</v>
      </c>
      <c r="E2903" s="104"/>
      <c r="F2903" s="106"/>
      <c r="G2903" s="106"/>
      <c r="H2903" s="106"/>
      <c r="I2903" s="106"/>
      <c r="J2903" s="122">
        <f>ROUND(SUM(J2905:J2906),2)</f>
        <v>2936.84</v>
      </c>
      <c r="U2903" s="137"/>
      <c r="V2903" s="137"/>
      <c r="W2903" s="137"/>
      <c r="X2903" s="137"/>
      <c r="Y2903" s="137"/>
      <c r="Z2903" s="137"/>
      <c r="AA2903" s="137"/>
      <c r="AB2903" s="137"/>
      <c r="AC2903" s="137"/>
      <c r="AD2903" s="137"/>
    </row>
    <row r="2904" spans="1:30">
      <c r="A2904" s="138"/>
      <c r="B2904" s="138"/>
      <c r="C2904" s="159" t="s">
        <v>2349</v>
      </c>
      <c r="D2904" s="105"/>
      <c r="E2904" s="104"/>
      <c r="F2904" s="111"/>
      <c r="G2904" s="111"/>
      <c r="H2904" s="111"/>
      <c r="I2904" s="106" t="s">
        <v>2003</v>
      </c>
      <c r="J2904" s="325"/>
      <c r="U2904" s="137"/>
      <c r="V2904" s="137"/>
      <c r="W2904" s="137"/>
      <c r="X2904" s="137"/>
      <c r="Y2904" s="137"/>
      <c r="Z2904" s="137"/>
      <c r="AA2904" s="137"/>
      <c r="AB2904" s="137"/>
      <c r="AC2904" s="137"/>
      <c r="AD2904" s="137"/>
    </row>
    <row r="2905" spans="1:30" ht="25.5">
      <c r="A2905" s="138"/>
      <c r="B2905" s="138"/>
      <c r="C2905" s="124" t="s">
        <v>2352</v>
      </c>
      <c r="D2905" s="156"/>
      <c r="E2905" s="157"/>
      <c r="F2905" s="157"/>
      <c r="G2905" s="157"/>
      <c r="H2905" s="157"/>
      <c r="I2905" s="116">
        <v>2693.52</v>
      </c>
      <c r="J2905" s="128">
        <f>ROUND(PRODUCT(E2905:I2905),2)</f>
        <v>2693.52</v>
      </c>
      <c r="U2905" s="137"/>
      <c r="V2905" s="137"/>
      <c r="W2905" s="137"/>
      <c r="X2905" s="137"/>
      <c r="Y2905" s="137"/>
      <c r="Z2905" s="137"/>
      <c r="AA2905" s="137"/>
      <c r="AB2905" s="137"/>
      <c r="AC2905" s="137"/>
      <c r="AD2905" s="137"/>
    </row>
    <row r="2906" spans="1:30">
      <c r="A2906" s="138"/>
      <c r="B2906" s="138"/>
      <c r="C2906" s="124" t="s">
        <v>2353</v>
      </c>
      <c r="D2906" s="156"/>
      <c r="E2906" s="157"/>
      <c r="F2906" s="157"/>
      <c r="G2906" s="157"/>
      <c r="H2906" s="157"/>
      <c r="I2906" s="116">
        <v>243.32</v>
      </c>
      <c r="J2906" s="128">
        <f>ROUND(PRODUCT(E2906:I2906),2)</f>
        <v>243.32</v>
      </c>
      <c r="U2906" s="137"/>
      <c r="V2906" s="137"/>
      <c r="W2906" s="137"/>
      <c r="X2906" s="137"/>
      <c r="Y2906" s="137"/>
      <c r="Z2906" s="137"/>
      <c r="AA2906" s="137"/>
      <c r="AB2906" s="137"/>
      <c r="AC2906" s="137"/>
      <c r="AD2906" s="137"/>
    </row>
    <row r="2907" spans="1:30">
      <c r="A2907" s="523"/>
      <c r="B2907" s="524"/>
      <c r="C2907" s="524"/>
      <c r="D2907" s="524"/>
      <c r="E2907" s="524"/>
      <c r="F2907" s="524"/>
      <c r="G2907" s="524"/>
      <c r="H2907" s="524"/>
      <c r="I2907" s="524"/>
      <c r="J2907" s="525"/>
      <c r="U2907" s="137"/>
      <c r="V2907" s="137"/>
      <c r="W2907" s="137"/>
      <c r="X2907" s="137"/>
      <c r="Y2907" s="137"/>
      <c r="Z2907" s="137"/>
      <c r="AA2907" s="137"/>
      <c r="AB2907" s="137"/>
      <c r="AC2907" s="137"/>
      <c r="AD2907" s="137"/>
    </row>
    <row r="2908" spans="1:30" ht="25.5">
      <c r="A2908" s="102" t="str">
        <f>'[3]Planilha Orçamentária'!A766</f>
        <v>1.13.5.5</v>
      </c>
      <c r="B2908" s="108" t="str">
        <f>VLOOKUP(A2908,'[3]Planilha Orçamentária'!A:K,2,0)</f>
        <v>CP-96401-52745838</v>
      </c>
      <c r="C2908" s="104" t="str">
        <f>VLOOKUP(A2908,'[3]Planilha Orçamentária'!A:K,3,0)</f>
        <v>EXECUÇÃO DE IMPRIMAÇÃO COM ASFALTO DILUÍDO CM-30, EXCLUSIVE MATERIAL.</v>
      </c>
      <c r="D2908" s="105" t="str">
        <f>VLOOKUP(A2908,'[3]Planilha Orçamentária'!A:K,4,0)</f>
        <v>M2</v>
      </c>
      <c r="E2908" s="104"/>
      <c r="F2908" s="106"/>
      <c r="G2908" s="106"/>
      <c r="H2908" s="106"/>
      <c r="I2908" s="106"/>
      <c r="J2908" s="122">
        <f>ROUND(SUM(J2910:J2912),2)</f>
        <v>8527.9599999999991</v>
      </c>
      <c r="U2908" s="137"/>
      <c r="V2908" s="137"/>
      <c r="W2908" s="137"/>
      <c r="X2908" s="137"/>
      <c r="Y2908" s="137"/>
      <c r="Z2908" s="137"/>
      <c r="AA2908" s="137"/>
      <c r="AB2908" s="137"/>
      <c r="AC2908" s="137"/>
      <c r="AD2908" s="137"/>
    </row>
    <row r="2909" spans="1:30">
      <c r="A2909" s="138"/>
      <c r="B2909" s="138"/>
      <c r="C2909" s="159" t="s">
        <v>2349</v>
      </c>
      <c r="D2909" s="105"/>
      <c r="E2909" s="104"/>
      <c r="F2909" s="111"/>
      <c r="G2909" s="111"/>
      <c r="H2909" s="111"/>
      <c r="I2909" s="106" t="s">
        <v>2003</v>
      </c>
      <c r="J2909" s="325"/>
      <c r="U2909" s="137"/>
      <c r="V2909" s="137"/>
      <c r="W2909" s="137"/>
      <c r="X2909" s="137"/>
      <c r="Y2909" s="137"/>
      <c r="Z2909" s="137"/>
      <c r="AA2909" s="137"/>
      <c r="AB2909" s="137"/>
      <c r="AC2909" s="137"/>
      <c r="AD2909" s="137"/>
    </row>
    <row r="2910" spans="1:30">
      <c r="A2910" s="138"/>
      <c r="B2910" s="138"/>
      <c r="C2910" s="429" t="s">
        <v>2354</v>
      </c>
      <c r="D2910" s="156"/>
      <c r="E2910" s="157"/>
      <c r="F2910" s="157"/>
      <c r="G2910" s="157"/>
      <c r="H2910" s="157"/>
      <c r="I2910" s="116">
        <v>9176.64</v>
      </c>
      <c r="J2910" s="128">
        <f>ROUND(PRODUCT(E2910:I2910),2)</f>
        <v>9176.64</v>
      </c>
      <c r="U2910" s="137"/>
      <c r="V2910" s="137"/>
      <c r="W2910" s="137"/>
      <c r="X2910" s="137"/>
      <c r="Y2910" s="137"/>
      <c r="Z2910" s="137"/>
      <c r="AA2910" s="137"/>
      <c r="AB2910" s="137"/>
      <c r="AC2910" s="137"/>
      <c r="AD2910" s="137"/>
    </row>
    <row r="2911" spans="1:30">
      <c r="A2911" s="138"/>
      <c r="B2911" s="138"/>
      <c r="C2911" s="429"/>
      <c r="D2911" s="156"/>
      <c r="E2911" s="157"/>
      <c r="F2911" s="157" t="s">
        <v>1989</v>
      </c>
      <c r="G2911" s="157" t="s">
        <v>1990</v>
      </c>
      <c r="H2911" s="157"/>
      <c r="I2911" s="116"/>
      <c r="J2911" s="128"/>
      <c r="U2911" s="137"/>
      <c r="V2911" s="137"/>
      <c r="W2911" s="137"/>
      <c r="X2911" s="137"/>
      <c r="Y2911" s="137"/>
      <c r="Z2911" s="137"/>
      <c r="AA2911" s="137"/>
      <c r="AB2911" s="137"/>
      <c r="AC2911" s="137"/>
      <c r="AD2911" s="137"/>
    </row>
    <row r="2912" spans="1:30">
      <c r="A2912" s="138"/>
      <c r="B2912" s="138"/>
      <c r="C2912" s="429" t="s">
        <v>2355</v>
      </c>
      <c r="D2912" s="156"/>
      <c r="E2912" s="157">
        <v>-1</v>
      </c>
      <c r="F2912" s="157">
        <v>463.34</v>
      </c>
      <c r="G2912" s="157">
        <v>1.4</v>
      </c>
      <c r="H2912" s="157"/>
      <c r="I2912" s="116"/>
      <c r="J2912" s="128">
        <f>ROUND(PRODUCT(E2912:I2912),2)</f>
        <v>-648.67999999999995</v>
      </c>
      <c r="U2912" s="137"/>
      <c r="V2912" s="137"/>
      <c r="W2912" s="137"/>
      <c r="X2912" s="137"/>
      <c r="Y2912" s="137"/>
      <c r="Z2912" s="137"/>
      <c r="AA2912" s="137"/>
      <c r="AB2912" s="137"/>
      <c r="AC2912" s="137"/>
      <c r="AD2912" s="137"/>
    </row>
    <row r="2913" spans="1:30">
      <c r="A2913" s="317"/>
      <c r="B2913" s="315"/>
      <c r="C2913" s="315"/>
      <c r="D2913" s="315"/>
      <c r="E2913" s="315"/>
      <c r="F2913" s="315"/>
      <c r="G2913" s="315"/>
      <c r="H2913" s="315"/>
      <c r="I2913" s="315"/>
      <c r="J2913" s="316"/>
      <c r="U2913" s="137"/>
      <c r="V2913" s="137"/>
      <c r="W2913" s="137"/>
      <c r="X2913" s="137"/>
      <c r="Y2913" s="137"/>
      <c r="Z2913" s="137"/>
      <c r="AA2913" s="137"/>
      <c r="AB2913" s="137"/>
      <c r="AC2913" s="137"/>
      <c r="AD2913" s="137"/>
    </row>
    <row r="2914" spans="1:30" ht="38.25">
      <c r="A2914" s="102" t="str">
        <f>'[3]Planilha Orçamentária'!A767</f>
        <v>1.13.5.6</v>
      </c>
      <c r="B2914" s="108" t="str">
        <f>VLOOKUP(A2914,'[3]Planilha Orçamentária'!A:K,2,0)</f>
        <v>CP-95995-51339760</v>
      </c>
      <c r="C2914" s="104" t="str">
        <f>VLOOKUP(A2914,'[3]Planilha Orçamentária'!A:K,3,0)</f>
        <v>EXECUÇÃO DE PAVIMENTO COM APLICAÇÃO DE CONCRETO ASFÁLTICO, CAMADA DE ROLAMENTO - EXCLUSIVE CARGA E TRANSPORTE E CONCRETO BETUMINOSO</v>
      </c>
      <c r="D2914" s="105" t="str">
        <f>VLOOKUP(A2914,'[3]Planilha Orçamentária'!A:K,4,0)</f>
        <v>M3</v>
      </c>
      <c r="E2914" s="104"/>
      <c r="F2914" s="106"/>
      <c r="G2914" s="106"/>
      <c r="H2914" s="106"/>
      <c r="I2914" s="106"/>
      <c r="J2914" s="122">
        <f>ROUND(SUM(J2916:J2920),2)</f>
        <v>573.25</v>
      </c>
      <c r="U2914" s="137"/>
      <c r="V2914" s="137"/>
      <c r="W2914" s="137"/>
      <c r="X2914" s="137"/>
      <c r="Y2914" s="137"/>
      <c r="Z2914" s="137"/>
      <c r="AA2914" s="137"/>
      <c r="AB2914" s="137"/>
      <c r="AC2914" s="137"/>
      <c r="AD2914" s="137"/>
    </row>
    <row r="2915" spans="1:30">
      <c r="A2915" s="138"/>
      <c r="B2915" s="138"/>
      <c r="C2915" s="159" t="s">
        <v>2349</v>
      </c>
      <c r="D2915" s="105"/>
      <c r="E2915" s="104"/>
      <c r="F2915" s="111"/>
      <c r="G2915" s="111"/>
      <c r="H2915" s="106" t="s">
        <v>2002</v>
      </c>
      <c r="I2915" s="106" t="s">
        <v>2003</v>
      </c>
      <c r="J2915" s="325"/>
      <c r="U2915" s="137"/>
      <c r="V2915" s="137"/>
      <c r="W2915" s="137"/>
      <c r="X2915" s="137"/>
      <c r="Y2915" s="137"/>
      <c r="Z2915" s="137"/>
      <c r="AA2915" s="137"/>
      <c r="AB2915" s="137"/>
      <c r="AC2915" s="137"/>
      <c r="AD2915" s="137"/>
    </row>
    <row r="2916" spans="1:30">
      <c r="A2916" s="138"/>
      <c r="B2916" s="138"/>
      <c r="C2916" s="429" t="s">
        <v>2356</v>
      </c>
      <c r="D2916" s="185"/>
      <c r="E2916" s="116"/>
      <c r="F2916" s="116"/>
      <c r="G2916" s="116"/>
      <c r="H2916" s="116">
        <v>0.05</v>
      </c>
      <c r="I2916" s="116">
        <f>J2905</f>
        <v>2693.52</v>
      </c>
      <c r="J2916" s="128">
        <f>ROUND(PRODUCT(E2916:I2916),2)</f>
        <v>134.68</v>
      </c>
      <c r="U2916" s="137"/>
      <c r="V2916" s="137"/>
      <c r="W2916" s="137"/>
      <c r="X2916" s="137"/>
      <c r="Y2916" s="137"/>
      <c r="Z2916" s="137"/>
      <c r="AA2916" s="137"/>
      <c r="AB2916" s="137"/>
      <c r="AC2916" s="137"/>
      <c r="AD2916" s="137"/>
    </row>
    <row r="2917" spans="1:30">
      <c r="A2917" s="138"/>
      <c r="B2917" s="138"/>
      <c r="C2917" s="429" t="s">
        <v>2357</v>
      </c>
      <c r="D2917" s="185"/>
      <c r="E2917" s="116"/>
      <c r="F2917" s="116"/>
      <c r="G2917" s="116"/>
      <c r="H2917" s="116">
        <f>H2916</f>
        <v>0.05</v>
      </c>
      <c r="I2917" s="116">
        <f>J2906</f>
        <v>243.32</v>
      </c>
      <c r="J2917" s="128">
        <f t="shared" ref="J2917:J2920" si="198">ROUND(PRODUCT(E2917:I2917),2)</f>
        <v>12.17</v>
      </c>
      <c r="U2917" s="137"/>
      <c r="V2917" s="137"/>
      <c r="W2917" s="137"/>
      <c r="X2917" s="137"/>
      <c r="Y2917" s="137"/>
      <c r="Z2917" s="137"/>
      <c r="AA2917" s="137"/>
      <c r="AB2917" s="137"/>
      <c r="AC2917" s="137"/>
      <c r="AD2917" s="137"/>
    </row>
    <row r="2918" spans="1:30">
      <c r="A2918" s="138"/>
      <c r="B2918" s="138"/>
      <c r="C2918" s="429" t="s">
        <v>2358</v>
      </c>
      <c r="D2918" s="185"/>
      <c r="E2918" s="116"/>
      <c r="F2918" s="116"/>
      <c r="G2918" s="116"/>
      <c r="H2918" s="116">
        <f>H2917</f>
        <v>0.05</v>
      </c>
      <c r="I2918" s="116">
        <f>J2910</f>
        <v>9176.64</v>
      </c>
      <c r="J2918" s="128">
        <f t="shared" si="198"/>
        <v>458.83</v>
      </c>
      <c r="U2918" s="137"/>
      <c r="V2918" s="137"/>
      <c r="W2918" s="137"/>
      <c r="X2918" s="137"/>
      <c r="Y2918" s="137"/>
      <c r="Z2918" s="137"/>
      <c r="AA2918" s="137"/>
      <c r="AB2918" s="137"/>
      <c r="AC2918" s="137"/>
      <c r="AD2918" s="137"/>
    </row>
    <row r="2919" spans="1:30">
      <c r="A2919" s="138"/>
      <c r="B2919" s="138"/>
      <c r="C2919" s="429"/>
      <c r="D2919" s="156"/>
      <c r="E2919" s="157"/>
      <c r="F2919" s="157" t="s">
        <v>1989</v>
      </c>
      <c r="G2919" s="157" t="s">
        <v>1990</v>
      </c>
      <c r="H2919" s="116"/>
      <c r="I2919" s="116"/>
      <c r="J2919" s="128"/>
      <c r="U2919" s="137"/>
      <c r="V2919" s="137"/>
      <c r="W2919" s="137"/>
      <c r="X2919" s="137"/>
      <c r="Y2919" s="137"/>
      <c r="Z2919" s="137"/>
      <c r="AA2919" s="137"/>
      <c r="AB2919" s="137"/>
      <c r="AC2919" s="137"/>
      <c r="AD2919" s="137"/>
    </row>
    <row r="2920" spans="1:30">
      <c r="A2920" s="138"/>
      <c r="B2920" s="138"/>
      <c r="C2920" s="429" t="s">
        <v>2355</v>
      </c>
      <c r="D2920" s="156"/>
      <c r="E2920" s="157">
        <v>-1</v>
      </c>
      <c r="F2920" s="157">
        <f>F2912</f>
        <v>463.34</v>
      </c>
      <c r="G2920" s="157">
        <v>1.4</v>
      </c>
      <c r="H2920" s="116">
        <v>0.05</v>
      </c>
      <c r="I2920" s="116"/>
      <c r="J2920" s="128">
        <f t="shared" si="198"/>
        <v>-32.43</v>
      </c>
      <c r="U2920" s="137"/>
      <c r="V2920" s="137"/>
      <c r="W2920" s="137"/>
      <c r="X2920" s="137"/>
      <c r="Y2920" s="137"/>
      <c r="Z2920" s="137"/>
      <c r="AA2920" s="137"/>
      <c r="AB2920" s="137"/>
      <c r="AC2920" s="137"/>
      <c r="AD2920" s="137"/>
    </row>
    <row r="2921" spans="1:30">
      <c r="A2921" s="523"/>
      <c r="B2921" s="524"/>
      <c r="C2921" s="524"/>
      <c r="D2921" s="524"/>
      <c r="E2921" s="524"/>
      <c r="F2921" s="524"/>
      <c r="G2921" s="524"/>
      <c r="H2921" s="524"/>
      <c r="I2921" s="524"/>
      <c r="J2921" s="525"/>
      <c r="U2921" s="137"/>
      <c r="V2921" s="137"/>
      <c r="W2921" s="137"/>
      <c r="X2921" s="137"/>
      <c r="Y2921" s="137"/>
      <c r="Z2921" s="137"/>
      <c r="AA2921" s="137"/>
      <c r="AB2921" s="137"/>
      <c r="AC2921" s="137"/>
      <c r="AD2921" s="137"/>
    </row>
    <row r="2922" spans="1:30" ht="38.25">
      <c r="A2922" s="102" t="str">
        <f>'[3]Planilha Orçamentária'!A768</f>
        <v>1.13.5.7</v>
      </c>
      <c r="B2922" s="108" t="str">
        <f>VLOOKUP(A2922,'[3]Planilha Orçamentária'!A:K,2,0)</f>
        <v>COMP-10034101</v>
      </c>
      <c r="C2922" s="104" t="str">
        <f>VLOOKUP(A2922,'[3]Planilha Orçamentária'!A:K,3,0)</f>
        <v>CARGA, MANOBRAS E DESCARGA DE MISTURA BETUMINOSA A QUENTE, COM CAMINHAO BASCULANTE 6 M3, DESCARGA EM VIBRO-ACABADORA</v>
      </c>
      <c r="D2922" s="105" t="str">
        <f>VLOOKUP(A2922,'[3]Planilha Orçamentária'!A:K,4,0)</f>
        <v>M3</v>
      </c>
      <c r="E2922" s="104"/>
      <c r="F2922" s="106"/>
      <c r="G2922" s="106"/>
      <c r="H2922" s="106"/>
      <c r="I2922" s="106"/>
      <c r="J2922" s="122">
        <f>ROUND(SUM(J2924:J2924),2)</f>
        <v>573.25</v>
      </c>
      <c r="U2922" s="137"/>
      <c r="V2922" s="137"/>
      <c r="W2922" s="137"/>
      <c r="X2922" s="137"/>
      <c r="Y2922" s="137"/>
      <c r="Z2922" s="137"/>
      <c r="AA2922" s="137"/>
      <c r="AB2922" s="137"/>
      <c r="AC2922" s="137"/>
      <c r="AD2922" s="137"/>
    </row>
    <row r="2923" spans="1:30">
      <c r="A2923" s="138"/>
      <c r="B2923" s="138"/>
      <c r="C2923" s="159" t="s">
        <v>2349</v>
      </c>
      <c r="D2923" s="105"/>
      <c r="E2923" s="104"/>
      <c r="F2923" s="111"/>
      <c r="G2923" s="111"/>
      <c r="H2923" s="111"/>
      <c r="I2923" s="111"/>
      <c r="J2923" s="325"/>
      <c r="U2923" s="137"/>
      <c r="V2923" s="137"/>
      <c r="W2923" s="137"/>
      <c r="X2923" s="137"/>
      <c r="Y2923" s="137"/>
      <c r="Z2923" s="137"/>
      <c r="AA2923" s="137"/>
      <c r="AB2923" s="137"/>
      <c r="AC2923" s="137"/>
      <c r="AD2923" s="137"/>
    </row>
    <row r="2924" spans="1:30">
      <c r="A2924" s="138"/>
      <c r="B2924" s="138"/>
      <c r="C2924" s="429" t="s">
        <v>2359</v>
      </c>
      <c r="D2924" s="185"/>
      <c r="E2924" s="116"/>
      <c r="F2924" s="116"/>
      <c r="G2924" s="111"/>
      <c r="H2924" s="111"/>
      <c r="I2924" s="212">
        <f>J2914</f>
        <v>573.25</v>
      </c>
      <c r="J2924" s="128">
        <f>ROUND(PRODUCT(E2924:I2924),2)</f>
        <v>573.25</v>
      </c>
      <c r="U2924" s="137"/>
      <c r="V2924" s="137"/>
      <c r="W2924" s="137"/>
      <c r="X2924" s="137"/>
      <c r="Y2924" s="137"/>
      <c r="Z2924" s="137"/>
      <c r="AA2924" s="137"/>
      <c r="AB2924" s="137"/>
      <c r="AC2924" s="137"/>
      <c r="AD2924" s="137"/>
    </row>
    <row r="2925" spans="1:30">
      <c r="A2925" s="523"/>
      <c r="B2925" s="524"/>
      <c r="C2925" s="524"/>
      <c r="D2925" s="524"/>
      <c r="E2925" s="524"/>
      <c r="F2925" s="524"/>
      <c r="G2925" s="524"/>
      <c r="H2925" s="524"/>
      <c r="I2925" s="524"/>
      <c r="J2925" s="525"/>
      <c r="U2925" s="137"/>
      <c r="V2925" s="137"/>
      <c r="W2925" s="137"/>
      <c r="X2925" s="137"/>
      <c r="Y2925" s="137"/>
      <c r="Z2925" s="137"/>
      <c r="AA2925" s="137"/>
      <c r="AB2925" s="137"/>
      <c r="AC2925" s="137"/>
      <c r="AD2925" s="137"/>
    </row>
    <row r="2926" spans="1:30" ht="25.5">
      <c r="A2926" s="102" t="str">
        <f>'[3]Planilha Orçamentária'!A769</f>
        <v>1.13.5.8</v>
      </c>
      <c r="B2926" s="108" t="str">
        <f>VLOOKUP(A2926,'[3]Planilha Orçamentária'!A:K,2,0)</f>
        <v>CP-95303-56931542</v>
      </c>
      <c r="C2926" s="104" t="str">
        <f>VLOOKUP(A2926,'[3]Planilha Orçamentária'!A:K,3,0)</f>
        <v>TRANSPORTE COM CAMINHÃO BASCULANTE 10 M3 DE MASSA ASFALTICA PARA PAVIMENTAÇÃO URBANA</v>
      </c>
      <c r="D2926" s="105" t="str">
        <f>VLOOKUP(A2926,'[3]Planilha Orçamentária'!A:K,4,0)</f>
        <v>M3XKM</v>
      </c>
      <c r="E2926" s="104"/>
      <c r="F2926" s="106"/>
      <c r="G2926" s="106"/>
      <c r="H2926" s="106"/>
      <c r="I2926" s="106"/>
      <c r="J2926" s="122">
        <f>ROUND(SUM(J2928:J2928),2)</f>
        <v>11235.7</v>
      </c>
      <c r="U2926" s="137"/>
      <c r="V2926" s="137"/>
      <c r="W2926" s="137"/>
      <c r="X2926" s="137"/>
      <c r="Y2926" s="137"/>
      <c r="Z2926" s="137"/>
      <c r="AA2926" s="137"/>
      <c r="AB2926" s="137"/>
      <c r="AC2926" s="137"/>
      <c r="AD2926" s="137"/>
    </row>
    <row r="2927" spans="1:30">
      <c r="A2927" s="138"/>
      <c r="B2927" s="138"/>
      <c r="C2927" s="104" t="s">
        <v>2360</v>
      </c>
      <c r="D2927" s="166"/>
      <c r="E2927" s="168"/>
      <c r="F2927" s="149"/>
      <c r="G2927" s="149"/>
      <c r="H2927" s="149"/>
      <c r="I2927" s="149"/>
      <c r="J2927" s="325"/>
      <c r="U2927" s="137"/>
      <c r="V2927" s="137"/>
      <c r="W2927" s="137"/>
      <c r="X2927" s="137"/>
      <c r="Y2927" s="137"/>
      <c r="Z2927" s="137"/>
      <c r="AA2927" s="137"/>
      <c r="AB2927" s="137"/>
      <c r="AC2927" s="137"/>
      <c r="AD2927" s="137"/>
    </row>
    <row r="2928" spans="1:30">
      <c r="A2928" s="138"/>
      <c r="B2928" s="138"/>
      <c r="C2928" s="155" t="s">
        <v>2361</v>
      </c>
      <c r="D2928" s="156"/>
      <c r="E2928" s="162">
        <v>19.600000000000001</v>
      </c>
      <c r="F2928" s="116"/>
      <c r="G2928" s="157"/>
      <c r="H2928" s="157"/>
      <c r="I2928" s="116">
        <f>J2922</f>
        <v>573.25</v>
      </c>
      <c r="J2928" s="128">
        <f>ROUND(PRODUCT(E2928:I2928),2)</f>
        <v>11235.7</v>
      </c>
      <c r="U2928" s="137"/>
      <c r="V2928" s="137"/>
      <c r="W2928" s="137"/>
      <c r="X2928" s="137"/>
      <c r="Y2928" s="137"/>
      <c r="Z2928" s="137"/>
      <c r="AA2928" s="137"/>
      <c r="AB2928" s="137"/>
      <c r="AC2928" s="137"/>
      <c r="AD2928" s="137"/>
    </row>
    <row r="2929" spans="1:30">
      <c r="A2929" s="523"/>
      <c r="B2929" s="524"/>
      <c r="C2929" s="524"/>
      <c r="D2929" s="524"/>
      <c r="E2929" s="524"/>
      <c r="F2929" s="524"/>
      <c r="G2929" s="524"/>
      <c r="H2929" s="524"/>
      <c r="I2929" s="524"/>
      <c r="J2929" s="525"/>
      <c r="U2929" s="137"/>
      <c r="V2929" s="137"/>
      <c r="W2929" s="137"/>
      <c r="X2929" s="137"/>
      <c r="Y2929" s="137"/>
      <c r="Z2929" s="137"/>
      <c r="AA2929" s="137"/>
      <c r="AB2929" s="137"/>
      <c r="AC2929" s="137"/>
      <c r="AD2929" s="137"/>
    </row>
    <row r="2930" spans="1:30">
      <c r="A2930" s="293"/>
      <c r="B2930" s="407"/>
      <c r="C2930" s="295"/>
      <c r="D2930" s="430"/>
      <c r="E2930" s="431"/>
      <c r="F2930" s="432"/>
      <c r="G2930" s="432"/>
      <c r="H2930" s="432"/>
      <c r="I2930" s="433"/>
      <c r="J2930" s="299"/>
      <c r="U2930" s="137"/>
      <c r="V2930" s="137"/>
      <c r="W2930" s="137"/>
      <c r="X2930" s="137"/>
      <c r="Y2930" s="137"/>
      <c r="Z2930" s="137"/>
      <c r="AA2930" s="137"/>
      <c r="AB2930" s="137"/>
      <c r="AC2930" s="137"/>
      <c r="AD2930" s="137"/>
    </row>
    <row r="2931" spans="1:30" ht="25.5">
      <c r="A2931" s="145" t="str">
        <f>'[3]Planilha Orçamentária'!A770</f>
        <v>1.13.5.9</v>
      </c>
      <c r="B2931" s="199">
        <f>VLOOKUP(A2931,'[3]Planilha Orçamentária'!A:K,2,0)</f>
        <v>100576</v>
      </c>
      <c r="C2931" s="147" t="str">
        <f>VLOOKUP(A2931,'[3]Planilha Orçamentária'!A:K,3,0)</f>
        <v>REGULARIZAÇÃO E COMPACTAÇÃO DE SUBLEITO DE SOLO  PREDOMINANTEMENTE ARGILOSO. AF_11/2019</v>
      </c>
      <c r="D2931" s="148" t="str">
        <f>VLOOKUP(A2931,'[3]Planilha Orçamentária'!A:K,4,0)</f>
        <v>M2</v>
      </c>
      <c r="E2931" s="147"/>
      <c r="F2931" s="160"/>
      <c r="G2931" s="160"/>
      <c r="H2931" s="160"/>
      <c r="I2931" s="160"/>
      <c r="J2931" s="150">
        <f>ROUND(SUM(J2933:J2933),2)</f>
        <v>13316.88</v>
      </c>
      <c r="U2931" s="137"/>
      <c r="V2931" s="137"/>
      <c r="W2931" s="137"/>
      <c r="X2931" s="137"/>
      <c r="Y2931" s="137"/>
      <c r="Z2931" s="137"/>
      <c r="AA2931" s="137"/>
      <c r="AB2931" s="137"/>
      <c r="AC2931" s="137"/>
      <c r="AD2931" s="137"/>
    </row>
    <row r="2932" spans="1:30">
      <c r="A2932" s="145"/>
      <c r="B2932" s="199"/>
      <c r="C2932" s="159" t="s">
        <v>2349</v>
      </c>
      <c r="D2932" s="148"/>
      <c r="E2932" s="147"/>
      <c r="F2932" s="161" t="s">
        <v>1989</v>
      </c>
      <c r="G2932" s="161" t="s">
        <v>1990</v>
      </c>
      <c r="H2932" s="160"/>
      <c r="I2932" s="161"/>
      <c r="J2932" s="150"/>
      <c r="U2932" s="137"/>
      <c r="V2932" s="137"/>
      <c r="W2932" s="137"/>
      <c r="X2932" s="137"/>
      <c r="Y2932" s="137"/>
      <c r="Z2932" s="137"/>
      <c r="AA2932" s="137"/>
      <c r="AB2932" s="137"/>
      <c r="AC2932" s="137"/>
      <c r="AD2932" s="137"/>
    </row>
    <row r="2933" spans="1:30" ht="25.5">
      <c r="A2933" s="145"/>
      <c r="B2933" s="199"/>
      <c r="C2933" s="200" t="s">
        <v>2019</v>
      </c>
      <c r="D2933" s="185"/>
      <c r="E2933" s="116"/>
      <c r="F2933" s="136">
        <v>1664.61</v>
      </c>
      <c r="G2933" s="136">
        <f>((6.5+7.5)/2)+1</f>
        <v>8</v>
      </c>
      <c r="H2933" s="160"/>
      <c r="I2933" s="161"/>
      <c r="J2933" s="158">
        <f>ROUND(PRODUCT(E2933:I2933),2)</f>
        <v>13316.88</v>
      </c>
      <c r="U2933" s="137"/>
      <c r="V2933" s="137"/>
      <c r="W2933" s="137"/>
      <c r="X2933" s="137"/>
      <c r="Y2933" s="137"/>
      <c r="Z2933" s="137"/>
      <c r="AA2933" s="137"/>
      <c r="AB2933" s="137"/>
      <c r="AC2933" s="137"/>
      <c r="AD2933" s="137"/>
    </row>
    <row r="2934" spans="1:30">
      <c r="A2934" s="550"/>
      <c r="B2934" s="551"/>
      <c r="C2934" s="551"/>
      <c r="D2934" s="551"/>
      <c r="E2934" s="551"/>
      <c r="F2934" s="551"/>
      <c r="G2934" s="551"/>
      <c r="H2934" s="551"/>
      <c r="I2934" s="551"/>
      <c r="J2934" s="552"/>
      <c r="U2934" s="137"/>
      <c r="V2934" s="137"/>
      <c r="W2934" s="137"/>
      <c r="X2934" s="137"/>
      <c r="Y2934" s="137"/>
      <c r="Z2934" s="137"/>
      <c r="AA2934" s="137"/>
      <c r="AB2934" s="137"/>
      <c r="AC2934" s="137"/>
      <c r="AD2934" s="137"/>
    </row>
    <row r="2935" spans="1:30" ht="38.25">
      <c r="A2935" s="145" t="str">
        <f>'[3]Planilha Orçamentária'!A771</f>
        <v>1.13.5.10</v>
      </c>
      <c r="B2935" s="199" t="str">
        <f>VLOOKUP(A2935,'[3]Planilha Orçamentária'!A:K,2,0)</f>
        <v>COMP-28881239</v>
      </c>
      <c r="C2935" s="147" t="str">
        <f>VLOOKUP(A2935,'[3]Planilha Orçamentária'!A:K,3,0)</f>
        <v>Base ou sub-base de macadame hidráulico com brita comercial - EXCLUSIVE MATERIAL, CARGA E TRANSPORTE - NÃO DESONERADO</v>
      </c>
      <c r="D2935" s="148" t="str">
        <f>VLOOKUP(A2935,'[3]Planilha Orçamentária'!A:K,4,0)</f>
        <v>M3</v>
      </c>
      <c r="E2935" s="147"/>
      <c r="F2935" s="160"/>
      <c r="G2935" s="160"/>
      <c r="H2935" s="160"/>
      <c r="I2935" s="160"/>
      <c r="J2935" s="150">
        <f>ROUND(SUM(J2937:J2937),2)</f>
        <v>2197.29</v>
      </c>
      <c r="U2935" s="137"/>
      <c r="V2935" s="137"/>
      <c r="W2935" s="137"/>
      <c r="X2935" s="137"/>
      <c r="Y2935" s="137"/>
      <c r="Z2935" s="137"/>
      <c r="AA2935" s="137"/>
      <c r="AB2935" s="137"/>
      <c r="AC2935" s="137"/>
      <c r="AD2935" s="137"/>
    </row>
    <row r="2936" spans="1:30">
      <c r="A2936" s="145"/>
      <c r="B2936" s="145"/>
      <c r="C2936" s="159" t="s">
        <v>2349</v>
      </c>
      <c r="D2936" s="145"/>
      <c r="E2936" s="145"/>
      <c r="F2936" s="161" t="s">
        <v>1989</v>
      </c>
      <c r="G2936" s="161" t="s">
        <v>1990</v>
      </c>
      <c r="H2936" s="161" t="s">
        <v>2002</v>
      </c>
      <c r="I2936" s="145"/>
      <c r="J2936" s="145"/>
      <c r="U2936" s="137"/>
      <c r="V2936" s="137"/>
      <c r="W2936" s="137"/>
      <c r="X2936" s="137"/>
      <c r="Y2936" s="137"/>
      <c r="Z2936" s="137"/>
      <c r="AA2936" s="137"/>
      <c r="AB2936" s="137"/>
      <c r="AC2936" s="137"/>
      <c r="AD2936" s="137"/>
    </row>
    <row r="2937" spans="1:30" ht="28.5">
      <c r="A2937" s="145"/>
      <c r="B2937" s="145"/>
      <c r="C2937" s="204" t="s">
        <v>2021</v>
      </c>
      <c r="D2937" s="145"/>
      <c r="E2937" s="145"/>
      <c r="F2937" s="136">
        <f>F2933</f>
        <v>1664.61</v>
      </c>
      <c r="G2937" s="136">
        <f>((6.5+7.5)/2)+0.5+0.5-1.4</f>
        <v>6.6</v>
      </c>
      <c r="H2937" s="136">
        <v>0.2</v>
      </c>
      <c r="I2937" s="145"/>
      <c r="J2937" s="158">
        <f>ROUND(PRODUCT(E2937:I2937),2)</f>
        <v>2197.29</v>
      </c>
      <c r="U2937" s="137"/>
      <c r="V2937" s="137"/>
      <c r="W2937" s="137"/>
      <c r="X2937" s="137"/>
      <c r="Y2937" s="137"/>
      <c r="Z2937" s="137"/>
      <c r="AA2937" s="137"/>
      <c r="AB2937" s="137"/>
      <c r="AC2937" s="137"/>
      <c r="AD2937" s="137"/>
    </row>
    <row r="2938" spans="1:30">
      <c r="A2938" s="145"/>
      <c r="B2938" s="145"/>
      <c r="C2938" s="145"/>
      <c r="D2938" s="145"/>
      <c r="E2938" s="145"/>
      <c r="F2938" s="145"/>
      <c r="G2938" s="145"/>
      <c r="H2938" s="145"/>
      <c r="I2938" s="145"/>
      <c r="J2938" s="145"/>
      <c r="U2938" s="137"/>
      <c r="V2938" s="137"/>
      <c r="W2938" s="137"/>
      <c r="X2938" s="137"/>
      <c r="Y2938" s="137"/>
      <c r="Z2938" s="137"/>
      <c r="AA2938" s="137"/>
      <c r="AB2938" s="137"/>
      <c r="AC2938" s="137"/>
      <c r="AD2938" s="137"/>
    </row>
    <row r="2939" spans="1:30" ht="38.25">
      <c r="A2939" s="186" t="str">
        <f>'[3]Planilha Orçamentária'!A772</f>
        <v>1.13.5.11</v>
      </c>
      <c r="B2939" s="187" t="str">
        <f>VLOOKUP(A2939,'[3]Planilha Orçamentária'!A:K,2,0)</f>
        <v>CP-96396-26507981</v>
      </c>
      <c r="C2939" s="188" t="str">
        <f>VLOOKUP(A2939,'[3]Planilha Orçamentária'!A:K,3,0)</f>
        <v>EXECUÇÃO E COMPACTAÇÃO DE BASE E OU SUB BASE PARA PAVIMENTAÇÃO DE BRITA GRADUADA SIMPLES - EXCLUSIVE MATERIAL, CARGA E TRANSPORTE</v>
      </c>
      <c r="D2939" s="189" t="str">
        <f>VLOOKUP(A2939,'[3]Planilha Orçamentária'!A:K,4,0)</f>
        <v>M3</v>
      </c>
      <c r="E2939" s="188"/>
      <c r="F2939" s="190"/>
      <c r="G2939" s="190"/>
      <c r="H2939" s="190"/>
      <c r="I2939" s="190"/>
      <c r="J2939" s="203">
        <f>ROUND(SUM(J2941:J2941),2)</f>
        <v>1864.36</v>
      </c>
      <c r="U2939" s="137"/>
      <c r="V2939" s="137"/>
      <c r="W2939" s="137"/>
      <c r="X2939" s="137"/>
      <c r="Y2939" s="137"/>
      <c r="Z2939" s="137"/>
      <c r="AA2939" s="137"/>
      <c r="AB2939" s="137"/>
      <c r="AC2939" s="137"/>
      <c r="AD2939" s="137"/>
    </row>
    <row r="2940" spans="1:30">
      <c r="A2940" s="186"/>
      <c r="B2940" s="187"/>
      <c r="C2940" s="159" t="s">
        <v>2349</v>
      </c>
      <c r="D2940" s="148"/>
      <c r="E2940" s="147"/>
      <c r="F2940" s="161" t="s">
        <v>1989</v>
      </c>
      <c r="G2940" s="161" t="s">
        <v>1990</v>
      </c>
      <c r="H2940" s="161" t="s">
        <v>2002</v>
      </c>
      <c r="I2940" s="161"/>
      <c r="J2940" s="203"/>
      <c r="U2940" s="137"/>
      <c r="V2940" s="137"/>
      <c r="W2940" s="137"/>
      <c r="X2940" s="137"/>
      <c r="Y2940" s="137"/>
      <c r="Z2940" s="137"/>
      <c r="AA2940" s="137"/>
      <c r="AB2940" s="137"/>
      <c r="AC2940" s="137"/>
      <c r="AD2940" s="137"/>
    </row>
    <row r="2941" spans="1:30" ht="28.5">
      <c r="A2941" s="186"/>
      <c r="B2941" s="187"/>
      <c r="C2941" s="204" t="s">
        <v>2021</v>
      </c>
      <c r="D2941" s="148"/>
      <c r="E2941" s="147"/>
      <c r="F2941" s="167">
        <f>F2933</f>
        <v>1664.61</v>
      </c>
      <c r="G2941" s="136">
        <f>((6.5+7.5)/2)-1.4</f>
        <v>5.6</v>
      </c>
      <c r="H2941" s="161">
        <v>0.2</v>
      </c>
      <c r="I2941" s="167"/>
      <c r="J2941" s="176">
        <f>ROUND(PRODUCT(E2941:I2941),2)</f>
        <v>1864.36</v>
      </c>
      <c r="U2941" s="137"/>
      <c r="V2941" s="137"/>
      <c r="W2941" s="137"/>
      <c r="X2941" s="137"/>
      <c r="Y2941" s="137"/>
      <c r="Z2941" s="137"/>
      <c r="AA2941" s="137"/>
      <c r="AB2941" s="137"/>
      <c r="AC2941" s="137"/>
      <c r="AD2941" s="137"/>
    </row>
    <row r="2942" spans="1:30">
      <c r="A2942" s="205"/>
      <c r="B2942" s="206"/>
      <c r="C2942" s="171"/>
      <c r="D2942" s="189"/>
      <c r="E2942" s="188"/>
      <c r="F2942" s="207"/>
      <c r="G2942" s="207"/>
      <c r="H2942" s="208"/>
      <c r="I2942" s="209"/>
      <c r="J2942" s="196"/>
      <c r="U2942" s="137"/>
      <c r="V2942" s="137"/>
      <c r="W2942" s="137"/>
      <c r="X2942" s="137"/>
      <c r="Y2942" s="137"/>
      <c r="Z2942" s="137"/>
      <c r="AA2942" s="137"/>
      <c r="AB2942" s="137"/>
      <c r="AC2942" s="137"/>
      <c r="AD2942" s="137"/>
    </row>
    <row r="2943" spans="1:30" ht="51">
      <c r="A2943" s="132" t="str">
        <f>'[3]Planilha Orçamentária'!A773</f>
        <v>1.13.5.12</v>
      </c>
      <c r="B2943" s="108" t="str">
        <f>VLOOKUP(A2943,'[3]Planilha Orçamentária'!A:K,2,0)</f>
        <v>COMP-35145154</v>
      </c>
      <c r="C2943" s="104" t="str">
        <f>VLOOKUP(A2943,'[3]Planilha Orçamentária'!A:K,3,0)</f>
        <v>CARGA E DESCARGA MECANICA DE SOLO UTILIZANDO CAMINHAO BASCULANTE 14,0M3/36T E PA CARREGADEIRA SOBRE PNEUS 128 HP, CAPACIDADE DA CAÇAMBA 1,7 A 2,8 M3, PESO OPERACIONAL 11632 KH</v>
      </c>
      <c r="D2943" s="105" t="str">
        <f>VLOOKUP(A2943,'[3]Planilha Orçamentária'!A:K,4,0)</f>
        <v>M3</v>
      </c>
      <c r="E2943" s="104"/>
      <c r="F2943" s="111"/>
      <c r="G2943" s="111"/>
      <c r="H2943" s="111"/>
      <c r="I2943" s="111"/>
      <c r="J2943" s="122">
        <f>ROUND(SUM(J2945:J2945),2)</f>
        <v>5077.0600000000004</v>
      </c>
      <c r="U2943" s="137"/>
      <c r="V2943" s="137"/>
      <c r="W2943" s="137"/>
      <c r="X2943" s="137"/>
      <c r="Y2943" s="137"/>
      <c r="Z2943" s="137"/>
      <c r="AA2943" s="137"/>
      <c r="AB2943" s="137"/>
      <c r="AC2943" s="137"/>
      <c r="AD2943" s="137"/>
    </row>
    <row r="2944" spans="1:30" ht="25.5">
      <c r="A2944" s="132"/>
      <c r="B2944" s="108"/>
      <c r="C2944" s="147"/>
      <c r="D2944" s="148"/>
      <c r="E2944" s="220" t="s">
        <v>2006</v>
      </c>
      <c r="F2944" s="106"/>
      <c r="G2944" s="111"/>
      <c r="H2944" s="111"/>
      <c r="I2944" s="143" t="s">
        <v>2022</v>
      </c>
      <c r="J2944" s="122"/>
      <c r="U2944" s="137"/>
      <c r="V2944" s="137"/>
      <c r="W2944" s="137"/>
      <c r="X2944" s="137"/>
      <c r="Y2944" s="137"/>
      <c r="Z2944" s="137"/>
      <c r="AA2944" s="137"/>
      <c r="AB2944" s="137"/>
      <c r="AC2944" s="137"/>
      <c r="AD2944" s="137"/>
    </row>
    <row r="2945" spans="1:30" ht="14.25">
      <c r="A2945" s="132"/>
      <c r="B2945" s="108"/>
      <c r="C2945" s="221" t="s">
        <v>2023</v>
      </c>
      <c r="D2945" s="156"/>
      <c r="E2945" s="106">
        <v>1.25</v>
      </c>
      <c r="F2945" s="238"/>
      <c r="G2945" s="205"/>
      <c r="H2945" s="205"/>
      <c r="I2945" s="239">
        <f>J2939+J2935</f>
        <v>4061.6499999999996</v>
      </c>
      <c r="J2945" s="342">
        <f t="shared" ref="J2945" si="199">ROUND(PRODUCT(E2945:I2945),2)</f>
        <v>5077.0600000000004</v>
      </c>
      <c r="U2945" s="137"/>
      <c r="V2945" s="137"/>
      <c r="W2945" s="137"/>
      <c r="X2945" s="137"/>
      <c r="Y2945" s="137"/>
      <c r="Z2945" s="137"/>
      <c r="AA2945" s="137"/>
      <c r="AB2945" s="137"/>
      <c r="AC2945" s="137"/>
      <c r="AD2945" s="137"/>
    </row>
    <row r="2946" spans="1:30">
      <c r="A2946" s="549"/>
      <c r="B2946" s="549"/>
      <c r="C2946" s="549"/>
      <c r="D2946" s="549"/>
      <c r="E2946" s="549"/>
      <c r="F2946" s="549"/>
      <c r="G2946" s="549"/>
      <c r="H2946" s="549"/>
      <c r="I2946" s="549"/>
      <c r="J2946" s="549"/>
      <c r="U2946" s="137"/>
      <c r="V2946" s="137"/>
      <c r="W2946" s="137"/>
      <c r="X2946" s="137"/>
      <c r="Y2946" s="137"/>
      <c r="Z2946" s="137"/>
      <c r="AA2946" s="137"/>
      <c r="AB2946" s="137"/>
      <c r="AC2946" s="137"/>
      <c r="AD2946" s="137"/>
    </row>
    <row r="2947" spans="1:30" ht="25.5">
      <c r="A2947" s="132" t="str">
        <f>'[3]Planilha Orçamentária'!A774</f>
        <v>1.13.5.13</v>
      </c>
      <c r="B2947" s="108" t="str">
        <f>VLOOKUP(A2947,'[3]Planilha Orçamentária'!A:K,2,0)</f>
        <v>COMP-83526730</v>
      </c>
      <c r="C2947" s="104" t="str">
        <f>VLOOKUP(A2947,'[3]Planilha Orçamentária'!A:K,3,0)</f>
        <v>TRANSPORTE COMERCIAL DE BRITA</v>
      </c>
      <c r="D2947" s="105" t="str">
        <f>VLOOKUP(A2947,'[3]Planilha Orçamentária'!A:K,4,0)</f>
        <v>M3XKM</v>
      </c>
      <c r="E2947" s="104"/>
      <c r="F2947" s="111"/>
      <c r="G2947" s="111"/>
      <c r="H2947" s="111"/>
      <c r="I2947" s="111"/>
      <c r="J2947" s="122">
        <f>ROUND(SUM(J2949:J2949),2)</f>
        <v>67524.899999999994</v>
      </c>
      <c r="U2947" s="137"/>
      <c r="V2947" s="137"/>
      <c r="W2947" s="137"/>
      <c r="X2947" s="137"/>
      <c r="Y2947" s="137"/>
      <c r="Z2947" s="137"/>
      <c r="AA2947" s="137"/>
      <c r="AB2947" s="137"/>
      <c r="AC2947" s="137"/>
      <c r="AD2947" s="137"/>
    </row>
    <row r="2948" spans="1:30">
      <c r="A2948" s="132"/>
      <c r="B2948" s="108"/>
      <c r="C2948" s="159" t="s">
        <v>2362</v>
      </c>
      <c r="D2948" s="105"/>
      <c r="E2948" s="165" t="s">
        <v>2011</v>
      </c>
      <c r="F2948" s="106"/>
      <c r="G2948" s="106"/>
      <c r="H2948" s="106"/>
      <c r="I2948" s="106" t="s">
        <v>2007</v>
      </c>
      <c r="J2948" s="122"/>
      <c r="U2948" s="137"/>
      <c r="V2948" s="137"/>
      <c r="W2948" s="137"/>
      <c r="X2948" s="137"/>
      <c r="Y2948" s="137"/>
      <c r="Z2948" s="137"/>
      <c r="AA2948" s="137"/>
      <c r="AB2948" s="137"/>
      <c r="AC2948" s="137"/>
      <c r="AD2948" s="137"/>
    </row>
    <row r="2949" spans="1:30" ht="14.25">
      <c r="A2949" s="132"/>
      <c r="B2949" s="108"/>
      <c r="C2949" s="204" t="s">
        <v>2363</v>
      </c>
      <c r="D2949" s="174"/>
      <c r="E2949" s="239">
        <v>13.3</v>
      </c>
      <c r="F2949" s="223"/>
      <c r="G2949" s="174"/>
      <c r="H2949" s="174"/>
      <c r="I2949" s="224">
        <f>J2943</f>
        <v>5077.0600000000004</v>
      </c>
      <c r="J2949" s="342">
        <f t="shared" ref="J2949" si="200">ROUND(PRODUCT(E2949:I2949),2)</f>
        <v>67524.899999999994</v>
      </c>
      <c r="U2949" s="137"/>
      <c r="V2949" s="137"/>
      <c r="W2949" s="137"/>
      <c r="X2949" s="137"/>
      <c r="Y2949" s="137"/>
      <c r="Z2949" s="137"/>
      <c r="AA2949" s="137"/>
      <c r="AB2949" s="137"/>
      <c r="AC2949" s="137"/>
      <c r="AD2949" s="137"/>
    </row>
    <row r="2950" spans="1:30">
      <c r="A2950" s="549"/>
      <c r="B2950" s="549"/>
      <c r="C2950" s="549"/>
      <c r="D2950" s="549"/>
      <c r="E2950" s="549"/>
      <c r="F2950" s="549"/>
      <c r="G2950" s="549"/>
      <c r="H2950" s="549"/>
      <c r="I2950" s="549"/>
      <c r="J2950" s="549"/>
      <c r="U2950" s="137"/>
      <c r="V2950" s="137"/>
      <c r="W2950" s="137"/>
      <c r="X2950" s="137"/>
      <c r="Y2950" s="137"/>
      <c r="Z2950" s="137"/>
      <c r="AA2950" s="137"/>
      <c r="AB2950" s="137"/>
      <c r="AC2950" s="137"/>
      <c r="AD2950" s="137"/>
    </row>
    <row r="2951" spans="1:30" ht="25.5">
      <c r="A2951" s="132" t="str">
        <f>'[3]Planilha Orçamentária'!A775</f>
        <v>1.13.5.14</v>
      </c>
      <c r="B2951" s="108" t="str">
        <f>VLOOKUP(A2951,'[3]Planilha Orçamentária'!A:K,2,0)</f>
        <v>CP-97084-89637704</v>
      </c>
      <c r="C2951" s="104" t="str">
        <f>VLOOKUP(A2951,'[3]Planilha Orçamentária'!A:K,3,0)</f>
        <v>REGULARIZACAO E COMPACTAÇÃO MANUAL DE TERRENO COM PLACA VIBRATÓRIA</v>
      </c>
      <c r="D2951" s="105" t="str">
        <f>VLOOKUP(A2951,'[3]Planilha Orçamentária'!A:K,4,0)</f>
        <v>M2</v>
      </c>
      <c r="E2951" s="104"/>
      <c r="F2951" s="111"/>
      <c r="G2951" s="111"/>
      <c r="H2951" s="111"/>
      <c r="I2951" s="111"/>
      <c r="J2951" s="122">
        <f>ROUND(SUM(J2953:J2953),2)</f>
        <v>4909.8</v>
      </c>
      <c r="U2951" s="137"/>
      <c r="V2951" s="137"/>
      <c r="W2951" s="137"/>
      <c r="X2951" s="137"/>
      <c r="Y2951" s="137"/>
      <c r="Z2951" s="137"/>
      <c r="AA2951" s="137"/>
      <c r="AB2951" s="137"/>
      <c r="AC2951" s="137"/>
      <c r="AD2951" s="137"/>
    </row>
    <row r="2952" spans="1:30">
      <c r="A2952" s="132"/>
      <c r="B2952" s="108"/>
      <c r="C2952" s="159" t="s">
        <v>2349</v>
      </c>
      <c r="D2952" s="105"/>
      <c r="E2952" s="104"/>
      <c r="F2952" s="106"/>
      <c r="G2952" s="111"/>
      <c r="H2952" s="111"/>
      <c r="I2952" s="161" t="s">
        <v>2003</v>
      </c>
      <c r="J2952" s="122"/>
      <c r="U2952" s="137"/>
      <c r="V2952" s="137"/>
      <c r="W2952" s="137"/>
      <c r="X2952" s="137"/>
      <c r="Y2952" s="137"/>
      <c r="Z2952" s="137"/>
      <c r="AA2952" s="137"/>
      <c r="AB2952" s="137"/>
      <c r="AC2952" s="137"/>
      <c r="AD2952" s="137"/>
    </row>
    <row r="2953" spans="1:30">
      <c r="A2953" s="132"/>
      <c r="B2953" s="108"/>
      <c r="C2953" s="244" t="s">
        <v>2033</v>
      </c>
      <c r="D2953" s="174"/>
      <c r="E2953" s="174"/>
      <c r="F2953" s="223"/>
      <c r="G2953" s="143"/>
      <c r="H2953" s="143"/>
      <c r="I2953" s="127">
        <v>4909.8</v>
      </c>
      <c r="J2953" s="128">
        <f t="shared" ref="J2953" si="201">ROUND(PRODUCT(E2953:I2953),2)</f>
        <v>4909.8</v>
      </c>
      <c r="U2953" s="137"/>
      <c r="V2953" s="137"/>
      <c r="W2953" s="137"/>
      <c r="X2953" s="137"/>
      <c r="Y2953" s="137"/>
      <c r="Z2953" s="137"/>
      <c r="AA2953" s="137"/>
      <c r="AB2953" s="137"/>
      <c r="AC2953" s="137"/>
      <c r="AD2953" s="137"/>
    </row>
    <row r="2954" spans="1:30">
      <c r="A2954" s="528"/>
      <c r="B2954" s="529"/>
      <c r="C2954" s="529"/>
      <c r="D2954" s="529"/>
      <c r="E2954" s="529"/>
      <c r="F2954" s="529"/>
      <c r="G2954" s="529"/>
      <c r="H2954" s="529"/>
      <c r="I2954" s="529"/>
      <c r="J2954" s="529"/>
      <c r="U2954" s="137"/>
      <c r="V2954" s="137"/>
      <c r="W2954" s="137"/>
      <c r="X2954" s="137"/>
      <c r="Y2954" s="137"/>
      <c r="Z2954" s="137"/>
      <c r="AA2954" s="137"/>
      <c r="AB2954" s="137"/>
      <c r="AC2954" s="137"/>
      <c r="AD2954" s="137"/>
    </row>
    <row r="2955" spans="1:30" ht="51">
      <c r="A2955" s="132" t="str">
        <f>'[3]Planilha Orçamentária'!A776</f>
        <v>1.13.5.15</v>
      </c>
      <c r="B2955" s="108" t="str">
        <f>VLOOKUP(A2955,'[3]Planilha Orçamentária'!A:K,2,0)</f>
        <v>CP-94991-12549457</v>
      </c>
      <c r="C2955" s="104" t="str">
        <f>VLOOKUP(A2955,'[3]Planilha Orçamentária'!A:K,3,0)</f>
        <v>EXECUÇÃO DE PASSEIO (CALÇADA) OU PISO DE CONCRETO COM CONCRETO MOLDADO IN LOCO, USINADO, ACABAMENTO CONVENCIONAL, NÃO ARMADO - EXCLUINDO O CONCRETO USINADO 20MPA</v>
      </c>
      <c r="D2955" s="105" t="str">
        <f>VLOOKUP(A2955,'[3]Planilha Orçamentária'!A:K,4,0)</f>
        <v>M3</v>
      </c>
      <c r="E2955" s="104"/>
      <c r="F2955" s="111"/>
      <c r="G2955" s="111"/>
      <c r="H2955" s="111"/>
      <c r="I2955" s="111"/>
      <c r="J2955" s="122">
        <f>ROUND(SUM(J2957:J2958),2)</f>
        <v>316.58999999999997</v>
      </c>
      <c r="U2955" s="137"/>
      <c r="V2955" s="137"/>
      <c r="W2955" s="137"/>
      <c r="X2955" s="137"/>
      <c r="Y2955" s="137"/>
      <c r="Z2955" s="137"/>
      <c r="AA2955" s="137"/>
      <c r="AB2955" s="137"/>
      <c r="AC2955" s="137"/>
      <c r="AD2955" s="137"/>
    </row>
    <row r="2956" spans="1:30">
      <c r="A2956" s="132"/>
      <c r="B2956" s="108"/>
      <c r="C2956" s="159" t="s">
        <v>2349</v>
      </c>
      <c r="D2956" s="105"/>
      <c r="E2956" s="104"/>
      <c r="F2956" s="106"/>
      <c r="G2956" s="111"/>
      <c r="H2956" s="111"/>
      <c r="I2956" s="111"/>
      <c r="J2956" s="122"/>
      <c r="U2956" s="137"/>
      <c r="V2956" s="137"/>
      <c r="W2956" s="137"/>
      <c r="X2956" s="137"/>
      <c r="Y2956" s="137"/>
      <c r="Z2956" s="137"/>
      <c r="AA2956" s="137"/>
      <c r="AB2956" s="137"/>
      <c r="AC2956" s="137"/>
      <c r="AD2956" s="137"/>
    </row>
    <row r="2957" spans="1:30">
      <c r="A2957" s="225"/>
      <c r="B2957" s="236"/>
      <c r="C2957" s="244" t="s">
        <v>2033</v>
      </c>
      <c r="D2957" s="174"/>
      <c r="E2957" s="174"/>
      <c r="F2957" s="223"/>
      <c r="G2957" s="143"/>
      <c r="H2957" s="143">
        <v>7.0000000000000007E-2</v>
      </c>
      <c r="I2957" s="127">
        <f>J2953</f>
        <v>4909.8</v>
      </c>
      <c r="J2957" s="128">
        <f t="shared" ref="J2957:J2958" si="202">ROUND(PRODUCT(E2957:I2957),2)</f>
        <v>343.69</v>
      </c>
      <c r="U2957" s="137"/>
      <c r="V2957" s="137"/>
      <c r="W2957" s="137"/>
      <c r="X2957" s="137"/>
      <c r="Y2957" s="137"/>
      <c r="Z2957" s="137"/>
      <c r="AA2957" s="137"/>
      <c r="AB2957" s="137"/>
      <c r="AC2957" s="137"/>
      <c r="AD2957" s="137"/>
    </row>
    <row r="2958" spans="1:30">
      <c r="A2958" s="132"/>
      <c r="B2958" s="108"/>
      <c r="C2958" s="155" t="s">
        <v>2034</v>
      </c>
      <c r="D2958" s="174"/>
      <c r="E2958" s="174">
        <v>-1</v>
      </c>
      <c r="F2958" s="223"/>
      <c r="G2958" s="143"/>
      <c r="H2958" s="143">
        <v>7.0000000000000007E-2</v>
      </c>
      <c r="I2958" s="127">
        <f>J3112</f>
        <v>387.2</v>
      </c>
      <c r="J2958" s="128">
        <f t="shared" si="202"/>
        <v>-27.1</v>
      </c>
      <c r="U2958" s="137"/>
      <c r="V2958" s="137"/>
      <c r="W2958" s="137"/>
      <c r="X2958" s="137"/>
      <c r="Y2958" s="137"/>
      <c r="Z2958" s="137"/>
      <c r="AA2958" s="137"/>
      <c r="AB2958" s="137"/>
      <c r="AC2958" s="137"/>
      <c r="AD2958" s="137"/>
    </row>
    <row r="2959" spans="1:30">
      <c r="A2959" s="528"/>
      <c r="B2959" s="529"/>
      <c r="C2959" s="529"/>
      <c r="D2959" s="529"/>
      <c r="E2959" s="529"/>
      <c r="F2959" s="529"/>
      <c r="G2959" s="529"/>
      <c r="H2959" s="529"/>
      <c r="I2959" s="529"/>
      <c r="J2959" s="529"/>
      <c r="U2959" s="137"/>
      <c r="V2959" s="137"/>
      <c r="W2959" s="137"/>
      <c r="X2959" s="137"/>
      <c r="Y2959" s="137"/>
      <c r="Z2959" s="137"/>
      <c r="AA2959" s="137"/>
      <c r="AB2959" s="137"/>
      <c r="AC2959" s="137"/>
      <c r="AD2959" s="137"/>
    </row>
    <row r="2960" spans="1:30" ht="63.75">
      <c r="A2960" s="132" t="str">
        <f>'[3]Planilha Orçamentária'!A777</f>
        <v>1.13.5.16</v>
      </c>
      <c r="B2960" s="108">
        <f>VLOOKUP(A2960,'[3]Planilha Orçamentária'!A:K,2,0)</f>
        <v>94273</v>
      </c>
      <c r="C2960" s="104" t="str">
        <f>VLOOKUP(A2960,'[3]Planilha Orçamentária'!A:K,3,0)</f>
        <v>ASSENTAMENTO DE GUIA (MEIO-FIO) EM TRECHO RETO, CONFECCIONADA EM CONCRETO PRÉ-FABRICADO, DIMENSÕES 100X15X13X30 CM (COMPRIMENTO X BASE INFERIOR X BASE SUPERIOR X ALTURA), PARA VIAS URBANAS (USO VIÁRIO). AF_06/2016</v>
      </c>
      <c r="D2960" s="105" t="str">
        <f>VLOOKUP(A2960,'[3]Planilha Orçamentária'!A:K,4,0)</f>
        <v>M</v>
      </c>
      <c r="E2960" s="104"/>
      <c r="F2960" s="111"/>
      <c r="G2960" s="111"/>
      <c r="H2960" s="111"/>
      <c r="I2960" s="111"/>
      <c r="J2960" s="122">
        <f>ROUND(SUM(J2962:J2963),2)</f>
        <v>2326.77</v>
      </c>
      <c r="U2960" s="137"/>
      <c r="V2960" s="137"/>
      <c r="W2960" s="137"/>
      <c r="X2960" s="137"/>
      <c r="Y2960" s="137"/>
      <c r="Z2960" s="137"/>
      <c r="AA2960" s="137"/>
      <c r="AB2960" s="137"/>
      <c r="AC2960" s="137"/>
      <c r="AD2960" s="137"/>
    </row>
    <row r="2961" spans="1:30">
      <c r="A2961" s="132"/>
      <c r="B2961" s="108"/>
      <c r="C2961" s="159" t="s">
        <v>2349</v>
      </c>
      <c r="D2961" s="105"/>
      <c r="E2961" s="104"/>
      <c r="F2961" s="106" t="s">
        <v>1989</v>
      </c>
      <c r="G2961" s="111"/>
      <c r="H2961" s="111"/>
      <c r="I2961" s="111"/>
      <c r="J2961" s="122"/>
      <c r="U2961" s="137"/>
      <c r="V2961" s="137"/>
      <c r="W2961" s="137"/>
      <c r="X2961" s="137"/>
      <c r="Y2961" s="137"/>
      <c r="Z2961" s="137"/>
      <c r="AA2961" s="137"/>
      <c r="AB2961" s="137"/>
      <c r="AC2961" s="137"/>
      <c r="AD2961" s="137"/>
    </row>
    <row r="2962" spans="1:30" ht="25.5">
      <c r="A2962" s="132"/>
      <c r="B2962" s="108"/>
      <c r="C2962" s="247" t="s">
        <v>2035</v>
      </c>
      <c r="D2962" s="105"/>
      <c r="E2962" s="104"/>
      <c r="F2962" s="223">
        <f>2223.27-F2967</f>
        <v>2049.87</v>
      </c>
      <c r="G2962" s="111"/>
      <c r="H2962" s="111"/>
      <c r="I2962" s="111"/>
      <c r="J2962" s="128">
        <f t="shared" ref="J2962:J2963" si="203">ROUND(PRODUCT(E2962:I2962),2)</f>
        <v>2049.87</v>
      </c>
      <c r="U2962" s="137"/>
      <c r="V2962" s="137"/>
      <c r="W2962" s="137"/>
      <c r="X2962" s="137"/>
      <c r="Y2962" s="137"/>
      <c r="Z2962" s="137"/>
      <c r="AA2962" s="137"/>
      <c r="AB2962" s="137"/>
      <c r="AC2962" s="137"/>
      <c r="AD2962" s="137"/>
    </row>
    <row r="2963" spans="1:30" ht="25.5">
      <c r="A2963" s="132"/>
      <c r="B2963" s="108"/>
      <c r="C2963" s="247" t="s">
        <v>2108</v>
      </c>
      <c r="D2963" s="105"/>
      <c r="E2963" s="104"/>
      <c r="F2963" s="223">
        <v>276.89999999999998</v>
      </c>
      <c r="G2963" s="111"/>
      <c r="H2963" s="111"/>
      <c r="I2963" s="111"/>
      <c r="J2963" s="128">
        <f t="shared" si="203"/>
        <v>276.89999999999998</v>
      </c>
      <c r="U2963" s="137"/>
      <c r="V2963" s="137"/>
      <c r="W2963" s="137"/>
      <c r="X2963" s="137"/>
      <c r="Y2963" s="137"/>
      <c r="Z2963" s="137"/>
      <c r="AA2963" s="137"/>
      <c r="AB2963" s="137"/>
      <c r="AC2963" s="137"/>
      <c r="AD2963" s="137"/>
    </row>
    <row r="2964" spans="1:30">
      <c r="A2964" s="528"/>
      <c r="B2964" s="529"/>
      <c r="C2964" s="529"/>
      <c r="D2964" s="529"/>
      <c r="E2964" s="529"/>
      <c r="F2964" s="529"/>
      <c r="G2964" s="529"/>
      <c r="H2964" s="529"/>
      <c r="I2964" s="529"/>
      <c r="J2964" s="529"/>
      <c r="U2964" s="137"/>
      <c r="V2964" s="137"/>
      <c r="W2964" s="137"/>
      <c r="X2964" s="137"/>
      <c r="Y2964" s="137"/>
      <c r="Z2964" s="137"/>
      <c r="AA2964" s="137"/>
      <c r="AB2964" s="137"/>
      <c r="AC2964" s="137"/>
      <c r="AD2964" s="137"/>
    </row>
    <row r="2965" spans="1:30" ht="63.75">
      <c r="A2965" s="132" t="str">
        <f>'[3]Planilha Orçamentária'!A778</f>
        <v>1.13.5.17</v>
      </c>
      <c r="B2965" s="108">
        <f>VLOOKUP(A2965,'[3]Planilha Orçamentária'!A:K,2,0)</f>
        <v>94274</v>
      </c>
      <c r="C2965" s="104" t="str">
        <f>VLOOKUP(A2965,'[3]Planilha Orçamentária'!A:K,3,0)</f>
        <v>ASSENTAMENTO DE GUIA (MEIO-FIO) EM TRECHO CURVO, CONFECCIONADA EM CONCRETO PRÉ-FABRICADO, DIMENSÕES 100X15X13X30 CM (COMPRIMENTO X BASE INFERIOR X BASE SUPERIOR X ALTURA), PARA VIAS URBANAS (USO VIÁRIO). AF_06/2016</v>
      </c>
      <c r="D2965" s="105" t="str">
        <f>VLOOKUP(A2965,'[3]Planilha Orçamentária'!A:K,4,0)</f>
        <v>M</v>
      </c>
      <c r="E2965" s="104"/>
      <c r="F2965" s="111"/>
      <c r="G2965" s="111"/>
      <c r="H2965" s="111"/>
      <c r="I2965" s="111"/>
      <c r="J2965" s="122">
        <f>ROUND(SUM(J2967:J2967),2)</f>
        <v>173.4</v>
      </c>
      <c r="U2965" s="137"/>
      <c r="V2965" s="137"/>
      <c r="W2965" s="137"/>
      <c r="X2965" s="137"/>
      <c r="Y2965" s="137"/>
      <c r="Z2965" s="137"/>
      <c r="AA2965" s="137"/>
      <c r="AB2965" s="137"/>
      <c r="AC2965" s="137"/>
      <c r="AD2965" s="137"/>
    </row>
    <row r="2966" spans="1:30">
      <c r="A2966" s="132"/>
      <c r="B2966" s="108"/>
      <c r="C2966" s="159" t="s">
        <v>2349</v>
      </c>
      <c r="D2966" s="105"/>
      <c r="E2966" s="104"/>
      <c r="F2966" s="106" t="s">
        <v>1989</v>
      </c>
      <c r="G2966" s="111"/>
      <c r="H2966" s="111"/>
      <c r="I2966" s="111"/>
      <c r="J2966" s="122"/>
      <c r="U2966" s="137"/>
      <c r="V2966" s="137"/>
      <c r="W2966" s="137"/>
      <c r="X2966" s="137"/>
      <c r="Y2966" s="137"/>
      <c r="Z2966" s="137"/>
      <c r="AA2966" s="137"/>
      <c r="AB2966" s="137"/>
      <c r="AC2966" s="137"/>
      <c r="AD2966" s="137"/>
    </row>
    <row r="2967" spans="1:30">
      <c r="A2967" s="225"/>
      <c r="B2967" s="236"/>
      <c r="C2967" s="245" t="s">
        <v>2037</v>
      </c>
      <c r="D2967" s="228"/>
      <c r="E2967" s="227"/>
      <c r="F2967" s="246">
        <v>173.4</v>
      </c>
      <c r="G2967" s="229"/>
      <c r="H2967" s="229"/>
      <c r="I2967" s="229"/>
      <c r="J2967" s="128">
        <f t="shared" ref="J2967" si="204">ROUND(PRODUCT(E2967:I2967),2)</f>
        <v>173.4</v>
      </c>
      <c r="U2967" s="137"/>
      <c r="V2967" s="137"/>
      <c r="W2967" s="137"/>
      <c r="X2967" s="137"/>
      <c r="Y2967" s="137"/>
      <c r="Z2967" s="137"/>
      <c r="AA2967" s="137"/>
      <c r="AB2967" s="137"/>
      <c r="AC2967" s="137"/>
      <c r="AD2967" s="137"/>
    </row>
    <row r="2968" spans="1:30">
      <c r="A2968" s="528"/>
      <c r="B2968" s="529"/>
      <c r="C2968" s="529"/>
      <c r="D2968" s="529"/>
      <c r="E2968" s="529"/>
      <c r="F2968" s="529"/>
      <c r="G2968" s="529"/>
      <c r="H2968" s="529"/>
      <c r="I2968" s="529"/>
      <c r="J2968" s="529"/>
      <c r="U2968" s="137"/>
      <c r="V2968" s="137"/>
      <c r="W2968" s="137"/>
      <c r="X2968" s="137"/>
      <c r="Y2968" s="137"/>
      <c r="Z2968" s="137"/>
      <c r="AA2968" s="137"/>
      <c r="AB2968" s="137"/>
      <c r="AC2968" s="137"/>
      <c r="AD2968" s="137"/>
    </row>
    <row r="2969" spans="1:30" ht="38.25">
      <c r="A2969" s="132" t="str">
        <f>'[3]Planilha Orçamentária'!A779</f>
        <v>1.13.5.18</v>
      </c>
      <c r="B2969" s="108">
        <f>VLOOKUP(A2969,'[3]Planilha Orçamentária'!A:K,2,0)</f>
        <v>94287</v>
      </c>
      <c r="C2969" s="104" t="str">
        <f>VLOOKUP(A2969,'[3]Planilha Orçamentária'!A:K,3,0)</f>
        <v>EXECUÇÃO DE SARJETA DE CONCRETO USINADO, MOLDADA  IN LOCO  EM TRECHO RETO, 30 CM BASE X 10 CM ALTURA. AF_06/2016</v>
      </c>
      <c r="D2969" s="105" t="str">
        <f>VLOOKUP(A2969,'[3]Planilha Orçamentária'!A:K,4,0)</f>
        <v>M</v>
      </c>
      <c r="E2969" s="104"/>
      <c r="F2969" s="111"/>
      <c r="G2969" s="111"/>
      <c r="H2969" s="111"/>
      <c r="I2969" s="111"/>
      <c r="J2969" s="122">
        <f>ROUND(SUM(J2972:J2975),2)</f>
        <v>1799.45</v>
      </c>
      <c r="U2969" s="137"/>
      <c r="V2969" s="137"/>
      <c r="W2969" s="137"/>
      <c r="X2969" s="137"/>
      <c r="Y2969" s="137"/>
      <c r="Z2969" s="137"/>
      <c r="AA2969" s="137"/>
      <c r="AB2969" s="137"/>
      <c r="AC2969" s="137"/>
      <c r="AD2969" s="137"/>
    </row>
    <row r="2970" spans="1:30">
      <c r="A2970" s="132"/>
      <c r="B2970" s="108"/>
      <c r="C2970" s="159" t="s">
        <v>2349</v>
      </c>
      <c r="D2970" s="105"/>
      <c r="E2970" s="104"/>
      <c r="F2970" s="106" t="s">
        <v>1989</v>
      </c>
      <c r="G2970" s="111"/>
      <c r="H2970" s="111"/>
      <c r="I2970" s="111"/>
      <c r="J2970" s="122"/>
      <c r="U2970" s="137"/>
      <c r="V2970" s="137"/>
      <c r="W2970" s="137"/>
      <c r="X2970" s="137"/>
      <c r="Y2970" s="137"/>
      <c r="Z2970" s="137"/>
      <c r="AA2970" s="137"/>
      <c r="AB2970" s="137"/>
      <c r="AC2970" s="137"/>
      <c r="AD2970" s="137"/>
    </row>
    <row r="2971" spans="1:30">
      <c r="A2971" s="225"/>
      <c r="B2971" s="236"/>
      <c r="C2971" s="162" t="s">
        <v>2039</v>
      </c>
      <c r="D2971" s="254"/>
      <c r="E2971" s="255"/>
      <c r="F2971" s="320"/>
      <c r="G2971" s="256"/>
      <c r="H2971" s="256"/>
      <c r="I2971" s="256"/>
      <c r="J2971" s="250"/>
      <c r="U2971" s="137"/>
      <c r="V2971" s="137"/>
      <c r="W2971" s="137"/>
      <c r="X2971" s="137"/>
      <c r="Y2971" s="137"/>
      <c r="Z2971" s="137"/>
      <c r="AA2971" s="137"/>
      <c r="AB2971" s="137"/>
      <c r="AC2971" s="137"/>
      <c r="AD2971" s="137"/>
    </row>
    <row r="2972" spans="1:30">
      <c r="A2972" s="132"/>
      <c r="B2972" s="108"/>
      <c r="C2972" s="247" t="s">
        <v>2364</v>
      </c>
      <c r="D2972" s="105"/>
      <c r="E2972" s="104"/>
      <c r="F2972" s="136">
        <f>10.93+82.44+85.32+84.74+84.64+80.68+17.5+87.51+84.4+10.82+87.7+81.75+80.65+80.22+82.26+85.05+3.12+10.25+84.37+80.31+77.21+78.15+80.86+81.08+78+22.32+27.32+85.8</f>
        <v>1835.3999999999996</v>
      </c>
      <c r="G2972" s="111"/>
      <c r="H2972" s="111"/>
      <c r="I2972" s="111"/>
      <c r="J2972" s="128">
        <f t="shared" ref="J2972:J2975" si="205">ROUND(PRODUCT(E2972:I2972),2)</f>
        <v>1835.4</v>
      </c>
      <c r="U2972" s="137"/>
      <c r="V2972" s="137"/>
      <c r="W2972" s="137"/>
      <c r="X2972" s="137"/>
      <c r="Y2972" s="137"/>
      <c r="Z2972" s="137"/>
      <c r="AA2972" s="137"/>
      <c r="AB2972" s="137"/>
      <c r="AC2972" s="137"/>
      <c r="AD2972" s="137"/>
    </row>
    <row r="2973" spans="1:30">
      <c r="A2973" s="132"/>
      <c r="B2973" s="108"/>
      <c r="C2973" s="247" t="s">
        <v>2041</v>
      </c>
      <c r="D2973" s="105"/>
      <c r="E2973" s="136">
        <v>-1</v>
      </c>
      <c r="F2973" s="136">
        <f>3.16+3.08+3.1+3.15+3.21+3.19+3.11+3.16+3.09+3.13+3.13+3.16+3.08+3.16+3.05+3.08+3.72+3.66+3.68+2.98+3.4+3.14+2.12+3.12+7.88+7.83+3.04+3.15+3.14+3.11+3.17+3.06+3.2+3.16+3.14+3.08+3.13+3.2+3.17+3.08+3.24+3.1+3.2</f>
        <v>144.94</v>
      </c>
      <c r="G2973" s="111"/>
      <c r="H2973" s="111"/>
      <c r="I2973" s="111"/>
      <c r="J2973" s="128">
        <f t="shared" si="205"/>
        <v>-144.94</v>
      </c>
      <c r="U2973" s="137"/>
      <c r="V2973" s="137"/>
      <c r="W2973" s="137"/>
      <c r="X2973" s="137"/>
      <c r="Y2973" s="137"/>
      <c r="Z2973" s="137"/>
      <c r="AA2973" s="137"/>
      <c r="AB2973" s="137"/>
      <c r="AC2973" s="137"/>
      <c r="AD2973" s="137"/>
    </row>
    <row r="2974" spans="1:30">
      <c r="A2974" s="132"/>
      <c r="B2974" s="108"/>
      <c r="C2974" s="247" t="s">
        <v>2042</v>
      </c>
      <c r="D2974" s="105"/>
      <c r="E2974" s="104"/>
      <c r="F2974" s="136"/>
      <c r="G2974" s="111"/>
      <c r="H2974" s="111"/>
      <c r="I2974" s="111"/>
      <c r="J2974" s="128"/>
      <c r="U2974" s="137"/>
      <c r="V2974" s="137"/>
      <c r="W2974" s="137"/>
      <c r="X2974" s="137"/>
      <c r="Y2974" s="137"/>
      <c r="Z2974" s="137"/>
      <c r="AA2974" s="137"/>
      <c r="AB2974" s="137"/>
      <c r="AC2974" s="137"/>
      <c r="AD2974" s="137"/>
    </row>
    <row r="2975" spans="1:30" ht="25.5">
      <c r="A2975" s="132"/>
      <c r="B2975" s="108"/>
      <c r="C2975" s="247" t="s">
        <v>2365</v>
      </c>
      <c r="D2975" s="105"/>
      <c r="E2975" s="104"/>
      <c r="F2975" s="136">
        <f>9.21+8.75+8.2+9+9.17+9.17+9.24+8.73+8.5+8.11+7.4+6.31+7.2</f>
        <v>108.99000000000001</v>
      </c>
      <c r="G2975" s="111"/>
      <c r="H2975" s="111"/>
      <c r="I2975" s="111"/>
      <c r="J2975" s="128">
        <f t="shared" si="205"/>
        <v>108.99</v>
      </c>
      <c r="U2975" s="137"/>
      <c r="V2975" s="137"/>
      <c r="W2975" s="137"/>
      <c r="X2975" s="137"/>
      <c r="Y2975" s="137"/>
      <c r="Z2975" s="137"/>
      <c r="AA2975" s="137"/>
      <c r="AB2975" s="137"/>
      <c r="AC2975" s="137"/>
      <c r="AD2975" s="137"/>
    </row>
    <row r="2976" spans="1:30" ht="12" customHeight="1">
      <c r="A2976" s="528"/>
      <c r="B2976" s="529"/>
      <c r="C2976" s="529"/>
      <c r="D2976" s="529"/>
      <c r="E2976" s="529"/>
      <c r="F2976" s="529"/>
      <c r="G2976" s="529"/>
      <c r="H2976" s="529"/>
      <c r="I2976" s="529"/>
      <c r="J2976" s="529"/>
      <c r="U2976" s="137"/>
      <c r="V2976" s="137"/>
      <c r="W2976" s="137"/>
      <c r="X2976" s="137"/>
      <c r="Y2976" s="137"/>
      <c r="Z2976" s="137"/>
      <c r="AA2976" s="137"/>
      <c r="AB2976" s="137"/>
      <c r="AC2976" s="137"/>
      <c r="AD2976" s="137"/>
    </row>
    <row r="2977" spans="1:30" ht="38.25">
      <c r="A2977" s="132" t="str">
        <f>'[3]Planilha Orçamentária'!A780</f>
        <v>1.13.5.19</v>
      </c>
      <c r="B2977" s="108">
        <f>VLOOKUP(A2977,'[3]Planilha Orçamentária'!A:K,2,0)</f>
        <v>94288</v>
      </c>
      <c r="C2977" s="104" t="str">
        <f>VLOOKUP(A2977,'[3]Planilha Orçamentária'!A:K,3,0)</f>
        <v>EXECUÇÃO DE SARJETA DE CONCRETO USINADO, MOLDADA  IN LOCO  EM TRECHO CURVO, 30 CM BASE X 10 CM ALTURA. AF_06/2016</v>
      </c>
      <c r="D2977" s="105" t="str">
        <f>VLOOKUP(A2977,'[3]Planilha Orçamentária'!A:K,4,0)</f>
        <v>M</v>
      </c>
      <c r="E2977" s="104"/>
      <c r="F2977" s="111"/>
      <c r="G2977" s="111"/>
      <c r="H2977" s="111"/>
      <c r="I2977" s="111"/>
      <c r="J2977" s="122">
        <f>ROUND(SUM(J2980:J2982),2)</f>
        <v>182.48</v>
      </c>
      <c r="U2977" s="137"/>
      <c r="V2977" s="137"/>
      <c r="W2977" s="137"/>
      <c r="X2977" s="137"/>
      <c r="Y2977" s="137"/>
      <c r="Z2977" s="137"/>
      <c r="AA2977" s="137"/>
      <c r="AB2977" s="137"/>
      <c r="AC2977" s="137"/>
      <c r="AD2977" s="137"/>
    </row>
    <row r="2978" spans="1:30">
      <c r="A2978" s="123"/>
      <c r="B2978" s="123"/>
      <c r="C2978" s="159" t="s">
        <v>2349</v>
      </c>
      <c r="D2978" s="123"/>
      <c r="E2978" s="123"/>
      <c r="F2978" s="106" t="s">
        <v>1989</v>
      </c>
      <c r="G2978" s="123"/>
      <c r="H2978" s="123"/>
      <c r="I2978" s="123"/>
      <c r="J2978" s="123"/>
      <c r="U2978" s="137"/>
      <c r="V2978" s="137"/>
      <c r="W2978" s="137"/>
      <c r="X2978" s="137"/>
      <c r="Y2978" s="137"/>
      <c r="Z2978" s="137"/>
      <c r="AA2978" s="137"/>
      <c r="AB2978" s="137"/>
      <c r="AC2978" s="137"/>
      <c r="AD2978" s="137"/>
    </row>
    <row r="2979" spans="1:30">
      <c r="A2979" s="123"/>
      <c r="B2979" s="123"/>
      <c r="C2979" s="159" t="s">
        <v>2042</v>
      </c>
      <c r="D2979" s="123"/>
      <c r="E2979" s="123"/>
      <c r="F2979" s="106"/>
      <c r="G2979" s="123"/>
      <c r="H2979" s="123"/>
      <c r="I2979" s="123"/>
      <c r="J2979" s="123"/>
      <c r="U2979" s="137"/>
      <c r="V2979" s="137"/>
      <c r="W2979" s="137"/>
      <c r="X2979" s="137"/>
      <c r="Y2979" s="137"/>
      <c r="Z2979" s="137"/>
      <c r="AA2979" s="137"/>
      <c r="AB2979" s="137"/>
      <c r="AC2979" s="137"/>
      <c r="AD2979" s="137"/>
    </row>
    <row r="2980" spans="1:30">
      <c r="A2980" s="123"/>
      <c r="B2980" s="123"/>
      <c r="C2980" s="247" t="s">
        <v>2366</v>
      </c>
      <c r="D2980" s="123"/>
      <c r="E2980" s="123"/>
      <c r="F2980" s="272">
        <f>3.2+3.13+3.01+3.17+3.06+3.2+3.23+3.12+3.08+3.22+3+3.12</f>
        <v>37.54</v>
      </c>
      <c r="G2980" s="123"/>
      <c r="H2980" s="123"/>
      <c r="I2980" s="123"/>
      <c r="J2980" s="128">
        <f t="shared" ref="J2980:J2982" si="206">ROUND(PRODUCT(E2980:I2980),2)</f>
        <v>37.54</v>
      </c>
      <c r="U2980" s="137"/>
      <c r="V2980" s="137"/>
      <c r="W2980" s="137"/>
      <c r="X2980" s="137"/>
      <c r="Y2980" s="137"/>
      <c r="Z2980" s="137"/>
      <c r="AA2980" s="137"/>
      <c r="AB2980" s="137"/>
      <c r="AC2980" s="137"/>
      <c r="AD2980" s="137"/>
    </row>
    <row r="2981" spans="1:30">
      <c r="A2981" s="123"/>
      <c r="B2981" s="123"/>
      <c r="C2981" s="162" t="s">
        <v>2039</v>
      </c>
      <c r="D2981" s="123"/>
      <c r="E2981" s="123"/>
      <c r="F2981" s="272"/>
      <c r="G2981" s="123"/>
      <c r="H2981" s="123"/>
      <c r="I2981" s="123"/>
      <c r="J2981" s="128"/>
      <c r="U2981" s="137"/>
      <c r="V2981" s="137"/>
      <c r="W2981" s="137"/>
      <c r="X2981" s="137"/>
      <c r="Y2981" s="137"/>
      <c r="Z2981" s="137"/>
      <c r="AA2981" s="137"/>
      <c r="AB2981" s="137"/>
      <c r="AC2981" s="137"/>
      <c r="AD2981" s="137"/>
    </row>
    <row r="2982" spans="1:30">
      <c r="A2982" s="123"/>
      <c r="B2982" s="123"/>
      <c r="C2982" s="247" t="s">
        <v>2366</v>
      </c>
      <c r="D2982" s="105"/>
      <c r="E2982" s="136"/>
      <c r="F2982" s="136">
        <f>3.16+3.08+3.1+3.15+3.21+3.19+3.11+3.16+3.09+3.13+3.13+3.16+3.08+3.16+3.05+3.08+3.72+3.66+3.68+2.98+3.4+3.14+2.12+3.12+7.88+7.83+3.04+3.15+3.14+3.11+3.17+3.06+3.2+3.16+3.14+3.08+3.13+3.2+3.17+3.08+3.24+3.1+3.2</f>
        <v>144.94</v>
      </c>
      <c r="G2982" s="123"/>
      <c r="H2982" s="123"/>
      <c r="I2982" s="123"/>
      <c r="J2982" s="128">
        <f t="shared" si="206"/>
        <v>144.94</v>
      </c>
      <c r="U2982" s="137"/>
      <c r="V2982" s="137"/>
      <c r="W2982" s="137"/>
      <c r="X2982" s="137"/>
      <c r="Y2982" s="137"/>
      <c r="Z2982" s="137"/>
      <c r="AA2982" s="137"/>
      <c r="AB2982" s="137"/>
      <c r="AC2982" s="137"/>
      <c r="AD2982" s="137"/>
    </row>
    <row r="2983" spans="1:30">
      <c r="A2983" s="528"/>
      <c r="B2983" s="529"/>
      <c r="C2983" s="529"/>
      <c r="D2983" s="529"/>
      <c r="E2983" s="529"/>
      <c r="F2983" s="529"/>
      <c r="G2983" s="529"/>
      <c r="H2983" s="529"/>
      <c r="I2983" s="529"/>
      <c r="J2983" s="529"/>
      <c r="U2983" s="137"/>
      <c r="V2983" s="137"/>
      <c r="W2983" s="137"/>
      <c r="X2983" s="137"/>
      <c r="Y2983" s="137"/>
      <c r="Z2983" s="137"/>
      <c r="AA2983" s="137"/>
      <c r="AB2983" s="137"/>
      <c r="AC2983" s="137"/>
      <c r="AD2983" s="137"/>
    </row>
    <row r="2984" spans="1:30">
      <c r="A2984" s="94" t="str">
        <f>'[3]Planilha Orçamentária'!A781</f>
        <v>1.13.6</v>
      </c>
      <c r="B2984" s="95"/>
      <c r="C2984" s="96" t="str">
        <f>VLOOKUP(A2984,'[3]Planilha Orçamentária'!A:K,3,0)</f>
        <v>DRENAGEM</v>
      </c>
      <c r="D2984" s="97"/>
      <c r="E2984" s="98"/>
      <c r="F2984" s="99"/>
      <c r="G2984" s="99"/>
      <c r="H2984" s="99"/>
      <c r="I2984" s="100"/>
      <c r="J2984" s="131"/>
      <c r="U2984" s="137"/>
      <c r="V2984" s="137"/>
      <c r="W2984" s="137"/>
      <c r="X2984" s="137"/>
      <c r="Y2984" s="137"/>
      <c r="Z2984" s="137"/>
      <c r="AA2984" s="137"/>
      <c r="AB2984" s="137"/>
      <c r="AC2984" s="137"/>
      <c r="AD2984" s="137"/>
    </row>
    <row r="2985" spans="1:30" ht="63.75">
      <c r="A2985" s="251" t="str">
        <f>'[3]Planilha Orçamentária'!A782</f>
        <v>1.13.6.1</v>
      </c>
      <c r="B2985" s="252">
        <f>VLOOKUP(A2985,'[3]Planilha Orçamentária'!A:K,2,0)</f>
        <v>90106</v>
      </c>
      <c r="C2985" s="253" t="str">
        <f>VLOOKUP(A2985,'[3]Planilha Orçamentária'!A:K,3,0)</f>
        <v>ESCAVAÇÃO MECANIZADA DE VALA COM PROFUNDIDADE ATÉ 1,5 M (MÉDIA MONTANTE E JUSANTE/UMA COMPOSIÇÃO POR TRECHO), RETROESCAV. (0,26 M3), LARGURA DE 0,8 M A 1,5 M, EM SOLO DE 1A CATEGORIA, LOCAIS COM BAIXO NÍVEL DE INTERFERÊNCIA. AF_02/2021</v>
      </c>
      <c r="D2985" s="254" t="str">
        <f>VLOOKUP(A2985,'[3]Planilha Orçamentária'!A:K,4,0)</f>
        <v>M3</v>
      </c>
      <c r="E2985" s="255"/>
      <c r="F2985" s="256"/>
      <c r="G2985" s="256"/>
      <c r="H2985" s="256"/>
      <c r="I2985" s="256"/>
      <c r="J2985" s="257">
        <f>ROUND(SUM(J2986:J2990),2)</f>
        <v>251.19</v>
      </c>
      <c r="U2985" s="137"/>
      <c r="V2985" s="137"/>
      <c r="W2985" s="137"/>
      <c r="X2985" s="137"/>
      <c r="Y2985" s="137"/>
      <c r="Z2985" s="137"/>
      <c r="AA2985" s="137"/>
      <c r="AB2985" s="137"/>
      <c r="AC2985" s="137"/>
      <c r="AD2985" s="137"/>
    </row>
    <row r="2986" spans="1:30">
      <c r="A2986" s="293"/>
      <c r="B2986" s="294"/>
      <c r="C2986" s="343" t="s">
        <v>2367</v>
      </c>
      <c r="D2986" s="105"/>
      <c r="E2986" s="241"/>
      <c r="F2986" s="161"/>
      <c r="G2986" s="161"/>
      <c r="H2986" s="161"/>
      <c r="I2986" s="241"/>
      <c r="J2986" s="299"/>
      <c r="U2986" s="137"/>
      <c r="V2986" s="137"/>
      <c r="W2986" s="137"/>
      <c r="X2986" s="137"/>
      <c r="Y2986" s="137"/>
      <c r="Z2986" s="137"/>
      <c r="AA2986" s="137"/>
      <c r="AB2986" s="137"/>
      <c r="AC2986" s="137"/>
      <c r="AD2986" s="137"/>
    </row>
    <row r="2987" spans="1:30">
      <c r="A2987" s="300"/>
      <c r="B2987" s="301"/>
      <c r="C2987" s="267" t="s">
        <v>2132</v>
      </c>
      <c r="D2987" s="105"/>
      <c r="E2987" s="241"/>
      <c r="F2987" s="161" t="s">
        <v>1989</v>
      </c>
      <c r="G2987" s="161" t="s">
        <v>1990</v>
      </c>
      <c r="H2987" s="161" t="s">
        <v>2049</v>
      </c>
      <c r="I2987" s="161" t="s">
        <v>2133</v>
      </c>
      <c r="J2987" s="353"/>
      <c r="U2987" s="137"/>
      <c r="V2987" s="137"/>
      <c r="W2987" s="137"/>
      <c r="X2987" s="137"/>
      <c r="Y2987" s="137"/>
      <c r="Z2987" s="137"/>
      <c r="AA2987" s="137"/>
      <c r="AB2987" s="137"/>
      <c r="AC2987" s="137"/>
      <c r="AD2987" s="137"/>
    </row>
    <row r="2988" spans="1:30" ht="25.5">
      <c r="A2988" s="293"/>
      <c r="B2988" s="294"/>
      <c r="C2988" s="268" t="s">
        <v>2134</v>
      </c>
      <c r="D2988" s="156"/>
      <c r="E2988" s="157"/>
      <c r="F2988" s="263">
        <f>1.4+0.6</f>
        <v>2</v>
      </c>
      <c r="G2988" s="263">
        <v>1.4</v>
      </c>
      <c r="H2988" s="263">
        <v>1</v>
      </c>
      <c r="I2988" s="157">
        <v>30</v>
      </c>
      <c r="J2988" s="128">
        <f>ROUND(PRODUCT(E2988:I2988),2)</f>
        <v>84</v>
      </c>
      <c r="K2988" s="82" t="s">
        <v>2368</v>
      </c>
      <c r="U2988" s="137"/>
      <c r="V2988" s="137"/>
      <c r="W2988" s="137"/>
      <c r="X2988" s="137"/>
      <c r="Y2988" s="137"/>
      <c r="Z2988" s="137"/>
      <c r="AA2988" s="137"/>
      <c r="AB2988" s="137"/>
      <c r="AC2988" s="137"/>
      <c r="AD2988" s="137"/>
    </row>
    <row r="2989" spans="1:30" ht="25.5">
      <c r="A2989" s="293"/>
      <c r="B2989" s="294"/>
      <c r="C2989" s="267" t="s">
        <v>2135</v>
      </c>
      <c r="D2989" s="156"/>
      <c r="E2989" s="157"/>
      <c r="F2989" s="161" t="s">
        <v>1989</v>
      </c>
      <c r="G2989" s="161" t="s">
        <v>2136</v>
      </c>
      <c r="H2989" s="161" t="s">
        <v>2049</v>
      </c>
      <c r="I2989" s="157"/>
      <c r="J2989" s="128"/>
      <c r="U2989" s="137"/>
      <c r="V2989" s="137"/>
      <c r="W2989" s="137"/>
      <c r="X2989" s="137"/>
      <c r="Y2989" s="137"/>
      <c r="Z2989" s="137"/>
      <c r="AA2989" s="137"/>
      <c r="AB2989" s="137"/>
      <c r="AC2989" s="137"/>
      <c r="AD2989" s="137"/>
    </row>
    <row r="2990" spans="1:30" ht="28.5">
      <c r="A2990" s="293"/>
      <c r="B2990" s="294"/>
      <c r="C2990" s="260" t="s">
        <v>2137</v>
      </c>
      <c r="D2990" s="156"/>
      <c r="E2990" s="157"/>
      <c r="F2990" s="263">
        <v>185.77</v>
      </c>
      <c r="G2990" s="263">
        <f>0.6+0.3</f>
        <v>0.89999999999999991</v>
      </c>
      <c r="H2990" s="263">
        <v>1</v>
      </c>
      <c r="I2990" s="157"/>
      <c r="J2990" s="128">
        <f>ROUND(PRODUCT(E2990:I2990),2)</f>
        <v>167.19</v>
      </c>
      <c r="K2990" s="82" t="s">
        <v>2368</v>
      </c>
      <c r="U2990" s="137"/>
      <c r="V2990" s="137"/>
      <c r="W2990" s="137"/>
      <c r="X2990" s="137"/>
      <c r="Y2990" s="137"/>
      <c r="Z2990" s="137"/>
      <c r="AA2990" s="137"/>
      <c r="AB2990" s="137"/>
      <c r="AC2990" s="137"/>
      <c r="AD2990" s="137"/>
    </row>
    <row r="2991" spans="1:30" ht="14.25">
      <c r="A2991" s="300"/>
      <c r="B2991" s="434"/>
      <c r="C2991" s="435"/>
      <c r="D2991" s="436"/>
      <c r="E2991" s="436"/>
      <c r="F2991" s="381"/>
      <c r="G2991" s="381"/>
      <c r="H2991" s="381"/>
      <c r="I2991" s="381"/>
      <c r="J2991" s="140"/>
      <c r="U2991" s="137"/>
      <c r="V2991" s="137"/>
      <c r="W2991" s="137"/>
      <c r="X2991" s="137"/>
      <c r="Y2991" s="137"/>
      <c r="Z2991" s="137"/>
      <c r="AA2991" s="137"/>
      <c r="AB2991" s="137"/>
      <c r="AC2991" s="137"/>
      <c r="AD2991" s="137"/>
    </row>
    <row r="2992" spans="1:30" ht="63.75">
      <c r="A2992" s="251" t="str">
        <f>'[3]Planilha Orçamentária'!A783</f>
        <v>1.13.6.2</v>
      </c>
      <c r="B2992" s="252">
        <f>VLOOKUP(A2992,'[3]Planilha Orçamentária'!A:K,2,0)</f>
        <v>90091</v>
      </c>
      <c r="C2992" s="253" t="str">
        <f>VLOOKUP(A2992,'[3]Planilha Orçamentária'!A:K,3,0)</f>
        <v>ESCAVAÇÃO MECANIZADA DE VALA COM PROF. ATÉ 1,5 M (MÉDIA MONTANTE E JUSANTE/UMA COMPOSIÇÃO POR TRECHO), ESCAVADEIRA (0,8 M3), LARG. DE 1,5 M A 2,5 M, EM SOLO DE 1A CATEGORIA, LOCAIS COM BAIXO NÍVEL DE INTERFERÊNCIA. AF_02/2021</v>
      </c>
      <c r="D2992" s="254" t="str">
        <f>VLOOKUP(A2992,'[3]Planilha Orçamentária'!A:K,4,0)</f>
        <v>M3</v>
      </c>
      <c r="E2992" s="255"/>
      <c r="F2992" s="256"/>
      <c r="G2992" s="111"/>
      <c r="H2992" s="111"/>
      <c r="I2992" s="111"/>
      <c r="J2992" s="122">
        <f>ROUND(SUM(J2993:J2994),2)</f>
        <v>509.67</v>
      </c>
      <c r="U2992" s="137"/>
      <c r="V2992" s="137"/>
      <c r="W2992" s="137"/>
      <c r="X2992" s="137"/>
      <c r="Y2992" s="137"/>
      <c r="Z2992" s="137"/>
      <c r="AA2992" s="137"/>
      <c r="AB2992" s="137"/>
      <c r="AC2992" s="137"/>
      <c r="AD2992" s="137"/>
    </row>
    <row r="2993" spans="1:30" ht="14.25">
      <c r="A2993" s="300"/>
      <c r="B2993" s="434"/>
      <c r="C2993" s="204" t="s">
        <v>2048</v>
      </c>
      <c r="D2993" s="148"/>
      <c r="E2993" s="147"/>
      <c r="F2993" s="161" t="s">
        <v>1989</v>
      </c>
      <c r="G2993" s="161" t="s">
        <v>1990</v>
      </c>
      <c r="H2993" s="161" t="s">
        <v>2049</v>
      </c>
      <c r="I2993" s="263"/>
      <c r="J2993" s="128"/>
      <c r="U2993" s="137"/>
      <c r="V2993" s="137"/>
      <c r="W2993" s="137"/>
      <c r="X2993" s="137"/>
      <c r="Y2993" s="137"/>
      <c r="Z2993" s="137"/>
      <c r="AA2993" s="137"/>
      <c r="AB2993" s="137"/>
      <c r="AC2993" s="137"/>
      <c r="AD2993" s="137"/>
    </row>
    <row r="2994" spans="1:30" ht="42.75">
      <c r="A2994" s="300"/>
      <c r="B2994" s="434"/>
      <c r="C2994" s="260" t="s">
        <v>2369</v>
      </c>
      <c r="D2994" s="148"/>
      <c r="E2994" s="147"/>
      <c r="F2994" s="223">
        <v>463.34</v>
      </c>
      <c r="G2994" s="223">
        <f>1.4+0.6</f>
        <v>2</v>
      </c>
      <c r="H2994" s="223">
        <f>1-0.45</f>
        <v>0.55000000000000004</v>
      </c>
      <c r="I2994" s="263"/>
      <c r="J2994" s="128">
        <f>ROUND(PRODUCT(E2994:I2994),2)</f>
        <v>509.67</v>
      </c>
      <c r="K2994" s="82" t="s">
        <v>2368</v>
      </c>
      <c r="U2994" s="137"/>
      <c r="V2994" s="137"/>
      <c r="W2994" s="137"/>
      <c r="X2994" s="137"/>
      <c r="Y2994" s="137"/>
      <c r="Z2994" s="137"/>
      <c r="AA2994" s="137"/>
      <c r="AB2994" s="137"/>
      <c r="AC2994" s="137"/>
      <c r="AD2994" s="137"/>
    </row>
    <row r="2995" spans="1:30" ht="14.25">
      <c r="A2995" s="300"/>
      <c r="B2995" s="434"/>
      <c r="C2995" s="435"/>
      <c r="D2995" s="436"/>
      <c r="E2995" s="436"/>
      <c r="F2995" s="381"/>
      <c r="G2995" s="381"/>
      <c r="H2995" s="381"/>
      <c r="I2995" s="381"/>
      <c r="J2995" s="140"/>
      <c r="U2995" s="137"/>
      <c r="V2995" s="137"/>
      <c r="W2995" s="137"/>
      <c r="X2995" s="137"/>
      <c r="Y2995" s="137"/>
      <c r="Z2995" s="137"/>
      <c r="AA2995" s="137"/>
      <c r="AB2995" s="137"/>
      <c r="AC2995" s="137"/>
      <c r="AD2995" s="137"/>
    </row>
    <row r="2996" spans="1:30" ht="63.75">
      <c r="A2996" s="251" t="str">
        <f>'[3]Planilha Orçamentária'!A784</f>
        <v>1.13.6.3</v>
      </c>
      <c r="B2996" s="252">
        <f>VLOOKUP(A2996,'[3]Planilha Orçamentária'!A:K,2,0)</f>
        <v>90105</v>
      </c>
      <c r="C2996" s="253" t="str">
        <f>VLOOKUP(A2996,'[3]Planilha Orçamentária'!A:K,3,0)</f>
        <v>ESCAVAÇÃO MECANIZADA DE VALA COM PROFUNDIDADE ATÉ 1,5 M (MÉDIA MONTANTE E JUSANTE/UMA COMPOSIÇÃO POR TRECHO), RETROESCAV. (0,26 M3), LARGURA MENOR QUE 0,8 M, EM SOLO DE 1A CATEGORIA, LOCAIS COM BAIXO NÍVEL DE INTERFERÊNCIA. AF_02/2021</v>
      </c>
      <c r="D2996" s="254" t="str">
        <f>VLOOKUP(A2996,'[3]Planilha Orçamentária'!A:K,4,0)</f>
        <v>M3</v>
      </c>
      <c r="E2996" s="255"/>
      <c r="F2996" s="256"/>
      <c r="G2996" s="256"/>
      <c r="H2996" s="256"/>
      <c r="I2996" s="256"/>
      <c r="J2996" s="257">
        <f>ROUND(SUM(J2997:J3001),2)</f>
        <v>51.02</v>
      </c>
      <c r="U2996" s="137"/>
      <c r="V2996" s="137"/>
      <c r="W2996" s="137"/>
      <c r="X2996" s="137"/>
      <c r="Y2996" s="137"/>
      <c r="Z2996" s="137"/>
      <c r="AA2996" s="137"/>
      <c r="AB2996" s="137"/>
      <c r="AC2996" s="137"/>
      <c r="AD2996" s="137"/>
    </row>
    <row r="2997" spans="1:30">
      <c r="A2997" s="293"/>
      <c r="B2997" s="294"/>
      <c r="C2997" s="343" t="s">
        <v>2367</v>
      </c>
      <c r="D2997" s="105"/>
      <c r="E2997" s="241"/>
      <c r="F2997" s="161"/>
      <c r="G2997" s="161"/>
      <c r="H2997" s="161"/>
      <c r="I2997" s="241"/>
      <c r="J2997" s="299"/>
      <c r="U2997" s="137"/>
      <c r="V2997" s="137"/>
      <c r="W2997" s="137"/>
      <c r="X2997" s="137"/>
      <c r="Y2997" s="137"/>
      <c r="Z2997" s="137"/>
      <c r="AA2997" s="137"/>
      <c r="AB2997" s="137"/>
      <c r="AC2997" s="137"/>
      <c r="AD2997" s="137"/>
    </row>
    <row r="2998" spans="1:30" ht="25.5">
      <c r="A2998" s="300"/>
      <c r="B2998" s="301"/>
      <c r="C2998" s="267" t="s">
        <v>2141</v>
      </c>
      <c r="D2998" s="378"/>
      <c r="E2998" s="305"/>
      <c r="F2998" s="169" t="s">
        <v>1989</v>
      </c>
      <c r="G2998" s="169" t="s">
        <v>2136</v>
      </c>
      <c r="H2998" s="169" t="s">
        <v>2049</v>
      </c>
      <c r="I2998" s="161"/>
      <c r="J2998" s="353"/>
      <c r="U2998" s="137"/>
      <c r="V2998" s="137"/>
      <c r="W2998" s="137"/>
      <c r="X2998" s="137"/>
      <c r="Y2998" s="137"/>
      <c r="Z2998" s="137"/>
      <c r="AA2998" s="137"/>
      <c r="AB2998" s="137"/>
      <c r="AC2998" s="137"/>
      <c r="AD2998" s="137"/>
    </row>
    <row r="2999" spans="1:30" ht="28.5">
      <c r="A2999" s="293"/>
      <c r="B2999" s="294"/>
      <c r="C2999" s="260" t="s">
        <v>2142</v>
      </c>
      <c r="D2999" s="156"/>
      <c r="E2999" s="157"/>
      <c r="F2999" s="263">
        <v>123.68</v>
      </c>
      <c r="G2999" s="263">
        <v>0.75</v>
      </c>
      <c r="H2999" s="263">
        <f>1-0.45</f>
        <v>0.55000000000000004</v>
      </c>
      <c r="I2999" s="157"/>
      <c r="J2999" s="128">
        <f>ROUND(PRODUCT(E2999:I2999),2)</f>
        <v>51.02</v>
      </c>
      <c r="K2999" s="82" t="s">
        <v>2370</v>
      </c>
      <c r="U2999" s="137"/>
      <c r="V2999" s="137"/>
      <c r="W2999" s="137"/>
      <c r="X2999" s="137"/>
      <c r="Y2999" s="137"/>
      <c r="Z2999" s="137"/>
      <c r="AA2999" s="137"/>
      <c r="AB2999" s="137"/>
      <c r="AC2999" s="137"/>
      <c r="AD2999" s="137"/>
    </row>
    <row r="3000" spans="1:30" ht="14.25">
      <c r="A3000" s="293"/>
      <c r="B3000" s="294"/>
      <c r="C3000" s="260" t="s">
        <v>2371</v>
      </c>
      <c r="D3000" s="156"/>
      <c r="E3000" s="157"/>
      <c r="F3000" s="263"/>
      <c r="G3000" s="263"/>
      <c r="H3000" s="263"/>
      <c r="I3000" s="157"/>
      <c r="J3000" s="128"/>
      <c r="U3000" s="137"/>
      <c r="V3000" s="137"/>
      <c r="W3000" s="137"/>
      <c r="X3000" s="137"/>
      <c r="Y3000" s="137"/>
      <c r="Z3000" s="137"/>
      <c r="AA3000" s="137"/>
      <c r="AB3000" s="137"/>
      <c r="AC3000" s="137"/>
      <c r="AD3000" s="137"/>
    </row>
    <row r="3001" spans="1:30">
      <c r="A3001" s="540"/>
      <c r="B3001" s="541"/>
      <c r="C3001" s="541"/>
      <c r="D3001" s="541"/>
      <c r="E3001" s="541"/>
      <c r="F3001" s="541"/>
      <c r="G3001" s="541"/>
      <c r="H3001" s="541"/>
      <c r="I3001" s="541"/>
      <c r="J3001" s="542"/>
      <c r="U3001" s="137"/>
      <c r="V3001" s="137"/>
      <c r="W3001" s="137"/>
      <c r="X3001" s="137"/>
      <c r="Y3001" s="137"/>
      <c r="Z3001" s="137"/>
      <c r="AA3001" s="137"/>
      <c r="AB3001" s="137"/>
      <c r="AC3001" s="137"/>
      <c r="AD3001" s="137"/>
    </row>
    <row r="3002" spans="1:30" ht="63.75">
      <c r="A3002" s="132" t="str">
        <f>'[3]Planilha Orçamentária'!A785</f>
        <v>1.13.6.4</v>
      </c>
      <c r="B3002" s="108">
        <f>VLOOKUP(A3002,'[3]Planilha Orçamentária'!A:K,2,0)</f>
        <v>93378</v>
      </c>
      <c r="C3002" s="276" t="str">
        <f>VLOOKUP(A3002,'[3]Planilha Orçamentária'!A:K,3,0)</f>
        <v>REATERRO MECANIZADO DE VALA COM RETROESCAVADEIRA (CAPACIDADE DA CAÇAMBA DA RETRO: 0,26 M³ / POTÊNCIA: 88 HP), LARGURA ATÉ 0,8 M, PROFUNDIDADE ATÉ 1,5 M, COM SOLO DE 1ª CATEGORIA EM LOCAIS COM BAIXO NÍVEL DE INTERFERÊNCIA. AF_04/2016</v>
      </c>
      <c r="D3002" s="105" t="str">
        <f>VLOOKUP(A3002,'[3]Planilha Orçamentária'!A:K,4,0)</f>
        <v>M3</v>
      </c>
      <c r="E3002" s="104"/>
      <c r="F3002" s="111"/>
      <c r="G3002" s="111"/>
      <c r="H3002" s="111"/>
      <c r="I3002" s="111"/>
      <c r="J3002" s="122">
        <f>ROUND(SUM(J3003:J3006),2)</f>
        <v>31.35</v>
      </c>
      <c r="U3002" s="137"/>
      <c r="V3002" s="137"/>
      <c r="W3002" s="137"/>
      <c r="X3002" s="137"/>
      <c r="Y3002" s="137"/>
      <c r="Z3002" s="137"/>
      <c r="AA3002" s="137"/>
      <c r="AB3002" s="137"/>
      <c r="AC3002" s="137"/>
      <c r="AD3002" s="137"/>
    </row>
    <row r="3003" spans="1:30" ht="25.5">
      <c r="A3003" s="293"/>
      <c r="B3003" s="293"/>
      <c r="C3003" s="155" t="s">
        <v>2143</v>
      </c>
      <c r="D3003" s="156"/>
      <c r="E3003" s="258"/>
      <c r="F3003" s="285"/>
      <c r="G3003" s="258"/>
      <c r="H3003" s="258"/>
      <c r="I3003" s="263"/>
      <c r="J3003" s="293"/>
      <c r="U3003" s="137"/>
      <c r="V3003" s="137"/>
      <c r="W3003" s="137"/>
      <c r="X3003" s="137"/>
      <c r="Y3003" s="137"/>
      <c r="Z3003" s="137"/>
      <c r="AA3003" s="137"/>
      <c r="AB3003" s="137"/>
      <c r="AC3003" s="137"/>
      <c r="AD3003" s="137"/>
    </row>
    <row r="3004" spans="1:30">
      <c r="A3004" s="293"/>
      <c r="B3004" s="293"/>
      <c r="C3004" s="247" t="s">
        <v>2144</v>
      </c>
      <c r="D3004" s="156"/>
      <c r="E3004" s="258"/>
      <c r="F3004" s="285"/>
      <c r="G3004" s="379"/>
      <c r="H3004" s="379"/>
      <c r="I3004" s="263">
        <f>J2996</f>
        <v>51.02</v>
      </c>
      <c r="J3004" s="128">
        <f t="shared" ref="J3004:J3005" si="207">ROUND(PRODUCT(E3004:I3004),2)</f>
        <v>51.02</v>
      </c>
      <c r="U3004" s="137"/>
      <c r="V3004" s="137"/>
      <c r="W3004" s="137"/>
      <c r="X3004" s="137"/>
      <c r="Y3004" s="137"/>
      <c r="Z3004" s="137"/>
      <c r="AA3004" s="137"/>
      <c r="AB3004" s="137"/>
      <c r="AC3004" s="137"/>
      <c r="AD3004" s="137"/>
    </row>
    <row r="3005" spans="1:30" ht="25.5">
      <c r="A3005" s="293"/>
      <c r="B3005" s="293"/>
      <c r="C3005" s="247" t="s">
        <v>2145</v>
      </c>
      <c r="D3005" s="156"/>
      <c r="E3005" s="157">
        <v>-1</v>
      </c>
      <c r="F3005" s="157">
        <f>F2999</f>
        <v>123.68</v>
      </c>
      <c r="G3005" s="157"/>
      <c r="H3005" s="263"/>
      <c r="I3005" s="263">
        <f>PI()*(0.225^2)</f>
        <v>0.15904312808798329</v>
      </c>
      <c r="J3005" s="128">
        <f t="shared" si="207"/>
        <v>-19.670000000000002</v>
      </c>
      <c r="U3005" s="137"/>
      <c r="V3005" s="137"/>
      <c r="W3005" s="137"/>
      <c r="X3005" s="137"/>
      <c r="Y3005" s="137"/>
      <c r="Z3005" s="137"/>
      <c r="AA3005" s="137"/>
      <c r="AB3005" s="137"/>
      <c r="AC3005" s="137"/>
      <c r="AD3005" s="137"/>
    </row>
    <row r="3006" spans="1:30">
      <c r="A3006" s="538"/>
      <c r="B3006" s="539"/>
      <c r="C3006" s="539"/>
      <c r="D3006" s="539"/>
      <c r="E3006" s="539"/>
      <c r="F3006" s="539"/>
      <c r="G3006" s="539"/>
      <c r="H3006" s="539"/>
      <c r="I3006" s="539"/>
      <c r="J3006" s="539"/>
      <c r="U3006" s="137"/>
      <c r="V3006" s="137"/>
      <c r="W3006" s="137"/>
      <c r="X3006" s="137"/>
      <c r="Y3006" s="137"/>
      <c r="Z3006" s="137"/>
      <c r="AA3006" s="137"/>
      <c r="AB3006" s="137"/>
      <c r="AC3006" s="137"/>
      <c r="AD3006" s="137"/>
    </row>
    <row r="3007" spans="1:30" ht="63.75">
      <c r="A3007" s="251" t="str">
        <f>'[3]Planilha Orçamentária'!A786</f>
        <v>1.13.6.5</v>
      </c>
      <c r="B3007" s="252">
        <f>VLOOKUP(A3007,'[3]Planilha Orçamentária'!A:K,2,0)</f>
        <v>93379</v>
      </c>
      <c r="C3007" s="253" t="str">
        <f>VLOOKUP(A3007,'[3]Planilha Orçamentária'!A:K,3,0)</f>
        <v>REATERRO MECANIZADO DE VALA COM RETROESCAVADEIRA (CAPACIDADE DA CAÇAMBA DA RETRO: 0,26 M³ / POTÊNCIA: 88 HP), LARGURA DE 0,8 A 1,5 M, PROFUNDIDADE ATÉ 1,5 M, COM SOLO DE 1ª CATEGORIA EM LOCAIS COM BAIXO NÍVEL DE INTERFERÊNCIA. AF_04/2016</v>
      </c>
      <c r="D3007" s="254" t="str">
        <f>VLOOKUP(A3007,'[3]Planilha Orçamentária'!A:K,4,0)</f>
        <v>M3</v>
      </c>
      <c r="E3007" s="255"/>
      <c r="F3007" s="256"/>
      <c r="G3007" s="256"/>
      <c r="H3007" s="256"/>
      <c r="I3007" s="256"/>
      <c r="J3007" s="257">
        <f>ROUND(SUM(J3008:J3014),2)</f>
        <v>116.34</v>
      </c>
      <c r="U3007" s="137"/>
      <c r="V3007" s="137"/>
      <c r="W3007" s="137"/>
      <c r="X3007" s="137"/>
      <c r="Y3007" s="137"/>
      <c r="Z3007" s="137"/>
      <c r="AA3007" s="137"/>
      <c r="AB3007" s="137"/>
      <c r="AC3007" s="137"/>
      <c r="AD3007" s="137"/>
    </row>
    <row r="3008" spans="1:30">
      <c r="A3008" s="293"/>
      <c r="B3008" s="294"/>
      <c r="C3008" s="324" t="s">
        <v>2146</v>
      </c>
      <c r="D3008" s="156"/>
      <c r="E3008" s="157"/>
      <c r="F3008" s="157"/>
      <c r="G3008" s="157"/>
      <c r="H3008" s="263"/>
      <c r="I3008" s="263"/>
      <c r="J3008" s="299"/>
      <c r="U3008" s="137"/>
      <c r="V3008" s="137"/>
      <c r="W3008" s="137"/>
      <c r="X3008" s="137"/>
      <c r="Y3008" s="137"/>
      <c r="Z3008" s="137"/>
      <c r="AA3008" s="137"/>
      <c r="AB3008" s="137"/>
      <c r="AC3008" s="137"/>
      <c r="AD3008" s="137"/>
    </row>
    <row r="3009" spans="1:30">
      <c r="A3009" s="293"/>
      <c r="B3009" s="294"/>
      <c r="C3009" s="325" t="s">
        <v>2054</v>
      </c>
      <c r="D3009" s="156"/>
      <c r="E3009" s="157"/>
      <c r="F3009" s="157"/>
      <c r="G3009" s="157"/>
      <c r="H3009" s="263"/>
      <c r="I3009" s="263">
        <f>J2988</f>
        <v>84</v>
      </c>
      <c r="J3009" s="370">
        <f t="shared" ref="J3009:J3010" si="208">ROUND(PRODUCT(E3009:I3009),2)</f>
        <v>84</v>
      </c>
      <c r="U3009" s="137"/>
      <c r="V3009" s="137"/>
      <c r="W3009" s="137"/>
      <c r="X3009" s="137"/>
      <c r="Y3009" s="137"/>
      <c r="Z3009" s="137"/>
      <c r="AA3009" s="137"/>
      <c r="AB3009" s="137"/>
      <c r="AC3009" s="137"/>
      <c r="AD3009" s="137"/>
    </row>
    <row r="3010" spans="1:30" ht="38.25">
      <c r="A3010" s="300"/>
      <c r="B3010" s="301"/>
      <c r="C3010" s="380" t="s">
        <v>2147</v>
      </c>
      <c r="D3010" s="378"/>
      <c r="E3010" s="305">
        <v>-1</v>
      </c>
      <c r="F3010" s="305">
        <v>1.4</v>
      </c>
      <c r="G3010" s="305">
        <v>1.4</v>
      </c>
      <c r="H3010" s="381">
        <v>1.4</v>
      </c>
      <c r="I3010" s="381">
        <f>I2988</f>
        <v>30</v>
      </c>
      <c r="J3010" s="319">
        <f t="shared" si="208"/>
        <v>-82.32</v>
      </c>
      <c r="U3010" s="137"/>
      <c r="V3010" s="137"/>
      <c r="W3010" s="137"/>
      <c r="X3010" s="137"/>
      <c r="Y3010" s="137"/>
      <c r="Z3010" s="137"/>
      <c r="AA3010" s="137"/>
      <c r="AB3010" s="137"/>
      <c r="AC3010" s="137"/>
      <c r="AD3010" s="137"/>
    </row>
    <row r="3011" spans="1:30" ht="25.5">
      <c r="A3011" s="293"/>
      <c r="B3011" s="294"/>
      <c r="C3011" s="155" t="s">
        <v>2148</v>
      </c>
      <c r="D3011" s="293"/>
      <c r="E3011" s="293"/>
      <c r="F3011" s="293"/>
      <c r="G3011" s="293"/>
      <c r="H3011" s="293"/>
      <c r="I3011" s="293"/>
      <c r="J3011" s="128"/>
      <c r="U3011" s="137"/>
      <c r="V3011" s="137"/>
      <c r="W3011" s="137"/>
      <c r="X3011" s="137"/>
      <c r="Y3011" s="137"/>
      <c r="Z3011" s="137"/>
      <c r="AA3011" s="137"/>
      <c r="AB3011" s="137"/>
      <c r="AC3011" s="137"/>
      <c r="AD3011" s="137"/>
    </row>
    <row r="3012" spans="1:30">
      <c r="A3012" s="293"/>
      <c r="B3012" s="294"/>
      <c r="C3012" s="247" t="s">
        <v>2144</v>
      </c>
      <c r="D3012" s="293"/>
      <c r="E3012" s="263"/>
      <c r="F3012" s="263"/>
      <c r="G3012" s="263"/>
      <c r="H3012" s="263"/>
      <c r="I3012" s="263">
        <f>J2990</f>
        <v>167.19</v>
      </c>
      <c r="J3012" s="128">
        <f t="shared" ref="J3012:J3013" si="209">ROUND(PRODUCT(E3012:I3012),2)</f>
        <v>167.19</v>
      </c>
      <c r="U3012" s="137"/>
      <c r="V3012" s="137"/>
      <c r="W3012" s="137"/>
      <c r="X3012" s="137"/>
      <c r="Y3012" s="137"/>
      <c r="Z3012" s="137"/>
      <c r="AA3012" s="137"/>
      <c r="AB3012" s="137"/>
      <c r="AC3012" s="137"/>
      <c r="AD3012" s="137"/>
    </row>
    <row r="3013" spans="1:30" ht="25.5">
      <c r="A3013" s="293"/>
      <c r="B3013" s="294"/>
      <c r="C3013" s="247" t="s">
        <v>2149</v>
      </c>
      <c r="D3013" s="293"/>
      <c r="E3013" s="157">
        <v>-1</v>
      </c>
      <c r="F3013" s="157">
        <f>F2990</f>
        <v>185.77</v>
      </c>
      <c r="G3013" s="157"/>
      <c r="H3013" s="263"/>
      <c r="I3013" s="263">
        <f>PI()*(0.3^2)</f>
        <v>0.28274333882308139</v>
      </c>
      <c r="J3013" s="128">
        <f t="shared" si="209"/>
        <v>-52.53</v>
      </c>
      <c r="U3013" s="137"/>
      <c r="V3013" s="137"/>
      <c r="W3013" s="137"/>
      <c r="X3013" s="137"/>
      <c r="Y3013" s="137"/>
      <c r="Z3013" s="137"/>
      <c r="AA3013" s="137"/>
      <c r="AB3013" s="137"/>
      <c r="AC3013" s="137"/>
      <c r="AD3013" s="137"/>
    </row>
    <row r="3014" spans="1:30">
      <c r="A3014" s="311"/>
      <c r="B3014" s="345"/>
      <c r="C3014" s="385"/>
      <c r="D3014" s="312"/>
      <c r="E3014" s="348"/>
      <c r="F3014" s="348"/>
      <c r="G3014" s="348"/>
      <c r="H3014" s="347"/>
      <c r="I3014" s="347"/>
      <c r="J3014" s="386"/>
      <c r="U3014" s="137"/>
      <c r="V3014" s="137"/>
      <c r="W3014" s="137"/>
      <c r="X3014" s="137"/>
      <c r="Y3014" s="137"/>
      <c r="Z3014" s="137"/>
      <c r="AA3014" s="137"/>
      <c r="AB3014" s="137"/>
      <c r="AC3014" s="137"/>
      <c r="AD3014" s="137"/>
    </row>
    <row r="3015" spans="1:30" ht="63.75">
      <c r="A3015" s="251" t="str">
        <f>'[3]Planilha Orçamentária'!A787</f>
        <v>1.13.6.6</v>
      </c>
      <c r="B3015" s="252">
        <f>VLOOKUP(A3015,'[3]Planilha Orçamentária'!A:K,2,0)</f>
        <v>93367</v>
      </c>
      <c r="C3015" s="253" t="str">
        <f>VLOOKUP(A3015,'[3]Planilha Orçamentária'!A:K,3,0)</f>
        <v>REATERRO MECANIZADO DE VALA COM ESCAVADEIRA HIDRÁULICA (CAPACIDADE DA CAÇAMBA: 0,8 M³ / POTÊNCIA: 111 HP), LARGURA DE 1,5 A 2,5 M, PROFUNDIDADE ATÉ 1,5 M, COM SOLO DE 1ª CATEGORIA EM LOCAIS COM BAIXO NÍVEL DE INTERFERÊNCIA. AF_04/2016</v>
      </c>
      <c r="D3015" s="254" t="str">
        <f>VLOOKUP(A3015,'[3]Planilha Orçamentária'!A:K,4,0)</f>
        <v>M3</v>
      </c>
      <c r="E3015" s="255"/>
      <c r="F3015" s="256"/>
      <c r="G3015" s="256"/>
      <c r="H3015" s="256"/>
      <c r="I3015" s="256"/>
      <c r="J3015" s="122">
        <f>ROUND(SUM(J3016:J3018),2)</f>
        <v>152.9</v>
      </c>
      <c r="U3015" s="137"/>
      <c r="V3015" s="137"/>
      <c r="W3015" s="137"/>
      <c r="X3015" s="137"/>
      <c r="Y3015" s="137"/>
      <c r="Z3015" s="137"/>
      <c r="AA3015" s="137"/>
      <c r="AB3015" s="137"/>
      <c r="AC3015" s="137"/>
      <c r="AD3015" s="137"/>
    </row>
    <row r="3016" spans="1:30">
      <c r="A3016" s="311"/>
      <c r="B3016" s="345"/>
      <c r="C3016" s="382" t="s">
        <v>2048</v>
      </c>
      <c r="D3016" s="137"/>
      <c r="E3016" s="137"/>
      <c r="F3016" s="137"/>
      <c r="G3016" s="137"/>
      <c r="H3016" s="137"/>
      <c r="I3016" s="137"/>
      <c r="J3016" s="140"/>
      <c r="U3016" s="137"/>
      <c r="V3016" s="137"/>
      <c r="W3016" s="137"/>
      <c r="X3016" s="137"/>
      <c r="Y3016" s="137"/>
      <c r="Z3016" s="137"/>
      <c r="AA3016" s="137"/>
      <c r="AB3016" s="137"/>
      <c r="AC3016" s="137"/>
      <c r="AD3016" s="137"/>
    </row>
    <row r="3017" spans="1:30" ht="15">
      <c r="A3017" s="311"/>
      <c r="B3017" s="345"/>
      <c r="C3017" s="268" t="s">
        <v>2054</v>
      </c>
      <c r="D3017" s="258"/>
      <c r="E3017" s="258"/>
      <c r="F3017" s="269"/>
      <c r="G3017" s="269"/>
      <c r="H3017" s="269"/>
      <c r="I3017" s="263">
        <f>J2992</f>
        <v>509.67</v>
      </c>
      <c r="J3017" s="128">
        <f t="shared" ref="J3017:J3018" si="210">ROUND(PRODUCT(E3017:I3017),2)</f>
        <v>509.67</v>
      </c>
      <c r="U3017" s="137"/>
      <c r="V3017" s="137"/>
      <c r="W3017" s="137"/>
      <c r="X3017" s="137"/>
      <c r="Y3017" s="137"/>
      <c r="Z3017" s="137"/>
      <c r="AA3017" s="137"/>
      <c r="AB3017" s="137"/>
      <c r="AC3017" s="137"/>
      <c r="AD3017" s="137"/>
    </row>
    <row r="3018" spans="1:30" ht="25.5">
      <c r="A3018" s="311"/>
      <c r="B3018" s="345"/>
      <c r="C3018" s="268" t="s">
        <v>2055</v>
      </c>
      <c r="D3018" s="270"/>
      <c r="E3018" s="270">
        <v>-1</v>
      </c>
      <c r="F3018" s="271">
        <f>F2994</f>
        <v>463.34</v>
      </c>
      <c r="G3018" s="123">
        <v>1.4</v>
      </c>
      <c r="H3018" s="272">
        <f>H2994</f>
        <v>0.55000000000000004</v>
      </c>
      <c r="I3018" s="269"/>
      <c r="J3018" s="128">
        <f t="shared" si="210"/>
        <v>-356.77</v>
      </c>
      <c r="U3018" s="137"/>
      <c r="V3018" s="137"/>
      <c r="W3018" s="137"/>
      <c r="X3018" s="137"/>
      <c r="Y3018" s="137"/>
      <c r="Z3018" s="137"/>
      <c r="AA3018" s="137"/>
      <c r="AB3018" s="137"/>
      <c r="AC3018" s="137"/>
      <c r="AD3018" s="137"/>
    </row>
    <row r="3019" spans="1:30" ht="15">
      <c r="A3019" s="311"/>
      <c r="B3019" s="345"/>
      <c r="C3019" s="380"/>
      <c r="D3019" s="270"/>
      <c r="E3019" s="270"/>
      <c r="F3019" s="437"/>
      <c r="G3019" s="270"/>
      <c r="H3019" s="438"/>
      <c r="I3019" s="439"/>
      <c r="J3019" s="140"/>
      <c r="U3019" s="137"/>
      <c r="V3019" s="137"/>
      <c r="W3019" s="137"/>
      <c r="X3019" s="137"/>
      <c r="Y3019" s="137"/>
      <c r="Z3019" s="137"/>
      <c r="AA3019" s="137"/>
      <c r="AB3019" s="137"/>
      <c r="AC3019" s="137"/>
      <c r="AD3019" s="137"/>
    </row>
    <row r="3020" spans="1:30" ht="51">
      <c r="A3020" s="251" t="str">
        <f>'[3]Planilha Orçamentária'!A788</f>
        <v>1.13.6.7</v>
      </c>
      <c r="B3020" s="252" t="str">
        <f>VLOOKUP(A3020,'[3]Planilha Orçamentária'!A:K,2,0)</f>
        <v>COMP-35145154</v>
      </c>
      <c r="C3020" s="253" t="str">
        <f>VLOOKUP(A3020,'[3]Planilha Orçamentária'!A:K,3,0)</f>
        <v>CARGA E DESCARGA MECANICA DE SOLO UTILIZANDO CAMINHAO BASCULANTE 14,0M3/36T E PA CARREGADEIRA SOBRE PNEUS 128 HP, CAPACIDADE DA CAÇAMBA 1,7 A 2,8 M3, PESO OPERACIONAL 11632 KH</v>
      </c>
      <c r="D3020" s="254" t="str">
        <f>VLOOKUP(A3020,'[3]Planilha Orçamentária'!A:K,4,0)</f>
        <v>M3</v>
      </c>
      <c r="E3020" s="255"/>
      <c r="F3020" s="256"/>
      <c r="G3020" s="256"/>
      <c r="H3020" s="256"/>
      <c r="I3020" s="256"/>
      <c r="J3020" s="257">
        <f>ROUND(SUM(J3021:J3023),2)</f>
        <v>639.11</v>
      </c>
      <c r="U3020" s="137"/>
      <c r="V3020" s="137"/>
      <c r="W3020" s="137"/>
      <c r="X3020" s="137"/>
      <c r="Y3020" s="137"/>
      <c r="Z3020" s="137"/>
      <c r="AA3020" s="137"/>
      <c r="AB3020" s="137"/>
      <c r="AC3020" s="137"/>
      <c r="AD3020" s="137"/>
    </row>
    <row r="3021" spans="1:30" ht="25.5">
      <c r="A3021" s="293"/>
      <c r="B3021" s="294"/>
      <c r="C3021" s="343"/>
      <c r="D3021" s="105"/>
      <c r="E3021" s="159" t="s">
        <v>2006</v>
      </c>
      <c r="F3021" s="161"/>
      <c r="G3021" s="161"/>
      <c r="H3021" s="161"/>
      <c r="I3021" s="161" t="s">
        <v>2056</v>
      </c>
      <c r="J3021" s="299"/>
      <c r="U3021" s="137"/>
      <c r="V3021" s="137"/>
      <c r="W3021" s="137"/>
      <c r="X3021" s="137"/>
      <c r="Y3021" s="137"/>
      <c r="Z3021" s="137"/>
      <c r="AA3021" s="137"/>
      <c r="AB3021" s="137"/>
      <c r="AC3021" s="137"/>
      <c r="AD3021" s="137"/>
    </row>
    <row r="3022" spans="1:30" ht="14.25">
      <c r="A3022" s="293"/>
      <c r="B3022" s="294"/>
      <c r="C3022" s="273" t="s">
        <v>2057</v>
      </c>
      <c r="D3022" s="156"/>
      <c r="E3022" s="157">
        <v>1.25</v>
      </c>
      <c r="F3022" s="263"/>
      <c r="G3022" s="263"/>
      <c r="H3022" s="263"/>
      <c r="I3022" s="305">
        <f>(J2985+J2992+J2996)-(J3002+J3007+J3015)</f>
        <v>511.28999999999996</v>
      </c>
      <c r="J3022" s="118">
        <f>ROUND(PRODUCT(E3022:I3022),2)</f>
        <v>639.11</v>
      </c>
      <c r="U3022" s="137"/>
      <c r="V3022" s="137"/>
      <c r="W3022" s="137"/>
      <c r="X3022" s="137"/>
      <c r="Y3022" s="137"/>
      <c r="Z3022" s="137"/>
      <c r="AA3022" s="137"/>
      <c r="AB3022" s="137"/>
      <c r="AC3022" s="137"/>
      <c r="AD3022" s="137"/>
    </row>
    <row r="3023" spans="1:30">
      <c r="A3023" s="538"/>
      <c r="B3023" s="539"/>
      <c r="C3023" s="539"/>
      <c r="D3023" s="539"/>
      <c r="E3023" s="539"/>
      <c r="F3023" s="539"/>
      <c r="G3023" s="539"/>
      <c r="H3023" s="539"/>
      <c r="I3023" s="539"/>
      <c r="J3023" s="539"/>
      <c r="U3023" s="137"/>
      <c r="V3023" s="137"/>
      <c r="W3023" s="137"/>
      <c r="X3023" s="137"/>
      <c r="Y3023" s="137"/>
      <c r="Z3023" s="137"/>
      <c r="AA3023" s="137"/>
      <c r="AB3023" s="137"/>
      <c r="AC3023" s="137"/>
      <c r="AD3023" s="137"/>
    </row>
    <row r="3024" spans="1:30" ht="38.25">
      <c r="A3024" s="251" t="str">
        <f>'[3]Planilha Orçamentária'!A789</f>
        <v>1.13.6.8</v>
      </c>
      <c r="B3024" s="252">
        <f>VLOOKUP(A3024,'[3]Planilha Orçamentária'!A:K,2,0)</f>
        <v>95876</v>
      </c>
      <c r="C3024" s="276" t="str">
        <f>VLOOKUP(A3024,'[3]Planilha Orçamentária'!A:K,3,0)</f>
        <v>TRANSPORTE COM CAMINHÃO BASCULANTE DE 14 M³, EM VIA URBANA PAVIMENTADA, DMT ATÉ 30 KM (UNIDADE: M3XKM). AF_07/2020</v>
      </c>
      <c r="D3024" s="254" t="str">
        <f>VLOOKUP(A3024,'[3]Planilha Orçamentária'!A:K,4,0)</f>
        <v>M3XKM</v>
      </c>
      <c r="E3024" s="104"/>
      <c r="F3024" s="256"/>
      <c r="G3024" s="256"/>
      <c r="H3024" s="256"/>
      <c r="I3024" s="256"/>
      <c r="J3024" s="257">
        <f>ROUND(SUM(J3025:J3027),2)</f>
        <v>4282.04</v>
      </c>
      <c r="U3024" s="137"/>
      <c r="V3024" s="137"/>
      <c r="W3024" s="137"/>
      <c r="X3024" s="137"/>
      <c r="Y3024" s="137"/>
      <c r="Z3024" s="137"/>
      <c r="AA3024" s="137"/>
      <c r="AB3024" s="137"/>
      <c r="AC3024" s="137"/>
      <c r="AD3024" s="137"/>
    </row>
    <row r="3025" spans="1:30">
      <c r="A3025" s="293"/>
      <c r="B3025" s="294"/>
      <c r="C3025" s="171" t="s">
        <v>2346</v>
      </c>
      <c r="D3025" s="189"/>
      <c r="E3025" s="208" t="s">
        <v>2011</v>
      </c>
      <c r="F3025" s="111"/>
      <c r="G3025" s="111"/>
      <c r="H3025" s="111"/>
      <c r="I3025" s="106" t="s">
        <v>2151</v>
      </c>
      <c r="J3025" s="299"/>
      <c r="U3025" s="137"/>
      <c r="V3025" s="137"/>
      <c r="W3025" s="137"/>
      <c r="X3025" s="137"/>
      <c r="Y3025" s="137"/>
      <c r="Z3025" s="137"/>
      <c r="AA3025" s="137"/>
      <c r="AB3025" s="137"/>
      <c r="AC3025" s="137"/>
      <c r="AD3025" s="137"/>
    </row>
    <row r="3026" spans="1:30">
      <c r="A3026" s="293"/>
      <c r="B3026" s="294"/>
      <c r="C3026" s="155" t="s">
        <v>2347</v>
      </c>
      <c r="D3026" s="156"/>
      <c r="E3026" s="162">
        <v>6.7</v>
      </c>
      <c r="F3026" s="116"/>
      <c r="G3026" s="157"/>
      <c r="H3026" s="157"/>
      <c r="I3026" s="157">
        <f>J3020</f>
        <v>639.11</v>
      </c>
      <c r="J3026" s="118">
        <f>ROUND(PRODUCT(E3026:I3026),2)</f>
        <v>4282.04</v>
      </c>
      <c r="U3026" s="137"/>
      <c r="V3026" s="137"/>
      <c r="W3026" s="137"/>
      <c r="X3026" s="137"/>
      <c r="Y3026" s="137"/>
      <c r="Z3026" s="137"/>
      <c r="AA3026" s="137"/>
      <c r="AB3026" s="137"/>
      <c r="AC3026" s="137"/>
      <c r="AD3026" s="137"/>
    </row>
    <row r="3027" spans="1:30">
      <c r="A3027" s="538"/>
      <c r="B3027" s="539"/>
      <c r="C3027" s="539"/>
      <c r="D3027" s="539"/>
      <c r="E3027" s="539"/>
      <c r="F3027" s="539"/>
      <c r="G3027" s="539"/>
      <c r="H3027" s="539"/>
      <c r="I3027" s="539"/>
      <c r="J3027" s="539"/>
      <c r="U3027" s="137"/>
      <c r="V3027" s="137"/>
      <c r="W3027" s="137"/>
      <c r="X3027" s="137"/>
      <c r="Y3027" s="137"/>
      <c r="Z3027" s="137"/>
      <c r="AA3027" s="137"/>
      <c r="AB3027" s="137"/>
      <c r="AC3027" s="137"/>
      <c r="AD3027" s="137"/>
    </row>
    <row r="3028" spans="1:30" ht="38.25">
      <c r="A3028" s="251" t="str">
        <f>'[3]Planilha Orçamentária'!A790</f>
        <v>1.13.6.9</v>
      </c>
      <c r="B3028" s="252">
        <f>VLOOKUP(A3028,'[3]Planilha Orçamentária'!A:K,2,0)</f>
        <v>94974</v>
      </c>
      <c r="C3028" s="253" t="str">
        <f>VLOOKUP(A3028,'[3]Planilha Orçamentária'!A:K,3,0)</f>
        <v>CONCRETO MAGRO PARA LASTRO, TRAÇO 1:4,5:4,5 (EM MASSA SECA DE CIMENTO/ AREIA MÉDIA/ BRITA 1) - PREPARO MANUAL. AF_05/2021</v>
      </c>
      <c r="D3028" s="254" t="str">
        <f>VLOOKUP(A3028,'[3]Planilha Orçamentária'!A:K,4,0)</f>
        <v>M3</v>
      </c>
      <c r="E3028" s="255"/>
      <c r="F3028" s="256"/>
      <c r="G3028" s="256"/>
      <c r="H3028" s="256"/>
      <c r="I3028" s="256"/>
      <c r="J3028" s="257">
        <f>ROUND(SUM(J3029:J3032),2)</f>
        <v>58.09</v>
      </c>
      <c r="U3028" s="137"/>
      <c r="V3028" s="137"/>
      <c r="W3028" s="137"/>
      <c r="X3028" s="137"/>
      <c r="Y3028" s="137"/>
      <c r="Z3028" s="137"/>
      <c r="AA3028" s="137"/>
      <c r="AB3028" s="137"/>
      <c r="AC3028" s="137"/>
      <c r="AD3028" s="137"/>
    </row>
    <row r="3029" spans="1:30">
      <c r="A3029" s="293"/>
      <c r="B3029" s="294"/>
      <c r="C3029" s="343" t="s">
        <v>2367</v>
      </c>
      <c r="D3029" s="105"/>
      <c r="E3029" s="104"/>
      <c r="F3029" s="161" t="s">
        <v>1989</v>
      </c>
      <c r="G3029" s="161" t="s">
        <v>1990</v>
      </c>
      <c r="H3029" s="161" t="s">
        <v>2002</v>
      </c>
      <c r="I3029" s="241" t="s">
        <v>2045</v>
      </c>
      <c r="J3029" s="299"/>
      <c r="U3029" s="137"/>
      <c r="V3029" s="137"/>
      <c r="W3029" s="137"/>
      <c r="X3029" s="137"/>
      <c r="Y3029" s="137"/>
      <c r="Z3029" s="137"/>
      <c r="AA3029" s="137"/>
      <c r="AB3029" s="137"/>
      <c r="AC3029" s="137"/>
      <c r="AD3029" s="137"/>
    </row>
    <row r="3030" spans="1:30">
      <c r="A3030" s="293"/>
      <c r="B3030" s="294"/>
      <c r="C3030" s="387" t="s">
        <v>2153</v>
      </c>
      <c r="D3030" s="105"/>
      <c r="E3030" s="104"/>
      <c r="F3030" s="278">
        <v>1.4</v>
      </c>
      <c r="G3030" s="278">
        <v>1.4</v>
      </c>
      <c r="H3030" s="278">
        <v>0.2</v>
      </c>
      <c r="I3030" s="278">
        <f>I2988</f>
        <v>30</v>
      </c>
      <c r="J3030" s="128">
        <f>ROUND(PRODUCT(E3030:I3030),2)</f>
        <v>11.76</v>
      </c>
      <c r="U3030" s="137"/>
      <c r="V3030" s="137"/>
      <c r="W3030" s="137"/>
      <c r="X3030" s="137"/>
      <c r="Y3030" s="137"/>
      <c r="Z3030" s="137"/>
      <c r="AA3030" s="137"/>
      <c r="AB3030" s="137"/>
      <c r="AC3030" s="137"/>
      <c r="AD3030" s="137"/>
    </row>
    <row r="3031" spans="1:30" ht="14.25">
      <c r="A3031" s="293"/>
      <c r="B3031" s="294"/>
      <c r="C3031" s="284" t="s">
        <v>2063</v>
      </c>
      <c r="D3031" s="123"/>
      <c r="E3031" s="123"/>
      <c r="F3031" s="285">
        <f>F2994</f>
        <v>463.34</v>
      </c>
      <c r="G3031" s="282">
        <v>1</v>
      </c>
      <c r="H3031" s="123">
        <v>0.1</v>
      </c>
      <c r="I3031" s="278"/>
      <c r="J3031" s="128">
        <f>ROUND(PRODUCT(E3031:I3031),2)</f>
        <v>46.33</v>
      </c>
      <c r="U3031" s="137"/>
      <c r="V3031" s="137"/>
      <c r="W3031" s="137"/>
      <c r="X3031" s="137"/>
      <c r="Y3031" s="137"/>
      <c r="Z3031" s="137"/>
      <c r="AA3031" s="137"/>
      <c r="AB3031" s="137"/>
      <c r="AC3031" s="137"/>
      <c r="AD3031" s="137"/>
    </row>
    <row r="3032" spans="1:30">
      <c r="A3032" s="538"/>
      <c r="B3032" s="539"/>
      <c r="C3032" s="539"/>
      <c r="D3032" s="539"/>
      <c r="E3032" s="539"/>
      <c r="F3032" s="539"/>
      <c r="G3032" s="539"/>
      <c r="H3032" s="539"/>
      <c r="I3032" s="539"/>
      <c r="J3032" s="539"/>
      <c r="U3032" s="137"/>
      <c r="V3032" s="137"/>
      <c r="W3032" s="137"/>
      <c r="X3032" s="137"/>
      <c r="Y3032" s="137"/>
      <c r="Z3032" s="137"/>
      <c r="AA3032" s="137"/>
      <c r="AB3032" s="137"/>
      <c r="AC3032" s="137"/>
      <c r="AD3032" s="137"/>
    </row>
    <row r="3033" spans="1:30" ht="25.5">
      <c r="A3033" s="251" t="str">
        <f>'[3]Planilha Orçamentária'!A791</f>
        <v>1.13.6.10</v>
      </c>
      <c r="B3033" s="252" t="str">
        <f>VLOOKUP(A3033,'[3]Planilha Orçamentária'!A:K,2,0)</f>
        <v>COMP-47781585</v>
      </c>
      <c r="C3033" s="253" t="str">
        <f>VLOOKUP(A3033,'[3]Planilha Orçamentária'!A:K,3,0)</f>
        <v>BOCA DE LOBO SIMPLES COM CHAPÉU E TAMPA DE CONCRETO - BLS 01 (H=1,00m)</v>
      </c>
      <c r="D3033" s="254" t="str">
        <f>VLOOKUP(A3033,'[3]Planilha Orçamentária'!A:K,4,0)</f>
        <v>UND</v>
      </c>
      <c r="E3033" s="255"/>
      <c r="F3033" s="256"/>
      <c r="G3033" s="256"/>
      <c r="H3033" s="256"/>
      <c r="I3033" s="256"/>
      <c r="J3033" s="257">
        <f>ROUND(SUM(J3034:J3036),2)</f>
        <v>30</v>
      </c>
      <c r="U3033" s="137"/>
      <c r="V3033" s="137"/>
      <c r="W3033" s="137"/>
      <c r="X3033" s="137"/>
      <c r="Y3033" s="137"/>
      <c r="Z3033" s="137"/>
      <c r="AA3033" s="137"/>
      <c r="AB3033" s="137"/>
      <c r="AC3033" s="137"/>
      <c r="AD3033" s="137"/>
    </row>
    <row r="3034" spans="1:30" ht="14.25">
      <c r="A3034" s="293"/>
      <c r="B3034" s="294"/>
      <c r="C3034" s="343" t="s">
        <v>2367</v>
      </c>
      <c r="D3034" s="289"/>
      <c r="E3034" s="290"/>
      <c r="F3034" s="290"/>
      <c r="G3034" s="282"/>
      <c r="H3034" s="290"/>
      <c r="I3034" s="241" t="s">
        <v>2155</v>
      </c>
      <c r="J3034" s="299"/>
      <c r="U3034" s="137"/>
      <c r="V3034" s="137"/>
      <c r="W3034" s="137"/>
      <c r="X3034" s="137"/>
      <c r="Y3034" s="137"/>
      <c r="Z3034" s="137"/>
      <c r="AA3034" s="137"/>
      <c r="AB3034" s="137"/>
      <c r="AC3034" s="137"/>
      <c r="AD3034" s="137"/>
    </row>
    <row r="3035" spans="1:30">
      <c r="A3035" s="293"/>
      <c r="B3035" s="294"/>
      <c r="C3035" s="389" t="s">
        <v>2156</v>
      </c>
      <c r="D3035" s="102"/>
      <c r="E3035" s="102"/>
      <c r="F3035" s="102"/>
      <c r="G3035" s="102"/>
      <c r="H3035" s="102"/>
      <c r="I3035" s="157">
        <f>I2988</f>
        <v>30</v>
      </c>
      <c r="J3035" s="118">
        <f>ROUND(PRODUCT(E3035:I3035),2)</f>
        <v>30</v>
      </c>
      <c r="U3035" s="137"/>
      <c r="V3035" s="137"/>
      <c r="W3035" s="137"/>
      <c r="X3035" s="137"/>
      <c r="Y3035" s="137"/>
      <c r="Z3035" s="137"/>
      <c r="AA3035" s="137"/>
      <c r="AB3035" s="137"/>
      <c r="AC3035" s="137"/>
      <c r="AD3035" s="137"/>
    </row>
    <row r="3036" spans="1:30">
      <c r="A3036" s="538"/>
      <c r="B3036" s="539"/>
      <c r="C3036" s="539"/>
      <c r="D3036" s="539"/>
      <c r="E3036" s="539"/>
      <c r="F3036" s="539"/>
      <c r="G3036" s="539"/>
      <c r="H3036" s="539"/>
      <c r="I3036" s="539"/>
      <c r="J3036" s="539"/>
      <c r="U3036" s="137"/>
      <c r="V3036" s="137"/>
      <c r="W3036" s="137"/>
      <c r="X3036" s="137"/>
      <c r="Y3036" s="137"/>
      <c r="Z3036" s="137"/>
      <c r="AA3036" s="137"/>
      <c r="AB3036" s="137"/>
      <c r="AC3036" s="137"/>
      <c r="AD3036" s="137"/>
    </row>
    <row r="3037" spans="1:30" ht="25.5">
      <c r="A3037" s="251" t="str">
        <f>'[3]Planilha Orçamentária'!A792</f>
        <v>1.13.6.11</v>
      </c>
      <c r="B3037" s="252" t="str">
        <f>VLOOKUP(A3037,'[3]Planilha Orçamentária'!A:K,2,0)</f>
        <v>CP-74157/004-48264518</v>
      </c>
      <c r="C3037" s="253" t="str">
        <f>VLOOKUP(A3037,'[3]Planilha Orçamentária'!A:K,3,0)</f>
        <v>LANCAMENTO/APLICACAO MANUAL DE CONCRETO EM FUNDACOES (concreto magro)</v>
      </c>
      <c r="D3037" s="254" t="str">
        <f>VLOOKUP(A3037,'[3]Planilha Orçamentária'!A:K,4,0)</f>
        <v>M3</v>
      </c>
      <c r="E3037" s="255"/>
      <c r="F3037" s="256"/>
      <c r="G3037" s="256"/>
      <c r="H3037" s="256"/>
      <c r="I3037" s="256"/>
      <c r="J3037" s="257">
        <f>ROUND(SUM(J3038:J3041),2)</f>
        <v>136.94</v>
      </c>
      <c r="U3037" s="137"/>
      <c r="V3037" s="137"/>
      <c r="W3037" s="137"/>
      <c r="X3037" s="137"/>
      <c r="Y3037" s="137"/>
      <c r="Z3037" s="137"/>
      <c r="AA3037" s="137"/>
      <c r="AB3037" s="137"/>
      <c r="AC3037" s="137"/>
      <c r="AD3037" s="137"/>
    </row>
    <row r="3038" spans="1:30">
      <c r="A3038" s="293"/>
      <c r="B3038" s="294"/>
      <c r="C3038" s="343" t="s">
        <v>2367</v>
      </c>
      <c r="D3038" s="105"/>
      <c r="E3038" s="241"/>
      <c r="F3038" s="263"/>
      <c r="G3038" s="263"/>
      <c r="H3038" s="263"/>
      <c r="I3038" s="241"/>
      <c r="J3038" s="299"/>
      <c r="U3038" s="137"/>
      <c r="V3038" s="137"/>
      <c r="W3038" s="137"/>
      <c r="X3038" s="137"/>
      <c r="Y3038" s="137"/>
      <c r="Z3038" s="137"/>
      <c r="AA3038" s="137"/>
      <c r="AB3038" s="137"/>
      <c r="AC3038" s="137"/>
      <c r="AD3038" s="137"/>
    </row>
    <row r="3039" spans="1:30" ht="14.25">
      <c r="A3039" s="293"/>
      <c r="B3039" s="294"/>
      <c r="C3039" s="204" t="s">
        <v>2372</v>
      </c>
      <c r="D3039" s="105"/>
      <c r="E3039" s="241"/>
      <c r="F3039" s="263"/>
      <c r="G3039" s="263"/>
      <c r="H3039" s="263"/>
      <c r="I3039" s="305">
        <f>J3028</f>
        <v>58.09</v>
      </c>
      <c r="J3039" s="118">
        <f>ROUND(PRODUCT(E3039:I3039),2)</f>
        <v>58.09</v>
      </c>
      <c r="U3039" s="137"/>
      <c r="V3039" s="137"/>
      <c r="W3039" s="137"/>
      <c r="X3039" s="137"/>
      <c r="Y3039" s="137"/>
      <c r="Z3039" s="137"/>
      <c r="AA3039" s="137"/>
      <c r="AB3039" s="137"/>
      <c r="AC3039" s="137"/>
      <c r="AD3039" s="137"/>
    </row>
    <row r="3040" spans="1:30" ht="14.25">
      <c r="A3040" s="293"/>
      <c r="B3040" s="294"/>
      <c r="C3040" s="204" t="s">
        <v>2373</v>
      </c>
      <c r="D3040" s="156"/>
      <c r="E3040" s="157"/>
      <c r="F3040" s="263"/>
      <c r="G3040" s="263"/>
      <c r="H3040" s="263"/>
      <c r="I3040" s="305">
        <f>J3075</f>
        <v>78.849999999999994</v>
      </c>
      <c r="J3040" s="118">
        <f>ROUND(PRODUCT(E3040:I3040),2)</f>
        <v>78.849999999999994</v>
      </c>
      <c r="U3040" s="137"/>
      <c r="V3040" s="137"/>
      <c r="W3040" s="137"/>
      <c r="X3040" s="137"/>
      <c r="Y3040" s="137"/>
      <c r="Z3040" s="137"/>
      <c r="AA3040" s="137"/>
      <c r="AB3040" s="137"/>
      <c r="AC3040" s="137"/>
      <c r="AD3040" s="137"/>
    </row>
    <row r="3041" spans="1:30">
      <c r="A3041" s="538"/>
      <c r="B3041" s="539"/>
      <c r="C3041" s="539"/>
      <c r="D3041" s="539"/>
      <c r="E3041" s="539"/>
      <c r="F3041" s="539"/>
      <c r="G3041" s="539"/>
      <c r="H3041" s="539"/>
      <c r="I3041" s="539"/>
      <c r="J3041" s="539"/>
      <c r="U3041" s="137"/>
      <c r="V3041" s="137"/>
      <c r="W3041" s="137"/>
      <c r="X3041" s="137"/>
      <c r="Y3041" s="137"/>
      <c r="Z3041" s="137"/>
      <c r="AA3041" s="137"/>
      <c r="AB3041" s="137"/>
      <c r="AC3041" s="137"/>
      <c r="AD3041" s="137"/>
    </row>
    <row r="3042" spans="1:30" ht="51">
      <c r="A3042" s="251" t="str">
        <f>'[3]Planilha Orçamentária'!A793</f>
        <v>1.13.6.12</v>
      </c>
      <c r="B3042" s="252">
        <f>VLOOKUP(A3042,'[3]Planilha Orçamentária'!A:K,2,0)</f>
        <v>90747</v>
      </c>
      <c r="C3042" s="253" t="str">
        <f>VLOOKUP(A3042,'[3]Planilha Orçamentária'!A:K,3,0)</f>
        <v>ASSENTAMENTO DE TUBO DE PEAD CORRUGADO DE DUPLA PAREDE PARA REDE COLETORA DE ESGOTO, DN 600 MM, JUNTA ELÁSTICA INTEGRADA (NÃO INCLUI FORNECIMENTO). AF_01/2021</v>
      </c>
      <c r="D3042" s="254" t="str">
        <f>VLOOKUP(A3042,'[3]Planilha Orçamentária'!A:K,4,0)</f>
        <v>M</v>
      </c>
      <c r="E3042" s="255"/>
      <c r="F3042" s="256"/>
      <c r="G3042" s="256"/>
      <c r="H3042" s="256"/>
      <c r="I3042" s="256"/>
      <c r="J3042" s="257">
        <f>ROUND(SUM(J3043:J3045),2)</f>
        <v>185.77</v>
      </c>
      <c r="U3042" s="137"/>
      <c r="V3042" s="137"/>
      <c r="W3042" s="137"/>
      <c r="X3042" s="137"/>
      <c r="Y3042" s="137"/>
      <c r="Z3042" s="137"/>
      <c r="AA3042" s="137"/>
      <c r="AB3042" s="137"/>
      <c r="AC3042" s="137"/>
      <c r="AD3042" s="137"/>
    </row>
    <row r="3043" spans="1:30">
      <c r="A3043" s="293"/>
      <c r="B3043" s="294"/>
      <c r="C3043" s="343" t="s">
        <v>2367</v>
      </c>
      <c r="D3043" s="105"/>
      <c r="E3043" s="241"/>
      <c r="F3043" s="263" t="s">
        <v>1989</v>
      </c>
      <c r="G3043" s="263"/>
      <c r="H3043" s="263"/>
      <c r="I3043" s="241"/>
      <c r="J3043" s="299"/>
      <c r="U3043" s="137"/>
      <c r="V3043" s="137"/>
      <c r="W3043" s="137"/>
      <c r="X3043" s="137"/>
      <c r="Y3043" s="137"/>
      <c r="Z3043" s="137"/>
      <c r="AA3043" s="137"/>
      <c r="AB3043" s="137"/>
      <c r="AC3043" s="137"/>
      <c r="AD3043" s="137"/>
    </row>
    <row r="3044" spans="1:30" ht="14.25">
      <c r="A3044" s="293"/>
      <c r="B3044" s="294"/>
      <c r="C3044" s="204" t="s">
        <v>2159</v>
      </c>
      <c r="D3044" s="156"/>
      <c r="E3044" s="157"/>
      <c r="F3044" s="263">
        <f>F2990</f>
        <v>185.77</v>
      </c>
      <c r="G3044" s="263"/>
      <c r="H3044" s="263"/>
      <c r="I3044" s="305"/>
      <c r="J3044" s="118">
        <f>ROUND(PRODUCT(E3044:I3044),2)</f>
        <v>185.77</v>
      </c>
      <c r="U3044" s="137"/>
      <c r="V3044" s="137"/>
      <c r="W3044" s="137"/>
      <c r="X3044" s="137"/>
      <c r="Y3044" s="137"/>
      <c r="Z3044" s="137"/>
      <c r="AA3044" s="137"/>
      <c r="AB3044" s="137"/>
      <c r="AC3044" s="137"/>
      <c r="AD3044" s="137"/>
    </row>
    <row r="3045" spans="1:30">
      <c r="A3045" s="538"/>
      <c r="B3045" s="539"/>
      <c r="C3045" s="539"/>
      <c r="D3045" s="539"/>
      <c r="E3045" s="539"/>
      <c r="F3045" s="539"/>
      <c r="G3045" s="539"/>
      <c r="H3045" s="539"/>
      <c r="I3045" s="539"/>
      <c r="J3045" s="539"/>
      <c r="U3045" s="137"/>
      <c r="V3045" s="137"/>
      <c r="W3045" s="137"/>
      <c r="X3045" s="137"/>
      <c r="Y3045" s="137"/>
      <c r="Z3045" s="137"/>
      <c r="AA3045" s="137"/>
      <c r="AB3045" s="137"/>
      <c r="AC3045" s="137"/>
      <c r="AD3045" s="137"/>
    </row>
    <row r="3046" spans="1:30" ht="51">
      <c r="A3046" s="251" t="str">
        <f>'[3]Planilha Orçamentária'!A794</f>
        <v>1.13.6.13</v>
      </c>
      <c r="B3046" s="252">
        <f>VLOOKUP(A3046,'[3]Planilha Orçamentária'!A:K,2,0)</f>
        <v>90746</v>
      </c>
      <c r="C3046" s="253" t="str">
        <f>VLOOKUP(A3046,'[3]Planilha Orçamentária'!A:K,3,0)</f>
        <v>ASSENTAMENTO DE TUBO DE PEAD CORRUGADO DE DUPLA PAREDE PARA REDE COLETORA DE ESGOTO, DN 450 MM, JUNTA ELÁSTICA INTEGRADA (NÃO INCLUI FORNECIMENTO). AF_01/2021</v>
      </c>
      <c r="D3046" s="254" t="str">
        <f>VLOOKUP(A3046,'[3]Planilha Orçamentária'!A:K,4,0)</f>
        <v>M</v>
      </c>
      <c r="E3046" s="255"/>
      <c r="F3046" s="256"/>
      <c r="G3046" s="256"/>
      <c r="H3046" s="256"/>
      <c r="I3046" s="256"/>
      <c r="J3046" s="257">
        <f>ROUND(SUM(J3047:J3049),2)</f>
        <v>123.68</v>
      </c>
      <c r="U3046" s="137"/>
      <c r="V3046" s="137"/>
      <c r="W3046" s="137"/>
      <c r="X3046" s="137"/>
      <c r="Y3046" s="137"/>
      <c r="Z3046" s="137"/>
      <c r="AA3046" s="137"/>
      <c r="AB3046" s="137"/>
      <c r="AC3046" s="137"/>
      <c r="AD3046" s="137"/>
    </row>
    <row r="3047" spans="1:30">
      <c r="A3047" s="293"/>
      <c r="B3047" s="294"/>
      <c r="C3047" s="343" t="s">
        <v>2367</v>
      </c>
      <c r="D3047" s="105"/>
      <c r="E3047" s="241"/>
      <c r="F3047" s="263" t="s">
        <v>1989</v>
      </c>
      <c r="G3047" s="263"/>
      <c r="H3047" s="263"/>
      <c r="I3047" s="241"/>
      <c r="J3047" s="299"/>
      <c r="U3047" s="137"/>
      <c r="V3047" s="137"/>
      <c r="W3047" s="137"/>
      <c r="X3047" s="137"/>
      <c r="Y3047" s="137"/>
      <c r="Z3047" s="137"/>
      <c r="AA3047" s="137"/>
      <c r="AB3047" s="137"/>
      <c r="AC3047" s="137"/>
      <c r="AD3047" s="137"/>
    </row>
    <row r="3048" spans="1:30" ht="14.25">
      <c r="A3048" s="293"/>
      <c r="B3048" s="294"/>
      <c r="C3048" s="204" t="s">
        <v>2159</v>
      </c>
      <c r="D3048" s="156"/>
      <c r="E3048" s="157"/>
      <c r="F3048" s="263">
        <f>F2999</f>
        <v>123.68</v>
      </c>
      <c r="G3048" s="263"/>
      <c r="H3048" s="263"/>
      <c r="I3048" s="305"/>
      <c r="J3048" s="118">
        <f>ROUND(PRODUCT(E3048:I3048),2)</f>
        <v>123.68</v>
      </c>
      <c r="U3048" s="137"/>
      <c r="V3048" s="137"/>
      <c r="W3048" s="137"/>
      <c r="X3048" s="137"/>
      <c r="Y3048" s="137"/>
      <c r="Z3048" s="137"/>
      <c r="AA3048" s="137"/>
      <c r="AB3048" s="137"/>
      <c r="AC3048" s="137"/>
      <c r="AD3048" s="137"/>
    </row>
    <row r="3049" spans="1:30">
      <c r="A3049" s="538"/>
      <c r="B3049" s="539"/>
      <c r="C3049" s="539"/>
      <c r="D3049" s="539"/>
      <c r="E3049" s="539"/>
      <c r="F3049" s="539"/>
      <c r="G3049" s="539"/>
      <c r="H3049" s="539"/>
      <c r="I3049" s="539"/>
      <c r="J3049" s="539"/>
      <c r="U3049" s="137"/>
      <c r="V3049" s="137"/>
      <c r="W3049" s="137"/>
      <c r="X3049" s="137"/>
      <c r="Y3049" s="137"/>
      <c r="Z3049" s="137"/>
      <c r="AA3049" s="137"/>
      <c r="AB3049" s="137"/>
      <c r="AC3049" s="137"/>
      <c r="AD3049" s="137"/>
    </row>
    <row r="3050" spans="1:30" ht="38.25">
      <c r="A3050" s="251" t="str">
        <f>'[3]Planilha Orçamentária'!A795</f>
        <v>1.13.6.14</v>
      </c>
      <c r="B3050" s="252">
        <f>VLOOKUP(A3050,'[3]Planilha Orçamentária'!A:K,2,0)</f>
        <v>92771</v>
      </c>
      <c r="C3050" s="253" t="str">
        <f>VLOOKUP(A3050,'[3]Planilha Orçamentária'!A:K,3,0)</f>
        <v>ARMAÇÃO DE LAJE DE ESTRUTURA CONVENCIONAL DE CONCRETO ARMADO UTILIZANDO AÇO CA-50 DE 10,0 MM - MONTAGEM. AF_06/2022</v>
      </c>
      <c r="D3050" s="254" t="str">
        <f>VLOOKUP(A3050,'[3]Planilha Orçamentária'!A:K,4,0)</f>
        <v>KG</v>
      </c>
      <c r="E3050" s="255"/>
      <c r="F3050" s="256"/>
      <c r="G3050" s="256"/>
      <c r="H3050" s="256"/>
      <c r="I3050" s="256"/>
      <c r="J3050" s="257">
        <f>ROUND(SUM(J3051:J3053),2)</f>
        <v>8530.09</v>
      </c>
      <c r="U3050" s="137"/>
      <c r="V3050" s="137"/>
      <c r="W3050" s="137"/>
      <c r="X3050" s="137"/>
      <c r="Y3050" s="137"/>
      <c r="Z3050" s="137"/>
      <c r="AA3050" s="137"/>
      <c r="AB3050" s="137"/>
      <c r="AC3050" s="137"/>
      <c r="AD3050" s="137"/>
    </row>
    <row r="3051" spans="1:30">
      <c r="A3051" s="293"/>
      <c r="B3051" s="294"/>
      <c r="C3051" s="343" t="s">
        <v>2367</v>
      </c>
      <c r="D3051" s="105"/>
      <c r="E3051" s="241"/>
      <c r="F3051" s="263" t="s">
        <v>2064</v>
      </c>
      <c r="G3051" s="263"/>
      <c r="H3051" s="263"/>
      <c r="I3051" s="241" t="s">
        <v>2065</v>
      </c>
      <c r="J3051" s="299"/>
      <c r="U3051" s="137"/>
      <c r="V3051" s="137"/>
      <c r="W3051" s="137"/>
      <c r="X3051" s="137"/>
      <c r="Y3051" s="137"/>
      <c r="Z3051" s="137"/>
      <c r="AA3051" s="137"/>
      <c r="AB3051" s="137"/>
      <c r="AC3051" s="137"/>
      <c r="AD3051" s="137"/>
    </row>
    <row r="3052" spans="1:30" ht="28.5">
      <c r="A3052" s="293"/>
      <c r="B3052" s="294"/>
      <c r="C3052" s="221" t="s">
        <v>2066</v>
      </c>
      <c r="D3052" s="105"/>
      <c r="E3052" s="104"/>
      <c r="F3052" s="278">
        <f>F2994</f>
        <v>463.34</v>
      </c>
      <c r="G3052" s="278"/>
      <c r="H3052" s="278"/>
      <c r="I3052" s="278">
        <v>18.41</v>
      </c>
      <c r="J3052" s="118">
        <f>ROUND(PRODUCT(E3052:I3052),2)</f>
        <v>8530.09</v>
      </c>
      <c r="U3052" s="137"/>
      <c r="V3052" s="137"/>
      <c r="W3052" s="137"/>
      <c r="X3052" s="137"/>
      <c r="Y3052" s="137"/>
      <c r="Z3052" s="137"/>
      <c r="AA3052" s="137"/>
      <c r="AB3052" s="137"/>
      <c r="AC3052" s="137"/>
      <c r="AD3052" s="137"/>
    </row>
    <row r="3053" spans="1:30">
      <c r="A3053" s="538"/>
      <c r="B3053" s="539"/>
      <c r="C3053" s="539"/>
      <c r="D3053" s="539"/>
      <c r="E3053" s="539"/>
      <c r="F3053" s="539"/>
      <c r="G3053" s="539"/>
      <c r="H3053" s="539"/>
      <c r="I3053" s="539"/>
      <c r="J3053" s="539"/>
      <c r="U3053" s="137"/>
      <c r="V3053" s="137"/>
      <c r="W3053" s="137"/>
      <c r="X3053" s="137"/>
      <c r="Y3053" s="137"/>
      <c r="Z3053" s="137"/>
      <c r="AA3053" s="137"/>
      <c r="AB3053" s="137"/>
      <c r="AC3053" s="137"/>
      <c r="AD3053" s="137"/>
    </row>
    <row r="3054" spans="1:30" ht="51">
      <c r="A3054" s="251" t="str">
        <f>'[3]Planilha Orçamentária'!A796</f>
        <v>1.13.6.15</v>
      </c>
      <c r="B3054" s="252" t="str">
        <f>VLOOKUP(A3054,'[3]Planilha Orçamentária'!A:K,2,0)</f>
        <v>CP-92268-29291149</v>
      </c>
      <c r="C3054" s="253" t="str">
        <f>VLOOKUP(A3054,'[3]Planilha Orçamentária'!A:K,3,0)</f>
        <v>FABRICAÇÃO DE FÔRMA PARA LAJES, EM CHAPA DE MADEIRA COMPENSADA PLASTIFICADA, E = 18 MM - EXCLUINDO O PAINEL DE MADEIRA COMPENSADA PLASTIFICADA DE 2200 x 1100 MM, E = *17* MM</v>
      </c>
      <c r="D3054" s="254" t="str">
        <f>VLOOKUP(A3054,'[3]Planilha Orçamentária'!A:K,4,0)</f>
        <v>M2</v>
      </c>
      <c r="E3054" s="255"/>
      <c r="F3054" s="256"/>
      <c r="G3054" s="256"/>
      <c r="H3054" s="256"/>
      <c r="I3054" s="256"/>
      <c r="J3054" s="257">
        <f>ROUND(SUM(J3055:J3057),2)</f>
        <v>333.6</v>
      </c>
      <c r="U3054" s="137"/>
      <c r="V3054" s="137"/>
      <c r="W3054" s="137"/>
      <c r="X3054" s="137"/>
      <c r="Y3054" s="137"/>
      <c r="Z3054" s="137"/>
      <c r="AA3054" s="137"/>
      <c r="AB3054" s="137"/>
      <c r="AC3054" s="137"/>
      <c r="AD3054" s="137"/>
    </row>
    <row r="3055" spans="1:30">
      <c r="A3055" s="293"/>
      <c r="B3055" s="294"/>
      <c r="C3055" s="343" t="s">
        <v>2367</v>
      </c>
      <c r="D3055" s="174"/>
      <c r="E3055" s="279"/>
      <c r="F3055" s="174" t="s">
        <v>2067</v>
      </c>
      <c r="G3055" s="174" t="s">
        <v>2002</v>
      </c>
      <c r="H3055" s="174" t="s">
        <v>1989</v>
      </c>
      <c r="I3055" s="241"/>
      <c r="J3055" s="299"/>
      <c r="U3055" s="137"/>
      <c r="V3055" s="137"/>
      <c r="W3055" s="137"/>
      <c r="X3055" s="137"/>
      <c r="Y3055" s="137"/>
      <c r="Z3055" s="137"/>
      <c r="AA3055" s="137"/>
      <c r="AB3055" s="137"/>
      <c r="AC3055" s="137"/>
      <c r="AD3055" s="137"/>
    </row>
    <row r="3056" spans="1:30" ht="28.5">
      <c r="A3056" s="293"/>
      <c r="B3056" s="294"/>
      <c r="C3056" s="280" t="s">
        <v>2374</v>
      </c>
      <c r="D3056" s="156"/>
      <c r="E3056" s="157"/>
      <c r="F3056" s="136">
        <f>(1.4*2)+(1*2)</f>
        <v>4.8</v>
      </c>
      <c r="G3056" s="136">
        <v>0.15</v>
      </c>
      <c r="H3056" s="136">
        <f>F3052</f>
        <v>463.34</v>
      </c>
      <c r="I3056" s="305"/>
      <c r="J3056" s="118">
        <f>ROUND(PRODUCT(E3056:I3056),2)</f>
        <v>333.6</v>
      </c>
      <c r="U3056" s="137"/>
      <c r="V3056" s="137"/>
      <c r="W3056" s="137"/>
      <c r="X3056" s="137"/>
      <c r="Y3056" s="137"/>
      <c r="Z3056" s="137"/>
      <c r="AA3056" s="137"/>
      <c r="AB3056" s="137"/>
      <c r="AC3056" s="137"/>
      <c r="AD3056" s="137"/>
    </row>
    <row r="3057" spans="1:30">
      <c r="A3057" s="538"/>
      <c r="B3057" s="539"/>
      <c r="C3057" s="539"/>
      <c r="D3057" s="539"/>
      <c r="E3057" s="539"/>
      <c r="F3057" s="539"/>
      <c r="G3057" s="539"/>
      <c r="H3057" s="539"/>
      <c r="I3057" s="539"/>
      <c r="J3057" s="539"/>
      <c r="U3057" s="137"/>
      <c r="V3057" s="137"/>
      <c r="W3057" s="137"/>
      <c r="X3057" s="137"/>
      <c r="Y3057" s="137"/>
      <c r="Z3057" s="137"/>
      <c r="AA3057" s="137"/>
      <c r="AB3057" s="137"/>
      <c r="AC3057" s="137"/>
      <c r="AD3057" s="137"/>
    </row>
    <row r="3058" spans="1:30" ht="51">
      <c r="A3058" s="251" t="str">
        <f>'[3]Planilha Orçamentária'!A797</f>
        <v>1.13.6.16</v>
      </c>
      <c r="B3058" s="252">
        <f>VLOOKUP(A3058,'[3]Planilha Orçamentária'!A:K,2,0)</f>
        <v>103320</v>
      </c>
      <c r="C3058" s="253" t="str">
        <f>VLOOKUP(A3058,'[3]Planilha Orçamentária'!A:K,3,0)</f>
        <v>ALVENARIA DE VEDAÇÃO DE BLOCOS VAZADOS DE CONCRETO DE 19X19X39 CM (ESPESSURA 19 CM) E ARGAMASSA DE ASSENTAMENTO COM PREPARO EM BETONEIRA. AF_12/2021</v>
      </c>
      <c r="D3058" s="254" t="str">
        <f>VLOOKUP(A3058,'[3]Planilha Orçamentária'!A:K,4,0)</f>
        <v>M2</v>
      </c>
      <c r="E3058" s="255"/>
      <c r="F3058" s="256"/>
      <c r="G3058" s="256"/>
      <c r="H3058" s="256"/>
      <c r="I3058" s="256"/>
      <c r="J3058" s="257">
        <f>ROUND(SUM(J3059:J3061),2)</f>
        <v>741.34</v>
      </c>
      <c r="U3058" s="137"/>
      <c r="V3058" s="137"/>
      <c r="W3058" s="137"/>
      <c r="X3058" s="137"/>
      <c r="Y3058" s="137"/>
      <c r="Z3058" s="137"/>
      <c r="AA3058" s="137"/>
      <c r="AB3058" s="137"/>
      <c r="AC3058" s="137"/>
      <c r="AD3058" s="137"/>
    </row>
    <row r="3059" spans="1:30">
      <c r="A3059" s="293"/>
      <c r="B3059" s="294"/>
      <c r="C3059" s="343" t="s">
        <v>2367</v>
      </c>
      <c r="D3059" s="174"/>
      <c r="E3059" s="279"/>
      <c r="F3059" s="174" t="s">
        <v>1989</v>
      </c>
      <c r="G3059" s="174"/>
      <c r="H3059" s="174" t="s">
        <v>2069</v>
      </c>
      <c r="I3059" s="174" t="s">
        <v>2070</v>
      </c>
      <c r="J3059" s="299"/>
      <c r="U3059" s="137"/>
      <c r="V3059" s="137"/>
      <c r="W3059" s="137"/>
      <c r="X3059" s="137"/>
      <c r="Y3059" s="137"/>
      <c r="Z3059" s="137"/>
      <c r="AA3059" s="137"/>
      <c r="AB3059" s="137"/>
      <c r="AC3059" s="137"/>
      <c r="AD3059" s="137"/>
    </row>
    <row r="3060" spans="1:30" ht="14.25">
      <c r="A3060" s="293"/>
      <c r="B3060" s="294"/>
      <c r="C3060" s="280" t="s">
        <v>2375</v>
      </c>
      <c r="D3060" s="156"/>
      <c r="E3060" s="157"/>
      <c r="F3060" s="136">
        <f>H3056</f>
        <v>463.34</v>
      </c>
      <c r="G3060" s="136"/>
      <c r="H3060" s="136">
        <v>0.8</v>
      </c>
      <c r="I3060" s="136">
        <v>2</v>
      </c>
      <c r="J3060" s="370">
        <f>ROUND(PRODUCT(E3060:I3060),2)</f>
        <v>741.34</v>
      </c>
      <c r="U3060" s="137"/>
      <c r="V3060" s="137"/>
      <c r="W3060" s="137"/>
      <c r="X3060" s="137"/>
      <c r="Y3060" s="137"/>
      <c r="Z3060" s="137"/>
      <c r="AA3060" s="137"/>
      <c r="AB3060" s="137"/>
      <c r="AC3060" s="137"/>
      <c r="AD3060" s="137"/>
    </row>
    <row r="3061" spans="1:30">
      <c r="A3061" s="538"/>
      <c r="B3061" s="539"/>
      <c r="C3061" s="539"/>
      <c r="D3061" s="539"/>
      <c r="E3061" s="539"/>
      <c r="F3061" s="539"/>
      <c r="G3061" s="539"/>
      <c r="H3061" s="539"/>
      <c r="I3061" s="539"/>
      <c r="J3061" s="539"/>
      <c r="U3061" s="137"/>
      <c r="V3061" s="137"/>
      <c r="W3061" s="137"/>
      <c r="X3061" s="137"/>
      <c r="Y3061" s="137"/>
      <c r="Z3061" s="137"/>
      <c r="AA3061" s="137"/>
      <c r="AB3061" s="137"/>
      <c r="AC3061" s="137"/>
      <c r="AD3061" s="137"/>
    </row>
    <row r="3062" spans="1:30" ht="51">
      <c r="A3062" s="251" t="str">
        <f>'[3]Planilha Orçamentária'!A798</f>
        <v>1.13.6.17</v>
      </c>
      <c r="B3062" s="252">
        <f>VLOOKUP(A3062,'[3]Planilha Orçamentária'!A:K,2,0)</f>
        <v>87879</v>
      </c>
      <c r="C3062" s="253" t="str">
        <f>VLOOKUP(A3062,'[3]Planilha Orçamentária'!A:K,3,0)</f>
        <v>CHAPISCO APLICADO EM ALVENARIAS E ESTRUTURAS DE CONCRETO INTERNAS, COM COLHER DE PEDREIRO.  ARGAMASSA TRAÇO 1:3 COM PREPARO EM BETONEIRA 400L. AF_06/2014</v>
      </c>
      <c r="D3062" s="254" t="str">
        <f>VLOOKUP(A3062,'[3]Planilha Orçamentária'!A:K,4,0)</f>
        <v>M2</v>
      </c>
      <c r="E3062" s="255"/>
      <c r="F3062" s="256"/>
      <c r="G3062" s="256"/>
      <c r="H3062" s="256"/>
      <c r="I3062" s="256"/>
      <c r="J3062" s="257">
        <f>ROUND(SUM(J3063:J3065),2)</f>
        <v>741.34</v>
      </c>
      <c r="U3062" s="137"/>
      <c r="V3062" s="137"/>
      <c r="W3062" s="137"/>
      <c r="X3062" s="137"/>
      <c r="Y3062" s="137"/>
      <c r="Z3062" s="137"/>
      <c r="AA3062" s="137"/>
      <c r="AB3062" s="137"/>
      <c r="AC3062" s="137"/>
      <c r="AD3062" s="137"/>
    </row>
    <row r="3063" spans="1:30">
      <c r="A3063" s="293"/>
      <c r="B3063" s="294"/>
      <c r="C3063" s="343" t="s">
        <v>2367</v>
      </c>
      <c r="D3063" s="105"/>
      <c r="E3063" s="241"/>
      <c r="F3063" s="263"/>
      <c r="G3063" s="263"/>
      <c r="H3063" s="263"/>
      <c r="I3063" s="241"/>
      <c r="J3063" s="299"/>
      <c r="U3063" s="137"/>
      <c r="V3063" s="137"/>
      <c r="W3063" s="137"/>
      <c r="X3063" s="137"/>
      <c r="Y3063" s="137"/>
      <c r="Z3063" s="137"/>
      <c r="AA3063" s="137"/>
      <c r="AB3063" s="137"/>
      <c r="AC3063" s="137"/>
      <c r="AD3063" s="137"/>
    </row>
    <row r="3064" spans="1:30">
      <c r="A3064" s="293"/>
      <c r="B3064" s="294"/>
      <c r="C3064" s="343" t="s">
        <v>2072</v>
      </c>
      <c r="D3064" s="105"/>
      <c r="E3064" s="241"/>
      <c r="F3064" s="263"/>
      <c r="G3064" s="263"/>
      <c r="H3064" s="263"/>
      <c r="I3064" s="440">
        <f>J3058</f>
        <v>741.34</v>
      </c>
      <c r="J3064" s="118">
        <f>ROUND(PRODUCT(E3064:I3064),2)</f>
        <v>741.34</v>
      </c>
      <c r="U3064" s="137"/>
      <c r="V3064" s="137"/>
      <c r="W3064" s="137"/>
      <c r="X3064" s="137"/>
      <c r="Y3064" s="137"/>
      <c r="Z3064" s="137"/>
      <c r="AA3064" s="137"/>
      <c r="AB3064" s="137"/>
      <c r="AC3064" s="137"/>
      <c r="AD3064" s="137"/>
    </row>
    <row r="3065" spans="1:30">
      <c r="A3065" s="538"/>
      <c r="B3065" s="539"/>
      <c r="C3065" s="539"/>
      <c r="D3065" s="539"/>
      <c r="E3065" s="539"/>
      <c r="F3065" s="539"/>
      <c r="G3065" s="539"/>
      <c r="H3065" s="539"/>
      <c r="I3065" s="539"/>
      <c r="J3065" s="539"/>
      <c r="U3065" s="137"/>
      <c r="V3065" s="137"/>
      <c r="W3065" s="137"/>
      <c r="X3065" s="137"/>
      <c r="Y3065" s="137"/>
      <c r="Z3065" s="137"/>
      <c r="AA3065" s="137"/>
      <c r="AB3065" s="137"/>
      <c r="AC3065" s="137"/>
      <c r="AD3065" s="137"/>
    </row>
    <row r="3066" spans="1:30" ht="63.75">
      <c r="A3066" s="251" t="str">
        <f>'[3]Planilha Orçamentária'!A799</f>
        <v>1.13.6.18</v>
      </c>
      <c r="B3066" s="252">
        <f>VLOOKUP(A3066,'[3]Planilha Orçamentária'!A:K,2,0)</f>
        <v>87547</v>
      </c>
      <c r="C3066" s="253" t="str">
        <f>VLOOKUP(A3066,'[3]Planilha Orçamentária'!A:K,3,0)</f>
        <v>MASSA ÚNICA, PARA RECEBIMENTO DE PINTURA, EM ARGAMASSA TRAÇO 1:2:8, PREPARO MECÂNICO COM BETONEIRA 400L, APLICADA MANUALMENTE EM FACES INTERNAS DE PAREDES, ESPESSURA DE 10MM, COM EXECUÇÃO DE TALISCAS. AF_06/2014</v>
      </c>
      <c r="D3066" s="254" t="str">
        <f>VLOOKUP(A3066,'[3]Planilha Orçamentária'!A:K,4,0)</f>
        <v>M2</v>
      </c>
      <c r="E3066" s="255"/>
      <c r="F3066" s="256"/>
      <c r="G3066" s="256"/>
      <c r="H3066" s="256"/>
      <c r="I3066" s="256"/>
      <c r="J3066" s="257">
        <f>ROUND(SUM(J3067:J3069),2)</f>
        <v>741.34</v>
      </c>
      <c r="U3066" s="137"/>
      <c r="V3066" s="137"/>
      <c r="W3066" s="137"/>
      <c r="X3066" s="137"/>
      <c r="Y3066" s="137"/>
      <c r="Z3066" s="137"/>
      <c r="AA3066" s="137"/>
      <c r="AB3066" s="137"/>
      <c r="AC3066" s="137"/>
      <c r="AD3066" s="137"/>
    </row>
    <row r="3067" spans="1:30">
      <c r="A3067" s="293"/>
      <c r="B3067" s="294"/>
      <c r="C3067" s="343" t="s">
        <v>2367</v>
      </c>
      <c r="D3067" s="105"/>
      <c r="E3067" s="241"/>
      <c r="F3067" s="263"/>
      <c r="G3067" s="263"/>
      <c r="H3067" s="263"/>
      <c r="I3067" s="241"/>
      <c r="J3067" s="299"/>
      <c r="U3067" s="137"/>
      <c r="V3067" s="137"/>
      <c r="W3067" s="137"/>
      <c r="X3067" s="137"/>
      <c r="Y3067" s="137"/>
      <c r="Z3067" s="137"/>
      <c r="AA3067" s="137"/>
      <c r="AB3067" s="137"/>
      <c r="AC3067" s="137"/>
      <c r="AD3067" s="137"/>
    </row>
    <row r="3068" spans="1:30">
      <c r="A3068" s="293"/>
      <c r="B3068" s="294"/>
      <c r="C3068" s="343" t="s">
        <v>2072</v>
      </c>
      <c r="D3068" s="105"/>
      <c r="E3068" s="241"/>
      <c r="F3068" s="263"/>
      <c r="G3068" s="263"/>
      <c r="H3068" s="263"/>
      <c r="I3068" s="440">
        <f>J3062</f>
        <v>741.34</v>
      </c>
      <c r="J3068" s="118">
        <f>ROUND(PRODUCT(E3068:I3068),2)</f>
        <v>741.34</v>
      </c>
      <c r="U3068" s="137"/>
      <c r="V3068" s="137"/>
      <c r="W3068" s="137"/>
      <c r="X3068" s="137"/>
      <c r="Y3068" s="137"/>
      <c r="Z3068" s="137"/>
      <c r="AA3068" s="137"/>
      <c r="AB3068" s="137"/>
      <c r="AC3068" s="137"/>
      <c r="AD3068" s="137"/>
    </row>
    <row r="3069" spans="1:30">
      <c r="A3069" s="538"/>
      <c r="B3069" s="539"/>
      <c r="C3069" s="539"/>
      <c r="D3069" s="539"/>
      <c r="E3069" s="539"/>
      <c r="F3069" s="539"/>
      <c r="G3069" s="539"/>
      <c r="H3069" s="539"/>
      <c r="I3069" s="539"/>
      <c r="J3069" s="539"/>
      <c r="U3069" s="137"/>
      <c r="V3069" s="137"/>
      <c r="W3069" s="137"/>
      <c r="X3069" s="137"/>
      <c r="Y3069" s="137"/>
      <c r="Z3069" s="137"/>
      <c r="AA3069" s="137"/>
      <c r="AB3069" s="137"/>
      <c r="AC3069" s="137"/>
      <c r="AD3069" s="137"/>
    </row>
    <row r="3070" spans="1:30" ht="38.25">
      <c r="A3070" s="132" t="str">
        <f>'[3]Planilha Orçamentária'!A800</f>
        <v>1.13.6.19</v>
      </c>
      <c r="B3070" s="108">
        <f>VLOOKUP(A3070,'[3]Planilha Orçamentária'!A:K,2,0)</f>
        <v>94971</v>
      </c>
      <c r="C3070" s="276" t="str">
        <f>VLOOKUP(A3070,'[3]Planilha Orçamentária'!A:K,3,0)</f>
        <v>CONCRETO FCK = 25MPA, TRAÇO 1:2,3:2,7 (EM MASSA SECA DE CIMENTO/ AREIA MÉDIA/ BRITA 1) - PREPARO MECÂNICO COM BETONEIRA 600 L. AF_05/2021</v>
      </c>
      <c r="D3070" s="105" t="str">
        <f>VLOOKUP(A3070,'[3]Planilha Orçamentária'!A:K,4,0)</f>
        <v>M3</v>
      </c>
      <c r="E3070" s="104"/>
      <c r="F3070" s="111"/>
      <c r="G3070" s="111"/>
      <c r="H3070" s="111"/>
      <c r="I3070" s="111"/>
      <c r="J3070" s="122">
        <f>ROUND(SUM(J3071:J3074),2)</f>
        <v>59.05</v>
      </c>
      <c r="U3070" s="137"/>
      <c r="V3070" s="137"/>
      <c r="W3070" s="137"/>
      <c r="X3070" s="137"/>
      <c r="Y3070" s="137"/>
      <c r="Z3070" s="137"/>
      <c r="AA3070" s="137"/>
      <c r="AB3070" s="137"/>
      <c r="AC3070" s="137"/>
      <c r="AD3070" s="137"/>
    </row>
    <row r="3071" spans="1:30" ht="28.5">
      <c r="A3071" s="293"/>
      <c r="B3071" s="293"/>
      <c r="C3071" s="221" t="s">
        <v>2060</v>
      </c>
      <c r="D3071" s="258"/>
      <c r="E3071" s="258"/>
      <c r="F3071" s="161"/>
      <c r="G3071" s="161"/>
      <c r="H3071" s="161"/>
      <c r="I3071" s="279"/>
      <c r="J3071" s="293"/>
      <c r="U3071" s="137"/>
      <c r="V3071" s="137"/>
      <c r="W3071" s="137"/>
      <c r="X3071" s="137"/>
      <c r="Y3071" s="137"/>
      <c r="Z3071" s="137"/>
      <c r="AA3071" s="137"/>
      <c r="AB3071" s="137"/>
      <c r="AC3071" s="137"/>
      <c r="AD3071" s="137"/>
    </row>
    <row r="3072" spans="1:30" ht="14.25">
      <c r="A3072" s="293"/>
      <c r="B3072" s="293"/>
      <c r="C3072" s="280" t="s">
        <v>2061</v>
      </c>
      <c r="D3072" s="123"/>
      <c r="E3072" s="123"/>
      <c r="F3072" s="281">
        <f>F3060</f>
        <v>463.34</v>
      </c>
      <c r="G3072" s="282">
        <v>1</v>
      </c>
      <c r="H3072" s="123">
        <v>0.15</v>
      </c>
      <c r="I3072" s="281"/>
      <c r="J3072" s="118">
        <f t="shared" ref="J3072:J3073" si="211">ROUND(PRODUCT(E3072:I3072),2)</f>
        <v>69.5</v>
      </c>
      <c r="U3072" s="137"/>
      <c r="V3072" s="137"/>
      <c r="W3072" s="137"/>
      <c r="X3072" s="137"/>
      <c r="Y3072" s="137"/>
      <c r="Z3072" s="137"/>
      <c r="AA3072" s="137"/>
      <c r="AB3072" s="137"/>
      <c r="AC3072" s="137"/>
      <c r="AD3072" s="137"/>
    </row>
    <row r="3073" spans="1:30" ht="28.5">
      <c r="A3073" s="293"/>
      <c r="B3073" s="293"/>
      <c r="C3073" s="280" t="s">
        <v>2062</v>
      </c>
      <c r="D3073" s="123"/>
      <c r="E3073" s="123">
        <v>-1</v>
      </c>
      <c r="F3073" s="283">
        <v>1.8800000000000001E-2</v>
      </c>
      <c r="G3073" s="136">
        <f>F3072</f>
        <v>463.34</v>
      </c>
      <c r="H3073" s="136">
        <v>0.15</v>
      </c>
      <c r="I3073" s="136">
        <v>8</v>
      </c>
      <c r="J3073" s="118">
        <f t="shared" si="211"/>
        <v>-10.45</v>
      </c>
      <c r="U3073" s="137"/>
      <c r="V3073" s="137"/>
      <c r="W3073" s="137"/>
      <c r="X3073" s="137"/>
      <c r="Y3073" s="137"/>
      <c r="Z3073" s="137"/>
      <c r="AA3073" s="137"/>
      <c r="AB3073" s="137"/>
      <c r="AC3073" s="137"/>
      <c r="AD3073" s="137"/>
    </row>
    <row r="3074" spans="1:30">
      <c r="A3074" s="349"/>
      <c r="B3074" s="350"/>
      <c r="C3074" s="350"/>
      <c r="D3074" s="350"/>
      <c r="E3074" s="350"/>
      <c r="F3074" s="350"/>
      <c r="G3074" s="350"/>
      <c r="H3074" s="350"/>
      <c r="I3074" s="350"/>
      <c r="J3074" s="350"/>
      <c r="U3074" s="137"/>
      <c r="V3074" s="137"/>
      <c r="W3074" s="137"/>
      <c r="X3074" s="137"/>
      <c r="Y3074" s="137"/>
      <c r="Z3074" s="137"/>
      <c r="AA3074" s="137"/>
      <c r="AB3074" s="137"/>
      <c r="AC3074" s="137"/>
      <c r="AD3074" s="137"/>
    </row>
    <row r="3075" spans="1:30" ht="38.25">
      <c r="A3075" s="251" t="str">
        <f>'[3]Planilha Orçamentária'!A801</f>
        <v>1.13.6.20</v>
      </c>
      <c r="B3075" s="252">
        <f>VLOOKUP(A3075,'[3]Planilha Orçamentária'!A:K,2,0)</f>
        <v>94975</v>
      </c>
      <c r="C3075" s="276" t="str">
        <f>VLOOKUP(A3075,'[3]Planilha Orçamentária'!A:K,3,0)</f>
        <v>CONCRETO FCK = 15MPA, TRAÇO 1:3,4:3,5 (EM MASSA SECA DE CIMENTO/ AREIA MÉDIA/ BRITA 1) - PREPARO MANUAL. AF_05/2021</v>
      </c>
      <c r="D3075" s="105" t="str">
        <f>VLOOKUP(A3075,'[3]Planilha Orçamentária'!A:K,4,0)</f>
        <v>M3</v>
      </c>
      <c r="E3075" s="104"/>
      <c r="F3075" s="111"/>
      <c r="G3075" s="111"/>
      <c r="H3075" s="111"/>
      <c r="I3075" s="111"/>
      <c r="J3075" s="122">
        <f>ROUND(SUM(J3076:J3079),2)</f>
        <v>78.849999999999994</v>
      </c>
      <c r="U3075" s="137"/>
      <c r="V3075" s="137"/>
      <c r="W3075" s="137"/>
      <c r="X3075" s="137"/>
      <c r="Y3075" s="137"/>
      <c r="Z3075" s="137"/>
      <c r="AA3075" s="137"/>
      <c r="AB3075" s="137"/>
      <c r="AC3075" s="137"/>
      <c r="AD3075" s="137"/>
    </row>
    <row r="3076" spans="1:30">
      <c r="A3076" s="293"/>
      <c r="B3076" s="294"/>
      <c r="C3076" s="343" t="s">
        <v>2367</v>
      </c>
      <c r="D3076" s="258"/>
      <c r="E3076" s="258"/>
      <c r="F3076" s="258" t="s">
        <v>1989</v>
      </c>
      <c r="G3076" s="258"/>
      <c r="H3076" s="136"/>
      <c r="I3076" s="241"/>
      <c r="J3076" s="299"/>
      <c r="U3076" s="137"/>
      <c r="V3076" s="137"/>
      <c r="W3076" s="137"/>
      <c r="X3076" s="137"/>
      <c r="Y3076" s="137"/>
      <c r="Z3076" s="137"/>
      <c r="AA3076" s="137"/>
      <c r="AB3076" s="137"/>
      <c r="AC3076" s="137"/>
      <c r="AD3076" s="137"/>
    </row>
    <row r="3077" spans="1:30" ht="28.5">
      <c r="A3077" s="293"/>
      <c r="B3077" s="294"/>
      <c r="C3077" s="221" t="s">
        <v>2048</v>
      </c>
      <c r="D3077" s="289"/>
      <c r="E3077" s="290" t="s">
        <v>2073</v>
      </c>
      <c r="F3077" s="290" t="s">
        <v>2074</v>
      </c>
      <c r="G3077" s="282"/>
      <c r="H3077" s="290" t="s">
        <v>2075</v>
      </c>
      <c r="I3077" s="241"/>
      <c r="J3077" s="299"/>
      <c r="U3077" s="137"/>
      <c r="V3077" s="137"/>
      <c r="W3077" s="137"/>
      <c r="X3077" s="137"/>
      <c r="Y3077" s="137"/>
      <c r="Z3077" s="137"/>
      <c r="AA3077" s="137"/>
      <c r="AB3077" s="137"/>
      <c r="AC3077" s="137"/>
      <c r="AD3077" s="137"/>
    </row>
    <row r="3078" spans="1:30" ht="28.5">
      <c r="A3078" s="293"/>
      <c r="B3078" s="294"/>
      <c r="C3078" s="280" t="s">
        <v>2076</v>
      </c>
      <c r="D3078" s="289"/>
      <c r="E3078" s="291">
        <f>0.294*0.14*0.19</f>
        <v>7.8203999999999999E-3</v>
      </c>
      <c r="F3078" s="282">
        <v>13.6</v>
      </c>
      <c r="G3078" s="292"/>
      <c r="H3078" s="136">
        <f>J3058</f>
        <v>741.34</v>
      </c>
      <c r="I3078" s="241"/>
      <c r="J3078" s="128">
        <f>ROUND(PRODUCT(E3078:I3078),2)</f>
        <v>78.849999999999994</v>
      </c>
      <c r="U3078" s="137"/>
      <c r="V3078" s="137"/>
      <c r="W3078" s="137"/>
      <c r="X3078" s="137"/>
      <c r="Y3078" s="137"/>
      <c r="Z3078" s="137"/>
      <c r="AA3078" s="137"/>
      <c r="AB3078" s="137"/>
      <c r="AC3078" s="137"/>
      <c r="AD3078" s="137"/>
    </row>
    <row r="3079" spans="1:30">
      <c r="A3079" s="538"/>
      <c r="B3079" s="539"/>
      <c r="C3079" s="539"/>
      <c r="D3079" s="539"/>
      <c r="E3079" s="539"/>
      <c r="F3079" s="539"/>
      <c r="G3079" s="539"/>
      <c r="H3079" s="539"/>
      <c r="I3079" s="539"/>
      <c r="J3079" s="539"/>
      <c r="U3079" s="137"/>
      <c r="V3079" s="137"/>
      <c r="W3079" s="137"/>
      <c r="X3079" s="137"/>
      <c r="Y3079" s="137"/>
      <c r="Z3079" s="137"/>
      <c r="AA3079" s="137"/>
      <c r="AB3079" s="137"/>
      <c r="AC3079" s="137"/>
      <c r="AD3079" s="137"/>
    </row>
    <row r="3080" spans="1:30">
      <c r="A3080" s="94" t="str">
        <f>'[3]Planilha Orçamentária'!A802</f>
        <v>1.13.7</v>
      </c>
      <c r="B3080" s="95"/>
      <c r="C3080" s="96" t="str">
        <f>VLOOKUP(A3080,'[3]Planilha Orçamentária'!A:K,3,0)</f>
        <v>SINALIZAÇÃO</v>
      </c>
      <c r="D3080" s="97"/>
      <c r="E3080" s="98"/>
      <c r="F3080" s="99"/>
      <c r="G3080" s="99"/>
      <c r="H3080" s="99"/>
      <c r="I3080" s="100"/>
      <c r="J3080" s="131"/>
      <c r="U3080" s="137"/>
      <c r="V3080" s="137"/>
      <c r="W3080" s="137"/>
      <c r="X3080" s="137"/>
      <c r="Y3080" s="137"/>
      <c r="Z3080" s="137"/>
      <c r="AA3080" s="137"/>
      <c r="AB3080" s="137"/>
      <c r="AC3080" s="137"/>
      <c r="AD3080" s="137"/>
    </row>
    <row r="3081" spans="1:30" ht="25.5">
      <c r="A3081" s="132" t="str">
        <f>'[3]Planilha Orçamentária'!A803</f>
        <v>1.13.7.1</v>
      </c>
      <c r="B3081" s="108">
        <f>VLOOKUP(A3081,'[3]Planilha Orçamentária'!A:K,2,0)</f>
        <v>5213416</v>
      </c>
      <c r="C3081" s="276" t="str">
        <f>VLOOKUP(A3081,'[3]Planilha Orçamentária'!A:K,3,0)</f>
        <v>Confecção de placa em aço nº 16 galvanizado, com película tipo I + I</v>
      </c>
      <c r="D3081" s="105" t="str">
        <f>VLOOKUP(A3081,'[3]Planilha Orçamentária'!A:K,4,0)</f>
        <v xml:space="preserve">M2    </v>
      </c>
      <c r="E3081" s="104"/>
      <c r="F3081" s="111"/>
      <c r="G3081" s="111"/>
      <c r="H3081" s="111"/>
      <c r="I3081" s="111"/>
      <c r="J3081" s="122">
        <f>ROUND(SUM(J3082:J3083),2)</f>
        <v>14.4</v>
      </c>
      <c r="U3081" s="137"/>
      <c r="V3081" s="137"/>
      <c r="W3081" s="137"/>
      <c r="X3081" s="137"/>
      <c r="Y3081" s="137"/>
      <c r="Z3081" s="137"/>
      <c r="AA3081" s="137"/>
      <c r="AB3081" s="137"/>
      <c r="AC3081" s="137"/>
      <c r="AD3081" s="137"/>
    </row>
    <row r="3082" spans="1:30" ht="25.5">
      <c r="A3082" s="293"/>
      <c r="B3082" s="294"/>
      <c r="C3082" s="244" t="s">
        <v>2376</v>
      </c>
      <c r="D3082" s="295"/>
      <c r="E3082" s="296"/>
      <c r="F3082" s="297"/>
      <c r="G3082" s="297"/>
      <c r="H3082" s="157" t="s">
        <v>2003</v>
      </c>
      <c r="I3082" s="408" t="s">
        <v>1991</v>
      </c>
      <c r="J3082" s="299"/>
      <c r="U3082" s="137"/>
      <c r="V3082" s="137"/>
      <c r="W3082" s="137"/>
      <c r="X3082" s="137"/>
      <c r="Y3082" s="137"/>
      <c r="Z3082" s="137"/>
      <c r="AA3082" s="137"/>
      <c r="AB3082" s="137"/>
      <c r="AC3082" s="137"/>
      <c r="AD3082" s="137"/>
    </row>
    <row r="3083" spans="1:30">
      <c r="A3083" s="293"/>
      <c r="B3083" s="294"/>
      <c r="C3083" s="343" t="s">
        <v>2229</v>
      </c>
      <c r="D3083" s="105"/>
      <c r="E3083" s="157"/>
      <c r="F3083" s="111"/>
      <c r="G3083" s="111"/>
      <c r="H3083" s="157">
        <f>ROUNDUP(((4.828427*0.35*0.35)),2)</f>
        <v>0.6</v>
      </c>
      <c r="I3083" s="157">
        <v>24</v>
      </c>
      <c r="J3083" s="128">
        <f>ROUND(PRODUCT(E3083:I3083),2)</f>
        <v>14.4</v>
      </c>
      <c r="U3083" s="137"/>
      <c r="V3083" s="137"/>
      <c r="W3083" s="137"/>
      <c r="X3083" s="137"/>
      <c r="Y3083" s="137"/>
      <c r="Z3083" s="137"/>
      <c r="AA3083" s="137"/>
      <c r="AB3083" s="137"/>
      <c r="AC3083" s="137"/>
      <c r="AD3083" s="137"/>
    </row>
    <row r="3084" spans="1:30">
      <c r="A3084" s="556"/>
      <c r="B3084" s="557"/>
      <c r="C3084" s="557"/>
      <c r="D3084" s="557"/>
      <c r="E3084" s="557"/>
      <c r="F3084" s="557"/>
      <c r="G3084" s="557"/>
      <c r="H3084" s="557"/>
      <c r="I3084" s="557"/>
      <c r="J3084" s="557"/>
      <c r="U3084" s="137"/>
      <c r="V3084" s="137"/>
      <c r="W3084" s="137"/>
      <c r="X3084" s="137"/>
      <c r="Y3084" s="137"/>
      <c r="Z3084" s="137"/>
      <c r="AA3084" s="137"/>
      <c r="AB3084" s="137"/>
      <c r="AC3084" s="137"/>
      <c r="AD3084" s="137"/>
    </row>
    <row r="3085" spans="1:30" ht="25.5">
      <c r="A3085" s="251" t="str">
        <f>'[3]Planilha Orçamentária'!A804</f>
        <v>1.13.7.2</v>
      </c>
      <c r="B3085" s="252">
        <f>VLOOKUP(A3085,'[3]Planilha Orçamentária'!A:K,2,0)</f>
        <v>5213421</v>
      </c>
      <c r="C3085" s="253" t="str">
        <f>VLOOKUP(A3085,'[3]Planilha Orçamentária'!A:K,3,0)</f>
        <v>Confecção de placa em aço nº 16 galvanizado, com película tipo I + IV</v>
      </c>
      <c r="D3085" s="254" t="str">
        <f>VLOOKUP(A3085,'[3]Planilha Orçamentária'!A:K,4,0)</f>
        <v xml:space="preserve">M2    </v>
      </c>
      <c r="E3085" s="255"/>
      <c r="F3085" s="256"/>
      <c r="G3085" s="256"/>
      <c r="H3085" s="256"/>
      <c r="I3085" s="256"/>
      <c r="J3085" s="257">
        <f>ROUND(SUM(J3086:J3090),2)</f>
        <v>17.399999999999999</v>
      </c>
      <c r="U3085" s="137"/>
      <c r="V3085" s="137"/>
      <c r="W3085" s="137"/>
      <c r="X3085" s="137"/>
      <c r="Y3085" s="137"/>
      <c r="Z3085" s="137"/>
      <c r="AA3085" s="137"/>
      <c r="AB3085" s="137"/>
      <c r="AC3085" s="137"/>
      <c r="AD3085" s="137"/>
    </row>
    <row r="3086" spans="1:30">
      <c r="A3086" s="293"/>
      <c r="B3086" s="294"/>
      <c r="C3086" s="244" t="s">
        <v>2376</v>
      </c>
      <c r="D3086" s="105"/>
      <c r="E3086" s="241"/>
      <c r="F3086" s="105"/>
      <c r="G3086" s="105"/>
      <c r="H3086" s="241" t="s">
        <v>2003</v>
      </c>
      <c r="I3086" s="241" t="s">
        <v>1446</v>
      </c>
      <c r="J3086" s="299"/>
      <c r="U3086" s="137"/>
      <c r="V3086" s="137"/>
      <c r="W3086" s="137"/>
      <c r="X3086" s="137"/>
      <c r="Y3086" s="137"/>
      <c r="Z3086" s="137"/>
      <c r="AA3086" s="137"/>
      <c r="AB3086" s="137"/>
      <c r="AC3086" s="137"/>
      <c r="AD3086" s="137"/>
    </row>
    <row r="3087" spans="1:30">
      <c r="A3087" s="293"/>
      <c r="B3087" s="294"/>
      <c r="C3087" s="244" t="s">
        <v>2079</v>
      </c>
      <c r="D3087" s="307"/>
      <c r="E3087" s="116"/>
      <c r="F3087" s="116"/>
      <c r="G3087" s="116"/>
      <c r="H3087" s="116">
        <v>0.2</v>
      </c>
      <c r="I3087" s="157">
        <v>37</v>
      </c>
      <c r="J3087" s="128">
        <f t="shared" ref="J3087:J3089" si="212">ROUND(PRODUCT(E3087:I3087),2)</f>
        <v>7.4</v>
      </c>
      <c r="U3087" s="137"/>
      <c r="V3087" s="137"/>
      <c r="W3087" s="137"/>
      <c r="X3087" s="137"/>
      <c r="Y3087" s="137"/>
      <c r="Z3087" s="137"/>
      <c r="AA3087" s="137"/>
      <c r="AB3087" s="137"/>
      <c r="AC3087" s="137"/>
      <c r="AD3087" s="137"/>
    </row>
    <row r="3088" spans="1:30" ht="14.25">
      <c r="A3088" s="311"/>
      <c r="B3088" s="345"/>
      <c r="C3088" s="390" t="s">
        <v>2377</v>
      </c>
      <c r="D3088" s="391"/>
      <c r="E3088" s="392"/>
      <c r="F3088" s="393"/>
      <c r="G3088" s="393"/>
      <c r="H3088" s="304">
        <f>0.5*0.5</f>
        <v>0.25</v>
      </c>
      <c r="I3088" s="410">
        <v>14</v>
      </c>
      <c r="J3088" s="128">
        <f t="shared" si="212"/>
        <v>3.5</v>
      </c>
      <c r="U3088" s="137"/>
      <c r="V3088" s="137"/>
      <c r="W3088" s="137"/>
      <c r="X3088" s="137"/>
      <c r="Y3088" s="137"/>
      <c r="Z3088" s="137"/>
      <c r="AA3088" s="137"/>
      <c r="AB3088" s="137"/>
      <c r="AC3088" s="137"/>
      <c r="AD3088" s="137"/>
    </row>
    <row r="3089" spans="1:30">
      <c r="A3089" s="311"/>
      <c r="B3089" s="345"/>
      <c r="C3089" s="409" t="s">
        <v>2081</v>
      </c>
      <c r="D3089" s="303"/>
      <c r="E3089" s="304"/>
      <c r="F3089" s="304"/>
      <c r="G3089" s="304"/>
      <c r="H3089" s="304">
        <f>0.5*0.5</f>
        <v>0.25</v>
      </c>
      <c r="I3089" s="410">
        <v>26</v>
      </c>
      <c r="J3089" s="128">
        <f t="shared" si="212"/>
        <v>6.5</v>
      </c>
      <c r="U3089" s="137"/>
      <c r="V3089" s="137"/>
      <c r="W3089" s="137"/>
      <c r="X3089" s="137"/>
      <c r="Y3089" s="137"/>
      <c r="Z3089" s="137"/>
      <c r="AA3089" s="137"/>
      <c r="AB3089" s="137"/>
      <c r="AC3089" s="137"/>
      <c r="AD3089" s="137"/>
    </row>
    <row r="3090" spans="1:30">
      <c r="A3090" s="538"/>
      <c r="B3090" s="539"/>
      <c r="C3090" s="539"/>
      <c r="D3090" s="539"/>
      <c r="E3090" s="539"/>
      <c r="F3090" s="539"/>
      <c r="G3090" s="539"/>
      <c r="H3090" s="539"/>
      <c r="I3090" s="539"/>
      <c r="J3090" s="539"/>
      <c r="U3090" s="137"/>
      <c r="V3090" s="137"/>
      <c r="W3090" s="137"/>
      <c r="X3090" s="137"/>
      <c r="Y3090" s="137"/>
      <c r="Z3090" s="137"/>
      <c r="AA3090" s="137"/>
      <c r="AB3090" s="137"/>
      <c r="AC3090" s="137"/>
      <c r="AD3090" s="137"/>
    </row>
    <row r="3091" spans="1:30" ht="38.25">
      <c r="A3091" s="132" t="str">
        <f>'[3]Planilha Orçamentária'!A805</f>
        <v>1.13.7.3</v>
      </c>
      <c r="B3091" s="103">
        <f>VLOOKUP(A3091,'[3]Planilha Orçamentária'!A:K,2,0)</f>
        <v>5216111</v>
      </c>
      <c r="C3091" s="276" t="str">
        <f>VLOOKUP(A3091,'[3]Planilha Orçamentária'!A:K,3,0)</f>
        <v>FORNECIMENTO E IMPLANTAÇÃO DE SUPORTE E TRAVESSA PARA PLACA DE SINALIZAÇÃO EM MADEIRA DE LEI TRATADA 8 X 8 CM</v>
      </c>
      <c r="D3091" s="105" t="str">
        <f>VLOOKUP(A3091,'[3]Planilha Orçamentária'!A:K,4,0)</f>
        <v>UND</v>
      </c>
      <c r="E3091" s="104"/>
      <c r="F3091" s="111"/>
      <c r="G3091" s="111"/>
      <c r="H3091" s="111"/>
      <c r="I3091" s="111"/>
      <c r="J3091" s="107">
        <f>ROUND(SUM(J3092:J3093),2)</f>
        <v>66</v>
      </c>
      <c r="U3091" s="137"/>
      <c r="V3091" s="137"/>
      <c r="W3091" s="137"/>
      <c r="X3091" s="137"/>
      <c r="Y3091" s="137"/>
      <c r="Z3091" s="137"/>
      <c r="AA3091" s="137"/>
      <c r="AB3091" s="137"/>
      <c r="AC3091" s="137"/>
      <c r="AD3091" s="137"/>
    </row>
    <row r="3092" spans="1:30">
      <c r="A3092" s="138"/>
      <c r="B3092" s="138"/>
      <c r="C3092" s="244" t="s">
        <v>2376</v>
      </c>
      <c r="D3092" s="105"/>
      <c r="E3092" s="104"/>
      <c r="F3092" s="111"/>
      <c r="G3092" s="111"/>
      <c r="H3092" s="111"/>
      <c r="I3092" s="241" t="s">
        <v>1446</v>
      </c>
      <c r="J3092" s="118"/>
      <c r="U3092" s="137"/>
      <c r="V3092" s="137"/>
      <c r="W3092" s="137"/>
      <c r="X3092" s="137"/>
      <c r="Y3092" s="137"/>
      <c r="Z3092" s="137"/>
      <c r="AA3092" s="137"/>
      <c r="AB3092" s="137"/>
      <c r="AC3092" s="137"/>
      <c r="AD3092" s="137"/>
    </row>
    <row r="3093" spans="1:30">
      <c r="A3093" s="314"/>
      <c r="B3093" s="314"/>
      <c r="C3093" s="244" t="s">
        <v>2046</v>
      </c>
      <c r="D3093" s="307"/>
      <c r="E3093" s="313"/>
      <c r="F3093" s="116"/>
      <c r="G3093" s="116"/>
      <c r="H3093" s="157"/>
      <c r="I3093" s="157">
        <v>66</v>
      </c>
      <c r="J3093" s="118">
        <f>ROUND(PRODUCT(E3093:I3093),2)</f>
        <v>66</v>
      </c>
      <c r="U3093" s="137"/>
      <c r="V3093" s="137"/>
      <c r="W3093" s="137"/>
      <c r="X3093" s="137"/>
      <c r="Y3093" s="137"/>
      <c r="Z3093" s="137"/>
      <c r="AA3093" s="137"/>
      <c r="AB3093" s="137"/>
      <c r="AC3093" s="137"/>
      <c r="AD3093" s="137"/>
    </row>
    <row r="3094" spans="1:30">
      <c r="A3094" s="524"/>
      <c r="B3094" s="524"/>
      <c r="C3094" s="524"/>
      <c r="D3094" s="524"/>
      <c r="E3094" s="524"/>
      <c r="F3094" s="524"/>
      <c r="G3094" s="524"/>
      <c r="H3094" s="524"/>
      <c r="I3094" s="524"/>
      <c r="J3094" s="525"/>
      <c r="U3094" s="137"/>
      <c r="V3094" s="137"/>
      <c r="W3094" s="137"/>
      <c r="X3094" s="137"/>
      <c r="Y3094" s="137"/>
      <c r="Z3094" s="137"/>
      <c r="AA3094" s="137"/>
      <c r="AB3094" s="137"/>
      <c r="AC3094" s="137"/>
      <c r="AD3094" s="137"/>
    </row>
    <row r="3095" spans="1:30" ht="25.5">
      <c r="A3095" s="132" t="str">
        <f>'[3]Planilha Orçamentária'!A806</f>
        <v>1.13.7.4</v>
      </c>
      <c r="B3095" s="103" t="str">
        <f>VLOOKUP(A3095,'[3]Planilha Orçamentária'!A:K,2,0)</f>
        <v>COMP-58084869</v>
      </c>
      <c r="C3095" s="276" t="str">
        <f>VLOOKUP(A3095,'[3]Planilha Orçamentária'!A:K,3,0)</f>
        <v>PLACA ESMALTADA PARA IDENTIFICAÇÃO NR DE RUA, DIMENSÕES 45X25CM</v>
      </c>
      <c r="D3095" s="105" t="str">
        <f>VLOOKUP(A3095,'[3]Planilha Orçamentária'!A:K,4,0)</f>
        <v>UND</v>
      </c>
      <c r="E3095" s="104"/>
      <c r="F3095" s="111"/>
      <c r="G3095" s="111"/>
      <c r="H3095" s="111"/>
      <c r="I3095" s="111"/>
      <c r="J3095" s="107">
        <f>ROUND(SUM(J3097:J3097),2)</f>
        <v>18</v>
      </c>
      <c r="U3095" s="137"/>
      <c r="V3095" s="137"/>
      <c r="W3095" s="137"/>
      <c r="X3095" s="137"/>
      <c r="Y3095" s="137"/>
      <c r="Z3095" s="137"/>
      <c r="AA3095" s="137"/>
      <c r="AB3095" s="137"/>
      <c r="AC3095" s="137"/>
      <c r="AD3095" s="137"/>
    </row>
    <row r="3096" spans="1:30">
      <c r="A3096" s="251"/>
      <c r="B3096" s="252"/>
      <c r="C3096" s="244" t="s">
        <v>2376</v>
      </c>
      <c r="D3096" s="105"/>
      <c r="E3096" s="104"/>
      <c r="F3096" s="111"/>
      <c r="G3096" s="111"/>
      <c r="H3096" s="111"/>
      <c r="I3096" s="241" t="s">
        <v>1446</v>
      </c>
      <c r="J3096" s="257"/>
      <c r="U3096" s="137"/>
      <c r="V3096" s="137"/>
      <c r="W3096" s="137"/>
      <c r="X3096" s="137"/>
      <c r="Y3096" s="137"/>
      <c r="Z3096" s="137"/>
      <c r="AA3096" s="137"/>
      <c r="AB3096" s="137"/>
      <c r="AC3096" s="137"/>
      <c r="AD3096" s="137"/>
    </row>
    <row r="3097" spans="1:30">
      <c r="A3097" s="314"/>
      <c r="B3097" s="314"/>
      <c r="C3097" s="244" t="s">
        <v>2046</v>
      </c>
      <c r="D3097" s="105"/>
      <c r="E3097" s="104"/>
      <c r="F3097" s="111"/>
      <c r="G3097" s="111"/>
      <c r="H3097" s="111"/>
      <c r="I3097" s="157">
        <v>18</v>
      </c>
      <c r="J3097" s="306">
        <f>ROUND(PRODUCT(E3097:I3097),2)</f>
        <v>18</v>
      </c>
      <c r="U3097" s="137"/>
      <c r="V3097" s="137"/>
      <c r="W3097" s="137"/>
      <c r="X3097" s="137"/>
      <c r="Y3097" s="137"/>
      <c r="Z3097" s="137"/>
      <c r="AA3097" s="137"/>
      <c r="AB3097" s="137"/>
      <c r="AC3097" s="137"/>
      <c r="AD3097" s="137"/>
    </row>
    <row r="3098" spans="1:30">
      <c r="A3098" s="523"/>
      <c r="B3098" s="524"/>
      <c r="C3098" s="524"/>
      <c r="D3098" s="524"/>
      <c r="E3098" s="524"/>
      <c r="F3098" s="524"/>
      <c r="G3098" s="524"/>
      <c r="H3098" s="524"/>
      <c r="I3098" s="524"/>
      <c r="J3098" s="525"/>
      <c r="U3098" s="137"/>
      <c r="V3098" s="137"/>
      <c r="W3098" s="137"/>
      <c r="X3098" s="137"/>
      <c r="Y3098" s="137"/>
      <c r="Z3098" s="137"/>
      <c r="AA3098" s="137"/>
      <c r="AB3098" s="137"/>
      <c r="AC3098" s="137"/>
      <c r="AD3098" s="137"/>
    </row>
    <row r="3099" spans="1:30" ht="51">
      <c r="A3099" s="132" t="str">
        <f>'[3]Planilha Orçamentária'!A807</f>
        <v>1.13.7.5</v>
      </c>
      <c r="B3099" s="103">
        <f>VLOOKUP(A3099,'[3]Planilha Orçamentária'!A:K,2,0)</f>
        <v>102509</v>
      </c>
      <c r="C3099" s="276" t="str">
        <f>VLOOKUP(A3099,'[3]Planilha Orçamentária'!A:K,3,0)</f>
        <v>PINTURA DE FAIXA DE PEDESTRE OU ZEBRADA TINTA RETRORREFLETIVA A BASE DE RESINA ACRÍLICA COM MICROESFERAS DE VIDRO, E = 30 CM, APLICAÇÃO MANUAL. AF_05/2021</v>
      </c>
      <c r="D3099" s="105" t="str">
        <f>VLOOKUP(A3099,'[3]Planilha Orçamentária'!A:K,4,0)</f>
        <v>M2</v>
      </c>
      <c r="E3099" s="104"/>
      <c r="F3099" s="111"/>
      <c r="G3099" s="111"/>
      <c r="H3099" s="111"/>
      <c r="I3099" s="111"/>
      <c r="J3099" s="107">
        <f>ROUND(SUM(J3101:J3101),2)</f>
        <v>288</v>
      </c>
      <c r="U3099" s="137"/>
      <c r="V3099" s="137"/>
      <c r="W3099" s="137"/>
      <c r="X3099" s="137"/>
      <c r="Y3099" s="137"/>
      <c r="Z3099" s="137"/>
      <c r="AA3099" s="137"/>
      <c r="AB3099" s="137"/>
      <c r="AC3099" s="137"/>
      <c r="AD3099" s="137"/>
    </row>
    <row r="3100" spans="1:30">
      <c r="A3100" s="251"/>
      <c r="B3100" s="252"/>
      <c r="C3100" s="244" t="s">
        <v>2376</v>
      </c>
      <c r="D3100" s="148"/>
      <c r="E3100" s="357"/>
      <c r="F3100" s="160"/>
      <c r="G3100" s="160"/>
      <c r="H3100" s="160"/>
      <c r="I3100" s="357" t="s">
        <v>2003</v>
      </c>
      <c r="J3100" s="257"/>
      <c r="U3100" s="137"/>
      <c r="V3100" s="137"/>
      <c r="W3100" s="137"/>
      <c r="X3100" s="137"/>
      <c r="Y3100" s="137"/>
      <c r="Z3100" s="137"/>
      <c r="AA3100" s="137"/>
      <c r="AB3100" s="137"/>
      <c r="AC3100" s="137"/>
      <c r="AD3100" s="137"/>
    </row>
    <row r="3101" spans="1:30" ht="12" customHeight="1">
      <c r="A3101" s="314"/>
      <c r="B3101" s="314"/>
      <c r="C3101" s="244" t="s">
        <v>2046</v>
      </c>
      <c r="D3101" s="262"/>
      <c r="E3101" s="157"/>
      <c r="F3101" s="157"/>
      <c r="G3101" s="157"/>
      <c r="H3101" s="157"/>
      <c r="I3101" s="157">
        <v>288</v>
      </c>
      <c r="J3101" s="306">
        <f>ROUND(PRODUCT(E3101:I3101),2)</f>
        <v>288</v>
      </c>
      <c r="U3101" s="137"/>
      <c r="V3101" s="137"/>
      <c r="W3101" s="137"/>
      <c r="X3101" s="137"/>
      <c r="Y3101" s="137"/>
      <c r="Z3101" s="137"/>
      <c r="AA3101" s="137"/>
      <c r="AB3101" s="137"/>
      <c r="AC3101" s="137"/>
      <c r="AD3101" s="137"/>
    </row>
    <row r="3102" spans="1:30">
      <c r="A3102" s="523"/>
      <c r="B3102" s="524"/>
      <c r="C3102" s="524"/>
      <c r="D3102" s="524"/>
      <c r="E3102" s="524"/>
      <c r="F3102" s="524"/>
      <c r="G3102" s="524"/>
      <c r="H3102" s="524"/>
      <c r="I3102" s="524"/>
      <c r="J3102" s="525"/>
      <c r="U3102" s="137"/>
      <c r="V3102" s="137"/>
      <c r="W3102" s="137"/>
      <c r="X3102" s="137"/>
      <c r="Y3102" s="137"/>
      <c r="Z3102" s="137"/>
      <c r="AA3102" s="137"/>
      <c r="AB3102" s="137"/>
      <c r="AC3102" s="137"/>
      <c r="AD3102" s="137"/>
    </row>
    <row r="3103" spans="1:30" ht="51">
      <c r="A3103" s="132" t="str">
        <f>'[3]Planilha Orçamentária'!A808</f>
        <v>1.13.7.6</v>
      </c>
      <c r="B3103" s="103">
        <f>VLOOKUP(A3103,'[3]Planilha Orçamentária'!A:K,2,0)</f>
        <v>102512</v>
      </c>
      <c r="C3103" s="276" t="str">
        <f>VLOOKUP(A3103,'[3]Planilha Orçamentária'!A:K,3,0)</f>
        <v>PINTURA DE EIXO VIÁRIO SOBRE ASFALTO COM TINTA RETRORREFLETIVA A BASE DE RESINA ACRÍLICA COM MICROESFERAS DE VIDRO, APLICAÇÃO MECÂNICA COM DEMARCADORA AUTOPROPELIDA. AF_05/2021</v>
      </c>
      <c r="D3103" s="105" t="str">
        <f>VLOOKUP(A3103,'[3]Planilha Orçamentária'!A:K,4,0)</f>
        <v>M</v>
      </c>
      <c r="E3103" s="104"/>
      <c r="F3103" s="111"/>
      <c r="G3103" s="111"/>
      <c r="H3103" s="111"/>
      <c r="I3103" s="111"/>
      <c r="J3103" s="107">
        <f>ROUND(SUM(J3105:J3105),2)</f>
        <v>2452.8200000000002</v>
      </c>
      <c r="U3103" s="137"/>
      <c r="V3103" s="137"/>
      <c r="W3103" s="137"/>
      <c r="X3103" s="137"/>
      <c r="Y3103" s="137"/>
      <c r="Z3103" s="137"/>
      <c r="AA3103" s="137"/>
      <c r="AB3103" s="137"/>
      <c r="AC3103" s="137"/>
      <c r="AD3103" s="137"/>
    </row>
    <row r="3104" spans="1:30" ht="12" customHeight="1">
      <c r="A3104" s="251"/>
      <c r="B3104" s="252"/>
      <c r="C3104" s="244" t="s">
        <v>2376</v>
      </c>
      <c r="D3104" s="148"/>
      <c r="E3104" s="357"/>
      <c r="F3104" s="161" t="s">
        <v>1989</v>
      </c>
      <c r="G3104" s="160"/>
      <c r="H3104" s="160"/>
      <c r="I3104" s="357"/>
      <c r="J3104" s="257"/>
      <c r="U3104" s="137"/>
      <c r="V3104" s="137"/>
      <c r="W3104" s="137"/>
      <c r="X3104" s="137"/>
      <c r="Y3104" s="137"/>
      <c r="Z3104" s="137"/>
      <c r="AA3104" s="137"/>
      <c r="AB3104" s="137"/>
      <c r="AC3104" s="137"/>
      <c r="AD3104" s="137"/>
    </row>
    <row r="3105" spans="1:30" ht="12" customHeight="1">
      <c r="A3105" s="314"/>
      <c r="B3105" s="314"/>
      <c r="C3105" s="244" t="s">
        <v>2046</v>
      </c>
      <c r="D3105" s="262"/>
      <c r="E3105" s="157"/>
      <c r="F3105" s="157">
        <v>2452.8200000000002</v>
      </c>
      <c r="G3105" s="157"/>
      <c r="H3105" s="157"/>
      <c r="I3105" s="157"/>
      <c r="J3105" s="306">
        <f>ROUND(PRODUCT(E3105:I3105),2)</f>
        <v>2452.8200000000002</v>
      </c>
      <c r="U3105" s="137"/>
      <c r="V3105" s="137"/>
      <c r="W3105" s="137"/>
      <c r="X3105" s="137"/>
      <c r="Y3105" s="137"/>
      <c r="Z3105" s="137"/>
      <c r="AA3105" s="137"/>
      <c r="AB3105" s="137"/>
      <c r="AC3105" s="137"/>
      <c r="AD3105" s="137"/>
    </row>
    <row r="3106" spans="1:30" ht="12" customHeight="1">
      <c r="A3106" s="523"/>
      <c r="B3106" s="524"/>
      <c r="C3106" s="524"/>
      <c r="D3106" s="524"/>
      <c r="E3106" s="524"/>
      <c r="F3106" s="524"/>
      <c r="G3106" s="524"/>
      <c r="H3106" s="524"/>
      <c r="I3106" s="524"/>
      <c r="J3106" s="525"/>
      <c r="U3106" s="137"/>
      <c r="V3106" s="137"/>
      <c r="W3106" s="137"/>
      <c r="X3106" s="137"/>
      <c r="Y3106" s="137"/>
      <c r="Z3106" s="137"/>
      <c r="AA3106" s="137"/>
      <c r="AB3106" s="137"/>
      <c r="AC3106" s="137"/>
      <c r="AD3106" s="137"/>
    </row>
    <row r="3107" spans="1:30" ht="38.25">
      <c r="A3107" s="132" t="str">
        <f>'[3]Planilha Orçamentária'!A809</f>
        <v>1.13.7.7</v>
      </c>
      <c r="B3107" s="103" t="str">
        <f>VLOOKUP(A3107,'[3]Planilha Orçamentária'!A:K,2,0)</f>
        <v>CP-72947-21572945</v>
      </c>
      <c r="C3107" s="276" t="str">
        <f>VLOOKUP(A3107,'[3]Planilha Orçamentária'!A:K,3,0)</f>
        <v>SINALIZACAO HORIZONTAL COM TINTA RETRORREFLETIVA A BASE DE RESINA ACRILICA COM MICROESFERAS DE VIDRO</v>
      </c>
      <c r="D3107" s="105" t="str">
        <f>VLOOKUP(A3107,'[3]Planilha Orçamentária'!A:K,4,0)</f>
        <v>M2</v>
      </c>
      <c r="E3107" s="104"/>
      <c r="F3107" s="111"/>
      <c r="G3107" s="111"/>
      <c r="H3107" s="111"/>
      <c r="I3107" s="111"/>
      <c r="J3107" s="107">
        <f>ROUND(SUM(J3109:J3109),2)</f>
        <v>5.04</v>
      </c>
      <c r="U3107" s="137"/>
      <c r="V3107" s="137"/>
      <c r="W3107" s="137"/>
      <c r="X3107" s="137"/>
      <c r="Y3107" s="137"/>
      <c r="Z3107" s="137"/>
      <c r="AA3107" s="137"/>
      <c r="AB3107" s="137"/>
      <c r="AC3107" s="137"/>
      <c r="AD3107" s="137"/>
    </row>
    <row r="3108" spans="1:30" ht="12" customHeight="1">
      <c r="A3108" s="251"/>
      <c r="B3108" s="252"/>
      <c r="C3108" s="244" t="s">
        <v>2376</v>
      </c>
      <c r="D3108" s="148"/>
      <c r="E3108" s="357"/>
      <c r="F3108" s="161"/>
      <c r="G3108" s="160"/>
      <c r="H3108" s="160"/>
      <c r="I3108" s="357" t="s">
        <v>2003</v>
      </c>
      <c r="J3108" s="257"/>
      <c r="U3108" s="137"/>
      <c r="V3108" s="137"/>
      <c r="W3108" s="137"/>
      <c r="X3108" s="137"/>
      <c r="Y3108" s="137"/>
      <c r="Z3108" s="137"/>
      <c r="AA3108" s="137"/>
      <c r="AB3108" s="137"/>
      <c r="AC3108" s="137"/>
      <c r="AD3108" s="137"/>
    </row>
    <row r="3109" spans="1:30" ht="12" customHeight="1">
      <c r="A3109" s="314"/>
      <c r="B3109" s="314"/>
      <c r="C3109" s="244" t="s">
        <v>2046</v>
      </c>
      <c r="D3109" s="262"/>
      <c r="E3109" s="157"/>
      <c r="F3109" s="157"/>
      <c r="G3109" s="157"/>
      <c r="H3109" s="157"/>
      <c r="I3109" s="157">
        <v>5.04</v>
      </c>
      <c r="J3109" s="306">
        <f>ROUND(PRODUCT(E3109:I3109),2)</f>
        <v>5.04</v>
      </c>
      <c r="U3109" s="137"/>
      <c r="V3109" s="137"/>
      <c r="W3109" s="137"/>
      <c r="X3109" s="137"/>
      <c r="Y3109" s="137"/>
      <c r="Z3109" s="137"/>
      <c r="AA3109" s="137"/>
      <c r="AB3109" s="137"/>
      <c r="AC3109" s="137"/>
      <c r="AD3109" s="137"/>
    </row>
    <row r="3110" spans="1:30" ht="12" customHeight="1">
      <c r="A3110" s="523"/>
      <c r="B3110" s="524"/>
      <c r="C3110" s="524"/>
      <c r="D3110" s="524"/>
      <c r="E3110" s="524"/>
      <c r="F3110" s="524"/>
      <c r="G3110" s="524"/>
      <c r="H3110" s="524"/>
      <c r="I3110" s="524"/>
      <c r="J3110" s="525"/>
      <c r="U3110" s="137"/>
      <c r="V3110" s="137"/>
      <c r="W3110" s="137"/>
      <c r="X3110" s="137"/>
      <c r="Y3110" s="137"/>
      <c r="Z3110" s="137"/>
      <c r="AA3110" s="137"/>
      <c r="AB3110" s="137"/>
      <c r="AC3110" s="137"/>
      <c r="AD3110" s="137"/>
    </row>
    <row r="3111" spans="1:30">
      <c r="A3111" s="94" t="str">
        <f>'[3]Planilha Orçamentária'!A810</f>
        <v>1.13.8</v>
      </c>
      <c r="B3111" s="95"/>
      <c r="C3111" s="96" t="str">
        <f>VLOOKUP(A3111,'[3]Planilha Orçamentária'!A:K,3,0)</f>
        <v>ACESSIBILIDADE</v>
      </c>
      <c r="D3111" s="96"/>
      <c r="E3111" s="129"/>
      <c r="F3111" s="130"/>
      <c r="G3111" s="130"/>
      <c r="H3111" s="130"/>
      <c r="I3111" s="130"/>
      <c r="J3111" s="131"/>
      <c r="U3111" s="137"/>
      <c r="V3111" s="137"/>
      <c r="W3111" s="137"/>
      <c r="X3111" s="137"/>
      <c r="Y3111" s="137"/>
      <c r="Z3111" s="137"/>
      <c r="AA3111" s="137"/>
      <c r="AB3111" s="137"/>
      <c r="AC3111" s="137"/>
      <c r="AD3111" s="137"/>
    </row>
    <row r="3112" spans="1:30" ht="51">
      <c r="A3112" s="251" t="str">
        <f>'[3]Planilha Orçamentária'!A811</f>
        <v>1.13.8.1</v>
      </c>
      <c r="B3112" s="252" t="str">
        <f>VLOOKUP(A3112,'[3]Planilha Orçamentária'!A:K,2,0)</f>
        <v>CP-S12039-81921471</v>
      </c>
      <c r="C3112" s="253" t="str">
        <f>VLOOKUP(A3112,'[3]Planilha Orçamentária'!A:K,3,0)</f>
        <v>Piso tátil direcional e/ou alerta, de concreto, na cor natural, p/deficientes visuais, dimensões 40x40cm, aplicado com argamassa industrializada ac-ii, rejuntado, exclusive regularização de base</v>
      </c>
      <c r="D3112" s="254" t="str">
        <f>VLOOKUP(A3112,'[3]Planilha Orçamentária'!A:K,4,0)</f>
        <v>M2</v>
      </c>
      <c r="E3112" s="255"/>
      <c r="F3112" s="256"/>
      <c r="G3112" s="256"/>
      <c r="H3112" s="256"/>
      <c r="I3112" s="256"/>
      <c r="J3112" s="122">
        <f>ROUND(SUM(J3113:J3114),2)</f>
        <v>387.2</v>
      </c>
      <c r="U3112" s="137"/>
      <c r="V3112" s="137"/>
      <c r="W3112" s="137"/>
      <c r="X3112" s="137"/>
      <c r="Y3112" s="137"/>
      <c r="Z3112" s="137"/>
      <c r="AA3112" s="137"/>
      <c r="AB3112" s="137"/>
      <c r="AC3112" s="137"/>
      <c r="AD3112" s="137"/>
    </row>
    <row r="3113" spans="1:30" ht="12" customHeight="1">
      <c r="A3113" s="251"/>
      <c r="B3113" s="252"/>
      <c r="C3113" s="244" t="s">
        <v>2376</v>
      </c>
      <c r="D3113" s="166"/>
      <c r="E3113" s="426"/>
      <c r="F3113" s="149"/>
      <c r="G3113" s="149"/>
      <c r="H3113" s="149"/>
      <c r="I3113" s="426" t="s">
        <v>2003</v>
      </c>
      <c r="J3113" s="257"/>
      <c r="U3113" s="137"/>
      <c r="V3113" s="137"/>
      <c r="W3113" s="137"/>
      <c r="X3113" s="137"/>
      <c r="Y3113" s="137"/>
      <c r="Z3113" s="137"/>
      <c r="AA3113" s="137"/>
      <c r="AB3113" s="137"/>
      <c r="AC3113" s="137"/>
      <c r="AD3113" s="137"/>
    </row>
    <row r="3114" spans="1:30" ht="12" customHeight="1">
      <c r="A3114" s="138"/>
      <c r="B3114" s="138"/>
      <c r="C3114" s="244" t="s">
        <v>2046</v>
      </c>
      <c r="D3114" s="262"/>
      <c r="E3114" s="157"/>
      <c r="F3114" s="157"/>
      <c r="G3114" s="157"/>
      <c r="H3114" s="157"/>
      <c r="I3114" s="157">
        <f>331.2+56</f>
        <v>387.2</v>
      </c>
      <c r="J3114" s="128">
        <f>ROUND(PRODUCT(E3114:I3114),2)</f>
        <v>387.2</v>
      </c>
      <c r="U3114" s="137"/>
      <c r="V3114" s="137"/>
      <c r="W3114" s="137"/>
      <c r="X3114" s="137"/>
      <c r="Y3114" s="137"/>
      <c r="Z3114" s="137"/>
      <c r="AA3114" s="137"/>
      <c r="AB3114" s="137"/>
      <c r="AC3114" s="137"/>
      <c r="AD3114" s="137"/>
    </row>
    <row r="3115" spans="1:30" ht="12" customHeight="1">
      <c r="A3115" s="523"/>
      <c r="B3115" s="524"/>
      <c r="C3115" s="524"/>
      <c r="D3115" s="524"/>
      <c r="E3115" s="524"/>
      <c r="F3115" s="524"/>
      <c r="G3115" s="524"/>
      <c r="H3115" s="524"/>
      <c r="I3115" s="524"/>
      <c r="J3115" s="524"/>
      <c r="U3115" s="137"/>
      <c r="V3115" s="137"/>
      <c r="W3115" s="137"/>
      <c r="X3115" s="137"/>
      <c r="Y3115" s="137"/>
      <c r="Z3115" s="137"/>
      <c r="AA3115" s="137"/>
      <c r="AB3115" s="137"/>
      <c r="AC3115" s="137"/>
      <c r="AD3115" s="137"/>
    </row>
    <row r="3116" spans="1:30" ht="12" customHeight="1">
      <c r="A3116" s="94" t="str">
        <f>'[3]Planilha Orçamentária'!A812</f>
        <v>1.13.9</v>
      </c>
      <c r="B3116" s="95"/>
      <c r="C3116" s="96" t="str">
        <f>VLOOKUP(A3116,'[3]Planilha Orçamentária'!A:K,3,0)</f>
        <v>MATERIAIS</v>
      </c>
      <c r="D3116" s="96"/>
      <c r="E3116" s="129"/>
      <c r="F3116" s="130"/>
      <c r="G3116" s="130"/>
      <c r="H3116" s="130"/>
      <c r="I3116" s="130"/>
      <c r="J3116" s="131"/>
      <c r="U3116" s="137"/>
      <c r="V3116" s="137"/>
      <c r="W3116" s="137"/>
      <c r="X3116" s="137"/>
      <c r="Y3116" s="137"/>
      <c r="Z3116" s="137"/>
      <c r="AA3116" s="137"/>
      <c r="AB3116" s="137"/>
      <c r="AC3116" s="137"/>
      <c r="AD3116" s="137"/>
    </row>
    <row r="3117" spans="1:30" ht="51">
      <c r="A3117" s="145" t="str">
        <f>'[3]Planilha Orçamentária'!A813</f>
        <v>1.13.9.1</v>
      </c>
      <c r="B3117" s="146">
        <f>VLOOKUP(A3117,'[3]Planilha Orçamentária'!A:K,2,0)</f>
        <v>10775</v>
      </c>
      <c r="C3117" s="147" t="str">
        <f>VLOOKUP(A3117,'[3]Planilha Orçamentária'!A:K,3,0)</f>
        <v xml:space="preserve">LOCACAO DE CONTAINER 2,30 X 6,00 M, ALT. 2,50 M, COM 1 SANITARIO, PARA ESCRITORIO, COMPLETO, SEM DIVISORIAS INTERNAS (NAO INCLUI MOBILIZACAO/DESMOBILIZACAO)                                                                                                                                                                                                                                                                                                                                              </v>
      </c>
      <c r="D3117" s="148" t="str">
        <f>VLOOKUP(A3117,'[3]Planilha Orçamentária'!A:K,4,0)</f>
        <v xml:space="preserve">MES   </v>
      </c>
      <c r="E3117" s="147"/>
      <c r="F3117" s="160"/>
      <c r="G3117" s="160"/>
      <c r="H3117" s="160"/>
      <c r="I3117" s="160"/>
      <c r="J3117" s="218">
        <f>ROUND(SUM(J3119:J3119),2)</f>
        <v>12</v>
      </c>
      <c r="U3117" s="137"/>
      <c r="V3117" s="137"/>
      <c r="W3117" s="137"/>
      <c r="X3117" s="137"/>
      <c r="Y3117" s="137"/>
      <c r="Z3117" s="137"/>
      <c r="AA3117" s="137"/>
      <c r="AB3117" s="137"/>
      <c r="AC3117" s="137"/>
      <c r="AD3117" s="137"/>
    </row>
    <row r="3118" spans="1:30" ht="25.5">
      <c r="A3118" s="151"/>
      <c r="B3118" s="152"/>
      <c r="C3118" s="168"/>
      <c r="D3118" s="166"/>
      <c r="E3118" s="168"/>
      <c r="F3118" s="320"/>
      <c r="G3118" s="149"/>
      <c r="H3118" s="149"/>
      <c r="I3118" s="106" t="s">
        <v>1992</v>
      </c>
      <c r="J3118" s="321"/>
      <c r="U3118" s="137"/>
      <c r="V3118" s="137"/>
      <c r="W3118" s="137"/>
      <c r="X3118" s="137"/>
      <c r="Y3118" s="137"/>
      <c r="Z3118" s="137"/>
      <c r="AA3118" s="137"/>
      <c r="AB3118" s="137"/>
      <c r="AC3118" s="137"/>
      <c r="AD3118" s="137"/>
    </row>
    <row r="3119" spans="1:30">
      <c r="A3119" s="123"/>
      <c r="B3119" s="123"/>
      <c r="C3119" s="155"/>
      <c r="D3119" s="185"/>
      <c r="E3119" s="116"/>
      <c r="F3119" s="126"/>
      <c r="G3119" s="116"/>
      <c r="H3119" s="116"/>
      <c r="I3119" s="116">
        <f>I2840</f>
        <v>12</v>
      </c>
      <c r="J3119" s="128">
        <f>ROUND(PRODUCT(E3119:I3119),2)</f>
        <v>12</v>
      </c>
      <c r="U3119" s="137"/>
      <c r="V3119" s="137"/>
      <c r="W3119" s="137"/>
      <c r="X3119" s="137"/>
      <c r="Y3119" s="137"/>
      <c r="Z3119" s="137"/>
      <c r="AA3119" s="137"/>
      <c r="AB3119" s="137"/>
      <c r="AC3119" s="137"/>
      <c r="AD3119" s="137"/>
    </row>
    <row r="3120" spans="1:30">
      <c r="A3120" s="531"/>
      <c r="B3120" s="531"/>
      <c r="C3120" s="531"/>
      <c r="D3120" s="531"/>
      <c r="E3120" s="531"/>
      <c r="F3120" s="531"/>
      <c r="G3120" s="531"/>
      <c r="H3120" s="531"/>
      <c r="I3120" s="531"/>
      <c r="J3120" s="531"/>
      <c r="U3120" s="137"/>
      <c r="V3120" s="137"/>
      <c r="W3120" s="137"/>
      <c r="X3120" s="137"/>
      <c r="Y3120" s="137"/>
      <c r="Z3120" s="137"/>
      <c r="AA3120" s="137"/>
      <c r="AB3120" s="137"/>
      <c r="AC3120" s="137"/>
      <c r="AD3120" s="137"/>
    </row>
    <row r="3121" spans="1:30" ht="38.25">
      <c r="A3121" s="145" t="str">
        <f>'[3]Planilha Orçamentária'!A814</f>
        <v>1.13.9.2</v>
      </c>
      <c r="B3121" s="146">
        <f>VLOOKUP(A3121,'[3]Planilha Orçamentária'!A:K,2,0)</f>
        <v>10776</v>
      </c>
      <c r="C3121" s="147" t="str">
        <f>VLOOKUP(A3121,'[3]Planilha Orçamentária'!A:K,3,0)</f>
        <v xml:space="preserve">LOCACAO DE CONTAINER 2,30 X 6,00 M, ALT. 2,50 M, PARA ESCRITORIO, SEM DIVISORIAS INTERNAS E SEM SANITARIO (NAO INCLUI MOBILIZACAO/DESMOBILIZACAO)                                                                                                                                                                                                                                                                                                                                                         </v>
      </c>
      <c r="D3121" s="148" t="str">
        <f>VLOOKUP(A3121,'[3]Planilha Orçamentária'!A:K,4,0)</f>
        <v xml:space="preserve">MES   </v>
      </c>
      <c r="E3121" s="147"/>
      <c r="F3121" s="160"/>
      <c r="G3121" s="160"/>
      <c r="H3121" s="160"/>
      <c r="I3121" s="160"/>
      <c r="J3121" s="218">
        <f>ROUND(SUM(J3123:J3123),2)</f>
        <v>12</v>
      </c>
      <c r="U3121" s="137"/>
      <c r="V3121" s="137"/>
      <c r="W3121" s="137"/>
      <c r="X3121" s="137"/>
      <c r="Y3121" s="137"/>
      <c r="Z3121" s="137"/>
      <c r="AA3121" s="137"/>
      <c r="AB3121" s="137"/>
      <c r="AC3121" s="137"/>
      <c r="AD3121" s="137"/>
    </row>
    <row r="3122" spans="1:30" ht="25.5">
      <c r="A3122" s="151"/>
      <c r="B3122" s="152"/>
      <c r="C3122" s="168"/>
      <c r="D3122" s="166"/>
      <c r="E3122" s="168"/>
      <c r="F3122" s="320"/>
      <c r="G3122" s="149"/>
      <c r="H3122" s="149"/>
      <c r="I3122" s="106" t="s">
        <v>1992</v>
      </c>
      <c r="J3122" s="321"/>
      <c r="U3122" s="137"/>
      <c r="V3122" s="137"/>
      <c r="W3122" s="137"/>
      <c r="X3122" s="137"/>
      <c r="Y3122" s="137"/>
      <c r="Z3122" s="137"/>
      <c r="AA3122" s="137"/>
      <c r="AB3122" s="137"/>
      <c r="AC3122" s="137"/>
      <c r="AD3122" s="137"/>
    </row>
    <row r="3123" spans="1:30">
      <c r="A3123" s="123"/>
      <c r="B3123" s="123"/>
      <c r="C3123" s="155"/>
      <c r="D3123" s="185"/>
      <c r="E3123" s="116"/>
      <c r="F3123" s="126"/>
      <c r="G3123" s="116"/>
      <c r="H3123" s="116"/>
      <c r="I3123" s="116">
        <f>I3119</f>
        <v>12</v>
      </c>
      <c r="J3123" s="128">
        <f>ROUND(PRODUCT(E3123:I3123),2)</f>
        <v>12</v>
      </c>
      <c r="U3123" s="137"/>
      <c r="V3123" s="137"/>
      <c r="W3123" s="137"/>
      <c r="X3123" s="137"/>
      <c r="Y3123" s="137"/>
      <c r="Z3123" s="137"/>
      <c r="AA3123" s="137"/>
      <c r="AB3123" s="137"/>
      <c r="AC3123" s="137"/>
      <c r="AD3123" s="137"/>
    </row>
    <row r="3124" spans="1:30">
      <c r="A3124" s="531"/>
      <c r="B3124" s="531"/>
      <c r="C3124" s="531"/>
      <c r="D3124" s="531"/>
      <c r="E3124" s="531"/>
      <c r="F3124" s="531"/>
      <c r="G3124" s="531"/>
      <c r="H3124" s="531"/>
      <c r="I3124" s="531"/>
      <c r="J3124" s="531"/>
      <c r="U3124" s="137"/>
      <c r="V3124" s="137"/>
      <c r="W3124" s="137"/>
      <c r="X3124" s="137"/>
      <c r="Y3124" s="137"/>
      <c r="Z3124" s="137"/>
      <c r="AA3124" s="137"/>
      <c r="AB3124" s="137"/>
      <c r="AC3124" s="137"/>
      <c r="AD3124" s="137"/>
    </row>
    <row r="3125" spans="1:30" ht="38.25">
      <c r="A3125" s="132" t="str">
        <f>'[3]Planilha Orçamentária'!A815</f>
        <v>1.13.9.3</v>
      </c>
      <c r="B3125" s="108">
        <f>VLOOKUP(A3125,'[3]Planilha Orçamentária'!A:K,2,0)</f>
        <v>1518</v>
      </c>
      <c r="C3125" s="104" t="str">
        <f>VLOOKUP(A3125,'[3]Planilha Orçamentária'!A:K,3,0)</f>
        <v xml:space="preserve">CONCRETO BETUMINOSO USINADO A QUENTE (CBUQ) PARA PAVIMENTACAO ASFALTICA, PADRAO DNIT, FAIXA C, COM CAP 50/70 - AQUISICAO POSTO USINA                                                                                                                                                                                                                                                                                                                                                                      </v>
      </c>
      <c r="D3125" s="105" t="str">
        <f>VLOOKUP(A3125,'[3]Planilha Orçamentária'!A:K,4,0)</f>
        <v xml:space="preserve">T     </v>
      </c>
      <c r="E3125" s="104"/>
      <c r="F3125" s="111"/>
      <c r="G3125" s="111"/>
      <c r="H3125" s="111"/>
      <c r="I3125" s="111"/>
      <c r="J3125" s="122">
        <f>ROUND(SUM(J3126:J3127),2)</f>
        <v>1464.54</v>
      </c>
      <c r="U3125" s="137"/>
      <c r="V3125" s="137"/>
      <c r="W3125" s="137"/>
      <c r="X3125" s="137"/>
      <c r="Y3125" s="137"/>
      <c r="Z3125" s="137"/>
      <c r="AA3125" s="137"/>
      <c r="AB3125" s="137"/>
      <c r="AC3125" s="137"/>
      <c r="AD3125" s="137"/>
    </row>
    <row r="3126" spans="1:30">
      <c r="A3126" s="174"/>
      <c r="B3126" s="174"/>
      <c r="C3126" s="159" t="s">
        <v>2349</v>
      </c>
      <c r="D3126" s="174"/>
      <c r="E3126" s="174" t="s">
        <v>1193</v>
      </c>
      <c r="F3126" s="174"/>
      <c r="G3126" s="174"/>
      <c r="H3126" s="174"/>
      <c r="I3126" s="174" t="s">
        <v>2007</v>
      </c>
      <c r="J3126" s="174"/>
      <c r="U3126" s="137"/>
      <c r="V3126" s="137"/>
      <c r="W3126" s="137"/>
      <c r="X3126" s="137"/>
      <c r="Y3126" s="137"/>
      <c r="Z3126" s="137"/>
      <c r="AA3126" s="137"/>
      <c r="AB3126" s="137"/>
      <c r="AC3126" s="137"/>
      <c r="AD3126" s="137"/>
    </row>
    <row r="3127" spans="1:30">
      <c r="A3127" s="174"/>
      <c r="B3127" s="174"/>
      <c r="C3127" s="322" t="s">
        <v>2083</v>
      </c>
      <c r="D3127" s="174"/>
      <c r="E3127" s="174">
        <v>2.5548000000000002</v>
      </c>
      <c r="F3127" s="174"/>
      <c r="G3127" s="174"/>
      <c r="H3127" s="174"/>
      <c r="I3127" s="286">
        <f>J2914</f>
        <v>573.25</v>
      </c>
      <c r="J3127" s="158">
        <f t="shared" ref="J3127" si="213">ROUND(PRODUCT(E3127:I3127),2)</f>
        <v>1464.54</v>
      </c>
      <c r="U3127" s="137"/>
      <c r="V3127" s="137"/>
      <c r="W3127" s="137"/>
      <c r="X3127" s="137"/>
      <c r="Y3127" s="137"/>
      <c r="Z3127" s="137"/>
      <c r="AA3127" s="137"/>
      <c r="AB3127" s="137"/>
      <c r="AC3127" s="137"/>
      <c r="AD3127" s="137"/>
    </row>
    <row r="3128" spans="1:30">
      <c r="A3128" s="219"/>
      <c r="B3128" s="323"/>
      <c r="C3128" s="323"/>
      <c r="D3128" s="323"/>
      <c r="E3128" s="323"/>
      <c r="F3128" s="323"/>
      <c r="G3128" s="323"/>
      <c r="H3128" s="323"/>
      <c r="I3128" s="323"/>
      <c r="J3128" s="198"/>
      <c r="U3128" s="137"/>
      <c r="V3128" s="137"/>
      <c r="W3128" s="137"/>
      <c r="X3128" s="137"/>
      <c r="Y3128" s="137"/>
      <c r="Z3128" s="137"/>
      <c r="AA3128" s="137"/>
      <c r="AB3128" s="137"/>
      <c r="AC3128" s="137"/>
      <c r="AD3128" s="137"/>
    </row>
    <row r="3129" spans="1:30" ht="25.5">
      <c r="A3129" s="132" t="str">
        <f>'[3]Planilha Orçamentária'!A816</f>
        <v>1.13.9.4</v>
      </c>
      <c r="B3129" s="108" t="str">
        <f>VLOOKUP(A3129,'[3]Planilha Orçamentária'!A:K,2,0)</f>
        <v>M0134</v>
      </c>
      <c r="C3129" s="104" t="str">
        <f>VLOOKUP(A3129,'[3]Planilha Orçamentária'!A:K,3,0)</f>
        <v>Tubo PEAD corrugado com paredes estruturadas para drenagem - D = 600 mm</v>
      </c>
      <c r="D3129" s="105" t="str">
        <f>VLOOKUP(A3129,'[3]Planilha Orçamentária'!A:K,4,0)</f>
        <v>M</v>
      </c>
      <c r="E3129" s="104"/>
      <c r="F3129" s="111"/>
      <c r="G3129" s="111"/>
      <c r="H3129" s="111"/>
      <c r="I3129" s="111"/>
      <c r="J3129" s="122">
        <f>ROUND(SUM(J3130:J3131),2)</f>
        <v>185.77</v>
      </c>
      <c r="U3129" s="137"/>
      <c r="V3129" s="137"/>
      <c r="W3129" s="137"/>
      <c r="X3129" s="137"/>
      <c r="Y3129" s="137"/>
      <c r="Z3129" s="137"/>
      <c r="AA3129" s="137"/>
      <c r="AB3129" s="137"/>
      <c r="AC3129" s="137"/>
      <c r="AD3129" s="137"/>
    </row>
    <row r="3130" spans="1:30">
      <c r="A3130" s="174"/>
      <c r="B3130" s="174"/>
      <c r="C3130" s="343" t="s">
        <v>2367</v>
      </c>
      <c r="D3130" s="174"/>
      <c r="E3130" s="174"/>
      <c r="F3130" s="174" t="s">
        <v>1989</v>
      </c>
      <c r="G3130" s="174"/>
      <c r="H3130" s="174"/>
      <c r="I3130" s="174"/>
      <c r="J3130" s="174"/>
      <c r="U3130" s="137"/>
      <c r="V3130" s="137"/>
      <c r="W3130" s="137"/>
      <c r="X3130" s="137"/>
      <c r="Y3130" s="137"/>
      <c r="Z3130" s="137"/>
      <c r="AA3130" s="137"/>
      <c r="AB3130" s="137"/>
      <c r="AC3130" s="137"/>
      <c r="AD3130" s="137"/>
    </row>
    <row r="3131" spans="1:30" ht="14.25">
      <c r="A3131" s="174"/>
      <c r="B3131" s="174"/>
      <c r="C3131" s="204" t="s">
        <v>2159</v>
      </c>
      <c r="D3131" s="174"/>
      <c r="E3131" s="174"/>
      <c r="F3131" s="286">
        <f>F3044</f>
        <v>185.77</v>
      </c>
      <c r="G3131" s="174"/>
      <c r="H3131" s="174"/>
      <c r="I3131" s="286"/>
      <c r="J3131" s="158">
        <f t="shared" ref="J3131" si="214">ROUND(PRODUCT(E3131:I3131),2)</f>
        <v>185.77</v>
      </c>
      <c r="U3131" s="137"/>
      <c r="V3131" s="137"/>
      <c r="W3131" s="137"/>
      <c r="X3131" s="137"/>
      <c r="Y3131" s="137"/>
      <c r="Z3131" s="137"/>
      <c r="AA3131" s="137"/>
      <c r="AB3131" s="137"/>
      <c r="AC3131" s="137"/>
      <c r="AD3131" s="137"/>
    </row>
    <row r="3132" spans="1:30">
      <c r="A3132" s="219"/>
      <c r="B3132" s="323"/>
      <c r="C3132" s="323"/>
      <c r="D3132" s="323"/>
      <c r="E3132" s="323"/>
      <c r="F3132" s="323"/>
      <c r="G3132" s="323"/>
      <c r="H3132" s="323"/>
      <c r="I3132" s="323"/>
      <c r="J3132" s="198"/>
      <c r="U3132" s="137"/>
      <c r="V3132" s="137"/>
      <c r="W3132" s="137"/>
      <c r="X3132" s="137"/>
      <c r="Y3132" s="137"/>
      <c r="Z3132" s="137"/>
      <c r="AA3132" s="137"/>
      <c r="AB3132" s="137"/>
      <c r="AC3132" s="137"/>
      <c r="AD3132" s="137"/>
    </row>
    <row r="3133" spans="1:30" ht="25.5">
      <c r="A3133" s="132" t="str">
        <f>'[3]Planilha Orçamentária'!A817</f>
        <v>1.13.9.5</v>
      </c>
      <c r="B3133" s="108" t="str">
        <f>VLOOKUP(A3133,'[3]Planilha Orçamentária'!A:K,2,0)</f>
        <v>M0132</v>
      </c>
      <c r="C3133" s="104" t="str">
        <f>VLOOKUP(A3133,'[3]Planilha Orçamentária'!A:K,3,0)</f>
        <v xml:space="preserve">	Tubo PEAD corrugado com paredes estruturadas para drenagem - D = 450 mm</v>
      </c>
      <c r="D3133" s="105" t="str">
        <f>VLOOKUP(A3133,'[3]Planilha Orçamentária'!A:K,4,0)</f>
        <v>M</v>
      </c>
      <c r="E3133" s="104"/>
      <c r="F3133" s="111"/>
      <c r="G3133" s="111"/>
      <c r="H3133" s="111"/>
      <c r="I3133" s="111"/>
      <c r="J3133" s="122">
        <f>ROUND(SUM(J3134:J3135),2)</f>
        <v>123.68</v>
      </c>
      <c r="U3133" s="137"/>
      <c r="V3133" s="137"/>
      <c r="W3133" s="137"/>
      <c r="X3133" s="137"/>
      <c r="Y3133" s="137"/>
      <c r="Z3133" s="137"/>
      <c r="AA3133" s="137"/>
      <c r="AB3133" s="137"/>
      <c r="AC3133" s="137"/>
      <c r="AD3133" s="137"/>
    </row>
    <row r="3134" spans="1:30">
      <c r="A3134" s="174"/>
      <c r="B3134" s="174"/>
      <c r="C3134" s="343" t="s">
        <v>2367</v>
      </c>
      <c r="D3134" s="174"/>
      <c r="E3134" s="174"/>
      <c r="F3134" s="174" t="s">
        <v>1989</v>
      </c>
      <c r="G3134" s="174"/>
      <c r="H3134" s="174"/>
      <c r="I3134" s="174"/>
      <c r="J3134" s="174"/>
      <c r="U3134" s="137"/>
      <c r="V3134" s="137"/>
      <c r="W3134" s="137"/>
      <c r="X3134" s="137"/>
      <c r="Y3134" s="137"/>
      <c r="Z3134" s="137"/>
      <c r="AA3134" s="137"/>
      <c r="AB3134" s="137"/>
      <c r="AC3134" s="137"/>
      <c r="AD3134" s="137"/>
    </row>
    <row r="3135" spans="1:30" ht="14.25">
      <c r="A3135" s="174"/>
      <c r="B3135" s="174"/>
      <c r="C3135" s="204" t="s">
        <v>2159</v>
      </c>
      <c r="D3135" s="174"/>
      <c r="E3135" s="174"/>
      <c r="F3135" s="286">
        <f>F3048</f>
        <v>123.68</v>
      </c>
      <c r="G3135" s="174"/>
      <c r="H3135" s="174"/>
      <c r="I3135" s="286"/>
      <c r="J3135" s="158">
        <f t="shared" ref="J3135" si="215">ROUND(PRODUCT(E3135:I3135),2)</f>
        <v>123.68</v>
      </c>
      <c r="U3135" s="137"/>
      <c r="V3135" s="137"/>
      <c r="W3135" s="137"/>
      <c r="X3135" s="137"/>
      <c r="Y3135" s="137"/>
      <c r="Z3135" s="137"/>
      <c r="AA3135" s="137"/>
      <c r="AB3135" s="137"/>
      <c r="AC3135" s="137"/>
      <c r="AD3135" s="137"/>
    </row>
    <row r="3136" spans="1:30" ht="12" customHeight="1">
      <c r="A3136" s="219"/>
      <c r="B3136" s="323"/>
      <c r="C3136" s="323"/>
      <c r="D3136" s="323"/>
      <c r="E3136" s="323"/>
      <c r="F3136" s="323"/>
      <c r="G3136" s="323"/>
      <c r="H3136" s="323"/>
      <c r="I3136" s="323"/>
      <c r="J3136" s="198"/>
      <c r="U3136" s="137"/>
      <c r="V3136" s="137"/>
      <c r="W3136" s="137"/>
      <c r="X3136" s="137"/>
      <c r="Y3136" s="137"/>
      <c r="Z3136" s="137"/>
      <c r="AA3136" s="137"/>
      <c r="AB3136" s="137"/>
      <c r="AC3136" s="137"/>
      <c r="AD3136" s="137"/>
    </row>
    <row r="3137" spans="1:30" ht="12" customHeight="1">
      <c r="A3137" s="132" t="str">
        <f>'[3]Planilha Orçamentária'!A818</f>
        <v>1.13.9.6</v>
      </c>
      <c r="B3137" s="108" t="str">
        <f>VLOOKUP(A3137,'[3]Planilha Orçamentária'!A:K,2,0)</f>
        <v>INS-185032</v>
      </c>
      <c r="C3137" s="104" t="str">
        <f>VLOOKUP(A3137,'[3]Planilha Orçamentária'!A:K,3,0)</f>
        <v>BRITA GRADUADA SIMPLES (BGS)</v>
      </c>
      <c r="D3137" s="105" t="str">
        <f>VLOOKUP(A3137,'[3]Planilha Orçamentária'!A:K,4,0)</f>
        <v>M3</v>
      </c>
      <c r="E3137" s="104"/>
      <c r="F3137" s="111"/>
      <c r="G3137" s="111"/>
      <c r="H3137" s="111"/>
      <c r="I3137" s="111"/>
      <c r="J3137" s="122">
        <f>ROUND(SUM(J3138:J3139),2)</f>
        <v>1</v>
      </c>
      <c r="U3137" s="137"/>
      <c r="V3137" s="137"/>
      <c r="W3137" s="137"/>
      <c r="X3137" s="137"/>
      <c r="Y3137" s="137"/>
      <c r="Z3137" s="137"/>
      <c r="AA3137" s="137"/>
      <c r="AB3137" s="137"/>
      <c r="AC3137" s="137"/>
      <c r="AD3137" s="137"/>
    </row>
    <row r="3138" spans="1:30" ht="12" customHeight="1">
      <c r="A3138" s="174"/>
      <c r="B3138" s="174"/>
      <c r="C3138" s="174"/>
      <c r="D3138" s="174"/>
      <c r="E3138" s="174" t="s">
        <v>1193</v>
      </c>
      <c r="F3138" s="174"/>
      <c r="G3138" s="174"/>
      <c r="H3138" s="174"/>
      <c r="I3138" s="174" t="s">
        <v>2007</v>
      </c>
      <c r="J3138" s="174"/>
      <c r="U3138" s="137"/>
      <c r="V3138" s="137"/>
      <c r="W3138" s="137"/>
      <c r="X3138" s="137"/>
      <c r="Y3138" s="137"/>
      <c r="Z3138" s="137"/>
      <c r="AA3138" s="137"/>
      <c r="AB3138" s="137"/>
      <c r="AC3138" s="137"/>
      <c r="AD3138" s="137"/>
    </row>
    <row r="3139" spans="1:30">
      <c r="A3139" s="174"/>
      <c r="B3139" s="174"/>
      <c r="C3139" s="324" t="s">
        <v>2084</v>
      </c>
      <c r="D3139" s="137"/>
      <c r="E3139" s="325">
        <v>1</v>
      </c>
      <c r="F3139" s="174"/>
      <c r="G3139" s="174"/>
      <c r="H3139" s="174"/>
      <c r="I3139" s="286"/>
      <c r="J3139" s="158">
        <f t="shared" ref="J3139" si="216">ROUND(PRODUCT(E3139:I3139),2)</f>
        <v>1</v>
      </c>
      <c r="U3139" s="137"/>
      <c r="V3139" s="137"/>
      <c r="W3139" s="137"/>
      <c r="X3139" s="137"/>
      <c r="Y3139" s="137"/>
      <c r="Z3139" s="137"/>
      <c r="AA3139" s="137"/>
      <c r="AB3139" s="137"/>
      <c r="AC3139" s="137"/>
      <c r="AD3139" s="137"/>
    </row>
    <row r="3140" spans="1:30" ht="12" customHeight="1">
      <c r="A3140" s="219"/>
      <c r="B3140" s="323"/>
      <c r="C3140" s="323"/>
      <c r="D3140" s="323"/>
      <c r="E3140" s="323"/>
      <c r="F3140" s="323"/>
      <c r="G3140" s="323"/>
      <c r="H3140" s="323"/>
      <c r="I3140" s="323"/>
      <c r="J3140" s="197"/>
      <c r="U3140" s="137"/>
      <c r="V3140" s="137"/>
      <c r="W3140" s="137"/>
      <c r="X3140" s="137"/>
      <c r="Y3140" s="137"/>
      <c r="Z3140" s="137"/>
      <c r="AA3140" s="137"/>
      <c r="AB3140" s="137"/>
      <c r="AC3140" s="137"/>
      <c r="AD3140" s="137"/>
    </row>
    <row r="3141" spans="1:30" ht="12" customHeight="1">
      <c r="A3141" s="132" t="str">
        <f>'[3]Planilha Orçamentária'!A819</f>
        <v>1.13.9.7</v>
      </c>
      <c r="B3141" s="108" t="str">
        <f>VLOOKUP(A3141,'[3]Planilha Orçamentária'!A:K,2,0)</f>
        <v>M0808</v>
      </c>
      <c r="C3141" s="104" t="str">
        <f>VLOOKUP(A3141,'[3]Planilha Orçamentária'!A:K,3,0)</f>
        <v>Brita 4</v>
      </c>
      <c r="D3141" s="105" t="str">
        <f>VLOOKUP(A3141,'[3]Planilha Orçamentária'!A:K,4,0)</f>
        <v>M3</v>
      </c>
      <c r="E3141" s="104"/>
      <c r="F3141" s="111"/>
      <c r="G3141" s="111"/>
      <c r="H3141" s="111"/>
      <c r="I3141" s="111"/>
      <c r="J3141" s="122">
        <f>ROUND(SUM(J3143:J3143),2)</f>
        <v>2768.59</v>
      </c>
      <c r="U3141" s="137"/>
      <c r="V3141" s="137"/>
      <c r="W3141" s="137"/>
      <c r="X3141" s="137"/>
      <c r="Y3141" s="137"/>
      <c r="Z3141" s="137"/>
      <c r="AA3141" s="137"/>
      <c r="AB3141" s="137"/>
      <c r="AC3141" s="137"/>
      <c r="AD3141" s="137"/>
    </row>
    <row r="3142" spans="1:30" ht="12" customHeight="1">
      <c r="A3142" s="132"/>
      <c r="B3142" s="108"/>
      <c r="C3142" s="326"/>
      <c r="D3142" s="137"/>
      <c r="E3142" s="137" t="s">
        <v>2085</v>
      </c>
      <c r="F3142" s="174"/>
      <c r="G3142" s="174"/>
      <c r="H3142" s="174"/>
      <c r="I3142" s="174" t="s">
        <v>2007</v>
      </c>
      <c r="J3142" s="122"/>
      <c r="U3142" s="137"/>
      <c r="V3142" s="137"/>
      <c r="W3142" s="137"/>
      <c r="X3142" s="137"/>
      <c r="Y3142" s="137"/>
      <c r="Z3142" s="137"/>
      <c r="AA3142" s="137"/>
      <c r="AB3142" s="137"/>
      <c r="AC3142" s="137"/>
      <c r="AD3142" s="137"/>
    </row>
    <row r="3143" spans="1:30" ht="12" customHeight="1">
      <c r="A3143" s="132"/>
      <c r="B3143" s="108"/>
      <c r="C3143" s="200" t="s">
        <v>2086</v>
      </c>
      <c r="D3143" s="137"/>
      <c r="E3143" s="327">
        <v>1.26</v>
      </c>
      <c r="F3143" s="174"/>
      <c r="G3143" s="174"/>
      <c r="H3143" s="174"/>
      <c r="I3143" s="286">
        <f>J2935</f>
        <v>2197.29</v>
      </c>
      <c r="J3143" s="158">
        <f t="shared" ref="J3143" si="217">ROUND(PRODUCT(E3143:I3143),2)</f>
        <v>2768.59</v>
      </c>
      <c r="U3143" s="137"/>
      <c r="V3143" s="137"/>
      <c r="W3143" s="137"/>
      <c r="X3143" s="137"/>
      <c r="Y3143" s="137"/>
      <c r="Z3143" s="137"/>
      <c r="AA3143" s="137"/>
      <c r="AB3143" s="137"/>
      <c r="AC3143" s="137"/>
      <c r="AD3143" s="137"/>
    </row>
    <row r="3144" spans="1:30" ht="12" customHeight="1">
      <c r="A3144" s="219"/>
      <c r="B3144" s="323"/>
      <c r="C3144" s="323"/>
      <c r="D3144" s="323"/>
      <c r="E3144" s="323"/>
      <c r="F3144" s="323"/>
      <c r="G3144" s="323"/>
      <c r="H3144" s="323"/>
      <c r="I3144" s="323"/>
      <c r="J3144" s="197"/>
      <c r="U3144" s="137"/>
      <c r="V3144" s="137"/>
      <c r="W3144" s="137"/>
      <c r="X3144" s="137"/>
      <c r="Y3144" s="137"/>
      <c r="Z3144" s="137"/>
      <c r="AA3144" s="137"/>
      <c r="AB3144" s="137"/>
      <c r="AC3144" s="137"/>
      <c r="AD3144" s="137"/>
    </row>
    <row r="3145" spans="1:30" ht="12" customHeight="1">
      <c r="A3145" s="132" t="str">
        <f>'[3]Planilha Orçamentária'!A820</f>
        <v>1.13.9.8</v>
      </c>
      <c r="B3145" s="108" t="str">
        <f>VLOOKUP(A3145,'[3]Planilha Orçamentária'!A:K,2,0)</f>
        <v>M1135</v>
      </c>
      <c r="C3145" s="104" t="str">
        <f>VLOOKUP(A3145,'[3]Planilha Orçamentária'!A:K,3,0)</f>
        <v>Pó de pedra</v>
      </c>
      <c r="D3145" s="105" t="str">
        <f>VLOOKUP(A3145,'[3]Planilha Orçamentária'!A:K,4,0)</f>
        <v>M3</v>
      </c>
      <c r="E3145" s="104"/>
      <c r="F3145" s="111"/>
      <c r="G3145" s="111"/>
      <c r="H3145" s="111"/>
      <c r="I3145" s="111"/>
      <c r="J3145" s="122">
        <f>ROUND(SUM(J3147:J3147),2)</f>
        <v>307.62</v>
      </c>
      <c r="U3145" s="137"/>
      <c r="V3145" s="137"/>
      <c r="W3145" s="137"/>
      <c r="X3145" s="137"/>
      <c r="Y3145" s="137"/>
      <c r="Z3145" s="137"/>
      <c r="AA3145" s="137"/>
      <c r="AB3145" s="137"/>
      <c r="AC3145" s="137"/>
      <c r="AD3145" s="137"/>
    </row>
    <row r="3146" spans="1:30" ht="12" customHeight="1">
      <c r="A3146" s="132"/>
      <c r="B3146" s="108"/>
      <c r="C3146" s="326"/>
      <c r="D3146" s="137"/>
      <c r="E3146" s="137" t="s">
        <v>2085</v>
      </c>
      <c r="F3146" s="174"/>
      <c r="G3146" s="174"/>
      <c r="H3146" s="174"/>
      <c r="I3146" s="174" t="s">
        <v>2007</v>
      </c>
      <c r="J3146" s="122"/>
      <c r="U3146" s="137"/>
      <c r="V3146" s="137"/>
      <c r="W3146" s="137"/>
      <c r="X3146" s="137"/>
      <c r="Y3146" s="137"/>
      <c r="Z3146" s="137"/>
      <c r="AA3146" s="137"/>
      <c r="AB3146" s="137"/>
      <c r="AC3146" s="137"/>
      <c r="AD3146" s="137"/>
    </row>
    <row r="3147" spans="1:30" ht="12" customHeight="1">
      <c r="A3147" s="132"/>
      <c r="B3147" s="108"/>
      <c r="C3147" s="200" t="s">
        <v>2086</v>
      </c>
      <c r="D3147" s="137"/>
      <c r="E3147" s="137">
        <v>0.14000000000000001</v>
      </c>
      <c r="F3147" s="174"/>
      <c r="G3147" s="174"/>
      <c r="H3147" s="174"/>
      <c r="I3147" s="286">
        <f>I3143</f>
        <v>2197.29</v>
      </c>
      <c r="J3147" s="158">
        <f t="shared" ref="J3147" si="218">ROUND(PRODUCT(E3147:I3147),2)</f>
        <v>307.62</v>
      </c>
      <c r="U3147" s="137"/>
      <c r="V3147" s="137"/>
      <c r="W3147" s="137"/>
      <c r="X3147" s="137"/>
      <c r="Y3147" s="137"/>
      <c r="Z3147" s="137"/>
      <c r="AA3147" s="137"/>
      <c r="AB3147" s="137"/>
      <c r="AC3147" s="137"/>
      <c r="AD3147" s="137"/>
    </row>
    <row r="3148" spans="1:30" ht="12" customHeight="1">
      <c r="A3148" s="219"/>
      <c r="B3148" s="323"/>
      <c r="C3148" s="323"/>
      <c r="D3148" s="323"/>
      <c r="E3148" s="323"/>
      <c r="F3148" s="323"/>
      <c r="G3148" s="323"/>
      <c r="H3148" s="323"/>
      <c r="I3148" s="323"/>
      <c r="J3148" s="197"/>
      <c r="U3148" s="137"/>
      <c r="V3148" s="137"/>
      <c r="W3148" s="137"/>
      <c r="X3148" s="137"/>
      <c r="Y3148" s="137"/>
      <c r="Z3148" s="137"/>
      <c r="AA3148" s="137"/>
      <c r="AB3148" s="137"/>
      <c r="AC3148" s="137"/>
      <c r="AD3148" s="137"/>
    </row>
    <row r="3149" spans="1:30" ht="12" customHeight="1">
      <c r="A3149" s="132" t="str">
        <f>'[3]Planilha Orçamentária'!A821</f>
        <v>1.13.9.9</v>
      </c>
      <c r="B3149" s="108" t="str">
        <f>VLOOKUP(A3149,'[3]Planilha Orçamentária'!A:K,2,0)</f>
        <v>INS-711371</v>
      </c>
      <c r="C3149" s="104" t="str">
        <f>VLOOKUP(A3149,'[3]Planilha Orçamentária'!A:K,3,0)</f>
        <v>ASFALTO DILUÍDO CM - 30</v>
      </c>
      <c r="D3149" s="105" t="str">
        <f>VLOOKUP(A3149,'[3]Planilha Orçamentária'!A:K,4,0)</f>
        <v>KG</v>
      </c>
      <c r="E3149" s="104"/>
      <c r="F3149" s="111"/>
      <c r="G3149" s="111"/>
      <c r="H3149" s="111"/>
      <c r="I3149" s="111"/>
      <c r="J3149" s="122">
        <f>ROUND(SUM(J3151:J3151),2)</f>
        <v>10233.549999999999</v>
      </c>
      <c r="U3149" s="137"/>
      <c r="V3149" s="137"/>
      <c r="W3149" s="137"/>
      <c r="X3149" s="137"/>
      <c r="Y3149" s="137"/>
      <c r="Z3149" s="137"/>
      <c r="AA3149" s="137"/>
      <c r="AB3149" s="137"/>
      <c r="AC3149" s="137"/>
      <c r="AD3149" s="137"/>
    </row>
    <row r="3150" spans="1:30" ht="12" customHeight="1">
      <c r="A3150" s="132"/>
      <c r="B3150" s="108"/>
      <c r="C3150" s="361"/>
      <c r="D3150" s="180"/>
      <c r="E3150" s="174" t="s">
        <v>2085</v>
      </c>
      <c r="F3150" s="161"/>
      <c r="G3150" s="161"/>
      <c r="H3150" s="161"/>
      <c r="I3150" s="210" t="s">
        <v>2003</v>
      </c>
      <c r="J3150" s="122"/>
      <c r="U3150" s="137"/>
      <c r="V3150" s="137"/>
      <c r="W3150" s="137"/>
      <c r="X3150" s="137"/>
      <c r="Y3150" s="137"/>
      <c r="Z3150" s="137"/>
      <c r="AA3150" s="137"/>
      <c r="AB3150" s="137"/>
      <c r="AC3150" s="137"/>
      <c r="AD3150" s="137"/>
    </row>
    <row r="3151" spans="1:30" ht="12" customHeight="1">
      <c r="A3151" s="132"/>
      <c r="B3151" s="108"/>
      <c r="C3151" s="324" t="s">
        <v>2087</v>
      </c>
      <c r="D3151" s="137"/>
      <c r="E3151" s="325">
        <v>1.2</v>
      </c>
      <c r="F3151" s="127"/>
      <c r="G3151" s="161"/>
      <c r="H3151" s="161"/>
      <c r="I3151" s="212">
        <f>J2908</f>
        <v>8527.9599999999991</v>
      </c>
      <c r="J3151" s="158">
        <f t="shared" ref="J3151" si="219">ROUND(PRODUCT(E3151:I3151),2)</f>
        <v>10233.549999999999</v>
      </c>
      <c r="U3151" s="137"/>
      <c r="V3151" s="137"/>
      <c r="W3151" s="137"/>
      <c r="X3151" s="137"/>
      <c r="Y3151" s="137"/>
      <c r="Z3151" s="137"/>
      <c r="AA3151" s="137"/>
      <c r="AB3151" s="137"/>
      <c r="AC3151" s="137"/>
      <c r="AD3151" s="137"/>
    </row>
    <row r="3152" spans="1:30" ht="12" customHeight="1">
      <c r="A3152" s="219"/>
      <c r="B3152" s="323"/>
      <c r="C3152" s="323"/>
      <c r="D3152" s="323"/>
      <c r="E3152" s="323"/>
      <c r="F3152" s="323"/>
      <c r="G3152" s="323"/>
      <c r="H3152" s="323"/>
      <c r="I3152" s="323"/>
      <c r="J3152" s="197"/>
      <c r="U3152" s="137"/>
      <c r="V3152" s="137"/>
      <c r="W3152" s="137"/>
      <c r="X3152" s="137"/>
      <c r="Y3152" s="137"/>
      <c r="Z3152" s="137"/>
      <c r="AA3152" s="137"/>
      <c r="AB3152" s="137"/>
      <c r="AC3152" s="137"/>
      <c r="AD3152" s="137"/>
    </row>
    <row r="3153" spans="1:30" ht="38.25">
      <c r="A3153" s="132" t="str">
        <f>'[3]Planilha Orçamentária'!A822</f>
        <v>1.13.9.10</v>
      </c>
      <c r="B3153" s="108">
        <f>VLOOKUP(A3153,'[3]Planilha Orçamentária'!A:K,2,0)</f>
        <v>34492</v>
      </c>
      <c r="C3153" s="104" t="str">
        <f>VLOOKUP(A3153,'[3]Planilha Orçamentária'!A:K,3,0)</f>
        <v xml:space="preserve">CONCRETO USINADO BOMBEAVEL, CLASSE DE RESISTENCIA C20, COM BRITA 0 E 1, SLUMP = 100 +/- 20 MM, EXCLUI SERVICO DE BOMBEAMENTO (NBR 8953)                                                                                                                                                                                                                                                                                                                                                                   </v>
      </c>
      <c r="D3153" s="105" t="str">
        <f>VLOOKUP(A3153,'[3]Planilha Orçamentária'!A:K,4,0)</f>
        <v xml:space="preserve">M3    </v>
      </c>
      <c r="E3153" s="104"/>
      <c r="F3153" s="111"/>
      <c r="G3153" s="111"/>
      <c r="H3153" s="111"/>
      <c r="I3153" s="111"/>
      <c r="J3153" s="122">
        <f>ROUND(SUM(J3155:J3155),2)</f>
        <v>384.02</v>
      </c>
      <c r="U3153" s="137"/>
      <c r="V3153" s="137"/>
      <c r="W3153" s="137"/>
      <c r="X3153" s="137"/>
      <c r="Y3153" s="137"/>
      <c r="Z3153" s="137"/>
      <c r="AA3153" s="137"/>
      <c r="AB3153" s="137"/>
      <c r="AC3153" s="137"/>
      <c r="AD3153" s="137"/>
    </row>
    <row r="3154" spans="1:30" ht="12" customHeight="1">
      <c r="A3154" s="132"/>
      <c r="B3154" s="108"/>
      <c r="C3154" s="159"/>
      <c r="D3154" s="174"/>
      <c r="E3154" s="137" t="s">
        <v>2085</v>
      </c>
      <c r="F3154" s="174"/>
      <c r="G3154" s="174"/>
      <c r="H3154" s="174"/>
      <c r="I3154" s="174" t="s">
        <v>2007</v>
      </c>
      <c r="J3154" s="122"/>
      <c r="U3154" s="137"/>
      <c r="V3154" s="137"/>
      <c r="W3154" s="137"/>
      <c r="X3154" s="137"/>
      <c r="Y3154" s="137"/>
      <c r="Z3154" s="137"/>
      <c r="AA3154" s="137"/>
      <c r="AB3154" s="137"/>
      <c r="AC3154" s="137"/>
      <c r="AD3154" s="137"/>
    </row>
    <row r="3155" spans="1:30" ht="12" customHeight="1">
      <c r="A3155" s="132"/>
      <c r="B3155" s="108"/>
      <c r="C3155" s="324" t="s">
        <v>2088</v>
      </c>
      <c r="D3155" s="137"/>
      <c r="E3155" s="325">
        <v>1.2130000000000001</v>
      </c>
      <c r="F3155" s="174"/>
      <c r="G3155" s="174"/>
      <c r="H3155" s="174"/>
      <c r="I3155" s="286">
        <f>J2955</f>
        <v>316.58999999999997</v>
      </c>
      <c r="J3155" s="158">
        <f t="shared" ref="J3155" si="220">ROUND(PRODUCT(E3155:I3155),2)</f>
        <v>384.02</v>
      </c>
      <c r="U3155" s="137"/>
      <c r="V3155" s="137"/>
      <c r="W3155" s="137"/>
      <c r="X3155" s="137"/>
      <c r="Y3155" s="137"/>
      <c r="Z3155" s="137"/>
      <c r="AA3155" s="137"/>
      <c r="AB3155" s="137"/>
      <c r="AC3155" s="137"/>
      <c r="AD3155" s="137"/>
    </row>
    <row r="3156" spans="1:30" ht="12" customHeight="1">
      <c r="A3156" s="219"/>
      <c r="B3156" s="323"/>
      <c r="C3156" s="323"/>
      <c r="D3156" s="323"/>
      <c r="E3156" s="323"/>
      <c r="F3156" s="323"/>
      <c r="G3156" s="323"/>
      <c r="H3156" s="323"/>
      <c r="I3156" s="323"/>
      <c r="J3156" s="197"/>
      <c r="U3156" s="137"/>
      <c r="V3156" s="137"/>
      <c r="W3156" s="137"/>
      <c r="X3156" s="137"/>
      <c r="Y3156" s="137"/>
      <c r="Z3156" s="137"/>
      <c r="AA3156" s="137"/>
      <c r="AB3156" s="137"/>
      <c r="AC3156" s="137"/>
      <c r="AD3156" s="137"/>
    </row>
    <row r="3157" spans="1:30" ht="38.25">
      <c r="A3157" s="132" t="str">
        <f>'[3]Planilha Orçamentária'!A823</f>
        <v>1.13.9.11</v>
      </c>
      <c r="B3157" s="108">
        <f>VLOOKUP(A3157,'[3]Planilha Orçamentária'!A:K,2,0)</f>
        <v>1345</v>
      </c>
      <c r="C3157" s="104" t="str">
        <f>VLOOKUP(A3157,'[3]Planilha Orçamentária'!A:K,3,0)</f>
        <v xml:space="preserve">CHAPA/PAINEL DE MADEIRA COMPENSADA PLASTIFICADA (MADEIRITE PLASTIFICADO) PARA FORMA DE CONCRETO, DE 2200 x 1100 MM, E = *17* MM                                                                                                                                                                                                                                                                                                                                                                           </v>
      </c>
      <c r="D3157" s="105" t="str">
        <f>VLOOKUP(A3157,'[3]Planilha Orçamentária'!A:K,4,0)</f>
        <v xml:space="preserve">M2    </v>
      </c>
      <c r="E3157" s="104"/>
      <c r="F3157" s="111"/>
      <c r="G3157" s="111"/>
      <c r="H3157" s="111"/>
      <c r="I3157" s="111"/>
      <c r="J3157" s="122">
        <f>ROUND(SUM(J3159:J3159),2)</f>
        <v>350.28</v>
      </c>
      <c r="U3157" s="137"/>
      <c r="V3157" s="137"/>
      <c r="W3157" s="137"/>
      <c r="X3157" s="137"/>
      <c r="Y3157" s="137"/>
      <c r="Z3157" s="137"/>
      <c r="AA3157" s="137"/>
      <c r="AB3157" s="137"/>
      <c r="AC3157" s="137"/>
      <c r="AD3157" s="137"/>
    </row>
    <row r="3158" spans="1:30" ht="12" customHeight="1">
      <c r="A3158" s="132"/>
      <c r="B3158" s="108"/>
      <c r="C3158" s="159"/>
      <c r="D3158" s="174"/>
      <c r="E3158" s="137" t="s">
        <v>2085</v>
      </c>
      <c r="F3158" s="174"/>
      <c r="G3158" s="174"/>
      <c r="H3158" s="174"/>
      <c r="I3158" s="174" t="s">
        <v>2003</v>
      </c>
      <c r="J3158" s="122"/>
      <c r="U3158" s="137"/>
      <c r="V3158" s="137"/>
      <c r="W3158" s="137"/>
      <c r="X3158" s="137"/>
      <c r="Y3158" s="137"/>
      <c r="Z3158" s="137"/>
      <c r="AA3158" s="137"/>
      <c r="AB3158" s="137"/>
      <c r="AC3158" s="137"/>
      <c r="AD3158" s="137"/>
    </row>
    <row r="3159" spans="1:30" ht="12" customHeight="1">
      <c r="A3159" s="132"/>
      <c r="B3159" s="108"/>
      <c r="C3159" s="324" t="s">
        <v>2089</v>
      </c>
      <c r="D3159" s="137"/>
      <c r="E3159" s="325">
        <v>1.05</v>
      </c>
      <c r="F3159" s="174"/>
      <c r="G3159" s="174"/>
      <c r="H3159" s="174"/>
      <c r="I3159" s="286">
        <f>J3054</f>
        <v>333.6</v>
      </c>
      <c r="J3159" s="158">
        <f t="shared" ref="J3159" si="221">ROUND(PRODUCT(E3159:I3159),2)</f>
        <v>350.28</v>
      </c>
      <c r="U3159" s="137"/>
      <c r="V3159" s="137"/>
      <c r="W3159" s="137"/>
      <c r="X3159" s="137"/>
      <c r="Y3159" s="137"/>
      <c r="Z3159" s="137"/>
      <c r="AA3159" s="137"/>
      <c r="AB3159" s="137"/>
      <c r="AC3159" s="137"/>
      <c r="AD3159" s="137"/>
    </row>
    <row r="3160" spans="1:30" ht="12" customHeight="1">
      <c r="A3160" s="219"/>
      <c r="B3160" s="323"/>
      <c r="C3160" s="323"/>
      <c r="D3160" s="323"/>
      <c r="E3160" s="323"/>
      <c r="F3160" s="323"/>
      <c r="G3160" s="323"/>
      <c r="H3160" s="323"/>
      <c r="I3160" s="323"/>
      <c r="J3160" s="197"/>
      <c r="U3160" s="137"/>
      <c r="V3160" s="137"/>
      <c r="W3160" s="137"/>
      <c r="X3160" s="137"/>
      <c r="Y3160" s="137"/>
      <c r="Z3160" s="137"/>
      <c r="AA3160" s="137"/>
      <c r="AB3160" s="137"/>
      <c r="AC3160" s="137"/>
      <c r="AD3160" s="137"/>
    </row>
    <row r="3161" spans="1:30" ht="12" customHeight="1">
      <c r="A3161" s="93" t="str">
        <f>'[3]Planilha Orçamentária'!A824</f>
        <v>1.14</v>
      </c>
      <c r="B3161" s="526" t="str">
        <f>VLOOKUP(A3161,'[3]Planilha Orçamentária'!A:K,3,0)</f>
        <v>RUA JOSÉ NUNES DA CUNHA - CANDEIAS</v>
      </c>
      <c r="C3161" s="527"/>
      <c r="D3161" s="527"/>
      <c r="E3161" s="527"/>
      <c r="F3161" s="527"/>
      <c r="G3161" s="527"/>
      <c r="H3161" s="527"/>
      <c r="I3161" s="527"/>
      <c r="J3161" s="527"/>
      <c r="U3161" s="137"/>
      <c r="V3161" s="137"/>
      <c r="W3161" s="137"/>
      <c r="X3161" s="137"/>
      <c r="Y3161" s="137"/>
      <c r="Z3161" s="137"/>
      <c r="AA3161" s="137"/>
      <c r="AB3161" s="137"/>
      <c r="AC3161" s="137"/>
      <c r="AD3161" s="137"/>
    </row>
    <row r="3162" spans="1:30" ht="12" customHeight="1">
      <c r="A3162" s="94" t="str">
        <f>'[3]Planilha Orçamentária'!A825</f>
        <v>1.14.1</v>
      </c>
      <c r="B3162" s="95"/>
      <c r="C3162" s="96" t="str">
        <f>VLOOKUP(A3162,'[3]Planilha Orçamentária'!A:K,3,0)</f>
        <v>INSTALAÇÕES PROVISÓRIAS</v>
      </c>
      <c r="D3162" s="97"/>
      <c r="E3162" s="98"/>
      <c r="F3162" s="99"/>
      <c r="G3162" s="99"/>
      <c r="H3162" s="99"/>
      <c r="I3162" s="100"/>
      <c r="J3162" s="101"/>
      <c r="U3162" s="137"/>
      <c r="V3162" s="137"/>
      <c r="W3162" s="137"/>
      <c r="X3162" s="137"/>
      <c r="Y3162" s="137"/>
      <c r="Z3162" s="137"/>
      <c r="AA3162" s="137"/>
      <c r="AB3162" s="137"/>
      <c r="AC3162" s="137"/>
      <c r="AD3162" s="137"/>
    </row>
    <row r="3163" spans="1:30" ht="25.5">
      <c r="A3163" s="102" t="str">
        <f>'[3]Planilha Orçamentária'!A826</f>
        <v>1.14.1.1</v>
      </c>
      <c r="B3163" s="103" t="str">
        <f>VLOOKUP(A3163,'[3]Planilha Orçamentária'!A:K,2,0)</f>
        <v>CP-74209/001-15055090</v>
      </c>
      <c r="C3163" s="104" t="str">
        <f>VLOOKUP(A3163,'[3]Planilha Orçamentária'!A:K,3,0)</f>
        <v>PLACA DE OBRA EM CHAPA DE ACO GALVANIZADO</v>
      </c>
      <c r="D3163" s="105" t="str">
        <f>VLOOKUP(A3163,'[3]Planilha Orçamentária'!A:K,4,0)</f>
        <v xml:space="preserve">M2    </v>
      </c>
      <c r="E3163" s="104"/>
      <c r="F3163" s="106" t="s">
        <v>1989</v>
      </c>
      <c r="G3163" s="106" t="s">
        <v>1990</v>
      </c>
      <c r="H3163" s="106"/>
      <c r="I3163" s="106" t="s">
        <v>1991</v>
      </c>
      <c r="J3163" s="107">
        <f>ROUND(SUM(J3165:J3165),2)</f>
        <v>8</v>
      </c>
      <c r="U3163" s="137"/>
      <c r="V3163" s="137"/>
      <c r="W3163" s="137"/>
      <c r="X3163" s="137"/>
      <c r="Y3163" s="137"/>
      <c r="Z3163" s="137"/>
      <c r="AA3163" s="137"/>
      <c r="AB3163" s="137"/>
      <c r="AC3163" s="137"/>
      <c r="AD3163" s="137"/>
    </row>
    <row r="3164" spans="1:30" ht="12" customHeight="1">
      <c r="A3164" s="102"/>
      <c r="B3164" s="103"/>
      <c r="C3164" s="110"/>
      <c r="D3164" s="109"/>
      <c r="E3164" s="110"/>
      <c r="F3164" s="111"/>
      <c r="G3164" s="111"/>
      <c r="H3164" s="111"/>
      <c r="I3164" s="111"/>
      <c r="J3164" s="107"/>
      <c r="U3164" s="137"/>
      <c r="V3164" s="137"/>
      <c r="W3164" s="137"/>
      <c r="X3164" s="137"/>
      <c r="Y3164" s="137"/>
      <c r="Z3164" s="137"/>
      <c r="AA3164" s="137"/>
      <c r="AB3164" s="137"/>
      <c r="AC3164" s="137"/>
      <c r="AD3164" s="137"/>
    </row>
    <row r="3165" spans="1:30" ht="12" customHeight="1">
      <c r="A3165" s="102"/>
      <c r="B3165" s="123"/>
      <c r="C3165" s="328"/>
      <c r="D3165" s="114"/>
      <c r="E3165" s="115"/>
      <c r="F3165" s="116">
        <v>2</v>
      </c>
      <c r="G3165" s="116">
        <v>4</v>
      </c>
      <c r="H3165" s="117"/>
      <c r="I3165" s="116">
        <v>1</v>
      </c>
      <c r="J3165" s="118">
        <f>ROUND(PRODUCT(E3165:I3165),2)</f>
        <v>8</v>
      </c>
      <c r="U3165" s="137"/>
      <c r="V3165" s="137"/>
      <c r="W3165" s="137"/>
      <c r="X3165" s="137"/>
      <c r="Y3165" s="137"/>
      <c r="Z3165" s="137"/>
      <c r="AA3165" s="137"/>
      <c r="AB3165" s="137"/>
      <c r="AC3165" s="137"/>
      <c r="AD3165" s="137"/>
    </row>
    <row r="3166" spans="1:30" ht="12" customHeight="1">
      <c r="A3166" s="553"/>
      <c r="B3166" s="554"/>
      <c r="C3166" s="554"/>
      <c r="D3166" s="554"/>
      <c r="E3166" s="554"/>
      <c r="F3166" s="554"/>
      <c r="G3166" s="554"/>
      <c r="H3166" s="554"/>
      <c r="I3166" s="554"/>
      <c r="J3166" s="555"/>
      <c r="U3166" s="137"/>
      <c r="V3166" s="137"/>
      <c r="W3166" s="137"/>
      <c r="X3166" s="137"/>
      <c r="Y3166" s="137"/>
      <c r="Z3166" s="137"/>
      <c r="AA3166" s="137"/>
      <c r="AB3166" s="137"/>
      <c r="AC3166" s="137"/>
      <c r="AD3166" s="137"/>
    </row>
    <row r="3167" spans="1:30" ht="25.5">
      <c r="A3167" s="102" t="str">
        <f>'[3]Planilha Orçamentária'!A827</f>
        <v>1.14.1.2</v>
      </c>
      <c r="B3167" s="108" t="str">
        <f>VLOOKUP(A3167,'[3]Planilha Orçamentária'!A:K,2,0)</f>
        <v>COMP-07440249</v>
      </c>
      <c r="C3167" s="104" t="str">
        <f>VLOOKUP(A3167,'[3]Planilha Orçamentária'!A:K,3,0)</f>
        <v>BANHEIRO QUÍMICO, COM LOCAÇÃO, TRANSPORTE E LIMPEZA</v>
      </c>
      <c r="D3167" s="105" t="str">
        <f>VLOOKUP(A3167,'[3]Planilha Orçamentária'!A:K,4,0)</f>
        <v>MÊS</v>
      </c>
      <c r="E3167" s="104"/>
      <c r="F3167" s="111"/>
      <c r="G3167" s="111"/>
      <c r="H3167" s="111"/>
      <c r="I3167" s="111"/>
      <c r="J3167" s="122">
        <f>ROUND(SUM(J3169:J3169),2)</f>
        <v>3</v>
      </c>
      <c r="U3167" s="137"/>
      <c r="V3167" s="137"/>
      <c r="W3167" s="137"/>
      <c r="X3167" s="137"/>
      <c r="Y3167" s="137"/>
      <c r="Z3167" s="137"/>
      <c r="AA3167" s="137"/>
      <c r="AB3167" s="137"/>
      <c r="AC3167" s="137"/>
      <c r="AD3167" s="137"/>
    </row>
    <row r="3168" spans="1:30" ht="12" customHeight="1">
      <c r="A3168" s="102"/>
      <c r="B3168" s="108"/>
      <c r="C3168" s="104"/>
      <c r="D3168" s="105"/>
      <c r="E3168" s="104"/>
      <c r="F3168" s="111"/>
      <c r="G3168" s="111"/>
      <c r="H3168" s="111"/>
      <c r="I3168" s="106" t="s">
        <v>1992</v>
      </c>
      <c r="J3168" s="122"/>
      <c r="U3168" s="137"/>
      <c r="V3168" s="137"/>
      <c r="W3168" s="137"/>
      <c r="X3168" s="137"/>
      <c r="Y3168" s="137"/>
      <c r="Z3168" s="137"/>
      <c r="AA3168" s="137"/>
      <c r="AB3168" s="137"/>
      <c r="AC3168" s="137"/>
      <c r="AD3168" s="137"/>
    </row>
    <row r="3169" spans="1:30" ht="12" customHeight="1">
      <c r="A3169" s="102"/>
      <c r="B3169" s="123"/>
      <c r="C3169" s="124"/>
      <c r="D3169" s="125"/>
      <c r="E3169" s="126"/>
      <c r="F3169" s="126"/>
      <c r="G3169" s="117"/>
      <c r="H3169" s="117"/>
      <c r="I3169" s="127">
        <v>3</v>
      </c>
      <c r="J3169" s="128">
        <f>ROUND(PRODUCT(E3169:I3169),2)</f>
        <v>3</v>
      </c>
      <c r="U3169" s="137"/>
      <c r="V3169" s="137"/>
      <c r="W3169" s="137"/>
      <c r="X3169" s="137"/>
      <c r="Y3169" s="137"/>
      <c r="Z3169" s="137"/>
      <c r="AA3169" s="137"/>
      <c r="AB3169" s="137"/>
      <c r="AC3169" s="137"/>
      <c r="AD3169" s="137"/>
    </row>
    <row r="3170" spans="1:30" ht="12" customHeight="1">
      <c r="A3170" s="102"/>
      <c r="B3170" s="123"/>
      <c r="C3170" s="124"/>
      <c r="D3170" s="125"/>
      <c r="E3170" s="126"/>
      <c r="F3170" s="126"/>
      <c r="G3170" s="117"/>
      <c r="H3170" s="117"/>
      <c r="I3170" s="127"/>
      <c r="J3170" s="128"/>
      <c r="U3170" s="137"/>
      <c r="V3170" s="137"/>
      <c r="W3170" s="137"/>
      <c r="X3170" s="137"/>
      <c r="Y3170" s="137"/>
      <c r="Z3170" s="137"/>
      <c r="AA3170" s="137"/>
      <c r="AB3170" s="137"/>
      <c r="AC3170" s="137"/>
      <c r="AD3170" s="137"/>
    </row>
    <row r="3171" spans="1:30" ht="12" customHeight="1">
      <c r="A3171" s="94" t="str">
        <f>'[3]Planilha Orçamentária'!A828</f>
        <v>1.14.2</v>
      </c>
      <c r="B3171" s="95"/>
      <c r="C3171" s="96" t="str">
        <f>VLOOKUP(A3171,'[3]Planilha Orçamentária'!A:K,3,0)</f>
        <v>ADMINISTRAÇÃO LOCAL</v>
      </c>
      <c r="D3171" s="96"/>
      <c r="E3171" s="129"/>
      <c r="F3171" s="130"/>
      <c r="G3171" s="130"/>
      <c r="H3171" s="130"/>
      <c r="I3171" s="130"/>
      <c r="J3171" s="131"/>
      <c r="U3171" s="137"/>
      <c r="V3171" s="137"/>
      <c r="W3171" s="137"/>
      <c r="X3171" s="137"/>
      <c r="Y3171" s="137"/>
      <c r="Z3171" s="137"/>
      <c r="AA3171" s="137"/>
      <c r="AB3171" s="137"/>
      <c r="AC3171" s="137"/>
      <c r="AD3171" s="137"/>
    </row>
    <row r="3172" spans="1:30" ht="25.5">
      <c r="A3172" s="132" t="str">
        <f>'[3]Planilha Orçamentária'!A829</f>
        <v>1.14.2.1</v>
      </c>
      <c r="B3172" s="103">
        <f>VLOOKUP(A3172,'[3]Planilha Orçamentária'!A:K,2,0)</f>
        <v>93565</v>
      </c>
      <c r="C3172" s="104" t="str">
        <f>VLOOKUP(A3172,'[3]Planilha Orçamentária'!A:K,3,0)</f>
        <v>ENGENHEIRO CIVIL DE OBRA JUNIOR COM ENCARGOS COMPLEMENTARES</v>
      </c>
      <c r="D3172" s="105" t="str">
        <f>VLOOKUP(A3172,'[3]Planilha Orçamentária'!A:K,4,0)</f>
        <v>MES</v>
      </c>
      <c r="E3172" s="133"/>
      <c r="F3172" s="134"/>
      <c r="G3172" s="134"/>
      <c r="H3172" s="134"/>
      <c r="I3172" s="134"/>
      <c r="J3172" s="107">
        <f>ROUND(SUM(J3174),2)</f>
        <v>0.75</v>
      </c>
      <c r="U3172" s="137"/>
      <c r="V3172" s="137"/>
      <c r="W3172" s="137"/>
      <c r="X3172" s="137"/>
      <c r="Y3172" s="137"/>
      <c r="Z3172" s="137"/>
      <c r="AA3172" s="137"/>
      <c r="AB3172" s="137"/>
      <c r="AC3172" s="137"/>
      <c r="AD3172" s="137"/>
    </row>
    <row r="3173" spans="1:30" ht="12" customHeight="1">
      <c r="A3173" s="132"/>
      <c r="B3173" s="103"/>
      <c r="C3173" s="135"/>
      <c r="D3173" s="105"/>
      <c r="E3173" s="133"/>
      <c r="F3173" s="136"/>
      <c r="G3173" s="136"/>
      <c r="H3173" s="136"/>
      <c r="I3173" s="136"/>
      <c r="J3173" s="107"/>
      <c r="U3173" s="137"/>
      <c r="V3173" s="137"/>
      <c r="W3173" s="137"/>
      <c r="X3173" s="137"/>
      <c r="Y3173" s="137"/>
      <c r="Z3173" s="137"/>
      <c r="AA3173" s="137"/>
      <c r="AB3173" s="137"/>
      <c r="AC3173" s="137"/>
      <c r="AD3173" s="137"/>
    </row>
    <row r="3174" spans="1:30" ht="15.75" customHeight="1">
      <c r="A3174" s="137"/>
      <c r="B3174" s="138"/>
      <c r="C3174" s="135" t="s">
        <v>2378</v>
      </c>
      <c r="D3174" s="139"/>
      <c r="E3174" s="136">
        <f>44/176</f>
        <v>0.25</v>
      </c>
      <c r="F3174" s="136"/>
      <c r="G3174" s="136"/>
      <c r="H3174" s="136"/>
      <c r="I3174" s="136">
        <f>I3169</f>
        <v>3</v>
      </c>
      <c r="J3174" s="118">
        <f>ROUND(PRODUCT(E3174:I3174),2)</f>
        <v>0.75</v>
      </c>
      <c r="U3174" s="137"/>
      <c r="V3174" s="137"/>
      <c r="W3174" s="137"/>
      <c r="X3174" s="137"/>
      <c r="Y3174" s="137"/>
      <c r="Z3174" s="137"/>
      <c r="AA3174" s="137"/>
      <c r="AB3174" s="137"/>
      <c r="AC3174" s="137"/>
      <c r="AD3174" s="137"/>
    </row>
    <row r="3175" spans="1:30" ht="15.75" customHeight="1">
      <c r="A3175" s="137"/>
      <c r="B3175" s="138"/>
      <c r="C3175" s="135" t="s">
        <v>2164</v>
      </c>
      <c r="D3175" s="139"/>
      <c r="E3175" s="136"/>
      <c r="F3175" s="136"/>
      <c r="G3175" s="136"/>
      <c r="H3175" s="136"/>
      <c r="I3175" s="136"/>
      <c r="J3175" s="140"/>
      <c r="U3175" s="137"/>
      <c r="V3175" s="137"/>
      <c r="W3175" s="137"/>
      <c r="X3175" s="137"/>
      <c r="Y3175" s="137"/>
      <c r="Z3175" s="137"/>
      <c r="AA3175" s="137"/>
      <c r="AB3175" s="137"/>
      <c r="AC3175" s="137"/>
      <c r="AD3175" s="137"/>
    </row>
    <row r="3176" spans="1:30" ht="15.75" customHeight="1">
      <c r="A3176" s="137"/>
      <c r="B3176" s="138"/>
      <c r="C3176" s="135" t="s">
        <v>1995</v>
      </c>
      <c r="D3176" s="141"/>
      <c r="E3176" s="142"/>
      <c r="F3176" s="127"/>
      <c r="G3176" s="117"/>
      <c r="H3176" s="117"/>
      <c r="I3176" s="143"/>
      <c r="J3176" s="144"/>
      <c r="U3176" s="137"/>
      <c r="V3176" s="137"/>
      <c r="W3176" s="137"/>
      <c r="X3176" s="137"/>
      <c r="Y3176" s="137"/>
      <c r="Z3176" s="137"/>
      <c r="AA3176" s="137"/>
      <c r="AB3176" s="137"/>
      <c r="AC3176" s="137"/>
      <c r="AD3176" s="137"/>
    </row>
    <row r="3177" spans="1:30" ht="12" customHeight="1">
      <c r="A3177" s="531"/>
      <c r="B3177" s="531"/>
      <c r="C3177" s="531"/>
      <c r="D3177" s="531"/>
      <c r="E3177" s="531"/>
      <c r="F3177" s="531"/>
      <c r="G3177" s="531"/>
      <c r="H3177" s="531"/>
      <c r="I3177" s="531"/>
      <c r="J3177" s="531"/>
      <c r="U3177" s="137"/>
      <c r="V3177" s="137"/>
      <c r="W3177" s="137"/>
      <c r="X3177" s="137"/>
      <c r="Y3177" s="137"/>
      <c r="Z3177" s="137"/>
      <c r="AA3177" s="137"/>
      <c r="AB3177" s="137"/>
      <c r="AC3177" s="137"/>
      <c r="AD3177" s="137"/>
    </row>
    <row r="3178" spans="1:30" ht="25.5">
      <c r="A3178" s="132" t="str">
        <f>'[3]Planilha Orçamentária'!A830</f>
        <v>1.24.2.2</v>
      </c>
      <c r="B3178" s="103">
        <f>VLOOKUP(A3178,'[3]Planilha Orçamentária'!A:K,2,0)</f>
        <v>93572</v>
      </c>
      <c r="C3178" s="104" t="str">
        <f>VLOOKUP(A3178,'[3]Planilha Orçamentária'!A:K,3,0)</f>
        <v>ENCARREGADO GERAL DE OBRAS COM ENCARGOS COMPLEMENTARES</v>
      </c>
      <c r="D3178" s="105" t="str">
        <f>VLOOKUP(A3178,'[3]Planilha Orçamentária'!A:K,4,0)</f>
        <v>MES</v>
      </c>
      <c r="E3178" s="133"/>
      <c r="F3178" s="134"/>
      <c r="G3178" s="134"/>
      <c r="H3178" s="134"/>
      <c r="I3178" s="134"/>
      <c r="J3178" s="107">
        <f>ROUND(SUM(J3180),2)</f>
        <v>1.5</v>
      </c>
      <c r="U3178" s="137"/>
      <c r="V3178" s="137"/>
      <c r="W3178" s="137"/>
      <c r="X3178" s="137"/>
      <c r="Y3178" s="137"/>
      <c r="Z3178" s="137"/>
      <c r="AA3178" s="137"/>
      <c r="AB3178" s="137"/>
      <c r="AC3178" s="137"/>
      <c r="AD3178" s="137"/>
    </row>
    <row r="3179" spans="1:30" ht="12" customHeight="1">
      <c r="A3179" s="132"/>
      <c r="B3179" s="103"/>
      <c r="C3179" s="135"/>
      <c r="D3179" s="105"/>
      <c r="E3179" s="133"/>
      <c r="F3179" s="136"/>
      <c r="G3179" s="136"/>
      <c r="H3179" s="136"/>
      <c r="I3179" s="136"/>
      <c r="J3179" s="107"/>
      <c r="U3179" s="137"/>
      <c r="V3179" s="137"/>
      <c r="W3179" s="137"/>
      <c r="X3179" s="137"/>
      <c r="Y3179" s="137"/>
      <c r="Z3179" s="137"/>
      <c r="AA3179" s="137"/>
      <c r="AB3179" s="137"/>
      <c r="AC3179" s="137"/>
      <c r="AD3179" s="137"/>
    </row>
    <row r="3180" spans="1:30" ht="18" customHeight="1">
      <c r="A3180" s="137"/>
      <c r="B3180" s="138"/>
      <c r="C3180" s="135" t="s">
        <v>2186</v>
      </c>
      <c r="D3180" s="139"/>
      <c r="E3180" s="136">
        <f>88/176</f>
        <v>0.5</v>
      </c>
      <c r="F3180" s="136"/>
      <c r="G3180" s="136"/>
      <c r="H3180" s="136"/>
      <c r="I3180" s="136">
        <f>I3169</f>
        <v>3</v>
      </c>
      <c r="J3180" s="118">
        <f>ROUND(PRODUCT(E3180:I3180),2)</f>
        <v>1.5</v>
      </c>
      <c r="U3180" s="137"/>
      <c r="V3180" s="137"/>
      <c r="W3180" s="137"/>
      <c r="X3180" s="137"/>
      <c r="Y3180" s="137"/>
      <c r="Z3180" s="137"/>
      <c r="AA3180" s="137"/>
      <c r="AB3180" s="137"/>
      <c r="AC3180" s="137"/>
      <c r="AD3180" s="137"/>
    </row>
    <row r="3181" spans="1:30" ht="18" customHeight="1">
      <c r="A3181" s="137"/>
      <c r="B3181" s="138"/>
      <c r="C3181" s="135" t="s">
        <v>1997</v>
      </c>
      <c r="D3181" s="139"/>
      <c r="E3181" s="136"/>
      <c r="F3181" s="136"/>
      <c r="G3181" s="136"/>
      <c r="H3181" s="136"/>
      <c r="I3181" s="136"/>
      <c r="J3181" s="140"/>
      <c r="U3181" s="137"/>
      <c r="V3181" s="137"/>
      <c r="W3181" s="137"/>
      <c r="X3181" s="137"/>
      <c r="Y3181" s="137"/>
      <c r="Z3181" s="137"/>
      <c r="AA3181" s="137"/>
      <c r="AB3181" s="137"/>
      <c r="AC3181" s="137"/>
      <c r="AD3181" s="137"/>
    </row>
    <row r="3182" spans="1:30" ht="18" customHeight="1">
      <c r="A3182" s="137"/>
      <c r="B3182" s="138"/>
      <c r="C3182" s="135" t="s">
        <v>1995</v>
      </c>
      <c r="D3182" s="141"/>
      <c r="E3182" s="142"/>
      <c r="F3182" s="127"/>
      <c r="G3182" s="117"/>
      <c r="H3182" s="117"/>
      <c r="I3182" s="143"/>
      <c r="J3182" s="144"/>
      <c r="U3182" s="137"/>
      <c r="V3182" s="137"/>
      <c r="W3182" s="137"/>
      <c r="X3182" s="137"/>
      <c r="Y3182" s="137"/>
      <c r="Z3182" s="137"/>
      <c r="AA3182" s="137"/>
      <c r="AB3182" s="137"/>
      <c r="AC3182" s="137"/>
      <c r="AD3182" s="137"/>
    </row>
    <row r="3183" spans="1:30" ht="12" customHeight="1">
      <c r="A3183" s="531"/>
      <c r="B3183" s="531"/>
      <c r="C3183" s="531"/>
      <c r="D3183" s="531"/>
      <c r="E3183" s="531"/>
      <c r="F3183" s="531"/>
      <c r="G3183" s="531"/>
      <c r="H3183" s="531"/>
      <c r="I3183" s="531"/>
      <c r="J3183" s="531"/>
      <c r="U3183" s="137"/>
      <c r="V3183" s="137"/>
      <c r="W3183" s="137"/>
      <c r="X3183" s="137"/>
      <c r="Y3183" s="137"/>
      <c r="Z3183" s="137"/>
      <c r="AA3183" s="137"/>
      <c r="AB3183" s="137"/>
      <c r="AC3183" s="137"/>
      <c r="AD3183" s="137"/>
    </row>
    <row r="3184" spans="1:30" ht="12" customHeight="1">
      <c r="A3184" s="94" t="str">
        <f>'[3]Planilha Orçamentária'!A831</f>
        <v>1.14.3</v>
      </c>
      <c r="B3184" s="95"/>
      <c r="C3184" s="96" t="str">
        <f>VLOOKUP(A3184,'[3]Planilha Orçamentária'!A:K,3,0)</f>
        <v>SERVIÇOS PRELIMINARES</v>
      </c>
      <c r="D3184" s="97"/>
      <c r="E3184" s="98"/>
      <c r="F3184" s="99"/>
      <c r="G3184" s="99"/>
      <c r="H3184" s="99"/>
      <c r="I3184" s="100"/>
      <c r="J3184" s="101"/>
      <c r="U3184" s="137"/>
      <c r="V3184" s="137"/>
      <c r="W3184" s="137"/>
      <c r="X3184" s="137"/>
      <c r="Y3184" s="137"/>
      <c r="Z3184" s="137"/>
      <c r="AA3184" s="137"/>
      <c r="AB3184" s="137"/>
      <c r="AC3184" s="137"/>
      <c r="AD3184" s="137"/>
    </row>
    <row r="3185" spans="1:30">
      <c r="A3185" s="145" t="str">
        <f>'[3]Planilha Orçamentária'!A832</f>
        <v>1.14.3.1</v>
      </c>
      <c r="B3185" s="146">
        <f>VLOOKUP(A3185,'[3]Planilha Orçamentária'!A:K,2,0)</f>
        <v>99064</v>
      </c>
      <c r="C3185" s="147" t="str">
        <f>VLOOKUP(A3185,'[3]Planilha Orçamentária'!A:K,3,0)</f>
        <v>LOCAÇÃO DE PAVIMENTAÇÃO. AF_10/2018</v>
      </c>
      <c r="D3185" s="148" t="str">
        <f>VLOOKUP(A3185,'[3]Planilha Orçamentária'!A:K,4,0)</f>
        <v>M</v>
      </c>
      <c r="E3185" s="147"/>
      <c r="F3185" s="136"/>
      <c r="G3185" s="149"/>
      <c r="H3185" s="149"/>
      <c r="I3185" s="149"/>
      <c r="J3185" s="150">
        <f>ROUND(SUM(J3186:J3187),2)</f>
        <v>97.68</v>
      </c>
      <c r="U3185" s="137"/>
      <c r="V3185" s="137"/>
      <c r="W3185" s="137"/>
      <c r="X3185" s="137"/>
      <c r="Y3185" s="137"/>
      <c r="Z3185" s="137"/>
      <c r="AA3185" s="137"/>
      <c r="AB3185" s="137"/>
      <c r="AC3185" s="137"/>
      <c r="AD3185" s="137"/>
    </row>
    <row r="3186" spans="1:30" ht="12" customHeight="1">
      <c r="A3186" s="151"/>
      <c r="B3186" s="152"/>
      <c r="C3186" s="147"/>
      <c r="D3186" s="148"/>
      <c r="E3186" s="147"/>
      <c r="F3186" s="106" t="s">
        <v>1989</v>
      </c>
      <c r="G3186" s="149"/>
      <c r="H3186" s="149"/>
      <c r="I3186" s="149"/>
      <c r="J3186" s="150"/>
      <c r="U3186" s="137"/>
      <c r="V3186" s="137"/>
      <c r="W3186" s="137"/>
      <c r="X3186" s="137"/>
      <c r="Y3186" s="137"/>
      <c r="Z3186" s="137"/>
      <c r="AA3186" s="137"/>
      <c r="AB3186" s="137"/>
      <c r="AC3186" s="137"/>
      <c r="AD3186" s="137"/>
    </row>
    <row r="3187" spans="1:30" ht="12" customHeight="1">
      <c r="A3187" s="174"/>
      <c r="B3187" s="174"/>
      <c r="C3187" s="200" t="s">
        <v>2379</v>
      </c>
      <c r="D3187" s="156"/>
      <c r="E3187" s="157"/>
      <c r="F3187" s="136">
        <f>(20-6.79)+(4*20)+(4.47)</f>
        <v>97.68</v>
      </c>
      <c r="G3187" s="157"/>
      <c r="H3187" s="157"/>
      <c r="I3187" s="157"/>
      <c r="J3187" s="158">
        <f>ROUND(PRODUCT(E3187:I3187),2)</f>
        <v>97.68</v>
      </c>
      <c r="U3187" s="137"/>
      <c r="V3187" s="137"/>
      <c r="W3187" s="137"/>
      <c r="X3187" s="137"/>
      <c r="Y3187" s="137"/>
      <c r="Z3187" s="137"/>
      <c r="AA3187" s="137"/>
      <c r="AB3187" s="137"/>
      <c r="AC3187" s="137"/>
      <c r="AD3187" s="137"/>
    </row>
    <row r="3188" spans="1:30" ht="12" customHeight="1">
      <c r="A3188" s="531"/>
      <c r="B3188" s="531"/>
      <c r="C3188" s="531"/>
      <c r="D3188" s="531"/>
      <c r="E3188" s="531"/>
      <c r="F3188" s="531"/>
      <c r="G3188" s="531"/>
      <c r="H3188" s="531"/>
      <c r="I3188" s="531"/>
      <c r="J3188" s="531"/>
      <c r="U3188" s="137"/>
      <c r="V3188" s="137"/>
      <c r="W3188" s="137"/>
      <c r="X3188" s="137"/>
      <c r="Y3188" s="137"/>
      <c r="Z3188" s="137"/>
      <c r="AA3188" s="137"/>
      <c r="AB3188" s="137"/>
      <c r="AC3188" s="137"/>
      <c r="AD3188" s="137"/>
    </row>
    <row r="3189" spans="1:30" ht="25.5">
      <c r="A3189" s="145" t="str">
        <f>'[3]Planilha Orçamentária'!A833</f>
        <v>1.14.3.2</v>
      </c>
      <c r="B3189" s="199" t="str">
        <f>VLOOKUP(A3189,'[3]Planilha Orçamentária'!A:K,2,0)</f>
        <v>COMP-17562084</v>
      </c>
      <c r="C3189" s="147" t="str">
        <f>VLOOKUP(A3189,'[3]Planilha Orçamentária'!A:K,3,0)</f>
        <v>DEMOLIÇÃO MANUAL DE CONCRETO SIMPLES</v>
      </c>
      <c r="D3189" s="148" t="str">
        <f>VLOOKUP(A3189,'[3]Planilha Orçamentária'!A:K,4,0)</f>
        <v>M3</v>
      </c>
      <c r="E3189" s="147"/>
      <c r="F3189" s="160"/>
      <c r="G3189" s="160"/>
      <c r="H3189" s="160"/>
      <c r="I3189" s="160"/>
      <c r="J3189" s="150">
        <f>ROUND(SUM(J3191),2)</f>
        <v>88.23</v>
      </c>
      <c r="U3189" s="137"/>
      <c r="V3189" s="137"/>
      <c r="W3189" s="137"/>
      <c r="X3189" s="137"/>
      <c r="Y3189" s="137"/>
      <c r="Z3189" s="137"/>
      <c r="AA3189" s="137"/>
      <c r="AB3189" s="137"/>
      <c r="AC3189" s="137"/>
      <c r="AD3189" s="137"/>
    </row>
    <row r="3190" spans="1:30" ht="12" customHeight="1">
      <c r="A3190" s="123"/>
      <c r="B3190" s="123"/>
      <c r="C3190" s="415" t="s">
        <v>2380</v>
      </c>
      <c r="D3190" s="123"/>
      <c r="E3190" s="123"/>
      <c r="F3190" s="123"/>
      <c r="G3190" s="123"/>
      <c r="H3190" s="123" t="s">
        <v>2002</v>
      </c>
      <c r="I3190" s="123" t="s">
        <v>2003</v>
      </c>
      <c r="J3190" s="123"/>
      <c r="U3190" s="137"/>
      <c r="V3190" s="137"/>
      <c r="W3190" s="137"/>
      <c r="X3190" s="137"/>
      <c r="Y3190" s="137"/>
      <c r="Z3190" s="137"/>
      <c r="AA3190" s="137"/>
      <c r="AB3190" s="137"/>
      <c r="AC3190" s="137"/>
      <c r="AD3190" s="137"/>
    </row>
    <row r="3191" spans="1:30" ht="25.5">
      <c r="A3191" s="123"/>
      <c r="B3191" s="123"/>
      <c r="C3191" s="162" t="s">
        <v>2004</v>
      </c>
      <c r="D3191" s="123"/>
      <c r="E3191" s="123"/>
      <c r="F3191" s="157"/>
      <c r="G3191" s="157"/>
      <c r="H3191" s="157">
        <v>7.0000000000000007E-2</v>
      </c>
      <c r="I3191" s="157">
        <v>1260.3800000000001</v>
      </c>
      <c r="J3191" s="128">
        <f>ROUND(PRODUCT(E3191:I3191),2)</f>
        <v>88.23</v>
      </c>
      <c r="U3191" s="137"/>
      <c r="V3191" s="137"/>
      <c r="W3191" s="137"/>
      <c r="X3191" s="137"/>
      <c r="Y3191" s="137"/>
      <c r="Z3191" s="137"/>
      <c r="AA3191" s="137"/>
      <c r="AB3191" s="137"/>
      <c r="AC3191" s="137"/>
      <c r="AD3191" s="137"/>
    </row>
    <row r="3192" spans="1:30" ht="12" customHeight="1">
      <c r="A3192" s="528"/>
      <c r="B3192" s="529"/>
      <c r="C3192" s="529"/>
      <c r="D3192" s="529"/>
      <c r="E3192" s="529"/>
      <c r="F3192" s="529"/>
      <c r="G3192" s="529"/>
      <c r="H3192" s="529"/>
      <c r="I3192" s="529"/>
      <c r="J3192" s="530"/>
      <c r="U3192" s="137"/>
      <c r="V3192" s="137"/>
      <c r="W3192" s="137"/>
      <c r="X3192" s="137"/>
      <c r="Y3192" s="137"/>
      <c r="Z3192" s="137"/>
      <c r="AA3192" s="137"/>
      <c r="AB3192" s="137"/>
      <c r="AC3192" s="137"/>
      <c r="AD3192" s="137"/>
    </row>
    <row r="3193" spans="1:30" ht="25.5">
      <c r="A3193" s="145" t="str">
        <f>'[3]Planilha Orçamentária'!A834</f>
        <v>1.14.3.3</v>
      </c>
      <c r="B3193" s="199" t="str">
        <f>VLOOKUP(A3193,'[3]Planilha Orçamentária'!A:K,2,0)</f>
        <v>COMP-01471766</v>
      </c>
      <c r="C3193" s="147" t="str">
        <f>VLOOKUP(A3193,'[3]Planilha Orçamentária'!A:K,3,0)</f>
        <v>DEMOLIÇÃO DE MEIO-FIO</v>
      </c>
      <c r="D3193" s="148" t="str">
        <f>VLOOKUP(A3193,'[3]Planilha Orçamentária'!A:K,4,0)</f>
        <v>M</v>
      </c>
      <c r="E3193" s="147"/>
      <c r="F3193" s="160"/>
      <c r="G3193" s="160"/>
      <c r="H3193" s="160"/>
      <c r="I3193" s="160"/>
      <c r="J3193" s="150">
        <f>ROUND(SUM(J3195),2)</f>
        <v>101.6</v>
      </c>
      <c r="U3193" s="137"/>
      <c r="V3193" s="137"/>
      <c r="W3193" s="137"/>
      <c r="X3193" s="137"/>
      <c r="Y3193" s="137"/>
      <c r="Z3193" s="137"/>
      <c r="AA3193" s="137"/>
      <c r="AB3193" s="137"/>
      <c r="AC3193" s="137"/>
      <c r="AD3193" s="137"/>
    </row>
    <row r="3194" spans="1:30">
      <c r="A3194" s="123"/>
      <c r="B3194" s="123"/>
      <c r="C3194" s="415" t="s">
        <v>2380</v>
      </c>
      <c r="D3194" s="123"/>
      <c r="E3194" s="123"/>
      <c r="F3194" s="123" t="s">
        <v>1989</v>
      </c>
      <c r="G3194" s="123"/>
      <c r="H3194" s="123"/>
      <c r="I3194" s="123"/>
      <c r="J3194" s="123"/>
      <c r="U3194" s="137"/>
      <c r="V3194" s="137"/>
      <c r="W3194" s="137"/>
      <c r="X3194" s="137"/>
      <c r="Y3194" s="137"/>
      <c r="Z3194" s="137"/>
      <c r="AA3194" s="137"/>
      <c r="AB3194" s="137"/>
      <c r="AC3194" s="137"/>
      <c r="AD3194" s="137"/>
    </row>
    <row r="3195" spans="1:30">
      <c r="A3195" s="123"/>
      <c r="B3195" s="123"/>
      <c r="C3195" s="162" t="s">
        <v>2381</v>
      </c>
      <c r="D3195" s="123"/>
      <c r="E3195" s="123"/>
      <c r="F3195" s="157">
        <v>101.6</v>
      </c>
      <c r="G3195" s="157"/>
      <c r="H3195" s="157"/>
      <c r="I3195" s="157"/>
      <c r="J3195" s="128">
        <f>ROUND(PRODUCT(E3195:I3195),2)</f>
        <v>101.6</v>
      </c>
      <c r="U3195" s="137"/>
      <c r="V3195" s="137"/>
      <c r="W3195" s="137"/>
      <c r="X3195" s="137"/>
      <c r="Y3195" s="137"/>
      <c r="Z3195" s="137"/>
      <c r="AA3195" s="137"/>
      <c r="AB3195" s="137"/>
      <c r="AC3195" s="137"/>
      <c r="AD3195" s="137"/>
    </row>
    <row r="3196" spans="1:30" ht="12" customHeight="1">
      <c r="A3196" s="528"/>
      <c r="B3196" s="529"/>
      <c r="C3196" s="529"/>
      <c r="D3196" s="529"/>
      <c r="E3196" s="529"/>
      <c r="F3196" s="529"/>
      <c r="G3196" s="529"/>
      <c r="H3196" s="529"/>
      <c r="I3196" s="529"/>
      <c r="J3196" s="530"/>
      <c r="U3196" s="137"/>
      <c r="V3196" s="137"/>
      <c r="W3196" s="137"/>
      <c r="X3196" s="137"/>
      <c r="Y3196" s="137"/>
      <c r="Z3196" s="137"/>
      <c r="AA3196" s="137"/>
      <c r="AB3196" s="137"/>
      <c r="AC3196" s="137"/>
      <c r="AD3196" s="137"/>
    </row>
    <row r="3197" spans="1:30" ht="51">
      <c r="A3197" s="145" t="str">
        <f>'[3]Planilha Orçamentária'!A835</f>
        <v>1.14.3.4</v>
      </c>
      <c r="B3197" s="199" t="str">
        <f>VLOOKUP(A3197,'[3]Planilha Orçamentária'!A:K,2,0)</f>
        <v>COMP-35145154</v>
      </c>
      <c r="C3197" s="147" t="str">
        <f>VLOOKUP(A3197,'[3]Planilha Orçamentária'!A:K,3,0)</f>
        <v>CARGA E DESCARGA MECANICA DE SOLO UTILIZANDO CAMINHAO BASCULANTE 14,0M3/36T E PA CARREGADEIRA SOBRE PNEUS 128 HP, CAPACIDADE DA CAÇAMBA 1,7 A 2,8 M3, PESO OPERACIONAL 11632 KH</v>
      </c>
      <c r="D3197" s="148" t="str">
        <f>VLOOKUP(A3197,'[3]Planilha Orçamentária'!A:K,4,0)</f>
        <v>M3</v>
      </c>
      <c r="E3197" s="147"/>
      <c r="F3197" s="160"/>
      <c r="G3197" s="160"/>
      <c r="H3197" s="160"/>
      <c r="I3197" s="160"/>
      <c r="J3197" s="150">
        <f>ROUND(SUM(J3199:J3201),2)</f>
        <v>116.01</v>
      </c>
      <c r="U3197" s="137"/>
      <c r="V3197" s="137"/>
      <c r="W3197" s="137"/>
      <c r="X3197" s="137"/>
      <c r="Y3197" s="137"/>
      <c r="Z3197" s="137"/>
      <c r="AA3197" s="137"/>
      <c r="AB3197" s="137"/>
      <c r="AC3197" s="137"/>
      <c r="AD3197" s="137"/>
    </row>
    <row r="3198" spans="1:30" ht="12" customHeight="1">
      <c r="A3198" s="123"/>
      <c r="B3198" s="123"/>
      <c r="C3198" s="165"/>
      <c r="D3198" s="166"/>
      <c r="E3198" s="162" t="s">
        <v>2006</v>
      </c>
      <c r="F3198" s="149"/>
      <c r="G3198" s="149"/>
      <c r="H3198" s="149"/>
      <c r="I3198" s="161" t="s">
        <v>2007</v>
      </c>
      <c r="J3198" s="123"/>
      <c r="U3198" s="137"/>
      <c r="V3198" s="137"/>
      <c r="W3198" s="137"/>
      <c r="X3198" s="137"/>
      <c r="Y3198" s="137"/>
      <c r="Z3198" s="137"/>
      <c r="AA3198" s="137"/>
      <c r="AB3198" s="137"/>
      <c r="AC3198" s="137"/>
      <c r="AD3198" s="137"/>
    </row>
    <row r="3199" spans="1:30" ht="12" customHeight="1">
      <c r="A3199" s="123"/>
      <c r="B3199" s="123"/>
      <c r="C3199" s="165" t="s">
        <v>2008</v>
      </c>
      <c r="D3199" s="166"/>
      <c r="E3199" s="162">
        <v>1.25</v>
      </c>
      <c r="F3199" s="149"/>
      <c r="G3199" s="149"/>
      <c r="H3199" s="149"/>
      <c r="I3199" s="167">
        <f>J3189</f>
        <v>88.23</v>
      </c>
      <c r="J3199" s="128">
        <f>ROUND(PRODUCT(E3199:I3199),2)</f>
        <v>110.29</v>
      </c>
      <c r="U3199" s="137"/>
      <c r="V3199" s="137"/>
      <c r="W3199" s="137"/>
      <c r="X3199" s="137"/>
      <c r="Y3199" s="137"/>
      <c r="Z3199" s="137"/>
      <c r="AA3199" s="137"/>
      <c r="AB3199" s="137"/>
      <c r="AC3199" s="137"/>
      <c r="AD3199" s="137"/>
    </row>
    <row r="3200" spans="1:30" ht="12" customHeight="1">
      <c r="A3200" s="123"/>
      <c r="B3200" s="123"/>
      <c r="C3200" s="165"/>
      <c r="D3200" s="148"/>
      <c r="E3200" s="162" t="s">
        <v>2006</v>
      </c>
      <c r="F3200" s="123" t="s">
        <v>1989</v>
      </c>
      <c r="G3200" s="161" t="s">
        <v>2382</v>
      </c>
      <c r="H3200" s="161" t="s">
        <v>2002</v>
      </c>
      <c r="I3200" s="167"/>
      <c r="J3200" s="128"/>
      <c r="U3200" s="137"/>
      <c r="V3200" s="137"/>
      <c r="W3200" s="137"/>
      <c r="X3200" s="137"/>
      <c r="Y3200" s="137"/>
      <c r="Z3200" s="137"/>
      <c r="AA3200" s="137"/>
      <c r="AB3200" s="137"/>
      <c r="AC3200" s="137"/>
      <c r="AD3200" s="137"/>
    </row>
    <row r="3201" spans="1:30" ht="12" customHeight="1">
      <c r="A3201" s="123"/>
      <c r="B3201" s="123"/>
      <c r="C3201" s="165" t="s">
        <v>2009</v>
      </c>
      <c r="D3201" s="148"/>
      <c r="E3201" s="162">
        <v>1.25</v>
      </c>
      <c r="F3201" s="162">
        <f>J3193</f>
        <v>101.6</v>
      </c>
      <c r="G3201" s="162">
        <v>0.15</v>
      </c>
      <c r="H3201" s="162">
        <v>0.3</v>
      </c>
      <c r="I3201" s="167"/>
      <c r="J3201" s="128">
        <f>ROUND(PRODUCT(E3201:I3201),2)</f>
        <v>5.72</v>
      </c>
      <c r="U3201" s="137"/>
      <c r="V3201" s="137"/>
      <c r="W3201" s="137"/>
      <c r="X3201" s="137"/>
      <c r="Y3201" s="137"/>
      <c r="Z3201" s="137"/>
      <c r="AA3201" s="137"/>
      <c r="AB3201" s="137"/>
      <c r="AC3201" s="137"/>
      <c r="AD3201" s="137"/>
    </row>
    <row r="3202" spans="1:30" ht="12" customHeight="1">
      <c r="A3202" s="528"/>
      <c r="B3202" s="529"/>
      <c r="C3202" s="529"/>
      <c r="D3202" s="529"/>
      <c r="E3202" s="529"/>
      <c r="F3202" s="529"/>
      <c r="G3202" s="529"/>
      <c r="H3202" s="529"/>
      <c r="I3202" s="529"/>
      <c r="J3202" s="530"/>
      <c r="U3202" s="137"/>
      <c r="V3202" s="137"/>
      <c r="W3202" s="137"/>
      <c r="X3202" s="137"/>
      <c r="Y3202" s="137"/>
      <c r="Z3202" s="137"/>
      <c r="AA3202" s="137"/>
      <c r="AB3202" s="137"/>
      <c r="AC3202" s="137"/>
      <c r="AD3202" s="137"/>
    </row>
    <row r="3203" spans="1:30" ht="38.25">
      <c r="A3203" s="145" t="str">
        <f>'[3]Planilha Orçamentária'!A836</f>
        <v>1.14.3.5</v>
      </c>
      <c r="B3203" s="199">
        <f>VLOOKUP(A3203,'[3]Planilha Orçamentária'!A:K,2,0)</f>
        <v>95876</v>
      </c>
      <c r="C3203" s="147" t="str">
        <f>VLOOKUP(A3203,'[3]Planilha Orçamentária'!A:K,3,0)</f>
        <v>TRANSPORTE COM CAMINHÃO BASCULANTE DE 14 M³, EM VIA URBANA PAVIMENTADA, DMT ATÉ 30 KM (UNIDADE: M3XKM). AF_07/2020</v>
      </c>
      <c r="D3203" s="148" t="str">
        <f>VLOOKUP(A3203,'[3]Planilha Orçamentária'!A:K,4,0)</f>
        <v>M3XKM</v>
      </c>
      <c r="E3203" s="147"/>
      <c r="F3203" s="160"/>
      <c r="G3203" s="160"/>
      <c r="H3203" s="160"/>
      <c r="I3203" s="160"/>
      <c r="J3203" s="150">
        <f>ROUND(SUM(J3205),2)</f>
        <v>556.85</v>
      </c>
      <c r="U3203" s="137"/>
      <c r="V3203" s="137"/>
      <c r="W3203" s="137"/>
      <c r="X3203" s="137"/>
      <c r="Y3203" s="137"/>
      <c r="Z3203" s="137"/>
      <c r="AA3203" s="137"/>
      <c r="AB3203" s="137"/>
      <c r="AC3203" s="137"/>
      <c r="AD3203" s="137"/>
    </row>
    <row r="3204" spans="1:30" ht="12" customHeight="1">
      <c r="A3204" s="123"/>
      <c r="B3204" s="123"/>
      <c r="C3204" s="171" t="s">
        <v>2383</v>
      </c>
      <c r="D3204" s="123"/>
      <c r="E3204" s="123" t="s">
        <v>2011</v>
      </c>
      <c r="F3204" s="123"/>
      <c r="G3204" s="123"/>
      <c r="H3204" s="123"/>
      <c r="I3204" s="123" t="s">
        <v>2007</v>
      </c>
      <c r="J3204" s="123"/>
      <c r="U3204" s="137"/>
      <c r="V3204" s="137"/>
      <c r="W3204" s="137"/>
      <c r="X3204" s="137"/>
      <c r="Y3204" s="137"/>
      <c r="Z3204" s="137"/>
      <c r="AA3204" s="137"/>
      <c r="AB3204" s="137"/>
      <c r="AC3204" s="137"/>
      <c r="AD3204" s="137"/>
    </row>
    <row r="3205" spans="1:30" ht="12" customHeight="1">
      <c r="A3205" s="123"/>
      <c r="B3205" s="123"/>
      <c r="C3205" s="155" t="s">
        <v>2384</v>
      </c>
      <c r="D3205" s="123"/>
      <c r="E3205" s="162">
        <v>4.8</v>
      </c>
      <c r="F3205" s="162"/>
      <c r="G3205" s="162"/>
      <c r="H3205" s="162"/>
      <c r="I3205" s="172">
        <f>J3197</f>
        <v>116.01</v>
      </c>
      <c r="J3205" s="128">
        <f>ROUND(PRODUCT(E3205:I3205),2)</f>
        <v>556.85</v>
      </c>
      <c r="U3205" s="137"/>
      <c r="V3205" s="137"/>
      <c r="W3205" s="137"/>
      <c r="X3205" s="137"/>
      <c r="Y3205" s="137"/>
      <c r="Z3205" s="137"/>
      <c r="AA3205" s="137"/>
      <c r="AB3205" s="137"/>
      <c r="AC3205" s="137"/>
      <c r="AD3205" s="137"/>
    </row>
    <row r="3206" spans="1:30" ht="12" customHeight="1">
      <c r="A3206" s="528"/>
      <c r="B3206" s="529"/>
      <c r="C3206" s="529"/>
      <c r="D3206" s="529"/>
      <c r="E3206" s="529"/>
      <c r="F3206" s="529"/>
      <c r="G3206" s="529"/>
      <c r="H3206" s="529"/>
      <c r="I3206" s="529"/>
      <c r="J3206" s="530"/>
      <c r="U3206" s="137"/>
      <c r="V3206" s="137"/>
      <c r="W3206" s="137"/>
      <c r="X3206" s="137"/>
      <c r="Y3206" s="137"/>
      <c r="Z3206" s="137"/>
      <c r="AA3206" s="137"/>
      <c r="AB3206" s="137"/>
      <c r="AC3206" s="137"/>
      <c r="AD3206" s="137"/>
    </row>
    <row r="3207" spans="1:30" ht="12" customHeight="1">
      <c r="A3207" s="94" t="str">
        <f>'[3]Planilha Orçamentária'!A837</f>
        <v>1.14.4</v>
      </c>
      <c r="B3207" s="95"/>
      <c r="C3207" s="96" t="str">
        <f>VLOOKUP(A3207,'[3]Planilha Orçamentária'!A:K,3,0)</f>
        <v>TERRAPLENAGEM</v>
      </c>
      <c r="D3207" s="97"/>
      <c r="E3207" s="98"/>
      <c r="F3207" s="99"/>
      <c r="G3207" s="99"/>
      <c r="H3207" s="99"/>
      <c r="I3207" s="100"/>
      <c r="J3207" s="173"/>
      <c r="U3207" s="137"/>
      <c r="V3207" s="137"/>
      <c r="W3207" s="137"/>
      <c r="X3207" s="137"/>
      <c r="Y3207" s="137"/>
      <c r="Z3207" s="137"/>
      <c r="AA3207" s="137"/>
      <c r="AB3207" s="137"/>
      <c r="AC3207" s="137"/>
      <c r="AD3207" s="137"/>
    </row>
    <row r="3208" spans="1:30" ht="38.25">
      <c r="A3208" s="132" t="str">
        <f>'[3]Planilha Orçamentária'!A838</f>
        <v>1.14.4.1</v>
      </c>
      <c r="B3208" s="103" t="str">
        <f>VLOOKUP(A3208,'[3]Planilha Orçamentária'!A:K,2,0)</f>
        <v>CP-74205/001-17324935</v>
      </c>
      <c r="C3208" s="104" t="str">
        <f>VLOOKUP(A3208,'[3]Planilha Orçamentária'!A:K,3,0)</f>
        <v>ESCAVAÇÃO MECÂNICA DE MATERIAL 1A. CATEGORIA, PROVENIENTE DE CORTE DE SUBLEITO (C/TRATOR ESTEIRAS  160HP)</v>
      </c>
      <c r="D3208" s="105" t="str">
        <f>VLOOKUP(A3208,'[3]Planilha Orçamentária'!A:K,4,0)</f>
        <v>M3</v>
      </c>
      <c r="E3208" s="104"/>
      <c r="F3208" s="111"/>
      <c r="G3208" s="111"/>
      <c r="H3208" s="111"/>
      <c r="I3208" s="111"/>
      <c r="J3208" s="107">
        <f>ROUND(SUM(J3210:J3210),2)</f>
        <v>320.69</v>
      </c>
      <c r="U3208" s="137"/>
      <c r="V3208" s="137"/>
      <c r="W3208" s="137"/>
      <c r="X3208" s="137"/>
      <c r="Y3208" s="137"/>
      <c r="Z3208" s="137"/>
      <c r="AA3208" s="137"/>
      <c r="AB3208" s="137"/>
      <c r="AC3208" s="137"/>
      <c r="AD3208" s="137"/>
    </row>
    <row r="3209" spans="1:30" ht="12" customHeight="1">
      <c r="A3209" s="132"/>
      <c r="B3209" s="103"/>
      <c r="C3209" s="165" t="s">
        <v>2348</v>
      </c>
      <c r="D3209" s="105"/>
      <c r="E3209" s="104"/>
      <c r="F3209" s="111"/>
      <c r="G3209" s="111"/>
      <c r="H3209" s="111"/>
      <c r="I3209" s="106" t="s">
        <v>2007</v>
      </c>
      <c r="J3209" s="107"/>
      <c r="U3209" s="137"/>
      <c r="V3209" s="137"/>
      <c r="W3209" s="137"/>
      <c r="X3209" s="137"/>
      <c r="Y3209" s="137"/>
      <c r="Z3209" s="137"/>
      <c r="AA3209" s="137"/>
      <c r="AB3209" s="137"/>
      <c r="AC3209" s="137"/>
      <c r="AD3209" s="137"/>
    </row>
    <row r="3210" spans="1:30" ht="12" customHeight="1">
      <c r="A3210" s="174"/>
      <c r="B3210" s="175"/>
      <c r="C3210" s="155" t="s">
        <v>2097</v>
      </c>
      <c r="D3210" s="156"/>
      <c r="E3210" s="157"/>
      <c r="F3210" s="157"/>
      <c r="G3210" s="157"/>
      <c r="H3210" s="157"/>
      <c r="I3210" s="157">
        <v>320.69</v>
      </c>
      <c r="J3210" s="176">
        <f>ROUND(PRODUCT(E3210:I3210),2)</f>
        <v>320.69</v>
      </c>
      <c r="U3210" s="137"/>
      <c r="V3210" s="137"/>
      <c r="W3210" s="137"/>
      <c r="X3210" s="137"/>
      <c r="Y3210" s="137"/>
      <c r="Z3210" s="137"/>
      <c r="AA3210" s="137"/>
      <c r="AB3210" s="137"/>
      <c r="AC3210" s="137"/>
      <c r="AD3210" s="137"/>
    </row>
    <row r="3211" spans="1:30" ht="12" customHeight="1">
      <c r="A3211" s="549"/>
      <c r="B3211" s="549"/>
      <c r="C3211" s="549"/>
      <c r="D3211" s="549"/>
      <c r="E3211" s="549"/>
      <c r="F3211" s="549"/>
      <c r="G3211" s="549"/>
      <c r="H3211" s="549"/>
      <c r="I3211" s="549"/>
      <c r="J3211" s="549"/>
      <c r="U3211" s="137"/>
      <c r="V3211" s="137"/>
      <c r="W3211" s="137"/>
      <c r="X3211" s="137"/>
      <c r="Y3211" s="137"/>
      <c r="Z3211" s="137"/>
      <c r="AA3211" s="137"/>
      <c r="AB3211" s="137"/>
      <c r="AC3211" s="137"/>
      <c r="AD3211" s="137"/>
    </row>
    <row r="3212" spans="1:30" ht="51">
      <c r="A3212" s="177" t="str">
        <f>'[3]Planilha Orçamentária'!A839</f>
        <v>1.14.4.2</v>
      </c>
      <c r="B3212" s="178" t="str">
        <f>VLOOKUP(A3212,'[3]Planilha Orçamentária'!A:K,2,0)</f>
        <v>COMP-35145154</v>
      </c>
      <c r="C3212" s="179" t="str">
        <f>VLOOKUP(A3212,'[3]Planilha Orçamentária'!A:K,3,0)</f>
        <v>CARGA E DESCARGA MECANICA DE SOLO UTILIZANDO CAMINHAO BASCULANTE 14,0M3/36T E PA CARREGADEIRA SOBRE PNEUS 128 HP, CAPACIDADE DA CAÇAMBA 1,7 A 2,8 M3, PESO OPERACIONAL 11632 KH</v>
      </c>
      <c r="D3212" s="180" t="str">
        <f>VLOOKUP(A3212,'[3]Planilha Orçamentária'!A:K,4,0)</f>
        <v>M3</v>
      </c>
      <c r="E3212" s="179"/>
      <c r="F3212" s="181"/>
      <c r="G3212" s="181"/>
      <c r="H3212" s="181"/>
      <c r="I3212" s="181"/>
      <c r="J3212" s="107">
        <f>ROUND(SUM(J3214:J3214),2)</f>
        <v>400.86</v>
      </c>
      <c r="U3212" s="137"/>
      <c r="V3212" s="137"/>
      <c r="W3212" s="137"/>
      <c r="X3212" s="137"/>
      <c r="Y3212" s="137"/>
      <c r="Z3212" s="137"/>
      <c r="AA3212" s="137"/>
      <c r="AB3212" s="137"/>
      <c r="AC3212" s="137"/>
      <c r="AD3212" s="137"/>
    </row>
    <row r="3213" spans="1:30" ht="12" customHeight="1">
      <c r="A3213" s="177"/>
      <c r="B3213" s="178"/>
      <c r="C3213" s="155" t="s">
        <v>2015</v>
      </c>
      <c r="D3213" s="180"/>
      <c r="E3213" s="184" t="s">
        <v>2006</v>
      </c>
      <c r="F3213" s="332"/>
      <c r="G3213" s="332"/>
      <c r="H3213" s="332"/>
      <c r="I3213" s="332" t="s">
        <v>2007</v>
      </c>
      <c r="J3213" s="182"/>
      <c r="U3213" s="137"/>
      <c r="V3213" s="137"/>
      <c r="W3213" s="137"/>
      <c r="X3213" s="137"/>
      <c r="Y3213" s="137"/>
      <c r="Z3213" s="137"/>
      <c r="AA3213" s="137"/>
      <c r="AB3213" s="137"/>
      <c r="AC3213" s="137"/>
      <c r="AD3213" s="137"/>
    </row>
    <row r="3214" spans="1:30" ht="12" customHeight="1">
      <c r="A3214" s="177"/>
      <c r="B3214" s="178"/>
      <c r="C3214" s="155" t="s">
        <v>2016</v>
      </c>
      <c r="D3214" s="156"/>
      <c r="E3214" s="157">
        <v>1.25</v>
      </c>
      <c r="F3214" s="116"/>
      <c r="G3214" s="116"/>
      <c r="H3214" s="116"/>
      <c r="I3214" s="116">
        <f>J3208</f>
        <v>320.69</v>
      </c>
      <c r="J3214" s="176">
        <f>ROUND(PRODUCT(E3214:I3214),2)</f>
        <v>400.86</v>
      </c>
      <c r="U3214" s="137"/>
      <c r="V3214" s="137"/>
      <c r="W3214" s="137"/>
      <c r="X3214" s="137"/>
      <c r="Y3214" s="137"/>
      <c r="Z3214" s="137"/>
      <c r="AA3214" s="137"/>
      <c r="AB3214" s="137"/>
      <c r="AC3214" s="137"/>
      <c r="AD3214" s="137"/>
    </row>
    <row r="3215" spans="1:30" ht="12" customHeight="1">
      <c r="A3215" s="549"/>
      <c r="B3215" s="549"/>
      <c r="C3215" s="549"/>
      <c r="D3215" s="549"/>
      <c r="E3215" s="549"/>
      <c r="F3215" s="549"/>
      <c r="G3215" s="549"/>
      <c r="H3215" s="549"/>
      <c r="I3215" s="549"/>
      <c r="J3215" s="549"/>
      <c r="U3215" s="137"/>
      <c r="V3215" s="137"/>
      <c r="W3215" s="137"/>
      <c r="X3215" s="137"/>
      <c r="Y3215" s="137"/>
      <c r="Z3215" s="137"/>
      <c r="AA3215" s="137"/>
      <c r="AB3215" s="137"/>
      <c r="AC3215" s="137"/>
      <c r="AD3215" s="137"/>
    </row>
    <row r="3216" spans="1:30" ht="38.25">
      <c r="A3216" s="186" t="str">
        <f>'[3]Planilha Orçamentária'!A840</f>
        <v>1.14.4.3</v>
      </c>
      <c r="B3216" s="187">
        <f>VLOOKUP(A3216,'[3]Planilha Orçamentária'!A:K,2,0)</f>
        <v>95876</v>
      </c>
      <c r="C3216" s="188" t="str">
        <f>VLOOKUP(A3216,'[3]Planilha Orçamentária'!A:K,3,0)</f>
        <v>TRANSPORTE COM CAMINHÃO BASCULANTE DE 14 M³, EM VIA URBANA PAVIMENTADA, DMT ATÉ 30 KM (UNIDADE: M3XKM). AF_07/2020</v>
      </c>
      <c r="D3216" s="189" t="str">
        <f>VLOOKUP(A3216,'[3]Planilha Orçamentária'!A:K,4,0)</f>
        <v>M3XKM</v>
      </c>
      <c r="E3216" s="188"/>
      <c r="F3216" s="160"/>
      <c r="G3216" s="160"/>
      <c r="H3216" s="160"/>
      <c r="I3216" s="160"/>
      <c r="J3216" s="122">
        <f>ROUND(SUM(J3218:J3218),2)</f>
        <v>1924.13</v>
      </c>
      <c r="U3216" s="137"/>
      <c r="V3216" s="137"/>
      <c r="W3216" s="137"/>
      <c r="X3216" s="137"/>
      <c r="Y3216" s="137"/>
      <c r="Z3216" s="137"/>
      <c r="AA3216" s="137"/>
      <c r="AB3216" s="137"/>
      <c r="AC3216" s="137"/>
      <c r="AD3216" s="137"/>
    </row>
    <row r="3217" spans="1:30" ht="12" customHeight="1">
      <c r="A3217" s="186"/>
      <c r="B3217" s="187"/>
      <c r="C3217" s="171" t="s">
        <v>2383</v>
      </c>
      <c r="D3217" s="123"/>
      <c r="E3217" s="123" t="s">
        <v>2011</v>
      </c>
      <c r="F3217" s="160"/>
      <c r="G3217" s="160"/>
      <c r="H3217" s="161"/>
      <c r="I3217" s="161" t="s">
        <v>2007</v>
      </c>
      <c r="J3217" s="150"/>
      <c r="U3217" s="137"/>
      <c r="V3217" s="137"/>
      <c r="W3217" s="137"/>
      <c r="X3217" s="137"/>
      <c r="Y3217" s="137"/>
      <c r="Z3217" s="137"/>
      <c r="AA3217" s="137"/>
      <c r="AB3217" s="137"/>
      <c r="AC3217" s="137"/>
      <c r="AD3217" s="137"/>
    </row>
    <row r="3218" spans="1:30" ht="12" customHeight="1">
      <c r="A3218" s="186"/>
      <c r="B3218" s="187"/>
      <c r="C3218" s="155" t="s">
        <v>2384</v>
      </c>
      <c r="D3218" s="123"/>
      <c r="E3218" s="162">
        <v>4.8</v>
      </c>
      <c r="F3218" s="207"/>
      <c r="G3218" s="207"/>
      <c r="H3218" s="207"/>
      <c r="I3218" s="195">
        <f>J3212</f>
        <v>400.86</v>
      </c>
      <c r="J3218" s="196">
        <f>ROUND(PRODUCT(E3218:I3218),2)</f>
        <v>1924.13</v>
      </c>
      <c r="U3218" s="137"/>
      <c r="V3218" s="137"/>
      <c r="W3218" s="137"/>
      <c r="X3218" s="137"/>
      <c r="Y3218" s="137"/>
      <c r="Z3218" s="137"/>
      <c r="AA3218" s="137"/>
      <c r="AB3218" s="137"/>
      <c r="AC3218" s="137"/>
      <c r="AD3218" s="137"/>
    </row>
    <row r="3219" spans="1:30" ht="12" customHeight="1">
      <c r="A3219" s="532"/>
      <c r="B3219" s="533"/>
      <c r="C3219" s="533"/>
      <c r="D3219" s="533"/>
      <c r="E3219" s="533"/>
      <c r="F3219" s="533"/>
      <c r="G3219" s="533"/>
      <c r="H3219" s="533"/>
      <c r="I3219" s="533"/>
      <c r="J3219" s="534"/>
      <c r="U3219" s="137"/>
      <c r="V3219" s="137"/>
      <c r="W3219" s="137"/>
      <c r="X3219" s="137"/>
      <c r="Y3219" s="137"/>
      <c r="Z3219" s="137"/>
      <c r="AA3219" s="137"/>
      <c r="AB3219" s="137"/>
      <c r="AC3219" s="137"/>
      <c r="AD3219" s="137"/>
    </row>
    <row r="3220" spans="1:30" ht="12" customHeight="1">
      <c r="A3220" s="94" t="str">
        <f>'[3]Planilha Orçamentária'!A841</f>
        <v>1.14.5</v>
      </c>
      <c r="B3220" s="95"/>
      <c r="C3220" s="96" t="str">
        <f>VLOOKUP(A3220,'[3]Planilha Orçamentária'!A:K,3,0)</f>
        <v>PAVIMENTAÇÃO</v>
      </c>
      <c r="D3220" s="97"/>
      <c r="E3220" s="98"/>
      <c r="F3220" s="99"/>
      <c r="G3220" s="99"/>
      <c r="H3220" s="99"/>
      <c r="I3220" s="100"/>
      <c r="J3220" s="131"/>
      <c r="U3220" s="137"/>
      <c r="V3220" s="137"/>
      <c r="W3220" s="137"/>
      <c r="X3220" s="137"/>
      <c r="Y3220" s="137"/>
      <c r="Z3220" s="137"/>
      <c r="AA3220" s="137"/>
      <c r="AB3220" s="137"/>
      <c r="AC3220" s="137"/>
      <c r="AD3220" s="137"/>
    </row>
    <row r="3221" spans="1:30" ht="25.5">
      <c r="A3221" s="102" t="str">
        <f>'[3]Planilha Orçamentária'!A842</f>
        <v>1.14.5.1</v>
      </c>
      <c r="B3221" s="108">
        <f>VLOOKUP(A3221,'[3]Planilha Orçamentária'!A:K,2,0)</f>
        <v>96001</v>
      </c>
      <c r="C3221" s="104" t="str">
        <f>VLOOKUP(A3221,'[3]Planilha Orçamentária'!A:K,3,0)</f>
        <v>FRESAGEM DE PAVIMENTO ASFÁLTICO (PROFUNDIDADE ATÉ 5,0 CM) - EXCLUSIVE TRANSPORTE. AF_11/2019</v>
      </c>
      <c r="D3221" s="105" t="str">
        <f>VLOOKUP(A3221,'[3]Planilha Orçamentária'!A:K,4,0)</f>
        <v>M2</v>
      </c>
      <c r="E3221" s="104"/>
      <c r="F3221" s="106"/>
      <c r="G3221" s="106"/>
      <c r="H3221" s="106"/>
      <c r="I3221" s="106"/>
      <c r="J3221" s="122">
        <f>ROUND(SUM(J3223:J3223),2)</f>
        <v>1690</v>
      </c>
      <c r="U3221" s="137"/>
      <c r="V3221" s="137"/>
      <c r="W3221" s="137"/>
      <c r="X3221" s="137"/>
      <c r="Y3221" s="137"/>
      <c r="Z3221" s="137"/>
      <c r="AA3221" s="137"/>
      <c r="AB3221" s="137"/>
      <c r="AC3221" s="137"/>
      <c r="AD3221" s="137"/>
    </row>
    <row r="3222" spans="1:30" ht="12" customHeight="1">
      <c r="A3222" s="138"/>
      <c r="B3222" s="138"/>
      <c r="C3222" s="159" t="s">
        <v>2385</v>
      </c>
      <c r="D3222" s="105"/>
      <c r="E3222" s="104"/>
      <c r="F3222" s="111"/>
      <c r="G3222" s="111"/>
      <c r="H3222" s="111"/>
      <c r="I3222" s="106" t="s">
        <v>2003</v>
      </c>
      <c r="J3222" s="325"/>
      <c r="U3222" s="137"/>
      <c r="V3222" s="137"/>
      <c r="W3222" s="137"/>
      <c r="X3222" s="137"/>
      <c r="Y3222" s="137"/>
      <c r="Z3222" s="137"/>
      <c r="AA3222" s="137"/>
      <c r="AB3222" s="137"/>
      <c r="AC3222" s="137"/>
      <c r="AD3222" s="137"/>
    </row>
    <row r="3223" spans="1:30" ht="12" customHeight="1">
      <c r="A3223" s="138"/>
      <c r="B3223" s="138"/>
      <c r="C3223" s="328" t="s">
        <v>2350</v>
      </c>
      <c r="D3223" s="125"/>
      <c r="E3223" s="126"/>
      <c r="F3223" s="126"/>
      <c r="G3223" s="126"/>
      <c r="H3223" s="126"/>
      <c r="I3223" s="126">
        <f>215.88+1474.12</f>
        <v>1690</v>
      </c>
      <c r="J3223" s="128">
        <f>ROUND(PRODUCT(E3223:I3223),2)</f>
        <v>1690</v>
      </c>
      <c r="U3223" s="137"/>
      <c r="V3223" s="137"/>
      <c r="W3223" s="137"/>
      <c r="X3223" s="137"/>
      <c r="Y3223" s="137"/>
      <c r="Z3223" s="137"/>
      <c r="AA3223" s="137"/>
      <c r="AB3223" s="137"/>
      <c r="AC3223" s="137"/>
      <c r="AD3223" s="137"/>
    </row>
    <row r="3224" spans="1:30" ht="12" customHeight="1">
      <c r="A3224" s="523"/>
      <c r="B3224" s="524"/>
      <c r="C3224" s="524"/>
      <c r="D3224" s="524"/>
      <c r="E3224" s="524"/>
      <c r="F3224" s="524"/>
      <c r="G3224" s="524"/>
      <c r="H3224" s="524"/>
      <c r="I3224" s="524"/>
      <c r="J3224" s="525"/>
      <c r="U3224" s="137"/>
      <c r="V3224" s="137"/>
      <c r="W3224" s="137"/>
      <c r="X3224" s="137"/>
      <c r="Y3224" s="137"/>
      <c r="Z3224" s="137"/>
      <c r="AA3224" s="137"/>
      <c r="AB3224" s="137"/>
      <c r="AC3224" s="137"/>
      <c r="AD3224" s="137"/>
    </row>
    <row r="3225" spans="1:30" ht="51">
      <c r="A3225" s="102" t="str">
        <f>'[3]Planilha Orçamentária'!A843</f>
        <v>1.14.5.2</v>
      </c>
      <c r="B3225" s="108">
        <f>VLOOKUP(A3225,'[3]Planilha Orçamentária'!A:K,2,0)</f>
        <v>100983</v>
      </c>
      <c r="C3225" s="104" t="str">
        <f>VLOOKUP(A3225,'[3]Planilha Orçamentária'!A:K,3,0)</f>
        <v>CARGA, MANOBRA E DESCARGA DE ENTULHO EM CAMINHÃO BASCULANTE 14 M³ - CARGA COM ESCAVADEIRA HIDRÁULICA  (CAÇAMBA DE 0,80 M³ / 111 HP) E DESCARGA LIVRE (UNIDADE: M3). AF_07/2020</v>
      </c>
      <c r="D3225" s="105" t="str">
        <f>VLOOKUP(A3225,'[3]Planilha Orçamentária'!A:K,4,0)</f>
        <v>M3</v>
      </c>
      <c r="E3225" s="104"/>
      <c r="F3225" s="106"/>
      <c r="G3225" s="106"/>
      <c r="H3225" s="106"/>
      <c r="I3225" s="106"/>
      <c r="J3225" s="122">
        <f>ROUND(SUM(J3227:J3227),2)</f>
        <v>84.5</v>
      </c>
      <c r="U3225" s="137"/>
      <c r="V3225" s="137"/>
      <c r="W3225" s="137"/>
      <c r="X3225" s="137"/>
      <c r="Y3225" s="137"/>
      <c r="Z3225" s="137"/>
      <c r="AA3225" s="137"/>
      <c r="AB3225" s="137"/>
      <c r="AC3225" s="137"/>
      <c r="AD3225" s="137"/>
    </row>
    <row r="3226" spans="1:30" ht="12" customHeight="1">
      <c r="A3226" s="138"/>
      <c r="B3226" s="138"/>
      <c r="C3226" s="159" t="s">
        <v>2385</v>
      </c>
      <c r="D3226" s="105"/>
      <c r="E3226" s="104"/>
      <c r="F3226" s="111"/>
      <c r="G3226" s="111"/>
      <c r="H3226" s="106" t="s">
        <v>2002</v>
      </c>
      <c r="I3226" s="106" t="s">
        <v>2003</v>
      </c>
      <c r="J3226" s="325"/>
      <c r="U3226" s="137"/>
      <c r="V3226" s="137"/>
      <c r="W3226" s="137"/>
      <c r="X3226" s="137"/>
      <c r="Y3226" s="137"/>
      <c r="Z3226" s="137"/>
      <c r="AA3226" s="137"/>
      <c r="AB3226" s="137"/>
      <c r="AC3226" s="137"/>
      <c r="AD3226" s="137"/>
    </row>
    <row r="3227" spans="1:30" ht="12" customHeight="1">
      <c r="A3227" s="138"/>
      <c r="B3227" s="138"/>
      <c r="C3227" s="328" t="s">
        <v>2351</v>
      </c>
      <c r="D3227" s="125"/>
      <c r="E3227" s="126"/>
      <c r="F3227" s="126"/>
      <c r="G3227" s="126"/>
      <c r="H3227" s="126">
        <v>0.05</v>
      </c>
      <c r="I3227" s="126">
        <f>J3221</f>
        <v>1690</v>
      </c>
      <c r="J3227" s="128">
        <f>ROUND(PRODUCT(E3227:I3227),2)</f>
        <v>84.5</v>
      </c>
      <c r="U3227" s="137"/>
      <c r="V3227" s="137"/>
      <c r="W3227" s="137"/>
      <c r="X3227" s="137"/>
      <c r="Y3227" s="137"/>
      <c r="Z3227" s="137"/>
      <c r="AA3227" s="137"/>
      <c r="AB3227" s="137"/>
      <c r="AC3227" s="137"/>
      <c r="AD3227" s="137"/>
    </row>
    <row r="3228" spans="1:30" ht="12" customHeight="1">
      <c r="A3228" s="523"/>
      <c r="B3228" s="524"/>
      <c r="C3228" s="524"/>
      <c r="D3228" s="524"/>
      <c r="E3228" s="524"/>
      <c r="F3228" s="524"/>
      <c r="G3228" s="524"/>
      <c r="H3228" s="524"/>
      <c r="I3228" s="524"/>
      <c r="J3228" s="525"/>
      <c r="U3228" s="137"/>
      <c r="V3228" s="137"/>
      <c r="W3228" s="137"/>
      <c r="X3228" s="137"/>
      <c r="Y3228" s="137"/>
      <c r="Z3228" s="137"/>
      <c r="AA3228" s="137"/>
      <c r="AB3228" s="137"/>
      <c r="AC3228" s="137"/>
      <c r="AD3228" s="137"/>
    </row>
    <row r="3229" spans="1:30" ht="38.25">
      <c r="A3229" s="102" t="str">
        <f>'[3]Planilha Orçamentária'!A844</f>
        <v>1.14.5.3</v>
      </c>
      <c r="B3229" s="108">
        <f>VLOOKUP(A3229,'[3]Planilha Orçamentária'!A:K,2,0)</f>
        <v>95876</v>
      </c>
      <c r="C3229" s="104" t="str">
        <f>VLOOKUP(A3229,'[3]Planilha Orçamentária'!A:K,3,0)</f>
        <v>TRANSPORTE COM CAMINHÃO BASCULANTE DE 14 M³, EM VIA URBANA PAVIMENTADA, DMT ATÉ 30 KM (UNIDADE: M3XKM). AF_07/2020</v>
      </c>
      <c r="D3229" s="105" t="str">
        <f>VLOOKUP(A3229,'[3]Planilha Orçamentária'!A:K,4,0)</f>
        <v>M3XKM</v>
      </c>
      <c r="E3229" s="104"/>
      <c r="F3229" s="106"/>
      <c r="G3229" s="106"/>
      <c r="H3229" s="106"/>
      <c r="I3229" s="106"/>
      <c r="J3229" s="122">
        <f>ROUND(SUM(J3231:J3231),2)</f>
        <v>405.6</v>
      </c>
      <c r="U3229" s="137"/>
      <c r="V3229" s="137"/>
      <c r="W3229" s="137"/>
      <c r="X3229" s="137"/>
      <c r="Y3229" s="137"/>
      <c r="Z3229" s="137"/>
      <c r="AA3229" s="137"/>
      <c r="AB3229" s="137"/>
      <c r="AC3229" s="137"/>
      <c r="AD3229" s="137"/>
    </row>
    <row r="3230" spans="1:30" ht="12" customHeight="1">
      <c r="A3230" s="138"/>
      <c r="B3230" s="138"/>
      <c r="C3230" s="159" t="s">
        <v>2385</v>
      </c>
      <c r="D3230" s="105"/>
      <c r="E3230" s="104"/>
      <c r="F3230" s="111"/>
      <c r="G3230" s="111"/>
      <c r="H3230" s="111"/>
      <c r="I3230" s="111"/>
      <c r="J3230" s="325"/>
      <c r="U3230" s="137"/>
      <c r="V3230" s="137"/>
      <c r="W3230" s="137"/>
      <c r="X3230" s="137"/>
      <c r="Y3230" s="137"/>
      <c r="Z3230" s="137"/>
      <c r="AA3230" s="137"/>
      <c r="AB3230" s="137"/>
      <c r="AC3230" s="137"/>
      <c r="AD3230" s="137"/>
    </row>
    <row r="3231" spans="1:30" ht="12" customHeight="1">
      <c r="A3231" s="138"/>
      <c r="B3231" s="138"/>
      <c r="C3231" s="155" t="s">
        <v>2384</v>
      </c>
      <c r="D3231" s="123"/>
      <c r="E3231" s="162">
        <v>4.8</v>
      </c>
      <c r="F3231" s="126"/>
      <c r="G3231" s="126"/>
      <c r="H3231" s="126"/>
      <c r="I3231" s="126">
        <f>J3225</f>
        <v>84.5</v>
      </c>
      <c r="J3231" s="128">
        <f>ROUND(PRODUCT(E3231:I3231),2)</f>
        <v>405.6</v>
      </c>
      <c r="U3231" s="137"/>
      <c r="V3231" s="137"/>
      <c r="W3231" s="137"/>
      <c r="X3231" s="137"/>
      <c r="Y3231" s="137"/>
      <c r="Z3231" s="137"/>
      <c r="AA3231" s="137"/>
      <c r="AB3231" s="137"/>
      <c r="AC3231" s="137"/>
      <c r="AD3231" s="137"/>
    </row>
    <row r="3232" spans="1:30" ht="12" customHeight="1">
      <c r="A3232" s="523"/>
      <c r="B3232" s="524"/>
      <c r="C3232" s="524"/>
      <c r="D3232" s="524"/>
      <c r="E3232" s="524"/>
      <c r="F3232" s="524"/>
      <c r="G3232" s="524"/>
      <c r="H3232" s="524"/>
      <c r="I3232" s="524"/>
      <c r="J3232" s="525"/>
      <c r="U3232" s="137"/>
      <c r="V3232" s="137"/>
      <c r="W3232" s="137"/>
      <c r="X3232" s="137"/>
      <c r="Y3232" s="137"/>
      <c r="Z3232" s="137"/>
      <c r="AA3232" s="137"/>
      <c r="AB3232" s="137"/>
      <c r="AC3232" s="137"/>
      <c r="AD3232" s="137"/>
    </row>
    <row r="3233" spans="1:30" ht="25.5">
      <c r="A3233" s="102" t="str">
        <f>'[3]Planilha Orçamentária'!A845</f>
        <v>1.14.5.4</v>
      </c>
      <c r="B3233" s="108">
        <f>VLOOKUP(A3233,'[3]Planilha Orçamentária'!A:K,2,0)</f>
        <v>96402</v>
      </c>
      <c r="C3233" s="104" t="str">
        <f>VLOOKUP(A3233,'[3]Planilha Orçamentária'!A:K,3,0)</f>
        <v>EXECUÇÃO DE PINTURA DE LIGAÇÃO COM EMULSÃO ASFÁLTICA RR-2C. AF_11/2019</v>
      </c>
      <c r="D3233" s="105" t="str">
        <f>VLOOKUP(A3233,'[3]Planilha Orçamentária'!A:K,4,0)</f>
        <v>M2</v>
      </c>
      <c r="E3233" s="104"/>
      <c r="F3233" s="106"/>
      <c r="G3233" s="106"/>
      <c r="H3233" s="106"/>
      <c r="I3233" s="106"/>
      <c r="J3233" s="122">
        <f>ROUND(SUM(J3235:J3236),2)</f>
        <v>2901.34</v>
      </c>
      <c r="U3233" s="137"/>
      <c r="V3233" s="137"/>
      <c r="W3233" s="137"/>
      <c r="X3233" s="137"/>
      <c r="Y3233" s="137"/>
      <c r="Z3233" s="137"/>
      <c r="AA3233" s="137"/>
      <c r="AB3233" s="137"/>
      <c r="AC3233" s="137"/>
      <c r="AD3233" s="137"/>
    </row>
    <row r="3234" spans="1:30" ht="12" customHeight="1">
      <c r="A3234" s="138"/>
      <c r="B3234" s="138"/>
      <c r="C3234" s="159" t="s">
        <v>2385</v>
      </c>
      <c r="D3234" s="105"/>
      <c r="E3234" s="104"/>
      <c r="F3234" s="111"/>
      <c r="G3234" s="111"/>
      <c r="H3234" s="111"/>
      <c r="I3234" s="106" t="s">
        <v>2003</v>
      </c>
      <c r="J3234" s="325"/>
      <c r="U3234" s="137"/>
      <c r="V3234" s="137"/>
      <c r="W3234" s="137"/>
      <c r="X3234" s="137"/>
      <c r="Y3234" s="137"/>
      <c r="Z3234" s="137"/>
      <c r="AA3234" s="137"/>
      <c r="AB3234" s="137"/>
      <c r="AC3234" s="137"/>
      <c r="AD3234" s="137"/>
    </row>
    <row r="3235" spans="1:30" ht="12" customHeight="1">
      <c r="A3235" s="138"/>
      <c r="B3235" s="138"/>
      <c r="C3235" s="124" t="s">
        <v>2352</v>
      </c>
      <c r="D3235" s="156"/>
      <c r="E3235" s="157"/>
      <c r="F3235" s="157"/>
      <c r="G3235" s="157"/>
      <c r="H3235" s="157"/>
      <c r="I3235" s="116">
        <v>1211.3399999999999</v>
      </c>
      <c r="J3235" s="128">
        <f>ROUND(PRODUCT(E3235:I3235),2)</f>
        <v>1211.3399999999999</v>
      </c>
      <c r="U3235" s="137"/>
      <c r="V3235" s="137"/>
      <c r="W3235" s="137"/>
      <c r="X3235" s="137"/>
      <c r="Y3235" s="137"/>
      <c r="Z3235" s="137"/>
      <c r="AA3235" s="137"/>
      <c r="AB3235" s="137"/>
      <c r="AC3235" s="137"/>
      <c r="AD3235" s="137"/>
    </row>
    <row r="3236" spans="1:30" ht="12" customHeight="1">
      <c r="A3236" s="138"/>
      <c r="B3236" s="138"/>
      <c r="C3236" s="124" t="s">
        <v>2353</v>
      </c>
      <c r="D3236" s="156"/>
      <c r="E3236" s="157"/>
      <c r="F3236" s="157"/>
      <c r="G3236" s="157"/>
      <c r="H3236" s="157"/>
      <c r="I3236" s="126">
        <f>215.88+1474.12</f>
        <v>1690</v>
      </c>
      <c r="J3236" s="128">
        <f>ROUND(PRODUCT(E3236:I3236),2)</f>
        <v>1690</v>
      </c>
      <c r="U3236" s="137"/>
      <c r="V3236" s="137"/>
      <c r="W3236" s="137"/>
      <c r="X3236" s="137"/>
      <c r="Y3236" s="137"/>
      <c r="Z3236" s="137"/>
      <c r="AA3236" s="137"/>
      <c r="AB3236" s="137"/>
      <c r="AC3236" s="137"/>
      <c r="AD3236" s="137"/>
    </row>
    <row r="3237" spans="1:30" ht="12" customHeight="1">
      <c r="A3237" s="523"/>
      <c r="B3237" s="524"/>
      <c r="C3237" s="524"/>
      <c r="D3237" s="524"/>
      <c r="E3237" s="524"/>
      <c r="F3237" s="524"/>
      <c r="G3237" s="524"/>
      <c r="H3237" s="524"/>
      <c r="I3237" s="524"/>
      <c r="J3237" s="525"/>
      <c r="U3237" s="137"/>
      <c r="V3237" s="137"/>
      <c r="W3237" s="137"/>
      <c r="X3237" s="137"/>
      <c r="Y3237" s="137"/>
      <c r="Z3237" s="137"/>
      <c r="AA3237" s="137"/>
      <c r="AB3237" s="137"/>
      <c r="AC3237" s="137"/>
      <c r="AD3237" s="137"/>
    </row>
    <row r="3238" spans="1:30" ht="25.5">
      <c r="A3238" s="102" t="str">
        <f>'[3]Planilha Orçamentária'!A846</f>
        <v>1.14.5.5</v>
      </c>
      <c r="B3238" s="108" t="str">
        <f>VLOOKUP(A3238,'[3]Planilha Orçamentária'!A:K,2,0)</f>
        <v>CP-96401-52745838</v>
      </c>
      <c r="C3238" s="104" t="str">
        <f>VLOOKUP(A3238,'[3]Planilha Orçamentária'!A:K,3,0)</f>
        <v>EXECUÇÃO DE IMPRIMAÇÃO COM ASFALTO DILUÍDO CM-30, EXCLUSIVE MATERIAL.</v>
      </c>
      <c r="D3238" s="105" t="str">
        <f>VLOOKUP(A3238,'[3]Planilha Orçamentária'!A:K,4,0)</f>
        <v>M2</v>
      </c>
      <c r="E3238" s="104"/>
      <c r="F3238" s="106"/>
      <c r="G3238" s="106"/>
      <c r="H3238" s="106"/>
      <c r="I3238" s="106"/>
      <c r="J3238" s="122">
        <f>ROUND(SUM(J3240:J3240),2)</f>
        <v>586.44000000000005</v>
      </c>
      <c r="U3238" s="137"/>
      <c r="V3238" s="137"/>
      <c r="W3238" s="137"/>
      <c r="X3238" s="137"/>
      <c r="Y3238" s="137"/>
      <c r="Z3238" s="137"/>
      <c r="AA3238" s="137"/>
      <c r="AB3238" s="137"/>
      <c r="AC3238" s="137"/>
      <c r="AD3238" s="137"/>
    </row>
    <row r="3239" spans="1:30" ht="12" customHeight="1">
      <c r="A3239" s="138"/>
      <c r="B3239" s="138"/>
      <c r="C3239" s="159" t="s">
        <v>2385</v>
      </c>
      <c r="D3239" s="105"/>
      <c r="E3239" s="104"/>
      <c r="F3239" s="111"/>
      <c r="G3239" s="111"/>
      <c r="H3239" s="111"/>
      <c r="I3239" s="106" t="s">
        <v>2003</v>
      </c>
      <c r="J3239" s="325"/>
      <c r="U3239" s="137"/>
      <c r="V3239" s="137"/>
      <c r="W3239" s="137"/>
      <c r="X3239" s="137"/>
      <c r="Y3239" s="137"/>
      <c r="Z3239" s="137"/>
      <c r="AA3239" s="137"/>
      <c r="AB3239" s="137"/>
      <c r="AC3239" s="137"/>
      <c r="AD3239" s="137"/>
    </row>
    <row r="3240" spans="1:30" ht="12" customHeight="1">
      <c r="A3240" s="138"/>
      <c r="B3240" s="138"/>
      <c r="C3240" s="429" t="s">
        <v>2354</v>
      </c>
      <c r="D3240" s="156"/>
      <c r="E3240" s="157"/>
      <c r="F3240" s="157"/>
      <c r="G3240" s="157"/>
      <c r="H3240" s="157"/>
      <c r="I3240" s="116">
        <v>586.44000000000005</v>
      </c>
      <c r="J3240" s="128">
        <f>ROUND(PRODUCT(E3240:I3240),2)</f>
        <v>586.44000000000005</v>
      </c>
      <c r="U3240" s="137"/>
      <c r="V3240" s="137"/>
      <c r="W3240" s="137"/>
      <c r="X3240" s="137"/>
      <c r="Y3240" s="137"/>
      <c r="Z3240" s="137"/>
      <c r="AA3240" s="137"/>
      <c r="AB3240" s="137"/>
      <c r="AC3240" s="137"/>
      <c r="AD3240" s="137"/>
    </row>
    <row r="3241" spans="1:30" ht="12" customHeight="1">
      <c r="A3241" s="138"/>
      <c r="B3241" s="138"/>
      <c r="C3241" s="429"/>
      <c r="D3241" s="156"/>
      <c r="E3241" s="157"/>
      <c r="F3241" s="157"/>
      <c r="G3241" s="157"/>
      <c r="H3241" s="157"/>
      <c r="I3241" s="116"/>
      <c r="J3241" s="128"/>
      <c r="U3241" s="137"/>
      <c r="V3241" s="137"/>
      <c r="W3241" s="137"/>
      <c r="X3241" s="137"/>
      <c r="Y3241" s="137"/>
      <c r="Z3241" s="137"/>
      <c r="AA3241" s="137"/>
      <c r="AB3241" s="137"/>
      <c r="AC3241" s="137"/>
      <c r="AD3241" s="137"/>
    </row>
    <row r="3242" spans="1:30" ht="38.25">
      <c r="A3242" s="102" t="str">
        <f>'[3]Planilha Orçamentária'!A847</f>
        <v>1.14.5.6</v>
      </c>
      <c r="B3242" s="108" t="str">
        <f>VLOOKUP(A3242,'[3]Planilha Orçamentária'!A:K,2,0)</f>
        <v>CP-95995-51339760</v>
      </c>
      <c r="C3242" s="104" t="str">
        <f>VLOOKUP(A3242,'[3]Planilha Orçamentária'!A:K,3,0)</f>
        <v>EXECUÇÃO DE PAVIMENTO COM APLICAÇÃO DE CONCRETO ASFÁLTICO, CAMADA DE ROLAMENTO - EXCLUSIVE CARGA E TRANSPORTE E CONCRETO BETUMINOSO</v>
      </c>
      <c r="D3242" s="105" t="str">
        <f>VLOOKUP(A3242,'[3]Planilha Orçamentária'!A:K,4,0)</f>
        <v>M3</v>
      </c>
      <c r="E3242" s="104"/>
      <c r="F3242" s="106"/>
      <c r="G3242" s="106"/>
      <c r="H3242" s="106"/>
      <c r="I3242" s="106"/>
      <c r="J3242" s="122">
        <f>ROUND(SUM(J3244:J3246),2)</f>
        <v>174.39</v>
      </c>
      <c r="U3242" s="137"/>
      <c r="V3242" s="137"/>
      <c r="W3242" s="137"/>
      <c r="X3242" s="137"/>
      <c r="Y3242" s="137"/>
      <c r="Z3242" s="137"/>
      <c r="AA3242" s="137"/>
      <c r="AB3242" s="137"/>
      <c r="AC3242" s="137"/>
      <c r="AD3242" s="137"/>
    </row>
    <row r="3243" spans="1:30" ht="12" customHeight="1">
      <c r="A3243" s="138"/>
      <c r="B3243" s="138"/>
      <c r="C3243" s="159" t="s">
        <v>2385</v>
      </c>
      <c r="D3243" s="105"/>
      <c r="E3243" s="104"/>
      <c r="F3243" s="111"/>
      <c r="G3243" s="111"/>
      <c r="H3243" s="106" t="s">
        <v>2002</v>
      </c>
      <c r="I3243" s="106" t="s">
        <v>2003</v>
      </c>
      <c r="J3243" s="325"/>
      <c r="U3243" s="137"/>
      <c r="V3243" s="137"/>
      <c r="W3243" s="137"/>
      <c r="X3243" s="137"/>
      <c r="Y3243" s="137"/>
      <c r="Z3243" s="137"/>
      <c r="AA3243" s="137"/>
      <c r="AB3243" s="137"/>
      <c r="AC3243" s="137"/>
      <c r="AD3243" s="137"/>
    </row>
    <row r="3244" spans="1:30" ht="12" customHeight="1">
      <c r="A3244" s="138"/>
      <c r="B3244" s="138"/>
      <c r="C3244" s="429" t="s">
        <v>2356</v>
      </c>
      <c r="D3244" s="185"/>
      <c r="E3244" s="116"/>
      <c r="F3244" s="116"/>
      <c r="G3244" s="116"/>
      <c r="H3244" s="116">
        <v>0.05</v>
      </c>
      <c r="I3244" s="116">
        <f>J3235</f>
        <v>1211.3399999999999</v>
      </c>
      <c r="J3244" s="128">
        <f>ROUND(PRODUCT(E3244:I3244),2)</f>
        <v>60.57</v>
      </c>
      <c r="U3244" s="137"/>
      <c r="V3244" s="137"/>
      <c r="W3244" s="137"/>
      <c r="X3244" s="137"/>
      <c r="Y3244" s="137"/>
      <c r="Z3244" s="137"/>
      <c r="AA3244" s="137"/>
      <c r="AB3244" s="137"/>
      <c r="AC3244" s="137"/>
      <c r="AD3244" s="137"/>
    </row>
    <row r="3245" spans="1:30" ht="12" customHeight="1">
      <c r="A3245" s="138"/>
      <c r="B3245" s="138"/>
      <c r="C3245" s="429" t="s">
        <v>2357</v>
      </c>
      <c r="D3245" s="185"/>
      <c r="E3245" s="116"/>
      <c r="F3245" s="116"/>
      <c r="G3245" s="116"/>
      <c r="H3245" s="116">
        <f>H3244</f>
        <v>0.05</v>
      </c>
      <c r="I3245" s="116">
        <f>J3236</f>
        <v>1690</v>
      </c>
      <c r="J3245" s="128">
        <f t="shared" ref="J3245:J3246" si="222">ROUND(PRODUCT(E3245:I3245),2)</f>
        <v>84.5</v>
      </c>
      <c r="U3245" s="137"/>
      <c r="V3245" s="137"/>
      <c r="W3245" s="137"/>
      <c r="X3245" s="137"/>
      <c r="Y3245" s="137"/>
      <c r="Z3245" s="137"/>
      <c r="AA3245" s="137"/>
      <c r="AB3245" s="137"/>
      <c r="AC3245" s="137"/>
      <c r="AD3245" s="137"/>
    </row>
    <row r="3246" spans="1:30" ht="12" customHeight="1">
      <c r="A3246" s="138"/>
      <c r="B3246" s="138"/>
      <c r="C3246" s="429" t="s">
        <v>2358</v>
      </c>
      <c r="D3246" s="185"/>
      <c r="E3246" s="116"/>
      <c r="F3246" s="116"/>
      <c r="G3246" s="116"/>
      <c r="H3246" s="116">
        <f>H3245</f>
        <v>0.05</v>
      </c>
      <c r="I3246" s="116">
        <f>J3240</f>
        <v>586.44000000000005</v>
      </c>
      <c r="J3246" s="128">
        <f t="shared" si="222"/>
        <v>29.32</v>
      </c>
      <c r="U3246" s="137"/>
      <c r="V3246" s="137"/>
      <c r="W3246" s="137"/>
      <c r="X3246" s="137"/>
      <c r="Y3246" s="137"/>
      <c r="Z3246" s="137"/>
      <c r="AA3246" s="137"/>
      <c r="AB3246" s="137"/>
      <c r="AC3246" s="137"/>
      <c r="AD3246" s="137"/>
    </row>
    <row r="3247" spans="1:30" ht="12" customHeight="1">
      <c r="A3247" s="523"/>
      <c r="B3247" s="524"/>
      <c r="C3247" s="524"/>
      <c r="D3247" s="524"/>
      <c r="E3247" s="524"/>
      <c r="F3247" s="524"/>
      <c r="G3247" s="524"/>
      <c r="H3247" s="524"/>
      <c r="I3247" s="524"/>
      <c r="J3247" s="525"/>
      <c r="U3247" s="137"/>
      <c r="V3247" s="137"/>
      <c r="W3247" s="137"/>
      <c r="X3247" s="137"/>
      <c r="Y3247" s="137"/>
      <c r="Z3247" s="137"/>
      <c r="AA3247" s="137"/>
      <c r="AB3247" s="137"/>
      <c r="AC3247" s="137"/>
      <c r="AD3247" s="137"/>
    </row>
    <row r="3248" spans="1:30" ht="38.25">
      <c r="A3248" s="102" t="str">
        <f>'[3]Planilha Orçamentária'!A848</f>
        <v>1.14.5.7</v>
      </c>
      <c r="B3248" s="108" t="str">
        <f>VLOOKUP(A3248,'[3]Planilha Orçamentária'!A:K,2,0)</f>
        <v>COMP-10034101</v>
      </c>
      <c r="C3248" s="104" t="str">
        <f>VLOOKUP(A3248,'[3]Planilha Orçamentária'!A:K,3,0)</f>
        <v>CARGA, MANOBRAS E DESCARGA DE MISTURA BETUMINOSA A QUENTE, COM CAMINHAO BASCULANTE 6 M3, DESCARGA EM VIBRO-ACABADORA</v>
      </c>
      <c r="D3248" s="105" t="str">
        <f>VLOOKUP(A3248,'[3]Planilha Orçamentária'!A:K,4,0)</f>
        <v>M3</v>
      </c>
      <c r="E3248" s="104"/>
      <c r="F3248" s="106"/>
      <c r="G3248" s="106"/>
      <c r="H3248" s="106"/>
      <c r="I3248" s="106"/>
      <c r="J3248" s="122">
        <f>ROUND(SUM(J3250:J3250),2)</f>
        <v>174.39</v>
      </c>
      <c r="U3248" s="137"/>
      <c r="V3248" s="137"/>
      <c r="W3248" s="137"/>
      <c r="X3248" s="137"/>
      <c r="Y3248" s="137"/>
      <c r="Z3248" s="137"/>
      <c r="AA3248" s="137"/>
      <c r="AB3248" s="137"/>
      <c r="AC3248" s="137"/>
      <c r="AD3248" s="137"/>
    </row>
    <row r="3249" spans="1:30" ht="12" customHeight="1">
      <c r="A3249" s="138"/>
      <c r="B3249" s="138"/>
      <c r="C3249" s="159" t="s">
        <v>2385</v>
      </c>
      <c r="D3249" s="105"/>
      <c r="E3249" s="104"/>
      <c r="F3249" s="111"/>
      <c r="G3249" s="111"/>
      <c r="H3249" s="111"/>
      <c r="I3249" s="111"/>
      <c r="J3249" s="325"/>
      <c r="U3249" s="137"/>
      <c r="V3249" s="137"/>
      <c r="W3249" s="137"/>
      <c r="X3249" s="137"/>
      <c r="Y3249" s="137"/>
      <c r="Z3249" s="137"/>
      <c r="AA3249" s="137"/>
      <c r="AB3249" s="137"/>
      <c r="AC3249" s="137"/>
      <c r="AD3249" s="137"/>
    </row>
    <row r="3250" spans="1:30" ht="12" customHeight="1">
      <c r="A3250" s="138"/>
      <c r="B3250" s="138"/>
      <c r="C3250" s="429" t="s">
        <v>2359</v>
      </c>
      <c r="D3250" s="185"/>
      <c r="E3250" s="116"/>
      <c r="F3250" s="116"/>
      <c r="G3250" s="111"/>
      <c r="H3250" s="111"/>
      <c r="I3250" s="212">
        <f>J3242</f>
        <v>174.39</v>
      </c>
      <c r="J3250" s="128">
        <f>ROUND(PRODUCT(E3250:I3250),2)</f>
        <v>174.39</v>
      </c>
      <c r="U3250" s="137"/>
      <c r="V3250" s="137"/>
      <c r="W3250" s="137"/>
      <c r="X3250" s="137"/>
      <c r="Y3250" s="137"/>
      <c r="Z3250" s="137"/>
      <c r="AA3250" s="137"/>
      <c r="AB3250" s="137"/>
      <c r="AC3250" s="137"/>
      <c r="AD3250" s="137"/>
    </row>
    <row r="3251" spans="1:30" ht="12" customHeight="1">
      <c r="A3251" s="523"/>
      <c r="B3251" s="524"/>
      <c r="C3251" s="524"/>
      <c r="D3251" s="524"/>
      <c r="E3251" s="524"/>
      <c r="F3251" s="524"/>
      <c r="G3251" s="524"/>
      <c r="H3251" s="524"/>
      <c r="I3251" s="524"/>
      <c r="J3251" s="525"/>
      <c r="U3251" s="137"/>
      <c r="V3251" s="137"/>
      <c r="W3251" s="137"/>
      <c r="X3251" s="137"/>
      <c r="Y3251" s="137"/>
      <c r="Z3251" s="137"/>
      <c r="AA3251" s="137"/>
      <c r="AB3251" s="137"/>
      <c r="AC3251" s="137"/>
      <c r="AD3251" s="137"/>
    </row>
    <row r="3252" spans="1:30" ht="25.5">
      <c r="A3252" s="102" t="str">
        <f>'[3]Planilha Orçamentária'!A849</f>
        <v>1.14.5.8</v>
      </c>
      <c r="B3252" s="108" t="str">
        <f>VLOOKUP(A3252,'[3]Planilha Orçamentária'!A:K,2,0)</f>
        <v>CP-95303-56931542</v>
      </c>
      <c r="C3252" s="104" t="str">
        <f>VLOOKUP(A3252,'[3]Planilha Orçamentária'!A:K,3,0)</f>
        <v>TRANSPORTE COM CAMINHÃO BASCULANTE 10 M3 DE MASSA ASFALTICA PARA PAVIMENTAÇÃO URBANA</v>
      </c>
      <c r="D3252" s="105" t="str">
        <f>VLOOKUP(A3252,'[3]Planilha Orçamentária'!A:K,4,0)</f>
        <v>M3XKM</v>
      </c>
      <c r="E3252" s="104"/>
      <c r="F3252" s="106"/>
      <c r="G3252" s="106"/>
      <c r="H3252" s="106"/>
      <c r="I3252" s="106"/>
      <c r="J3252" s="122">
        <f>ROUND(SUM(J3254:J3254),2)</f>
        <v>3104.14</v>
      </c>
      <c r="U3252" s="137"/>
      <c r="V3252" s="137"/>
      <c r="W3252" s="137"/>
      <c r="X3252" s="137"/>
      <c r="Y3252" s="137"/>
      <c r="Z3252" s="137"/>
      <c r="AA3252" s="137"/>
      <c r="AB3252" s="137"/>
      <c r="AC3252" s="137"/>
      <c r="AD3252" s="137"/>
    </row>
    <row r="3253" spans="1:30" ht="25.5">
      <c r="A3253" s="138"/>
      <c r="B3253" s="138"/>
      <c r="C3253" s="165" t="s">
        <v>2386</v>
      </c>
      <c r="D3253" s="166"/>
      <c r="E3253" s="168"/>
      <c r="F3253" s="149"/>
      <c r="G3253" s="149"/>
      <c r="H3253" s="149"/>
      <c r="I3253" s="149"/>
      <c r="J3253" s="325"/>
      <c r="U3253" s="137"/>
      <c r="V3253" s="137"/>
      <c r="W3253" s="137"/>
      <c r="X3253" s="137"/>
      <c r="Y3253" s="137"/>
      <c r="Z3253" s="137"/>
      <c r="AA3253" s="137"/>
      <c r="AB3253" s="137"/>
      <c r="AC3253" s="137"/>
      <c r="AD3253" s="137"/>
    </row>
    <row r="3254" spans="1:30" ht="12" customHeight="1">
      <c r="A3254" s="138"/>
      <c r="B3254" s="138"/>
      <c r="C3254" s="155" t="s">
        <v>2387</v>
      </c>
      <c r="D3254" s="123"/>
      <c r="E3254" s="162">
        <v>17.8</v>
      </c>
      <c r="F3254" s="116"/>
      <c r="G3254" s="157"/>
      <c r="H3254" s="157"/>
      <c r="I3254" s="116">
        <f>J3248</f>
        <v>174.39</v>
      </c>
      <c r="J3254" s="128">
        <f>ROUND(PRODUCT(E3254:I3254),2)</f>
        <v>3104.14</v>
      </c>
      <c r="U3254" s="137"/>
      <c r="V3254" s="137"/>
      <c r="W3254" s="137"/>
      <c r="X3254" s="137"/>
      <c r="Y3254" s="137"/>
      <c r="Z3254" s="137"/>
      <c r="AA3254" s="137"/>
      <c r="AB3254" s="137"/>
      <c r="AC3254" s="137"/>
      <c r="AD3254" s="137"/>
    </row>
    <row r="3255" spans="1:30" ht="12" customHeight="1">
      <c r="A3255" s="523"/>
      <c r="B3255" s="524"/>
      <c r="C3255" s="524"/>
      <c r="D3255" s="524"/>
      <c r="E3255" s="524"/>
      <c r="F3255" s="524"/>
      <c r="G3255" s="524"/>
      <c r="H3255" s="524"/>
      <c r="I3255" s="524"/>
      <c r="J3255" s="525"/>
      <c r="U3255" s="137"/>
      <c r="V3255" s="137"/>
      <c r="W3255" s="137"/>
      <c r="X3255" s="137"/>
      <c r="Y3255" s="137"/>
      <c r="Z3255" s="137"/>
      <c r="AA3255" s="137"/>
      <c r="AB3255" s="137"/>
      <c r="AC3255" s="137"/>
      <c r="AD3255" s="137"/>
    </row>
    <row r="3256" spans="1:30" ht="12" customHeight="1">
      <c r="A3256" s="293"/>
      <c r="B3256" s="407"/>
      <c r="C3256" s="295"/>
      <c r="D3256" s="430"/>
      <c r="E3256" s="431"/>
      <c r="F3256" s="432"/>
      <c r="G3256" s="432"/>
      <c r="H3256" s="432"/>
      <c r="I3256" s="433"/>
      <c r="J3256" s="299"/>
      <c r="U3256" s="137"/>
      <c r="V3256" s="137"/>
      <c r="W3256" s="137"/>
      <c r="X3256" s="137"/>
      <c r="Y3256" s="137"/>
      <c r="Z3256" s="137"/>
      <c r="AA3256" s="137"/>
      <c r="AB3256" s="137"/>
      <c r="AC3256" s="137"/>
      <c r="AD3256" s="137"/>
    </row>
    <row r="3257" spans="1:30" ht="25.5">
      <c r="A3257" s="145" t="str">
        <f>'[3]Planilha Orçamentária'!A850</f>
        <v>1.14.5.9</v>
      </c>
      <c r="B3257" s="199">
        <f>VLOOKUP(A3257,'[3]Planilha Orçamentária'!A:K,2,0)</f>
        <v>100576</v>
      </c>
      <c r="C3257" s="147" t="str">
        <f>VLOOKUP(A3257,'[3]Planilha Orçamentária'!A:K,3,0)</f>
        <v>REGULARIZAÇÃO E COMPACTAÇÃO DE SUBLEITO DE SOLO  PREDOMINANTEMENTE ARGILOSO. AF_11/2019</v>
      </c>
      <c r="D3257" s="148" t="str">
        <f>VLOOKUP(A3257,'[3]Planilha Orçamentária'!A:K,4,0)</f>
        <v>M2</v>
      </c>
      <c r="E3257" s="147"/>
      <c r="F3257" s="160"/>
      <c r="G3257" s="160"/>
      <c r="H3257" s="160"/>
      <c r="I3257" s="160"/>
      <c r="J3257" s="150">
        <f>ROUND(SUM(J3259:J3259),2)</f>
        <v>683.76</v>
      </c>
      <c r="U3257" s="137"/>
      <c r="V3257" s="137"/>
      <c r="W3257" s="137"/>
      <c r="X3257" s="137"/>
      <c r="Y3257" s="137"/>
      <c r="Z3257" s="137"/>
      <c r="AA3257" s="137"/>
      <c r="AB3257" s="137"/>
      <c r="AC3257" s="137"/>
      <c r="AD3257" s="137"/>
    </row>
    <row r="3258" spans="1:30" ht="12" customHeight="1">
      <c r="A3258" s="145"/>
      <c r="B3258" s="199"/>
      <c r="C3258" s="159" t="s">
        <v>2385</v>
      </c>
      <c r="D3258" s="148"/>
      <c r="E3258" s="147"/>
      <c r="F3258" s="161" t="s">
        <v>1989</v>
      </c>
      <c r="G3258" s="161" t="s">
        <v>1990</v>
      </c>
      <c r="H3258" s="160"/>
      <c r="I3258" s="161"/>
      <c r="J3258" s="150"/>
      <c r="U3258" s="137"/>
      <c r="V3258" s="137"/>
      <c r="W3258" s="137"/>
      <c r="X3258" s="137"/>
      <c r="Y3258" s="137"/>
      <c r="Z3258" s="137"/>
      <c r="AA3258" s="137"/>
      <c r="AB3258" s="137"/>
      <c r="AC3258" s="137"/>
      <c r="AD3258" s="137"/>
    </row>
    <row r="3259" spans="1:30" ht="25.5">
      <c r="A3259" s="145"/>
      <c r="B3259" s="199"/>
      <c r="C3259" s="200" t="s">
        <v>2019</v>
      </c>
      <c r="D3259" s="185"/>
      <c r="E3259" s="116"/>
      <c r="F3259" s="136">
        <f>(20-6.79)+(4*20)+(4.47)</f>
        <v>97.68</v>
      </c>
      <c r="G3259" s="136">
        <f>6+1</f>
        <v>7</v>
      </c>
      <c r="H3259" s="160"/>
      <c r="I3259" s="161"/>
      <c r="J3259" s="158">
        <f>ROUND(PRODUCT(E3259:I3259),2)</f>
        <v>683.76</v>
      </c>
      <c r="U3259" s="137"/>
      <c r="V3259" s="137"/>
      <c r="W3259" s="137"/>
      <c r="X3259" s="137"/>
      <c r="Y3259" s="137"/>
      <c r="Z3259" s="137"/>
      <c r="AA3259" s="137"/>
      <c r="AB3259" s="137"/>
      <c r="AC3259" s="137"/>
      <c r="AD3259" s="137"/>
    </row>
    <row r="3260" spans="1:30" ht="12" customHeight="1">
      <c r="A3260" s="550"/>
      <c r="B3260" s="551"/>
      <c r="C3260" s="551"/>
      <c r="D3260" s="551"/>
      <c r="E3260" s="551"/>
      <c r="F3260" s="551"/>
      <c r="G3260" s="551"/>
      <c r="H3260" s="551"/>
      <c r="I3260" s="551"/>
      <c r="J3260" s="552"/>
      <c r="U3260" s="137"/>
      <c r="V3260" s="137"/>
      <c r="W3260" s="137"/>
      <c r="X3260" s="137"/>
      <c r="Y3260" s="137"/>
      <c r="Z3260" s="137"/>
      <c r="AA3260" s="137"/>
      <c r="AB3260" s="137"/>
      <c r="AC3260" s="137"/>
      <c r="AD3260" s="137"/>
    </row>
    <row r="3261" spans="1:30" ht="38.25">
      <c r="A3261" s="145" t="str">
        <f>'[3]Planilha Orçamentária'!A851</f>
        <v>1.14.5.10</v>
      </c>
      <c r="B3261" s="199" t="str">
        <f>VLOOKUP(A3261,'[3]Planilha Orçamentária'!A:K,2,0)</f>
        <v>COMP-28881239</v>
      </c>
      <c r="C3261" s="147" t="str">
        <f>VLOOKUP(A3261,'[3]Planilha Orçamentária'!A:K,3,0)</f>
        <v>Base ou sub-base de macadame hidráulico com brita comercial - EXCLUSIVE MATERIAL, CARGA E TRANSPORTE - NÃO DESONERADO</v>
      </c>
      <c r="D3261" s="148" t="str">
        <f>VLOOKUP(A3261,'[3]Planilha Orçamentária'!A:K,4,0)</f>
        <v>M3</v>
      </c>
      <c r="E3261" s="147"/>
      <c r="F3261" s="160"/>
      <c r="G3261" s="160"/>
      <c r="H3261" s="160"/>
      <c r="I3261" s="160"/>
      <c r="J3261" s="150">
        <f>ROUND(SUM(J3263:J3263),2)</f>
        <v>102.56</v>
      </c>
      <c r="U3261" s="137"/>
      <c r="V3261" s="137"/>
      <c r="W3261" s="137"/>
      <c r="X3261" s="137"/>
      <c r="Y3261" s="137"/>
      <c r="Z3261" s="137"/>
      <c r="AA3261" s="137"/>
      <c r="AB3261" s="137"/>
      <c r="AC3261" s="137"/>
      <c r="AD3261" s="137"/>
    </row>
    <row r="3262" spans="1:30" ht="12" customHeight="1">
      <c r="A3262" s="145"/>
      <c r="B3262" s="145"/>
      <c r="C3262" s="159" t="s">
        <v>2385</v>
      </c>
      <c r="D3262" s="145"/>
      <c r="E3262" s="145"/>
      <c r="F3262" s="161" t="s">
        <v>1989</v>
      </c>
      <c r="G3262" s="161" t="s">
        <v>1990</v>
      </c>
      <c r="H3262" s="161" t="s">
        <v>2002</v>
      </c>
      <c r="I3262" s="145"/>
      <c r="J3262" s="145"/>
      <c r="U3262" s="137"/>
      <c r="V3262" s="137"/>
      <c r="W3262" s="137"/>
      <c r="X3262" s="137"/>
      <c r="Y3262" s="137"/>
      <c r="Z3262" s="137"/>
      <c r="AA3262" s="137"/>
      <c r="AB3262" s="137"/>
      <c r="AC3262" s="137"/>
      <c r="AD3262" s="137"/>
    </row>
    <row r="3263" spans="1:30" ht="28.5">
      <c r="A3263" s="145"/>
      <c r="B3263" s="145"/>
      <c r="C3263" s="204" t="s">
        <v>2020</v>
      </c>
      <c r="D3263" s="145"/>
      <c r="E3263" s="145"/>
      <c r="F3263" s="136">
        <f>F3259</f>
        <v>97.68</v>
      </c>
      <c r="G3263" s="136">
        <f>6+0.5+0.5</f>
        <v>7</v>
      </c>
      <c r="H3263" s="136">
        <v>0.15</v>
      </c>
      <c r="I3263" s="145"/>
      <c r="J3263" s="158">
        <f>ROUND(PRODUCT(E3263:I3263),2)</f>
        <v>102.56</v>
      </c>
      <c r="U3263" s="137"/>
      <c r="V3263" s="137"/>
      <c r="W3263" s="137"/>
      <c r="X3263" s="137"/>
      <c r="Y3263" s="137"/>
      <c r="Z3263" s="137"/>
      <c r="AA3263" s="137"/>
      <c r="AB3263" s="137"/>
      <c r="AC3263" s="137"/>
      <c r="AD3263" s="137"/>
    </row>
    <row r="3264" spans="1:30" ht="12" customHeight="1">
      <c r="A3264" s="145"/>
      <c r="B3264" s="145"/>
      <c r="C3264" s="145"/>
      <c r="D3264" s="145"/>
      <c r="E3264" s="145"/>
      <c r="F3264" s="145"/>
      <c r="G3264" s="145"/>
      <c r="H3264" s="145"/>
      <c r="I3264" s="145"/>
      <c r="J3264" s="145"/>
      <c r="U3264" s="137"/>
      <c r="V3264" s="137"/>
      <c r="W3264" s="137"/>
      <c r="X3264" s="137"/>
      <c r="Y3264" s="137"/>
      <c r="Z3264" s="137"/>
      <c r="AA3264" s="137"/>
      <c r="AB3264" s="137"/>
      <c r="AC3264" s="137"/>
      <c r="AD3264" s="137"/>
    </row>
    <row r="3265" spans="1:30" ht="38.25">
      <c r="A3265" s="186" t="str">
        <f>'[3]Planilha Orçamentária'!A852</f>
        <v>1.14.5.11</v>
      </c>
      <c r="B3265" s="187" t="str">
        <f>VLOOKUP(A3265,'[3]Planilha Orçamentária'!A:K,2,0)</f>
        <v>CP-96396-26507981</v>
      </c>
      <c r="C3265" s="188" t="str">
        <f>VLOOKUP(A3265,'[3]Planilha Orçamentária'!A:K,3,0)</f>
        <v>EXECUÇÃO E COMPACTAÇÃO DE BASE E OU SUB BASE PARA PAVIMENTAÇÃO DE BRITA GRADUADA SIMPLES - EXCLUSIVE MATERIAL, CARGA E TRANSPORTE</v>
      </c>
      <c r="D3265" s="189" t="str">
        <f>VLOOKUP(A3265,'[3]Planilha Orçamentária'!A:K,4,0)</f>
        <v>M3</v>
      </c>
      <c r="E3265" s="188"/>
      <c r="F3265" s="190"/>
      <c r="G3265" s="190"/>
      <c r="H3265" s="190"/>
      <c r="I3265" s="190"/>
      <c r="J3265" s="203">
        <f>ROUND(SUM(J3267:J3267),2)</f>
        <v>117.22</v>
      </c>
      <c r="U3265" s="137"/>
      <c r="V3265" s="137"/>
      <c r="W3265" s="137"/>
      <c r="X3265" s="137"/>
      <c r="Y3265" s="137"/>
      <c r="Z3265" s="137"/>
      <c r="AA3265" s="137"/>
      <c r="AB3265" s="137"/>
      <c r="AC3265" s="137"/>
      <c r="AD3265" s="137"/>
    </row>
    <row r="3266" spans="1:30" ht="12" customHeight="1">
      <c r="A3266" s="186"/>
      <c r="B3266" s="187"/>
      <c r="C3266" s="159" t="s">
        <v>2385</v>
      </c>
      <c r="D3266" s="148"/>
      <c r="E3266" s="147"/>
      <c r="F3266" s="161" t="s">
        <v>1989</v>
      </c>
      <c r="G3266" s="161" t="s">
        <v>1990</v>
      </c>
      <c r="H3266" s="161" t="s">
        <v>2002</v>
      </c>
      <c r="I3266" s="161"/>
      <c r="J3266" s="203"/>
      <c r="U3266" s="137"/>
      <c r="V3266" s="137"/>
      <c r="W3266" s="137"/>
      <c r="X3266" s="137"/>
      <c r="Y3266" s="137"/>
      <c r="Z3266" s="137"/>
      <c r="AA3266" s="137"/>
      <c r="AB3266" s="137"/>
      <c r="AC3266" s="137"/>
      <c r="AD3266" s="137"/>
    </row>
    <row r="3267" spans="1:30" ht="28.5">
      <c r="A3267" s="186"/>
      <c r="B3267" s="187"/>
      <c r="C3267" s="204" t="s">
        <v>2021</v>
      </c>
      <c r="D3267" s="148"/>
      <c r="E3267" s="147"/>
      <c r="F3267" s="167">
        <f>F3259</f>
        <v>97.68</v>
      </c>
      <c r="G3267" s="136">
        <v>6</v>
      </c>
      <c r="H3267" s="161">
        <v>0.2</v>
      </c>
      <c r="I3267" s="167"/>
      <c r="J3267" s="176">
        <f>ROUND(PRODUCT(E3267:I3267),2)</f>
        <v>117.22</v>
      </c>
      <c r="U3267" s="137"/>
      <c r="V3267" s="137"/>
      <c r="W3267" s="137"/>
      <c r="X3267" s="137"/>
      <c r="Y3267" s="137"/>
      <c r="Z3267" s="137"/>
      <c r="AA3267" s="137"/>
      <c r="AB3267" s="137"/>
      <c r="AC3267" s="137"/>
      <c r="AD3267" s="137"/>
    </row>
    <row r="3268" spans="1:30" ht="12" customHeight="1">
      <c r="A3268" s="205"/>
      <c r="B3268" s="206"/>
      <c r="C3268" s="171"/>
      <c r="D3268" s="189"/>
      <c r="E3268" s="188"/>
      <c r="F3268" s="207"/>
      <c r="G3268" s="207"/>
      <c r="H3268" s="208"/>
      <c r="I3268" s="209"/>
      <c r="J3268" s="196"/>
      <c r="U3268" s="137"/>
      <c r="V3268" s="137"/>
      <c r="W3268" s="137"/>
      <c r="X3268" s="137"/>
      <c r="Y3268" s="137"/>
      <c r="Z3268" s="137"/>
      <c r="AA3268" s="137"/>
      <c r="AB3268" s="137"/>
      <c r="AC3268" s="137"/>
      <c r="AD3268" s="137"/>
    </row>
    <row r="3269" spans="1:30" ht="51">
      <c r="A3269" s="132" t="str">
        <f>'[3]Planilha Orçamentária'!A853</f>
        <v>1.14.5.12</v>
      </c>
      <c r="B3269" s="108" t="str">
        <f>VLOOKUP(A3269,'[3]Planilha Orçamentária'!A:K,2,0)</f>
        <v>COMP-35145154</v>
      </c>
      <c r="C3269" s="104" t="str">
        <f>VLOOKUP(A3269,'[3]Planilha Orçamentária'!A:K,3,0)</f>
        <v>CARGA E DESCARGA MECANICA DE SOLO UTILIZANDO CAMINHAO BASCULANTE 14,0M3/36T E PA CARREGADEIRA SOBRE PNEUS 128 HP, CAPACIDADE DA CAÇAMBA 1,7 A 2,8 M3, PESO OPERACIONAL 11632 KH</v>
      </c>
      <c r="D3269" s="105" t="str">
        <f>VLOOKUP(A3269,'[3]Planilha Orçamentária'!A:K,4,0)</f>
        <v>M3</v>
      </c>
      <c r="E3269" s="104"/>
      <c r="F3269" s="111"/>
      <c r="G3269" s="111"/>
      <c r="H3269" s="111"/>
      <c r="I3269" s="111"/>
      <c r="J3269" s="122">
        <f>ROUND(SUM(J3271:J3271),2)</f>
        <v>274.73</v>
      </c>
      <c r="U3269" s="137"/>
      <c r="V3269" s="137"/>
      <c r="W3269" s="137"/>
      <c r="X3269" s="137"/>
      <c r="Y3269" s="137"/>
      <c r="Z3269" s="137"/>
      <c r="AA3269" s="137"/>
      <c r="AB3269" s="137"/>
      <c r="AC3269" s="137"/>
      <c r="AD3269" s="137"/>
    </row>
    <row r="3270" spans="1:30" ht="24.75" customHeight="1">
      <c r="A3270" s="132"/>
      <c r="B3270" s="108"/>
      <c r="C3270" s="147"/>
      <c r="D3270" s="148"/>
      <c r="E3270" s="220" t="s">
        <v>2006</v>
      </c>
      <c r="F3270" s="106"/>
      <c r="G3270" s="111"/>
      <c r="H3270" s="111"/>
      <c r="I3270" s="143" t="s">
        <v>2022</v>
      </c>
      <c r="J3270" s="122"/>
      <c r="U3270" s="137"/>
      <c r="V3270" s="137"/>
      <c r="W3270" s="137"/>
      <c r="X3270" s="137"/>
      <c r="Y3270" s="137"/>
      <c r="Z3270" s="137"/>
      <c r="AA3270" s="137"/>
      <c r="AB3270" s="137"/>
      <c r="AC3270" s="137"/>
      <c r="AD3270" s="137"/>
    </row>
    <row r="3271" spans="1:30" ht="14.25">
      <c r="A3271" s="132"/>
      <c r="B3271" s="108"/>
      <c r="C3271" s="221" t="s">
        <v>2023</v>
      </c>
      <c r="D3271" s="156"/>
      <c r="E3271" s="106">
        <v>1.25</v>
      </c>
      <c r="F3271" s="238"/>
      <c r="G3271" s="205"/>
      <c r="H3271" s="205"/>
      <c r="I3271" s="239">
        <f>J3265+J3261</f>
        <v>219.78</v>
      </c>
      <c r="J3271" s="342">
        <f t="shared" ref="J3271" si="223">ROUND(PRODUCT(E3271:I3271),2)</f>
        <v>274.73</v>
      </c>
      <c r="U3271" s="137"/>
      <c r="V3271" s="137"/>
      <c r="W3271" s="137"/>
      <c r="X3271" s="137"/>
      <c r="Y3271" s="137"/>
      <c r="Z3271" s="137"/>
      <c r="AA3271" s="137"/>
      <c r="AB3271" s="137"/>
      <c r="AC3271" s="137"/>
      <c r="AD3271" s="137"/>
    </row>
    <row r="3272" spans="1:30" ht="12" customHeight="1">
      <c r="A3272" s="549"/>
      <c r="B3272" s="549"/>
      <c r="C3272" s="549"/>
      <c r="D3272" s="549"/>
      <c r="E3272" s="549"/>
      <c r="F3272" s="549"/>
      <c r="G3272" s="549"/>
      <c r="H3272" s="549"/>
      <c r="I3272" s="549"/>
      <c r="J3272" s="549"/>
      <c r="U3272" s="137"/>
      <c r="V3272" s="137"/>
      <c r="W3272" s="137"/>
      <c r="X3272" s="137"/>
      <c r="Y3272" s="137"/>
      <c r="Z3272" s="137"/>
      <c r="AA3272" s="137"/>
      <c r="AB3272" s="137"/>
      <c r="AC3272" s="137"/>
      <c r="AD3272" s="137"/>
    </row>
    <row r="3273" spans="1:30" ht="25.5">
      <c r="A3273" s="132" t="str">
        <f>'[3]Planilha Orçamentária'!A854</f>
        <v>1.14.5.13</v>
      </c>
      <c r="B3273" s="108" t="str">
        <f>VLOOKUP(A3273,'[3]Planilha Orçamentária'!A:K,2,0)</f>
        <v>COMP-83526730</v>
      </c>
      <c r="C3273" s="104" t="str">
        <f>VLOOKUP(A3273,'[3]Planilha Orçamentária'!A:K,3,0)</f>
        <v>TRANSPORTE COMERCIAL DE BRITA</v>
      </c>
      <c r="D3273" s="105" t="str">
        <f>VLOOKUP(A3273,'[3]Planilha Orçamentária'!A:K,4,0)</f>
        <v>M3XKM</v>
      </c>
      <c r="E3273" s="104"/>
      <c r="F3273" s="111"/>
      <c r="G3273" s="111"/>
      <c r="H3273" s="111"/>
      <c r="I3273" s="111"/>
      <c r="J3273" s="122">
        <f>ROUND(SUM(J3275:J3275),2)</f>
        <v>3131.92</v>
      </c>
      <c r="U3273" s="137"/>
      <c r="V3273" s="137"/>
      <c r="W3273" s="137"/>
      <c r="X3273" s="137"/>
      <c r="Y3273" s="137"/>
      <c r="Z3273" s="137"/>
      <c r="AA3273" s="137"/>
      <c r="AB3273" s="137"/>
      <c r="AC3273" s="137"/>
      <c r="AD3273" s="137"/>
    </row>
    <row r="3274" spans="1:30">
      <c r="A3274" s="132"/>
      <c r="B3274" s="108"/>
      <c r="C3274" s="159" t="s">
        <v>2388</v>
      </c>
      <c r="D3274" s="105"/>
      <c r="E3274" s="165" t="s">
        <v>2011</v>
      </c>
      <c r="F3274" s="106"/>
      <c r="G3274" s="106"/>
      <c r="H3274" s="106"/>
      <c r="I3274" s="106" t="s">
        <v>2007</v>
      </c>
      <c r="J3274" s="122"/>
      <c r="U3274" s="137"/>
      <c r="V3274" s="137"/>
      <c r="W3274" s="137"/>
      <c r="X3274" s="137"/>
      <c r="Y3274" s="137"/>
      <c r="Z3274" s="137"/>
      <c r="AA3274" s="137"/>
      <c r="AB3274" s="137"/>
      <c r="AC3274" s="137"/>
      <c r="AD3274" s="137"/>
    </row>
    <row r="3275" spans="1:30" ht="14.25">
      <c r="A3275" s="132"/>
      <c r="B3275" s="108"/>
      <c r="C3275" s="204" t="s">
        <v>2389</v>
      </c>
      <c r="D3275" s="174"/>
      <c r="E3275" s="239">
        <v>11.4</v>
      </c>
      <c r="F3275" s="223"/>
      <c r="G3275" s="174"/>
      <c r="H3275" s="174"/>
      <c r="I3275" s="224">
        <f>J3269</f>
        <v>274.73</v>
      </c>
      <c r="J3275" s="342">
        <f t="shared" ref="J3275" si="224">ROUND(PRODUCT(E3275:I3275),2)</f>
        <v>3131.92</v>
      </c>
      <c r="U3275" s="137"/>
      <c r="V3275" s="137"/>
      <c r="W3275" s="137"/>
      <c r="X3275" s="137"/>
      <c r="Y3275" s="137"/>
      <c r="Z3275" s="137"/>
      <c r="AA3275" s="137"/>
      <c r="AB3275" s="137"/>
      <c r="AC3275" s="137"/>
      <c r="AD3275" s="137"/>
    </row>
    <row r="3276" spans="1:30" ht="12" customHeight="1">
      <c r="A3276" s="549"/>
      <c r="B3276" s="549"/>
      <c r="C3276" s="549"/>
      <c r="D3276" s="549"/>
      <c r="E3276" s="549"/>
      <c r="F3276" s="549"/>
      <c r="G3276" s="549"/>
      <c r="H3276" s="549"/>
      <c r="I3276" s="549"/>
      <c r="J3276" s="549"/>
      <c r="U3276" s="137"/>
      <c r="V3276" s="137"/>
      <c r="W3276" s="137"/>
      <c r="X3276" s="137"/>
      <c r="Y3276" s="137"/>
      <c r="Z3276" s="137"/>
      <c r="AA3276" s="137"/>
      <c r="AB3276" s="137"/>
      <c r="AC3276" s="137"/>
      <c r="AD3276" s="137"/>
    </row>
    <row r="3277" spans="1:30" ht="25.5">
      <c r="A3277" s="132" t="str">
        <f>'[3]Planilha Orçamentária'!A855</f>
        <v>1.14.5.14</v>
      </c>
      <c r="B3277" s="108" t="str">
        <f>VLOOKUP(A3277,'[3]Planilha Orçamentária'!A:K,2,0)</f>
        <v>CP-97084-89637704</v>
      </c>
      <c r="C3277" s="104" t="str">
        <f>VLOOKUP(A3277,'[3]Planilha Orçamentária'!A:K,3,0)</f>
        <v>REGULARIZACAO E COMPACTAÇÃO MANUAL DE TERRENO COM PLACA VIBRATÓRIA</v>
      </c>
      <c r="D3277" s="105" t="str">
        <f>VLOOKUP(A3277,'[3]Planilha Orçamentária'!A:K,4,0)</f>
        <v>M2</v>
      </c>
      <c r="E3277" s="104"/>
      <c r="F3277" s="111"/>
      <c r="G3277" s="111"/>
      <c r="H3277" s="111"/>
      <c r="I3277" s="111"/>
      <c r="J3277" s="122">
        <f>ROUND(SUM(J3279:J3279),2)</f>
        <v>1335.98</v>
      </c>
      <c r="U3277" s="137"/>
      <c r="V3277" s="137"/>
      <c r="W3277" s="137"/>
      <c r="X3277" s="137"/>
      <c r="Y3277" s="137"/>
      <c r="Z3277" s="137"/>
      <c r="AA3277" s="137"/>
      <c r="AB3277" s="137"/>
      <c r="AC3277" s="137"/>
      <c r="AD3277" s="137"/>
    </row>
    <row r="3278" spans="1:30" ht="12" customHeight="1">
      <c r="A3278" s="132"/>
      <c r="B3278" s="108"/>
      <c r="C3278" s="159" t="s">
        <v>2385</v>
      </c>
      <c r="D3278" s="105"/>
      <c r="E3278" s="104"/>
      <c r="F3278" s="106"/>
      <c r="G3278" s="111"/>
      <c r="H3278" s="111"/>
      <c r="I3278" s="161" t="s">
        <v>2003</v>
      </c>
      <c r="J3278" s="122"/>
      <c r="U3278" s="137"/>
      <c r="V3278" s="137"/>
      <c r="W3278" s="137"/>
      <c r="X3278" s="137"/>
      <c r="Y3278" s="137"/>
      <c r="Z3278" s="137"/>
      <c r="AA3278" s="137"/>
      <c r="AB3278" s="137"/>
      <c r="AC3278" s="137"/>
      <c r="AD3278" s="137"/>
    </row>
    <row r="3279" spans="1:30">
      <c r="A3279" s="132"/>
      <c r="B3279" s="108"/>
      <c r="C3279" s="244" t="s">
        <v>2033</v>
      </c>
      <c r="D3279" s="174"/>
      <c r="E3279" s="174"/>
      <c r="F3279" s="223"/>
      <c r="G3279" s="143"/>
      <c r="H3279" s="143"/>
      <c r="I3279" s="127">
        <f>23.29+222.32+589.88+500.49</f>
        <v>1335.98</v>
      </c>
      <c r="J3279" s="128">
        <f t="shared" ref="J3279" si="225">ROUND(PRODUCT(E3279:I3279),2)</f>
        <v>1335.98</v>
      </c>
      <c r="U3279" s="137"/>
      <c r="V3279" s="137"/>
      <c r="W3279" s="137"/>
      <c r="X3279" s="137"/>
      <c r="Y3279" s="137"/>
      <c r="Z3279" s="137"/>
      <c r="AA3279" s="137"/>
      <c r="AB3279" s="137"/>
      <c r="AC3279" s="137"/>
      <c r="AD3279" s="137"/>
    </row>
    <row r="3280" spans="1:30" ht="12" customHeight="1">
      <c r="A3280" s="528"/>
      <c r="B3280" s="529"/>
      <c r="C3280" s="529"/>
      <c r="D3280" s="529"/>
      <c r="E3280" s="529"/>
      <c r="F3280" s="529"/>
      <c r="G3280" s="529"/>
      <c r="H3280" s="529"/>
      <c r="I3280" s="529"/>
      <c r="J3280" s="529"/>
      <c r="U3280" s="137"/>
      <c r="V3280" s="137"/>
      <c r="W3280" s="137"/>
      <c r="X3280" s="137"/>
      <c r="Y3280" s="137"/>
      <c r="Z3280" s="137"/>
      <c r="AA3280" s="137"/>
      <c r="AB3280" s="137"/>
      <c r="AC3280" s="137"/>
      <c r="AD3280" s="137"/>
    </row>
    <row r="3281" spans="1:30" ht="51">
      <c r="A3281" s="132" t="str">
        <f>'[3]Planilha Orçamentária'!A856</f>
        <v>1.14.5.15</v>
      </c>
      <c r="B3281" s="108" t="str">
        <f>VLOOKUP(A3281,'[3]Planilha Orçamentária'!A:K,2,0)</f>
        <v>CP-94991-12549457</v>
      </c>
      <c r="C3281" s="104" t="str">
        <f>VLOOKUP(A3281,'[3]Planilha Orçamentária'!A:K,3,0)</f>
        <v>EXECUÇÃO DE PASSEIO (CALÇADA) OU PISO DE CONCRETO COM CONCRETO MOLDADO IN LOCO, USINADO, ACABAMENTO CONVENCIONAL, NÃO ARMADO - EXCLUINDO O CONCRETO USINADO 20MPA</v>
      </c>
      <c r="D3281" s="105" t="str">
        <f>VLOOKUP(A3281,'[3]Planilha Orçamentária'!A:K,4,0)</f>
        <v>M3</v>
      </c>
      <c r="E3281" s="104"/>
      <c r="F3281" s="111"/>
      <c r="G3281" s="111"/>
      <c r="H3281" s="111"/>
      <c r="I3281" s="111"/>
      <c r="J3281" s="122">
        <f>ROUND(SUM(J3283:J3284),2)</f>
        <v>91.66</v>
      </c>
      <c r="U3281" s="137"/>
      <c r="V3281" s="137"/>
      <c r="W3281" s="137"/>
      <c r="X3281" s="137"/>
      <c r="Y3281" s="137"/>
      <c r="Z3281" s="137"/>
      <c r="AA3281" s="137"/>
      <c r="AB3281" s="137"/>
      <c r="AC3281" s="137"/>
      <c r="AD3281" s="137"/>
    </row>
    <row r="3282" spans="1:30" ht="12" customHeight="1">
      <c r="A3282" s="132"/>
      <c r="B3282" s="108"/>
      <c r="C3282" s="159" t="s">
        <v>2385</v>
      </c>
      <c r="D3282" s="105"/>
      <c r="E3282" s="104"/>
      <c r="F3282" s="106"/>
      <c r="G3282" s="111"/>
      <c r="H3282" s="111"/>
      <c r="I3282" s="111"/>
      <c r="J3282" s="122"/>
      <c r="U3282" s="137"/>
      <c r="V3282" s="137"/>
      <c r="W3282" s="137"/>
      <c r="X3282" s="137"/>
      <c r="Y3282" s="137"/>
      <c r="Z3282" s="137"/>
      <c r="AA3282" s="137"/>
      <c r="AB3282" s="137"/>
      <c r="AC3282" s="137"/>
      <c r="AD3282" s="137"/>
    </row>
    <row r="3283" spans="1:30">
      <c r="A3283" s="225"/>
      <c r="B3283" s="236"/>
      <c r="C3283" s="244" t="s">
        <v>2033</v>
      </c>
      <c r="D3283" s="174"/>
      <c r="E3283" s="174"/>
      <c r="F3283" s="223"/>
      <c r="G3283" s="143"/>
      <c r="H3283" s="143">
        <v>7.0000000000000007E-2</v>
      </c>
      <c r="I3283" s="127">
        <f>J3279</f>
        <v>1335.98</v>
      </c>
      <c r="J3283" s="128">
        <f t="shared" ref="J3283:J3284" si="226">ROUND(PRODUCT(E3283:I3283),2)</f>
        <v>93.52</v>
      </c>
      <c r="U3283" s="137"/>
      <c r="V3283" s="137"/>
      <c r="W3283" s="137"/>
      <c r="X3283" s="137"/>
      <c r="Y3283" s="137"/>
      <c r="Z3283" s="137"/>
      <c r="AA3283" s="137"/>
      <c r="AB3283" s="137"/>
      <c r="AC3283" s="137"/>
      <c r="AD3283" s="137"/>
    </row>
    <row r="3284" spans="1:30">
      <c r="A3284" s="132"/>
      <c r="B3284" s="108"/>
      <c r="C3284" s="155" t="s">
        <v>2034</v>
      </c>
      <c r="D3284" s="174"/>
      <c r="E3284" s="174">
        <v>-1</v>
      </c>
      <c r="F3284" s="223"/>
      <c r="G3284" s="143"/>
      <c r="H3284" s="143">
        <v>7.0000000000000007E-2</v>
      </c>
      <c r="I3284" s="127">
        <f>J3334</f>
        <v>26.5</v>
      </c>
      <c r="J3284" s="128">
        <f t="shared" si="226"/>
        <v>-1.86</v>
      </c>
      <c r="U3284" s="137"/>
      <c r="V3284" s="137"/>
      <c r="W3284" s="137"/>
      <c r="X3284" s="137"/>
      <c r="Y3284" s="137"/>
      <c r="Z3284" s="137"/>
      <c r="AA3284" s="137"/>
      <c r="AB3284" s="137"/>
      <c r="AC3284" s="137"/>
      <c r="AD3284" s="137"/>
    </row>
    <row r="3285" spans="1:30" ht="12" customHeight="1">
      <c r="A3285" s="528"/>
      <c r="B3285" s="529"/>
      <c r="C3285" s="529"/>
      <c r="D3285" s="529"/>
      <c r="E3285" s="529"/>
      <c r="F3285" s="529"/>
      <c r="G3285" s="529"/>
      <c r="H3285" s="529"/>
      <c r="I3285" s="529"/>
      <c r="J3285" s="529"/>
      <c r="U3285" s="137"/>
      <c r="V3285" s="137"/>
      <c r="W3285" s="137"/>
      <c r="X3285" s="137"/>
      <c r="Y3285" s="137"/>
      <c r="Z3285" s="137"/>
      <c r="AA3285" s="137"/>
      <c r="AB3285" s="137"/>
      <c r="AC3285" s="137"/>
      <c r="AD3285" s="137"/>
    </row>
    <row r="3286" spans="1:30" ht="63.75">
      <c r="A3286" s="132" t="str">
        <f>'[3]Planilha Orçamentária'!A857</f>
        <v>1.14.5.16</v>
      </c>
      <c r="B3286" s="108">
        <f>VLOOKUP(A3286,'[3]Planilha Orçamentária'!A:K,2,0)</f>
        <v>94273</v>
      </c>
      <c r="C3286" s="104" t="str">
        <f>VLOOKUP(A3286,'[3]Planilha Orçamentária'!A:K,3,0)</f>
        <v>ASSENTAMENTO DE GUIA (MEIO-FIO) EM TRECHO RETO, CONFECCIONADA EM CONCRETO PRÉ-FABRICADO, DIMENSÕES 100X15X13X30 CM (COMPRIMENTO X BASE INFERIOR X BASE SUPERIOR X ALTURA), PARA VIAS URBANAS (USO VIÁRIO). AF_06/2016</v>
      </c>
      <c r="D3286" s="105" t="str">
        <f>VLOOKUP(A3286,'[3]Planilha Orçamentária'!A:K,4,0)</f>
        <v>M</v>
      </c>
      <c r="E3286" s="104"/>
      <c r="F3286" s="111"/>
      <c r="G3286" s="111"/>
      <c r="H3286" s="111"/>
      <c r="I3286" s="111"/>
      <c r="J3286" s="122">
        <f>ROUND(SUM(J3288:J3288),2)</f>
        <v>623.99</v>
      </c>
      <c r="U3286" s="137"/>
      <c r="V3286" s="137"/>
      <c r="W3286" s="137"/>
      <c r="X3286" s="137"/>
      <c r="Y3286" s="137"/>
      <c r="Z3286" s="137"/>
      <c r="AA3286" s="137"/>
      <c r="AB3286" s="137"/>
      <c r="AC3286" s="137"/>
      <c r="AD3286" s="137"/>
    </row>
    <row r="3287" spans="1:30" ht="12" customHeight="1">
      <c r="A3287" s="132"/>
      <c r="B3287" s="108"/>
      <c r="C3287" s="159" t="s">
        <v>2385</v>
      </c>
      <c r="D3287" s="105"/>
      <c r="E3287" s="104"/>
      <c r="F3287" s="106" t="s">
        <v>1989</v>
      </c>
      <c r="G3287" s="111"/>
      <c r="H3287" s="111"/>
      <c r="I3287" s="111"/>
      <c r="J3287" s="122"/>
      <c r="U3287" s="137"/>
      <c r="V3287" s="137"/>
      <c r="W3287" s="137"/>
      <c r="X3287" s="137"/>
      <c r="Y3287" s="137"/>
      <c r="Z3287" s="137"/>
      <c r="AA3287" s="137"/>
      <c r="AB3287" s="137"/>
      <c r="AC3287" s="137"/>
      <c r="AD3287" s="137"/>
    </row>
    <row r="3288" spans="1:30" ht="25.5">
      <c r="A3288" s="132"/>
      <c r="B3288" s="108"/>
      <c r="C3288" s="247" t="s">
        <v>2035</v>
      </c>
      <c r="D3288" s="105"/>
      <c r="E3288" s="104"/>
      <c r="F3288" s="223">
        <f>(13.45+95.25+181.3+368.85)-F3292</f>
        <v>623.99</v>
      </c>
      <c r="G3288" s="111"/>
      <c r="H3288" s="111"/>
      <c r="I3288" s="111"/>
      <c r="J3288" s="128">
        <f t="shared" ref="J3288" si="227">ROUND(PRODUCT(E3288:I3288),2)</f>
        <v>623.99</v>
      </c>
      <c r="U3288" s="137"/>
      <c r="V3288" s="137"/>
      <c r="W3288" s="137"/>
      <c r="X3288" s="137"/>
      <c r="Y3288" s="137"/>
      <c r="Z3288" s="137"/>
      <c r="AA3288" s="137"/>
      <c r="AB3288" s="137"/>
      <c r="AC3288" s="137"/>
      <c r="AD3288" s="137"/>
    </row>
    <row r="3289" spans="1:30" ht="12" customHeight="1">
      <c r="A3289" s="528"/>
      <c r="B3289" s="529"/>
      <c r="C3289" s="529"/>
      <c r="D3289" s="529"/>
      <c r="E3289" s="529"/>
      <c r="F3289" s="529"/>
      <c r="G3289" s="529"/>
      <c r="H3289" s="529"/>
      <c r="I3289" s="529"/>
      <c r="J3289" s="529"/>
      <c r="U3289" s="137"/>
      <c r="V3289" s="137"/>
      <c r="W3289" s="137"/>
      <c r="X3289" s="137"/>
      <c r="Y3289" s="137"/>
      <c r="Z3289" s="137"/>
      <c r="AA3289" s="137"/>
      <c r="AB3289" s="137"/>
      <c r="AC3289" s="137"/>
      <c r="AD3289" s="137"/>
    </row>
    <row r="3290" spans="1:30" ht="63.75">
      <c r="A3290" s="132" t="str">
        <f>'[3]Planilha Orçamentária'!A858</f>
        <v>1.14.5.17</v>
      </c>
      <c r="B3290" s="108">
        <f>VLOOKUP(A3290,'[3]Planilha Orçamentária'!A:K,2,0)</f>
        <v>94274</v>
      </c>
      <c r="C3290" s="104" t="str">
        <f>VLOOKUP(A3290,'[3]Planilha Orçamentária'!A:K,3,0)</f>
        <v>ASSENTAMENTO DE GUIA (MEIO-FIO) EM TRECHO CURVO, CONFECCIONADA EM CONCRETO PRÉ-FABRICADO, DIMENSÕES 100X15X13X30 CM (COMPRIMENTO X BASE INFERIOR X BASE SUPERIOR X ALTURA), PARA VIAS URBANAS (USO VIÁRIO). AF_06/2016</v>
      </c>
      <c r="D3290" s="105" t="str">
        <f>VLOOKUP(A3290,'[3]Planilha Orçamentária'!A:K,4,0)</f>
        <v>M</v>
      </c>
      <c r="E3290" s="104"/>
      <c r="F3290" s="111"/>
      <c r="G3290" s="111"/>
      <c r="H3290" s="111"/>
      <c r="I3290" s="111"/>
      <c r="J3290" s="122">
        <f>ROUND(SUM(J3292:J3292),2)</f>
        <v>34.86</v>
      </c>
      <c r="U3290" s="137"/>
      <c r="V3290" s="137"/>
      <c r="W3290" s="137"/>
      <c r="X3290" s="137"/>
      <c r="Y3290" s="137"/>
      <c r="Z3290" s="137"/>
      <c r="AA3290" s="137"/>
      <c r="AB3290" s="137"/>
      <c r="AC3290" s="137"/>
      <c r="AD3290" s="137"/>
    </row>
    <row r="3291" spans="1:30" ht="12" customHeight="1">
      <c r="A3291" s="132"/>
      <c r="B3291" s="108"/>
      <c r="C3291" s="159" t="s">
        <v>2385</v>
      </c>
      <c r="D3291" s="105"/>
      <c r="E3291" s="104"/>
      <c r="F3291" s="106" t="s">
        <v>1989</v>
      </c>
      <c r="G3291" s="111"/>
      <c r="H3291" s="111"/>
      <c r="I3291" s="111"/>
      <c r="J3291" s="122"/>
      <c r="U3291" s="137"/>
      <c r="V3291" s="137"/>
      <c r="W3291" s="137"/>
      <c r="X3291" s="137"/>
      <c r="Y3291" s="137"/>
      <c r="Z3291" s="137"/>
      <c r="AA3291" s="137"/>
      <c r="AB3291" s="137"/>
      <c r="AC3291" s="137"/>
      <c r="AD3291" s="137"/>
    </row>
    <row r="3292" spans="1:30" ht="12" customHeight="1">
      <c r="A3292" s="225"/>
      <c r="B3292" s="236"/>
      <c r="C3292" s="245" t="s">
        <v>2037</v>
      </c>
      <c r="D3292" s="228"/>
      <c r="E3292" s="227"/>
      <c r="F3292" s="246">
        <f>4.57+3.94+5+4.35+4.48+3.41+4.66+4.45</f>
        <v>34.86</v>
      </c>
      <c r="G3292" s="229"/>
      <c r="H3292" s="229"/>
      <c r="I3292" s="229"/>
      <c r="J3292" s="128">
        <f t="shared" ref="J3292" si="228">ROUND(PRODUCT(E3292:I3292),2)</f>
        <v>34.86</v>
      </c>
      <c r="U3292" s="137"/>
      <c r="V3292" s="137"/>
      <c r="W3292" s="137"/>
      <c r="X3292" s="137"/>
      <c r="Y3292" s="137"/>
      <c r="Z3292" s="137"/>
      <c r="AA3292" s="137"/>
      <c r="AB3292" s="137"/>
      <c r="AC3292" s="137"/>
      <c r="AD3292" s="137"/>
    </row>
    <row r="3293" spans="1:30" ht="12" customHeight="1">
      <c r="A3293" s="528"/>
      <c r="B3293" s="529"/>
      <c r="C3293" s="529"/>
      <c r="D3293" s="529"/>
      <c r="E3293" s="529"/>
      <c r="F3293" s="529"/>
      <c r="G3293" s="529"/>
      <c r="H3293" s="529"/>
      <c r="I3293" s="529"/>
      <c r="J3293" s="529"/>
      <c r="U3293" s="137"/>
      <c r="V3293" s="137"/>
      <c r="W3293" s="137"/>
      <c r="X3293" s="137"/>
      <c r="Y3293" s="137"/>
      <c r="Z3293" s="137"/>
      <c r="AA3293" s="137"/>
      <c r="AB3293" s="137"/>
      <c r="AC3293" s="137"/>
      <c r="AD3293" s="137"/>
    </row>
    <row r="3294" spans="1:30" ht="38.25">
      <c r="A3294" s="132" t="str">
        <f>'[3]Planilha Orçamentária'!A859</f>
        <v>1.14.5.18</v>
      </c>
      <c r="B3294" s="108">
        <f>VLOOKUP(A3294,'[3]Planilha Orçamentária'!A:K,2,0)</f>
        <v>94287</v>
      </c>
      <c r="C3294" s="104" t="str">
        <f>VLOOKUP(A3294,'[3]Planilha Orçamentária'!A:K,3,0)</f>
        <v>EXECUÇÃO DE SARJETA DE CONCRETO USINADO, MOLDADA  IN LOCO  EM TRECHO RETO, 30 CM BASE X 10 CM ALTURA. AF_06/2016</v>
      </c>
      <c r="D3294" s="105" t="str">
        <f>VLOOKUP(A3294,'[3]Planilha Orçamentária'!A:K,4,0)</f>
        <v>M</v>
      </c>
      <c r="E3294" s="104"/>
      <c r="F3294" s="111"/>
      <c r="G3294" s="111"/>
      <c r="H3294" s="111"/>
      <c r="I3294" s="111"/>
      <c r="J3294" s="122">
        <f>ROUND(SUM(J3297:J3297),2)</f>
        <v>623.99</v>
      </c>
      <c r="U3294" s="137"/>
      <c r="V3294" s="137"/>
      <c r="W3294" s="137"/>
      <c r="X3294" s="137"/>
      <c r="Y3294" s="137"/>
      <c r="Z3294" s="137"/>
      <c r="AA3294" s="137"/>
      <c r="AB3294" s="137"/>
      <c r="AC3294" s="137"/>
      <c r="AD3294" s="137"/>
    </row>
    <row r="3295" spans="1:30" ht="12" customHeight="1">
      <c r="A3295" s="132"/>
      <c r="B3295" s="108"/>
      <c r="C3295" s="159" t="s">
        <v>2385</v>
      </c>
      <c r="D3295" s="105"/>
      <c r="E3295" s="104"/>
      <c r="F3295" s="106"/>
      <c r="G3295" s="111"/>
      <c r="H3295" s="111"/>
      <c r="I3295" s="111"/>
      <c r="J3295" s="122"/>
      <c r="U3295" s="137"/>
      <c r="V3295" s="137"/>
      <c r="W3295" s="137"/>
      <c r="X3295" s="137"/>
      <c r="Y3295" s="137"/>
      <c r="Z3295" s="137"/>
      <c r="AA3295" s="137"/>
      <c r="AB3295" s="137"/>
      <c r="AC3295" s="137"/>
      <c r="AD3295" s="137"/>
    </row>
    <row r="3296" spans="1:30" ht="12" customHeight="1">
      <c r="A3296" s="225"/>
      <c r="B3296" s="236"/>
      <c r="C3296" s="162"/>
      <c r="D3296" s="254"/>
      <c r="E3296" s="255"/>
      <c r="F3296" s="106" t="s">
        <v>1989</v>
      </c>
      <c r="G3296" s="256"/>
      <c r="H3296" s="256"/>
      <c r="I3296" s="256"/>
      <c r="J3296" s="250"/>
      <c r="U3296" s="137"/>
      <c r="V3296" s="137"/>
      <c r="W3296" s="137"/>
      <c r="X3296" s="137"/>
      <c r="Y3296" s="137"/>
      <c r="Z3296" s="137"/>
      <c r="AA3296" s="137"/>
      <c r="AB3296" s="137"/>
      <c r="AC3296" s="137"/>
      <c r="AD3296" s="137"/>
    </row>
    <row r="3297" spans="1:30" ht="12" customHeight="1">
      <c r="A3297" s="132"/>
      <c r="B3297" s="108"/>
      <c r="C3297" s="247" t="s">
        <v>2390</v>
      </c>
      <c r="D3297" s="105"/>
      <c r="E3297" s="104"/>
      <c r="F3297" s="136">
        <f>J3286</f>
        <v>623.99</v>
      </c>
      <c r="G3297" s="111"/>
      <c r="H3297" s="111"/>
      <c r="I3297" s="111"/>
      <c r="J3297" s="128">
        <f t="shared" ref="J3297" si="229">ROUND(PRODUCT(E3297:I3297),2)</f>
        <v>623.99</v>
      </c>
      <c r="U3297" s="137"/>
      <c r="V3297" s="137"/>
      <c r="W3297" s="137"/>
      <c r="X3297" s="137"/>
      <c r="Y3297" s="137"/>
      <c r="Z3297" s="137"/>
      <c r="AA3297" s="137"/>
      <c r="AB3297" s="137"/>
      <c r="AC3297" s="137"/>
      <c r="AD3297" s="137"/>
    </row>
    <row r="3298" spans="1:30" ht="12" customHeight="1">
      <c r="A3298" s="528"/>
      <c r="B3298" s="529"/>
      <c r="C3298" s="529"/>
      <c r="D3298" s="529"/>
      <c r="E3298" s="529"/>
      <c r="F3298" s="529"/>
      <c r="G3298" s="529"/>
      <c r="H3298" s="529"/>
      <c r="I3298" s="529"/>
      <c r="J3298" s="529"/>
      <c r="U3298" s="137"/>
      <c r="V3298" s="137"/>
      <c r="W3298" s="137"/>
      <c r="X3298" s="137"/>
      <c r="Y3298" s="137"/>
      <c r="Z3298" s="137"/>
      <c r="AA3298" s="137"/>
      <c r="AB3298" s="137"/>
      <c r="AC3298" s="137"/>
      <c r="AD3298" s="137"/>
    </row>
    <row r="3299" spans="1:30" ht="38.25">
      <c r="A3299" s="132" t="str">
        <f>'[3]Planilha Orçamentária'!A860</f>
        <v>1.14.5.19</v>
      </c>
      <c r="B3299" s="108">
        <f>VLOOKUP(A3299,'[3]Planilha Orçamentária'!A:K,2,0)</f>
        <v>94288</v>
      </c>
      <c r="C3299" s="104" t="str">
        <f>VLOOKUP(A3299,'[3]Planilha Orçamentária'!A:K,3,0)</f>
        <v>EXECUÇÃO DE SARJETA DE CONCRETO USINADO, MOLDADA  IN LOCO  EM TRECHO CURVO, 30 CM BASE X 10 CM ALTURA. AF_06/2016</v>
      </c>
      <c r="D3299" s="105" t="str">
        <f>VLOOKUP(A3299,'[3]Planilha Orçamentária'!A:K,4,0)</f>
        <v>M</v>
      </c>
      <c r="E3299" s="104"/>
      <c r="F3299" s="111"/>
      <c r="G3299" s="111"/>
      <c r="H3299" s="111"/>
      <c r="I3299" s="111"/>
      <c r="J3299" s="122">
        <f>ROUND(SUM(J3301),2)</f>
        <v>34.86</v>
      </c>
      <c r="U3299" s="137"/>
      <c r="V3299" s="137"/>
      <c r="W3299" s="137"/>
      <c r="X3299" s="137"/>
      <c r="Y3299" s="137"/>
      <c r="Z3299" s="137"/>
      <c r="AA3299" s="137"/>
      <c r="AB3299" s="137"/>
      <c r="AC3299" s="137"/>
      <c r="AD3299" s="137"/>
    </row>
    <row r="3300" spans="1:30" ht="12" customHeight="1">
      <c r="A3300" s="123"/>
      <c r="B3300" s="123"/>
      <c r="C3300" s="159" t="s">
        <v>2385</v>
      </c>
      <c r="D3300" s="123"/>
      <c r="E3300" s="123"/>
      <c r="F3300" s="106" t="s">
        <v>1989</v>
      </c>
      <c r="G3300" s="123"/>
      <c r="H3300" s="123"/>
      <c r="I3300" s="123"/>
      <c r="J3300" s="123"/>
      <c r="U3300" s="137"/>
      <c r="V3300" s="137"/>
      <c r="W3300" s="137"/>
      <c r="X3300" s="137"/>
      <c r="Y3300" s="137"/>
      <c r="Z3300" s="137"/>
      <c r="AA3300" s="137"/>
      <c r="AB3300" s="137"/>
      <c r="AC3300" s="137"/>
      <c r="AD3300" s="137"/>
    </row>
    <row r="3301" spans="1:30" ht="12.75" customHeight="1">
      <c r="A3301" s="123"/>
      <c r="B3301" s="123"/>
      <c r="C3301" s="247" t="s">
        <v>2391</v>
      </c>
      <c r="D3301" s="123"/>
      <c r="E3301" s="123"/>
      <c r="F3301" s="441">
        <f>J3290</f>
        <v>34.86</v>
      </c>
      <c r="G3301" s="123"/>
      <c r="H3301" s="123"/>
      <c r="I3301" s="123"/>
      <c r="J3301" s="128">
        <f t="shared" ref="J3301" si="230">ROUND(PRODUCT(E3301:I3301),2)</f>
        <v>34.86</v>
      </c>
      <c r="U3301" s="137"/>
      <c r="V3301" s="137"/>
      <c r="W3301" s="137"/>
      <c r="X3301" s="137"/>
      <c r="Y3301" s="137"/>
      <c r="Z3301" s="137"/>
      <c r="AA3301" s="137"/>
      <c r="AB3301" s="137"/>
      <c r="AC3301" s="137"/>
      <c r="AD3301" s="137"/>
    </row>
    <row r="3302" spans="1:30" ht="12" customHeight="1">
      <c r="A3302" s="528"/>
      <c r="B3302" s="529"/>
      <c r="C3302" s="529"/>
      <c r="D3302" s="529"/>
      <c r="E3302" s="529"/>
      <c r="F3302" s="529"/>
      <c r="G3302" s="529"/>
      <c r="H3302" s="529"/>
      <c r="I3302" s="529"/>
      <c r="J3302" s="529"/>
      <c r="U3302" s="137"/>
      <c r="V3302" s="137"/>
      <c r="W3302" s="137"/>
      <c r="X3302" s="137"/>
      <c r="Y3302" s="137"/>
      <c r="Z3302" s="137"/>
      <c r="AA3302" s="137"/>
      <c r="AB3302" s="137"/>
      <c r="AC3302" s="137"/>
      <c r="AD3302" s="137"/>
    </row>
    <row r="3303" spans="1:30" ht="12" customHeight="1">
      <c r="A3303" s="94" t="str">
        <f>'[3]Planilha Orçamentária'!A861</f>
        <v>1.14.6</v>
      </c>
      <c r="B3303" s="95"/>
      <c r="C3303" s="96" t="str">
        <f>VLOOKUP(A3303,'[3]Planilha Orçamentária'!A:K,3,0)</f>
        <v>SINALIZAÇÃO</v>
      </c>
      <c r="D3303" s="97"/>
      <c r="E3303" s="98"/>
      <c r="F3303" s="99"/>
      <c r="G3303" s="99"/>
      <c r="H3303" s="99"/>
      <c r="I3303" s="100"/>
      <c r="J3303" s="131"/>
      <c r="U3303" s="137"/>
      <c r="V3303" s="137"/>
      <c r="W3303" s="137"/>
      <c r="X3303" s="137"/>
      <c r="Y3303" s="137"/>
      <c r="Z3303" s="137"/>
      <c r="AA3303" s="137"/>
      <c r="AB3303" s="137"/>
      <c r="AC3303" s="137"/>
      <c r="AD3303" s="137"/>
    </row>
    <row r="3304" spans="1:30" ht="25.5">
      <c r="A3304" s="132" t="str">
        <f>'[3]Planilha Orçamentária'!A862</f>
        <v>1.14.6.1</v>
      </c>
      <c r="B3304" s="108">
        <f>VLOOKUP(A3304,'[3]Planilha Orçamentária'!A:K,2,0)</f>
        <v>5213416</v>
      </c>
      <c r="C3304" s="276" t="str">
        <f>VLOOKUP(A3304,'[3]Planilha Orçamentária'!A:K,3,0)</f>
        <v>Confecção de placa em aço nº 16 galvanizado, com película tipo I + I</v>
      </c>
      <c r="D3304" s="105" t="str">
        <f>VLOOKUP(A3304,'[3]Planilha Orçamentária'!A:K,4,0)</f>
        <v xml:space="preserve">M2    </v>
      </c>
      <c r="E3304" s="104"/>
      <c r="F3304" s="111"/>
      <c r="G3304" s="111"/>
      <c r="H3304" s="111"/>
      <c r="I3304" s="111"/>
      <c r="J3304" s="122">
        <f>ROUND(SUM(J3305:J3306),2)</f>
        <v>0.6</v>
      </c>
      <c r="U3304" s="137"/>
      <c r="V3304" s="137"/>
      <c r="W3304" s="137"/>
      <c r="X3304" s="137"/>
      <c r="Y3304" s="137"/>
      <c r="Z3304" s="137"/>
      <c r="AA3304" s="137"/>
      <c r="AB3304" s="137"/>
      <c r="AC3304" s="137"/>
      <c r="AD3304" s="137"/>
    </row>
    <row r="3305" spans="1:30" ht="12" customHeight="1">
      <c r="A3305" s="293"/>
      <c r="B3305" s="294"/>
      <c r="C3305" s="244" t="s">
        <v>2376</v>
      </c>
      <c r="D3305" s="295"/>
      <c r="E3305" s="296"/>
      <c r="F3305" s="297"/>
      <c r="G3305" s="297"/>
      <c r="H3305" s="157" t="s">
        <v>2003</v>
      </c>
      <c r="I3305" s="408" t="s">
        <v>1991</v>
      </c>
      <c r="J3305" s="299"/>
      <c r="U3305" s="137"/>
      <c r="V3305" s="137"/>
      <c r="W3305" s="137"/>
      <c r="X3305" s="137"/>
      <c r="Y3305" s="137"/>
      <c r="Z3305" s="137"/>
      <c r="AA3305" s="137"/>
      <c r="AB3305" s="137"/>
      <c r="AC3305" s="137"/>
      <c r="AD3305" s="137"/>
    </row>
    <row r="3306" spans="1:30" ht="12" customHeight="1">
      <c r="A3306" s="293"/>
      <c r="B3306" s="294"/>
      <c r="C3306" s="343" t="s">
        <v>2229</v>
      </c>
      <c r="D3306" s="105"/>
      <c r="E3306" s="157"/>
      <c r="F3306" s="111"/>
      <c r="G3306" s="111"/>
      <c r="H3306" s="157">
        <f>ROUNDUP(((4.828427*0.35*0.35)),2)</f>
        <v>0.6</v>
      </c>
      <c r="I3306" s="157">
        <v>1</v>
      </c>
      <c r="J3306" s="128">
        <f>ROUND(PRODUCT(E3306:I3306),2)</f>
        <v>0.6</v>
      </c>
      <c r="U3306" s="137"/>
      <c r="V3306" s="137"/>
      <c r="W3306" s="137"/>
      <c r="X3306" s="137"/>
      <c r="Y3306" s="137"/>
      <c r="Z3306" s="137"/>
      <c r="AA3306" s="137"/>
      <c r="AB3306" s="137"/>
      <c r="AC3306" s="137"/>
      <c r="AD3306" s="137"/>
    </row>
    <row r="3307" spans="1:30" ht="12" customHeight="1">
      <c r="A3307" s="556"/>
      <c r="B3307" s="557"/>
      <c r="C3307" s="557"/>
      <c r="D3307" s="557"/>
      <c r="E3307" s="557"/>
      <c r="F3307" s="557"/>
      <c r="G3307" s="557"/>
      <c r="H3307" s="557"/>
      <c r="I3307" s="557"/>
      <c r="J3307" s="557"/>
      <c r="U3307" s="137"/>
      <c r="V3307" s="137"/>
      <c r="W3307" s="137"/>
      <c r="X3307" s="137"/>
      <c r="Y3307" s="137"/>
      <c r="Z3307" s="137"/>
      <c r="AA3307" s="137"/>
      <c r="AB3307" s="137"/>
      <c r="AC3307" s="137"/>
      <c r="AD3307" s="137"/>
    </row>
    <row r="3308" spans="1:30" ht="37.5" customHeight="1">
      <c r="A3308" s="251" t="str">
        <f>'[3]Planilha Orçamentária'!A863</f>
        <v>1.14.6.2</v>
      </c>
      <c r="B3308" s="252">
        <f>VLOOKUP(A3308,'[3]Planilha Orçamentária'!A:K,2,0)</f>
        <v>5213421</v>
      </c>
      <c r="C3308" s="253" t="str">
        <f>VLOOKUP(A3308,'[3]Planilha Orçamentária'!A:K,3,0)</f>
        <v>Confecção de placa em aço nº 16 galvanizado, com película tipo I + IV</v>
      </c>
      <c r="D3308" s="254" t="str">
        <f>VLOOKUP(A3308,'[3]Planilha Orçamentária'!A:K,4,0)</f>
        <v xml:space="preserve">M2    </v>
      </c>
      <c r="E3308" s="255"/>
      <c r="F3308" s="256"/>
      <c r="G3308" s="256"/>
      <c r="H3308" s="256"/>
      <c r="I3308" s="256"/>
      <c r="J3308" s="257">
        <f>ROUND(SUM(J3309:J3316),2)</f>
        <v>6.53</v>
      </c>
      <c r="U3308" s="137"/>
      <c r="V3308" s="137"/>
      <c r="W3308" s="137"/>
      <c r="X3308" s="137"/>
      <c r="Y3308" s="137"/>
      <c r="Z3308" s="137"/>
      <c r="AA3308" s="137"/>
      <c r="AB3308" s="137"/>
      <c r="AC3308" s="137"/>
      <c r="AD3308" s="137"/>
    </row>
    <row r="3309" spans="1:30" ht="12" customHeight="1">
      <c r="A3309" s="293"/>
      <c r="B3309" s="294"/>
      <c r="C3309" s="244" t="s">
        <v>2376</v>
      </c>
      <c r="D3309" s="105"/>
      <c r="E3309" s="241"/>
      <c r="F3309" s="105"/>
      <c r="G3309" s="105"/>
      <c r="H3309" s="241" t="s">
        <v>2003</v>
      </c>
      <c r="I3309" s="241" t="s">
        <v>1446</v>
      </c>
      <c r="J3309" s="299"/>
      <c r="U3309" s="137"/>
      <c r="V3309" s="137"/>
      <c r="W3309" s="137"/>
      <c r="X3309" s="137"/>
      <c r="Y3309" s="137"/>
      <c r="Z3309" s="137"/>
      <c r="AA3309" s="137"/>
      <c r="AB3309" s="137"/>
      <c r="AC3309" s="137"/>
      <c r="AD3309" s="137"/>
    </row>
    <row r="3310" spans="1:30">
      <c r="A3310" s="293"/>
      <c r="B3310" s="294"/>
      <c r="C3310" s="244" t="s">
        <v>2079</v>
      </c>
      <c r="D3310" s="307"/>
      <c r="E3310" s="116"/>
      <c r="F3310" s="116"/>
      <c r="G3310" s="116"/>
      <c r="H3310" s="116">
        <v>0.2</v>
      </c>
      <c r="I3310" s="157">
        <v>5</v>
      </c>
      <c r="J3310" s="128">
        <f t="shared" ref="J3310:J3315" si="231">ROUND(PRODUCT(E3310:I3310),2)</f>
        <v>1</v>
      </c>
      <c r="U3310" s="137"/>
      <c r="V3310" s="137"/>
      <c r="W3310" s="137"/>
      <c r="X3310" s="137"/>
      <c r="Y3310" s="137"/>
      <c r="Z3310" s="137"/>
      <c r="AA3310" s="137"/>
      <c r="AB3310" s="137"/>
      <c r="AC3310" s="137"/>
      <c r="AD3310" s="137"/>
    </row>
    <row r="3311" spans="1:30" ht="14.25">
      <c r="A3311" s="311"/>
      <c r="B3311" s="345"/>
      <c r="C3311" s="409" t="s">
        <v>2392</v>
      </c>
      <c r="D3311" s="391"/>
      <c r="E3311" s="392"/>
      <c r="F3311" s="393"/>
      <c r="G3311" s="393"/>
      <c r="H3311" s="304">
        <f>0.5*0.75</f>
        <v>0.375</v>
      </c>
      <c r="I3311" s="410">
        <v>2</v>
      </c>
      <c r="J3311" s="128">
        <f t="shared" si="231"/>
        <v>0.75</v>
      </c>
      <c r="U3311" s="137"/>
      <c r="V3311" s="137"/>
      <c r="W3311" s="137"/>
      <c r="X3311" s="137"/>
      <c r="Y3311" s="137"/>
      <c r="Z3311" s="137"/>
      <c r="AA3311" s="137"/>
      <c r="AB3311" s="137"/>
      <c r="AC3311" s="137"/>
      <c r="AD3311" s="137"/>
    </row>
    <row r="3312" spans="1:30">
      <c r="A3312" s="311"/>
      <c r="B3312" s="345"/>
      <c r="C3312" s="409" t="s">
        <v>2081</v>
      </c>
      <c r="D3312" s="303"/>
      <c r="E3312" s="304"/>
      <c r="F3312" s="304"/>
      <c r="G3312" s="304"/>
      <c r="H3312" s="304">
        <f>0.5*0.5</f>
        <v>0.25</v>
      </c>
      <c r="I3312" s="410">
        <v>11</v>
      </c>
      <c r="J3312" s="128">
        <f t="shared" si="231"/>
        <v>2.75</v>
      </c>
      <c r="U3312" s="137"/>
      <c r="V3312" s="137"/>
      <c r="W3312" s="137"/>
      <c r="X3312" s="137"/>
      <c r="Y3312" s="137"/>
      <c r="Z3312" s="137"/>
      <c r="AA3312" s="137"/>
      <c r="AB3312" s="137"/>
      <c r="AC3312" s="137"/>
      <c r="AD3312" s="137"/>
    </row>
    <row r="3313" spans="1:30" ht="12" customHeight="1">
      <c r="A3313" s="293"/>
      <c r="B3313" s="294"/>
      <c r="C3313" s="442" t="s">
        <v>2393</v>
      </c>
      <c r="D3313" s="307"/>
      <c r="E3313" s="313"/>
      <c r="F3313" s="116"/>
      <c r="G3313" s="116"/>
      <c r="H3313" s="116">
        <v>0.2</v>
      </c>
      <c r="I3313" s="308">
        <v>6</v>
      </c>
      <c r="J3313" s="128">
        <f t="shared" si="231"/>
        <v>1.2</v>
      </c>
      <c r="U3313" s="137"/>
      <c r="V3313" s="137"/>
      <c r="W3313" s="137"/>
      <c r="X3313" s="137"/>
      <c r="Y3313" s="137"/>
      <c r="Z3313" s="137"/>
      <c r="AA3313" s="137"/>
      <c r="AB3313" s="137"/>
      <c r="AC3313" s="137"/>
      <c r="AD3313" s="137"/>
    </row>
    <row r="3314" spans="1:30" ht="12" customHeight="1">
      <c r="A3314" s="293"/>
      <c r="B3314" s="294"/>
      <c r="C3314" s="155" t="s">
        <v>2394</v>
      </c>
      <c r="D3314" s="307"/>
      <c r="E3314" s="116"/>
      <c r="F3314" s="116"/>
      <c r="G3314" s="116"/>
      <c r="H3314" s="304">
        <f>0.5*0.5</f>
        <v>0.25</v>
      </c>
      <c r="I3314" s="308">
        <v>2</v>
      </c>
      <c r="J3314" s="128">
        <f t="shared" si="231"/>
        <v>0.5</v>
      </c>
      <c r="U3314" s="137"/>
      <c r="V3314" s="137"/>
      <c r="W3314" s="137"/>
      <c r="X3314" s="137"/>
      <c r="Y3314" s="137"/>
      <c r="Z3314" s="137"/>
      <c r="AA3314" s="137"/>
      <c r="AB3314" s="137"/>
      <c r="AC3314" s="137"/>
      <c r="AD3314" s="137"/>
    </row>
    <row r="3315" spans="1:30" ht="12" customHeight="1">
      <c r="A3315" s="293"/>
      <c r="B3315" s="294"/>
      <c r="C3315" s="155" t="s">
        <v>2395</v>
      </c>
      <c r="D3315" s="307"/>
      <c r="E3315" s="116"/>
      <c r="F3315" s="116"/>
      <c r="G3315" s="116"/>
      <c r="H3315" s="116">
        <f>0.65*0.25</f>
        <v>0.16250000000000001</v>
      </c>
      <c r="I3315" s="308">
        <v>2</v>
      </c>
      <c r="J3315" s="128">
        <f t="shared" si="231"/>
        <v>0.33</v>
      </c>
      <c r="U3315" s="137"/>
      <c r="V3315" s="137"/>
      <c r="W3315" s="137"/>
      <c r="X3315" s="137"/>
      <c r="Y3315" s="137"/>
      <c r="Z3315" s="137"/>
      <c r="AA3315" s="137"/>
      <c r="AB3315" s="137"/>
      <c r="AC3315" s="137"/>
      <c r="AD3315" s="137"/>
    </row>
    <row r="3316" spans="1:30" ht="12" customHeight="1">
      <c r="A3316" s="538"/>
      <c r="B3316" s="539"/>
      <c r="C3316" s="539"/>
      <c r="D3316" s="539"/>
      <c r="E3316" s="539"/>
      <c r="F3316" s="539"/>
      <c r="G3316" s="539"/>
      <c r="H3316" s="539"/>
      <c r="I3316" s="539"/>
      <c r="J3316" s="539"/>
      <c r="U3316" s="137"/>
      <c r="V3316" s="137"/>
      <c r="W3316" s="137"/>
      <c r="X3316" s="137"/>
      <c r="Y3316" s="137"/>
      <c r="Z3316" s="137"/>
      <c r="AA3316" s="137"/>
      <c r="AB3316" s="137"/>
      <c r="AC3316" s="137"/>
      <c r="AD3316" s="137"/>
    </row>
    <row r="3317" spans="1:30" ht="38.25">
      <c r="A3317" s="132" t="str">
        <f>'[3]Planilha Orçamentária'!A864</f>
        <v>1.14.6.3</v>
      </c>
      <c r="B3317" s="103">
        <f>VLOOKUP(A3317,'[3]Planilha Orçamentária'!A:K,2,0)</f>
        <v>5216111</v>
      </c>
      <c r="C3317" s="276" t="str">
        <f>VLOOKUP(A3317,'[3]Planilha Orçamentária'!A:K,3,0)</f>
        <v>FORNECIMENTO E IMPLANTAÇÃO DE SUPORTE E TRAVESSA PARA PLACA DE SINALIZAÇÃO EM MADEIRA DE LEI TRATADA 8 X 8 CM</v>
      </c>
      <c r="D3317" s="105" t="str">
        <f>VLOOKUP(A3317,'[3]Planilha Orçamentária'!A:K,4,0)</f>
        <v>UND</v>
      </c>
      <c r="E3317" s="104"/>
      <c r="F3317" s="111"/>
      <c r="G3317" s="111"/>
      <c r="H3317" s="111"/>
      <c r="I3317" s="111"/>
      <c r="J3317" s="107">
        <f>ROUND(SUM(J3318:J3319),2)</f>
        <v>12</v>
      </c>
      <c r="U3317" s="137"/>
      <c r="V3317" s="137"/>
      <c r="W3317" s="137"/>
      <c r="X3317" s="137"/>
      <c r="Y3317" s="137"/>
      <c r="Z3317" s="137"/>
      <c r="AA3317" s="137"/>
      <c r="AB3317" s="137"/>
      <c r="AC3317" s="137"/>
      <c r="AD3317" s="137"/>
    </row>
    <row r="3318" spans="1:30" ht="12" customHeight="1">
      <c r="A3318" s="138"/>
      <c r="B3318" s="138"/>
      <c r="C3318" s="244" t="s">
        <v>2376</v>
      </c>
      <c r="D3318" s="105"/>
      <c r="E3318" s="104"/>
      <c r="F3318" s="111"/>
      <c r="G3318" s="111"/>
      <c r="H3318" s="111"/>
      <c r="I3318" s="241" t="s">
        <v>1446</v>
      </c>
      <c r="J3318" s="118"/>
      <c r="U3318" s="137"/>
      <c r="V3318" s="137"/>
      <c r="W3318" s="137"/>
      <c r="X3318" s="137"/>
      <c r="Y3318" s="137"/>
      <c r="Z3318" s="137"/>
      <c r="AA3318" s="137"/>
      <c r="AB3318" s="137"/>
      <c r="AC3318" s="137"/>
      <c r="AD3318" s="137"/>
    </row>
    <row r="3319" spans="1:30" ht="20.25" customHeight="1">
      <c r="A3319" s="314"/>
      <c r="B3319" s="314"/>
      <c r="C3319" s="244" t="s">
        <v>2046</v>
      </c>
      <c r="D3319" s="307"/>
      <c r="E3319" s="313"/>
      <c r="F3319" s="116"/>
      <c r="G3319" s="116"/>
      <c r="H3319" s="157"/>
      <c r="I3319" s="157">
        <v>12</v>
      </c>
      <c r="J3319" s="118">
        <f>ROUND(PRODUCT(E3319:I3319),2)</f>
        <v>12</v>
      </c>
      <c r="U3319" s="137"/>
      <c r="V3319" s="137"/>
      <c r="W3319" s="137"/>
      <c r="X3319" s="137"/>
      <c r="Y3319" s="137"/>
      <c r="Z3319" s="137"/>
      <c r="AA3319" s="137"/>
      <c r="AB3319" s="137"/>
      <c r="AC3319" s="137"/>
      <c r="AD3319" s="137"/>
    </row>
    <row r="3320" spans="1:30" ht="12" customHeight="1">
      <c r="A3320" s="524"/>
      <c r="B3320" s="524"/>
      <c r="C3320" s="524"/>
      <c r="D3320" s="524"/>
      <c r="E3320" s="524"/>
      <c r="F3320" s="524"/>
      <c r="G3320" s="524"/>
      <c r="H3320" s="524"/>
      <c r="I3320" s="524"/>
      <c r="J3320" s="525"/>
      <c r="U3320" s="137"/>
      <c r="V3320" s="137"/>
      <c r="W3320" s="137"/>
      <c r="X3320" s="137"/>
      <c r="Y3320" s="137"/>
      <c r="Z3320" s="137"/>
      <c r="AA3320" s="137"/>
      <c r="AB3320" s="137"/>
      <c r="AC3320" s="137"/>
      <c r="AD3320" s="137"/>
    </row>
    <row r="3321" spans="1:30" ht="25.5">
      <c r="A3321" s="132" t="str">
        <f>'[3]Planilha Orçamentária'!A865</f>
        <v>1.14.6.4</v>
      </c>
      <c r="B3321" s="103" t="str">
        <f>VLOOKUP(A3321,'[3]Planilha Orçamentária'!A:K,2,0)</f>
        <v>COMP-58084869</v>
      </c>
      <c r="C3321" s="276" t="str">
        <f>VLOOKUP(A3321,'[3]Planilha Orçamentária'!A:K,3,0)</f>
        <v>PLACA ESMALTADA PARA IDENTIFICAÇÃO NR DE RUA, DIMENSÕES 45X25CM</v>
      </c>
      <c r="D3321" s="105" t="str">
        <f>VLOOKUP(A3321,'[3]Planilha Orçamentária'!A:K,4,0)</f>
        <v>UND</v>
      </c>
      <c r="E3321" s="104"/>
      <c r="F3321" s="111"/>
      <c r="G3321" s="111"/>
      <c r="H3321" s="111"/>
      <c r="I3321" s="111"/>
      <c r="J3321" s="107">
        <f>ROUND(SUM(J3323:J3323),2)</f>
        <v>6</v>
      </c>
      <c r="U3321" s="137"/>
      <c r="V3321" s="137"/>
      <c r="W3321" s="137"/>
      <c r="X3321" s="137"/>
      <c r="Y3321" s="137"/>
      <c r="Z3321" s="137"/>
      <c r="AA3321" s="137"/>
      <c r="AB3321" s="137"/>
      <c r="AC3321" s="137"/>
      <c r="AD3321" s="137"/>
    </row>
    <row r="3322" spans="1:30" ht="12" customHeight="1">
      <c r="A3322" s="251"/>
      <c r="B3322" s="252"/>
      <c r="C3322" s="244" t="s">
        <v>2376</v>
      </c>
      <c r="D3322" s="105"/>
      <c r="E3322" s="104"/>
      <c r="F3322" s="111"/>
      <c r="G3322" s="111"/>
      <c r="H3322" s="111"/>
      <c r="I3322" s="241" t="s">
        <v>1446</v>
      </c>
      <c r="J3322" s="257"/>
      <c r="U3322" s="137"/>
      <c r="V3322" s="137"/>
      <c r="W3322" s="137"/>
      <c r="X3322" s="137"/>
      <c r="Y3322" s="137"/>
      <c r="Z3322" s="137"/>
      <c r="AA3322" s="137"/>
      <c r="AB3322" s="137"/>
      <c r="AC3322" s="137"/>
      <c r="AD3322" s="137"/>
    </row>
    <row r="3323" spans="1:30" ht="16.5" customHeight="1">
      <c r="A3323" s="314"/>
      <c r="B3323" s="314"/>
      <c r="C3323" s="244" t="s">
        <v>2046</v>
      </c>
      <c r="D3323" s="105"/>
      <c r="E3323" s="104"/>
      <c r="F3323" s="111"/>
      <c r="G3323" s="111"/>
      <c r="H3323" s="111"/>
      <c r="I3323" s="157">
        <v>6</v>
      </c>
      <c r="J3323" s="306">
        <f>ROUND(PRODUCT(E3323:I3323),2)</f>
        <v>6</v>
      </c>
      <c r="U3323" s="137"/>
      <c r="V3323" s="137"/>
      <c r="W3323" s="137"/>
      <c r="X3323" s="137"/>
      <c r="Y3323" s="137"/>
      <c r="Z3323" s="137"/>
      <c r="AA3323" s="137"/>
      <c r="AB3323" s="137"/>
      <c r="AC3323" s="137"/>
      <c r="AD3323" s="137"/>
    </row>
    <row r="3324" spans="1:30" ht="12" customHeight="1">
      <c r="A3324" s="523"/>
      <c r="B3324" s="524"/>
      <c r="C3324" s="524"/>
      <c r="D3324" s="524"/>
      <c r="E3324" s="524"/>
      <c r="F3324" s="524"/>
      <c r="G3324" s="524"/>
      <c r="H3324" s="524"/>
      <c r="I3324" s="524"/>
      <c r="J3324" s="525"/>
      <c r="U3324" s="137"/>
      <c r="V3324" s="137"/>
      <c r="W3324" s="137"/>
      <c r="X3324" s="137"/>
      <c r="Y3324" s="137"/>
      <c r="Z3324" s="137"/>
      <c r="AA3324" s="137"/>
      <c r="AB3324" s="137"/>
      <c r="AC3324" s="137"/>
      <c r="AD3324" s="137"/>
    </row>
    <row r="3325" spans="1:30" ht="51">
      <c r="A3325" s="132" t="str">
        <f>'[3]Planilha Orçamentária'!A866</f>
        <v>1.14.6.5</v>
      </c>
      <c r="B3325" s="103">
        <f>VLOOKUP(A3325,'[3]Planilha Orçamentária'!A:K,2,0)</f>
        <v>102509</v>
      </c>
      <c r="C3325" s="276" t="str">
        <f>VLOOKUP(A3325,'[3]Planilha Orçamentária'!A:K,3,0)</f>
        <v>PINTURA DE FAIXA DE PEDESTRE OU ZEBRADA TINTA RETRORREFLETIVA A BASE DE RESINA ACRÍLICA COM MICROESFERAS DE VIDRO, E = 30 CM, APLICAÇÃO MANUAL. AF_05/2021</v>
      </c>
      <c r="D3325" s="105" t="str">
        <f>VLOOKUP(A3325,'[3]Planilha Orçamentária'!A:K,4,0)</f>
        <v>M2</v>
      </c>
      <c r="E3325" s="104"/>
      <c r="F3325" s="111"/>
      <c r="G3325" s="111"/>
      <c r="H3325" s="111"/>
      <c r="I3325" s="111"/>
      <c r="J3325" s="107">
        <f>ROUND(SUM(J3327:J3327),2)</f>
        <v>111.18</v>
      </c>
      <c r="U3325" s="137"/>
      <c r="V3325" s="137"/>
      <c r="W3325" s="137"/>
      <c r="X3325" s="137"/>
      <c r="Y3325" s="137"/>
      <c r="Z3325" s="137"/>
      <c r="AA3325" s="137"/>
      <c r="AB3325" s="137"/>
      <c r="AC3325" s="137"/>
      <c r="AD3325" s="137"/>
    </row>
    <row r="3326" spans="1:30" ht="12" customHeight="1">
      <c r="A3326" s="251"/>
      <c r="B3326" s="252"/>
      <c r="C3326" s="244" t="s">
        <v>2376</v>
      </c>
      <c r="D3326" s="148"/>
      <c r="E3326" s="357"/>
      <c r="F3326" s="160"/>
      <c r="G3326" s="160"/>
      <c r="H3326" s="160"/>
      <c r="I3326" s="357" t="s">
        <v>2003</v>
      </c>
      <c r="J3326" s="257"/>
      <c r="U3326" s="137"/>
      <c r="V3326" s="137"/>
      <c r="W3326" s="137"/>
      <c r="X3326" s="137"/>
      <c r="Y3326" s="137"/>
      <c r="Z3326" s="137"/>
      <c r="AA3326" s="137"/>
      <c r="AB3326" s="137"/>
      <c r="AC3326" s="137"/>
      <c r="AD3326" s="137"/>
    </row>
    <row r="3327" spans="1:30" ht="12" customHeight="1">
      <c r="A3327" s="314"/>
      <c r="B3327" s="314"/>
      <c r="C3327" s="244" t="s">
        <v>2046</v>
      </c>
      <c r="D3327" s="262"/>
      <c r="E3327" s="157"/>
      <c r="F3327" s="157"/>
      <c r="G3327" s="157"/>
      <c r="H3327" s="157"/>
      <c r="I3327" s="157">
        <v>111.18</v>
      </c>
      <c r="J3327" s="306">
        <f>ROUND(PRODUCT(E3327:I3327),2)</f>
        <v>111.18</v>
      </c>
      <c r="U3327" s="137"/>
      <c r="V3327" s="137"/>
      <c r="W3327" s="137"/>
      <c r="X3327" s="137"/>
      <c r="Y3327" s="137"/>
      <c r="Z3327" s="137"/>
      <c r="AA3327" s="137"/>
      <c r="AB3327" s="137"/>
      <c r="AC3327" s="137"/>
      <c r="AD3327" s="137"/>
    </row>
    <row r="3328" spans="1:30" ht="12" customHeight="1">
      <c r="A3328" s="523"/>
      <c r="B3328" s="524"/>
      <c r="C3328" s="524"/>
      <c r="D3328" s="524"/>
      <c r="E3328" s="524"/>
      <c r="F3328" s="524"/>
      <c r="G3328" s="524"/>
      <c r="H3328" s="524"/>
      <c r="I3328" s="524"/>
      <c r="J3328" s="525"/>
      <c r="U3328" s="137"/>
      <c r="V3328" s="137"/>
      <c r="W3328" s="137"/>
      <c r="X3328" s="137"/>
      <c r="Y3328" s="137"/>
      <c r="Z3328" s="137"/>
      <c r="AA3328" s="137"/>
      <c r="AB3328" s="137"/>
      <c r="AC3328" s="137"/>
      <c r="AD3328" s="137"/>
    </row>
    <row r="3329" spans="1:30" ht="51">
      <c r="A3329" s="132" t="str">
        <f>'[3]Planilha Orçamentária'!A867</f>
        <v>1.14.6.6</v>
      </c>
      <c r="B3329" s="103">
        <f>VLOOKUP(A3329,'[3]Planilha Orçamentária'!A:K,2,0)</f>
        <v>102512</v>
      </c>
      <c r="C3329" s="276" t="str">
        <f>VLOOKUP(A3329,'[3]Planilha Orçamentária'!A:K,3,0)</f>
        <v>PINTURA DE EIXO VIÁRIO SOBRE ASFALTO COM TINTA RETRORREFLETIVA A BASE DE RESINA ACRÍLICA COM MICROESFERAS DE VIDRO, APLICAÇÃO MECÂNICA COM DEMARCADORA AUTOPROPELIDA. AF_05/2021</v>
      </c>
      <c r="D3329" s="105" t="str">
        <f>VLOOKUP(A3329,'[3]Planilha Orçamentária'!A:K,4,0)</f>
        <v>M</v>
      </c>
      <c r="E3329" s="104"/>
      <c r="F3329" s="111"/>
      <c r="G3329" s="111"/>
      <c r="H3329" s="111"/>
      <c r="I3329" s="111"/>
      <c r="J3329" s="107">
        <f>ROUND(SUM(J3331:J3331),2)</f>
        <v>1224.6400000000001</v>
      </c>
      <c r="U3329" s="137"/>
      <c r="V3329" s="137"/>
      <c r="W3329" s="137"/>
      <c r="X3329" s="137"/>
      <c r="Y3329" s="137"/>
      <c r="Z3329" s="137"/>
      <c r="AA3329" s="137"/>
      <c r="AB3329" s="137"/>
      <c r="AC3329" s="137"/>
      <c r="AD3329" s="137"/>
    </row>
    <row r="3330" spans="1:30" ht="12" customHeight="1">
      <c r="A3330" s="251"/>
      <c r="B3330" s="252"/>
      <c r="C3330" s="244" t="s">
        <v>2376</v>
      </c>
      <c r="D3330" s="148"/>
      <c r="E3330" s="357"/>
      <c r="F3330" s="161" t="s">
        <v>1989</v>
      </c>
      <c r="G3330" s="160"/>
      <c r="H3330" s="160"/>
      <c r="I3330" s="357"/>
      <c r="J3330" s="257"/>
      <c r="U3330" s="137"/>
      <c r="V3330" s="137"/>
      <c r="W3330" s="137"/>
      <c r="X3330" s="137"/>
      <c r="Y3330" s="137"/>
      <c r="Z3330" s="137"/>
      <c r="AA3330" s="137"/>
      <c r="AB3330" s="137"/>
      <c r="AC3330" s="137"/>
      <c r="AD3330" s="137"/>
    </row>
    <row r="3331" spans="1:30" ht="12" customHeight="1">
      <c r="A3331" s="314"/>
      <c r="B3331" s="314"/>
      <c r="C3331" s="244" t="s">
        <v>2046</v>
      </c>
      <c r="D3331" s="262"/>
      <c r="E3331" s="157"/>
      <c r="F3331" s="157">
        <v>1224.6400000000001</v>
      </c>
      <c r="G3331" s="157"/>
      <c r="H3331" s="157"/>
      <c r="I3331" s="157"/>
      <c r="J3331" s="306">
        <f>ROUND(PRODUCT(E3331:I3331),2)</f>
        <v>1224.6400000000001</v>
      </c>
      <c r="U3331" s="137"/>
      <c r="V3331" s="137"/>
      <c r="W3331" s="137"/>
      <c r="X3331" s="137"/>
      <c r="Y3331" s="137"/>
      <c r="Z3331" s="137"/>
      <c r="AA3331" s="137"/>
      <c r="AB3331" s="137"/>
      <c r="AC3331" s="137"/>
      <c r="AD3331" s="137"/>
    </row>
    <row r="3332" spans="1:30" ht="12" customHeight="1">
      <c r="A3332" s="523"/>
      <c r="B3332" s="524"/>
      <c r="C3332" s="524"/>
      <c r="D3332" s="524"/>
      <c r="E3332" s="524"/>
      <c r="F3332" s="524"/>
      <c r="G3332" s="524"/>
      <c r="H3332" s="524"/>
      <c r="I3332" s="524"/>
      <c r="J3332" s="525"/>
      <c r="U3332" s="137"/>
      <c r="V3332" s="137"/>
      <c r="W3332" s="137"/>
      <c r="X3332" s="137"/>
      <c r="Y3332" s="137"/>
      <c r="Z3332" s="137"/>
      <c r="AA3332" s="137"/>
      <c r="AB3332" s="137"/>
      <c r="AC3332" s="137"/>
      <c r="AD3332" s="137"/>
    </row>
    <row r="3333" spans="1:30" ht="12" customHeight="1">
      <c r="A3333" s="94" t="str">
        <f>'[3]Planilha Orçamentária'!A868</f>
        <v>1.14.7</v>
      </c>
      <c r="B3333" s="95"/>
      <c r="C3333" s="96" t="str">
        <f>VLOOKUP(A3333,'[3]Planilha Orçamentária'!A:K,3,0)</f>
        <v>ACESSIBILIDADE</v>
      </c>
      <c r="D3333" s="96"/>
      <c r="E3333" s="129"/>
      <c r="F3333" s="130"/>
      <c r="G3333" s="130"/>
      <c r="H3333" s="130"/>
      <c r="I3333" s="130"/>
      <c r="J3333" s="131"/>
      <c r="U3333" s="137"/>
      <c r="V3333" s="137"/>
      <c r="W3333" s="137"/>
      <c r="X3333" s="137"/>
      <c r="Y3333" s="137"/>
      <c r="Z3333" s="137"/>
      <c r="AA3333" s="137"/>
      <c r="AB3333" s="137"/>
      <c r="AC3333" s="137"/>
      <c r="AD3333" s="137"/>
    </row>
    <row r="3334" spans="1:30" ht="51">
      <c r="A3334" s="251" t="str">
        <f>'[3]Planilha Orçamentária'!A869</f>
        <v>1.14.7.1</v>
      </c>
      <c r="B3334" s="252" t="str">
        <f>VLOOKUP(A3334,'[3]Planilha Orçamentária'!A:K,2,0)</f>
        <v>CP-S12039-81921471</v>
      </c>
      <c r="C3334" s="253" t="str">
        <f>VLOOKUP(A3334,'[3]Planilha Orçamentária'!A:K,3,0)</f>
        <v>Piso tátil direcional e/ou alerta, de concreto, na cor natural, p/deficientes visuais, dimensões 40x40cm, aplicado com argamassa industrializada ac-ii, rejuntado, exclusive regularização de base</v>
      </c>
      <c r="D3334" s="254" t="str">
        <f>VLOOKUP(A3334,'[3]Planilha Orçamentária'!A:K,4,0)</f>
        <v>M2</v>
      </c>
      <c r="E3334" s="255"/>
      <c r="F3334" s="256"/>
      <c r="G3334" s="256"/>
      <c r="H3334" s="256"/>
      <c r="I3334" s="256"/>
      <c r="J3334" s="122">
        <f>ROUND(SUM(J3335:J3336),2)</f>
        <v>26.5</v>
      </c>
      <c r="U3334" s="137"/>
      <c r="V3334" s="137"/>
      <c r="W3334" s="137"/>
      <c r="X3334" s="137"/>
      <c r="Y3334" s="137"/>
      <c r="Z3334" s="137"/>
      <c r="AA3334" s="137"/>
      <c r="AB3334" s="137"/>
      <c r="AC3334" s="137"/>
      <c r="AD3334" s="137"/>
    </row>
    <row r="3335" spans="1:30" ht="12" customHeight="1">
      <c r="A3335" s="251"/>
      <c r="B3335" s="252"/>
      <c r="C3335" s="244" t="s">
        <v>2376</v>
      </c>
      <c r="D3335" s="166"/>
      <c r="E3335" s="426"/>
      <c r="F3335" s="149"/>
      <c r="G3335" s="149"/>
      <c r="H3335" s="149"/>
      <c r="I3335" s="426" t="s">
        <v>2003</v>
      </c>
      <c r="J3335" s="257"/>
      <c r="U3335" s="137"/>
      <c r="V3335" s="137"/>
      <c r="W3335" s="137"/>
      <c r="X3335" s="137"/>
      <c r="Y3335" s="137"/>
      <c r="Z3335" s="137"/>
      <c r="AA3335" s="137"/>
      <c r="AB3335" s="137"/>
      <c r="AC3335" s="137"/>
      <c r="AD3335" s="137"/>
    </row>
    <row r="3336" spans="1:30" ht="12" customHeight="1">
      <c r="A3336" s="138"/>
      <c r="B3336" s="138"/>
      <c r="C3336" s="244" t="s">
        <v>2046</v>
      </c>
      <c r="D3336" s="262"/>
      <c r="E3336" s="157"/>
      <c r="F3336" s="157"/>
      <c r="G3336" s="157"/>
      <c r="H3336" s="157"/>
      <c r="I3336" s="157">
        <f>21.68+4.82</f>
        <v>26.5</v>
      </c>
      <c r="J3336" s="128">
        <f>ROUND(PRODUCT(E3336:I3336),2)</f>
        <v>26.5</v>
      </c>
      <c r="U3336" s="137"/>
      <c r="V3336" s="137"/>
      <c r="W3336" s="137"/>
      <c r="X3336" s="137"/>
      <c r="Y3336" s="137"/>
      <c r="Z3336" s="137"/>
      <c r="AA3336" s="137"/>
      <c r="AB3336" s="137"/>
      <c r="AC3336" s="137"/>
      <c r="AD3336" s="137"/>
    </row>
    <row r="3337" spans="1:30" ht="12" customHeight="1">
      <c r="A3337" s="523"/>
      <c r="B3337" s="524"/>
      <c r="C3337" s="524"/>
      <c r="D3337" s="524"/>
      <c r="E3337" s="524"/>
      <c r="F3337" s="524"/>
      <c r="G3337" s="524"/>
      <c r="H3337" s="524"/>
      <c r="I3337" s="524"/>
      <c r="J3337" s="524"/>
      <c r="U3337" s="137"/>
      <c r="V3337" s="137"/>
      <c r="W3337" s="137"/>
      <c r="X3337" s="137"/>
      <c r="Y3337" s="137"/>
      <c r="Z3337" s="137"/>
      <c r="AA3337" s="137"/>
      <c r="AB3337" s="137"/>
      <c r="AC3337" s="137"/>
      <c r="AD3337" s="137"/>
    </row>
    <row r="3338" spans="1:30">
      <c r="A3338" s="94" t="str">
        <f>'[3]Planilha Orçamentária'!A870</f>
        <v>1.14.8</v>
      </c>
      <c r="B3338" s="95"/>
      <c r="C3338" s="96" t="str">
        <f>VLOOKUP(A3338,'[3]Planilha Orçamentária'!A:K,3,0)</f>
        <v>MATERIAIS</v>
      </c>
      <c r="D3338" s="96"/>
      <c r="E3338" s="129"/>
      <c r="F3338" s="130"/>
      <c r="G3338" s="130"/>
      <c r="H3338" s="130"/>
      <c r="I3338" s="130"/>
      <c r="J3338" s="131"/>
      <c r="U3338" s="137"/>
      <c r="V3338" s="137"/>
      <c r="W3338" s="137"/>
      <c r="X3338" s="137"/>
      <c r="Y3338" s="137"/>
      <c r="Z3338" s="137"/>
      <c r="AA3338" s="137"/>
      <c r="AB3338" s="137"/>
      <c r="AC3338" s="137"/>
      <c r="AD3338" s="137"/>
    </row>
    <row r="3339" spans="1:30" ht="51">
      <c r="A3339" s="145" t="str">
        <f>'[3]Planilha Orçamentária'!A871</f>
        <v>1.14.8.1</v>
      </c>
      <c r="B3339" s="146">
        <f>VLOOKUP(A3339,'[3]Planilha Orçamentária'!A:K,2,0)</f>
        <v>10775</v>
      </c>
      <c r="C3339" s="147" t="str">
        <f>VLOOKUP(A3339,'[3]Planilha Orçamentária'!A:K,3,0)</f>
        <v xml:space="preserve">LOCACAO DE CONTAINER 2,30 X 6,00 M, ALT. 2,50 M, COM 1 SANITARIO, PARA ESCRITORIO, COMPLETO, SEM DIVISORIAS INTERNAS (NAO INCLUI MOBILIZACAO/DESMOBILIZACAO)                                                                                                                                                                                                                                                                                                                                              </v>
      </c>
      <c r="D3339" s="148" t="str">
        <f>VLOOKUP(A3339,'[3]Planilha Orçamentária'!A:K,4,0)</f>
        <v xml:space="preserve">MES   </v>
      </c>
      <c r="E3339" s="147"/>
      <c r="F3339" s="160"/>
      <c r="G3339" s="160"/>
      <c r="H3339" s="160"/>
      <c r="I3339" s="160"/>
      <c r="J3339" s="218">
        <f>ROUND(SUM(J3341:J3341),2)</f>
        <v>3</v>
      </c>
      <c r="U3339" s="137"/>
      <c r="V3339" s="137"/>
      <c r="W3339" s="137"/>
      <c r="X3339" s="137"/>
      <c r="Y3339" s="137"/>
      <c r="Z3339" s="137"/>
      <c r="AA3339" s="137"/>
      <c r="AB3339" s="137"/>
      <c r="AC3339" s="137"/>
      <c r="AD3339" s="137"/>
    </row>
    <row r="3340" spans="1:30" ht="25.5">
      <c r="A3340" s="151"/>
      <c r="B3340" s="152"/>
      <c r="C3340" s="168"/>
      <c r="D3340" s="166"/>
      <c r="E3340" s="168"/>
      <c r="F3340" s="320"/>
      <c r="G3340" s="149"/>
      <c r="H3340" s="149"/>
      <c r="I3340" s="106" t="s">
        <v>1992</v>
      </c>
      <c r="J3340" s="321"/>
      <c r="U3340" s="137"/>
      <c r="V3340" s="137"/>
      <c r="W3340" s="137"/>
      <c r="X3340" s="137"/>
      <c r="Y3340" s="137"/>
      <c r="Z3340" s="137"/>
      <c r="AA3340" s="137"/>
      <c r="AB3340" s="137"/>
      <c r="AC3340" s="137"/>
      <c r="AD3340" s="137"/>
    </row>
    <row r="3341" spans="1:30">
      <c r="A3341" s="123"/>
      <c r="B3341" s="123"/>
      <c r="C3341" s="155"/>
      <c r="D3341" s="185"/>
      <c r="E3341" s="116"/>
      <c r="F3341" s="126"/>
      <c r="G3341" s="116"/>
      <c r="H3341" s="116"/>
      <c r="I3341" s="116">
        <f>I3169</f>
        <v>3</v>
      </c>
      <c r="J3341" s="128">
        <f>ROUND(PRODUCT(E3341:I3341),2)</f>
        <v>3</v>
      </c>
      <c r="U3341" s="137"/>
      <c r="V3341" s="137"/>
      <c r="W3341" s="137"/>
      <c r="X3341" s="137"/>
      <c r="Y3341" s="137"/>
      <c r="Z3341" s="137"/>
      <c r="AA3341" s="137"/>
      <c r="AB3341" s="137"/>
      <c r="AC3341" s="137"/>
      <c r="AD3341" s="137"/>
    </row>
    <row r="3342" spans="1:30">
      <c r="A3342" s="531"/>
      <c r="B3342" s="531"/>
      <c r="C3342" s="531"/>
      <c r="D3342" s="531"/>
      <c r="E3342" s="531"/>
      <c r="F3342" s="531"/>
      <c r="G3342" s="531"/>
      <c r="H3342" s="531"/>
      <c r="I3342" s="531"/>
      <c r="J3342" s="531"/>
      <c r="U3342" s="137"/>
      <c r="V3342" s="137"/>
      <c r="W3342" s="137"/>
      <c r="X3342" s="137"/>
      <c r="Y3342" s="137"/>
      <c r="Z3342" s="137"/>
      <c r="AA3342" s="137"/>
      <c r="AB3342" s="137"/>
      <c r="AC3342" s="137"/>
      <c r="AD3342" s="137"/>
    </row>
    <row r="3343" spans="1:30" ht="38.25">
      <c r="A3343" s="145" t="str">
        <f>'[3]Planilha Orçamentária'!A872</f>
        <v>1.14.8.2</v>
      </c>
      <c r="B3343" s="146">
        <f>VLOOKUP(A3343,'[3]Planilha Orçamentária'!A:K,2,0)</f>
        <v>10776</v>
      </c>
      <c r="C3343" s="147" t="str">
        <f>VLOOKUP(A3343,'[3]Planilha Orçamentária'!A:K,3,0)</f>
        <v xml:space="preserve">LOCACAO DE CONTAINER 2,30 X 6,00 M, ALT. 2,50 M, PARA ESCRITORIO, SEM DIVISORIAS INTERNAS E SEM SANITARIO (NAO INCLUI MOBILIZACAO/DESMOBILIZACAO)                                                                                                                                                                                                                                                                                                                                                         </v>
      </c>
      <c r="D3343" s="148" t="str">
        <f>VLOOKUP(A3343,'[3]Planilha Orçamentária'!A:K,4,0)</f>
        <v xml:space="preserve">MES   </v>
      </c>
      <c r="E3343" s="147"/>
      <c r="F3343" s="160"/>
      <c r="G3343" s="160"/>
      <c r="H3343" s="160"/>
      <c r="I3343" s="160"/>
      <c r="J3343" s="218">
        <f>ROUND(SUM(J3345:J3345),2)</f>
        <v>3</v>
      </c>
      <c r="U3343" s="137"/>
      <c r="V3343" s="137"/>
      <c r="W3343" s="137"/>
      <c r="X3343" s="137"/>
      <c r="Y3343" s="137"/>
      <c r="Z3343" s="137"/>
      <c r="AA3343" s="137"/>
      <c r="AB3343" s="137"/>
      <c r="AC3343" s="137"/>
      <c r="AD3343" s="137"/>
    </row>
    <row r="3344" spans="1:30" ht="25.5">
      <c r="A3344" s="151"/>
      <c r="B3344" s="152"/>
      <c r="C3344" s="168"/>
      <c r="D3344" s="166"/>
      <c r="E3344" s="168"/>
      <c r="F3344" s="320"/>
      <c r="G3344" s="149"/>
      <c r="H3344" s="149"/>
      <c r="I3344" s="106" t="s">
        <v>1992</v>
      </c>
      <c r="J3344" s="321"/>
      <c r="U3344" s="137"/>
      <c r="V3344" s="137"/>
      <c r="W3344" s="137"/>
      <c r="X3344" s="137"/>
      <c r="Y3344" s="137"/>
      <c r="Z3344" s="137"/>
      <c r="AA3344" s="137"/>
      <c r="AB3344" s="137"/>
      <c r="AC3344" s="137"/>
      <c r="AD3344" s="137"/>
    </row>
    <row r="3345" spans="1:30">
      <c r="A3345" s="123"/>
      <c r="B3345" s="123"/>
      <c r="C3345" s="155"/>
      <c r="D3345" s="185"/>
      <c r="E3345" s="116"/>
      <c r="F3345" s="126"/>
      <c r="G3345" s="116"/>
      <c r="H3345" s="116"/>
      <c r="I3345" s="116">
        <f>I3341</f>
        <v>3</v>
      </c>
      <c r="J3345" s="128">
        <f>ROUND(PRODUCT(E3345:I3345),2)</f>
        <v>3</v>
      </c>
      <c r="U3345" s="137"/>
      <c r="V3345" s="137"/>
      <c r="W3345" s="137"/>
      <c r="X3345" s="137"/>
      <c r="Y3345" s="137"/>
      <c r="Z3345" s="137"/>
      <c r="AA3345" s="137"/>
      <c r="AB3345" s="137"/>
      <c r="AC3345" s="137"/>
      <c r="AD3345" s="137"/>
    </row>
    <row r="3346" spans="1:30">
      <c r="A3346" s="531"/>
      <c r="B3346" s="531"/>
      <c r="C3346" s="531"/>
      <c r="D3346" s="531"/>
      <c r="E3346" s="531"/>
      <c r="F3346" s="531"/>
      <c r="G3346" s="531"/>
      <c r="H3346" s="531"/>
      <c r="I3346" s="531"/>
      <c r="J3346" s="531"/>
      <c r="U3346" s="137"/>
      <c r="V3346" s="137"/>
      <c r="W3346" s="137"/>
      <c r="X3346" s="137"/>
      <c r="Y3346" s="137"/>
      <c r="Z3346" s="137"/>
      <c r="AA3346" s="137"/>
      <c r="AB3346" s="137"/>
      <c r="AC3346" s="137"/>
      <c r="AD3346" s="137"/>
    </row>
    <row r="3347" spans="1:30" ht="38.25">
      <c r="A3347" s="132" t="str">
        <f>'[3]Planilha Orçamentária'!A873</f>
        <v>1.14.8.3</v>
      </c>
      <c r="B3347" s="108">
        <f>VLOOKUP(A3347,'[3]Planilha Orçamentária'!A:K,2,0)</f>
        <v>1518</v>
      </c>
      <c r="C3347" s="104" t="str">
        <f>VLOOKUP(A3347,'[3]Planilha Orçamentária'!A:K,3,0)</f>
        <v xml:space="preserve">CONCRETO BETUMINOSO USINADO A QUENTE (CBUQ) PARA PAVIMENTACAO ASFALTICA, PADRAO DNIT, FAIXA C, COM CAP 50/70 - AQUISICAO POSTO USINA                                                                                                                                                                                                                                                                                                                                                                      </v>
      </c>
      <c r="D3347" s="105" t="str">
        <f>VLOOKUP(A3347,'[3]Planilha Orçamentária'!A:K,4,0)</f>
        <v xml:space="preserve">T     </v>
      </c>
      <c r="E3347" s="104"/>
      <c r="F3347" s="111"/>
      <c r="G3347" s="111"/>
      <c r="H3347" s="111"/>
      <c r="I3347" s="111"/>
      <c r="J3347" s="122">
        <f>ROUND(SUM(J3348:J3349),2)</f>
        <v>445.53</v>
      </c>
      <c r="U3347" s="137"/>
      <c r="V3347" s="137"/>
      <c r="W3347" s="137"/>
      <c r="X3347" s="137"/>
      <c r="Y3347" s="137"/>
      <c r="Z3347" s="137"/>
      <c r="AA3347" s="137"/>
      <c r="AB3347" s="137"/>
      <c r="AC3347" s="137"/>
      <c r="AD3347" s="137"/>
    </row>
    <row r="3348" spans="1:30">
      <c r="A3348" s="174"/>
      <c r="B3348" s="174"/>
      <c r="C3348" s="159" t="s">
        <v>2385</v>
      </c>
      <c r="D3348" s="174"/>
      <c r="E3348" s="174" t="s">
        <v>1193</v>
      </c>
      <c r="F3348" s="174"/>
      <c r="G3348" s="174"/>
      <c r="H3348" s="174"/>
      <c r="I3348" s="174" t="s">
        <v>2007</v>
      </c>
      <c r="J3348" s="174"/>
      <c r="U3348" s="137"/>
      <c r="V3348" s="137"/>
      <c r="W3348" s="137"/>
      <c r="X3348" s="137"/>
      <c r="Y3348" s="137"/>
      <c r="Z3348" s="137"/>
      <c r="AA3348" s="137"/>
      <c r="AB3348" s="137"/>
      <c r="AC3348" s="137"/>
      <c r="AD3348" s="137"/>
    </row>
    <row r="3349" spans="1:30">
      <c r="A3349" s="174"/>
      <c r="B3349" s="174"/>
      <c r="C3349" s="322" t="s">
        <v>2083</v>
      </c>
      <c r="D3349" s="174"/>
      <c r="E3349" s="174">
        <v>2.5548000000000002</v>
      </c>
      <c r="F3349" s="174"/>
      <c r="G3349" s="174"/>
      <c r="H3349" s="174"/>
      <c r="I3349" s="286">
        <f>J3242</f>
        <v>174.39</v>
      </c>
      <c r="J3349" s="158">
        <f t="shared" ref="J3349" si="232">ROUND(PRODUCT(E3349:I3349),2)</f>
        <v>445.53</v>
      </c>
      <c r="U3349" s="137"/>
      <c r="V3349" s="137"/>
      <c r="W3349" s="137"/>
      <c r="X3349" s="137"/>
      <c r="Y3349" s="137"/>
      <c r="Z3349" s="137"/>
      <c r="AA3349" s="137"/>
      <c r="AB3349" s="137"/>
      <c r="AC3349" s="137"/>
      <c r="AD3349" s="137"/>
    </row>
    <row r="3350" spans="1:30">
      <c r="A3350" s="219"/>
      <c r="B3350" s="323"/>
      <c r="C3350" s="323"/>
      <c r="D3350" s="323"/>
      <c r="E3350" s="323"/>
      <c r="F3350" s="323"/>
      <c r="G3350" s="323"/>
      <c r="H3350" s="323"/>
      <c r="I3350" s="323"/>
      <c r="J3350" s="198"/>
      <c r="U3350" s="137"/>
      <c r="V3350" s="137"/>
      <c r="W3350" s="137"/>
      <c r="X3350" s="137"/>
      <c r="Y3350" s="137"/>
      <c r="Z3350" s="137"/>
      <c r="AA3350" s="137"/>
      <c r="AB3350" s="137"/>
      <c r="AC3350" s="137"/>
      <c r="AD3350" s="137"/>
    </row>
    <row r="3351" spans="1:30">
      <c r="A3351" s="132" t="str">
        <f>'[3]Planilha Orçamentária'!A874</f>
        <v>1.14.8.4</v>
      </c>
      <c r="B3351" s="108" t="str">
        <f>VLOOKUP(A3351,'[3]Planilha Orçamentária'!A:K,2,0)</f>
        <v>INS-185032</v>
      </c>
      <c r="C3351" s="104" t="str">
        <f>VLOOKUP(A3351,'[3]Planilha Orçamentária'!A:K,3,0)</f>
        <v>BRITA GRADUADA SIMPLES (BGS)</v>
      </c>
      <c r="D3351" s="105" t="str">
        <f>VLOOKUP(A3351,'[3]Planilha Orçamentária'!A:K,4,0)</f>
        <v>M3</v>
      </c>
      <c r="E3351" s="104"/>
      <c r="F3351" s="111"/>
      <c r="G3351" s="111"/>
      <c r="H3351" s="111"/>
      <c r="I3351" s="111"/>
      <c r="J3351" s="122">
        <f>ROUND(SUM(J3352:J3353),2)</f>
        <v>117.22</v>
      </c>
      <c r="U3351" s="137"/>
      <c r="V3351" s="137"/>
      <c r="W3351" s="137"/>
      <c r="X3351" s="137"/>
      <c r="Y3351" s="137"/>
      <c r="Z3351" s="137"/>
      <c r="AA3351" s="137"/>
      <c r="AB3351" s="137"/>
      <c r="AC3351" s="137"/>
      <c r="AD3351" s="137"/>
    </row>
    <row r="3352" spans="1:30">
      <c r="A3352" s="174"/>
      <c r="B3352" s="174"/>
      <c r="C3352" s="174"/>
      <c r="D3352" s="174"/>
      <c r="E3352" s="174" t="s">
        <v>1193</v>
      </c>
      <c r="F3352" s="174"/>
      <c r="G3352" s="174"/>
      <c r="H3352" s="174"/>
      <c r="I3352" s="174" t="s">
        <v>2007</v>
      </c>
      <c r="J3352" s="174"/>
      <c r="U3352" s="137"/>
      <c r="V3352" s="137"/>
      <c r="W3352" s="137"/>
      <c r="X3352" s="137"/>
      <c r="Y3352" s="137"/>
      <c r="Z3352" s="137"/>
      <c r="AA3352" s="137"/>
      <c r="AB3352" s="137"/>
      <c r="AC3352" s="137"/>
      <c r="AD3352" s="137"/>
    </row>
    <row r="3353" spans="1:30">
      <c r="A3353" s="174"/>
      <c r="B3353" s="174"/>
      <c r="C3353" s="324" t="s">
        <v>2084</v>
      </c>
      <c r="D3353" s="137"/>
      <c r="E3353" s="325">
        <v>1</v>
      </c>
      <c r="F3353" s="174"/>
      <c r="G3353" s="174"/>
      <c r="H3353" s="174"/>
      <c r="I3353" s="286">
        <f>J3265</f>
        <v>117.22</v>
      </c>
      <c r="J3353" s="158">
        <f t="shared" ref="J3353" si="233">ROUND(PRODUCT(E3353:I3353),2)</f>
        <v>117.22</v>
      </c>
      <c r="U3353" s="137"/>
      <c r="V3353" s="137"/>
      <c r="W3353" s="137"/>
      <c r="X3353" s="137"/>
      <c r="Y3353" s="137"/>
      <c r="Z3353" s="137"/>
      <c r="AA3353" s="137"/>
      <c r="AB3353" s="137"/>
      <c r="AC3353" s="137"/>
      <c r="AD3353" s="137"/>
    </row>
    <row r="3354" spans="1:30">
      <c r="A3354" s="219"/>
      <c r="B3354" s="323"/>
      <c r="C3354" s="323"/>
      <c r="D3354" s="323"/>
      <c r="E3354" s="323"/>
      <c r="F3354" s="323"/>
      <c r="G3354" s="323"/>
      <c r="H3354" s="323"/>
      <c r="I3354" s="323"/>
      <c r="J3354" s="197"/>
      <c r="U3354" s="137"/>
      <c r="V3354" s="137"/>
      <c r="W3354" s="137"/>
      <c r="X3354" s="137"/>
      <c r="Y3354" s="137"/>
      <c r="Z3354" s="137"/>
      <c r="AA3354" s="137"/>
      <c r="AB3354" s="137"/>
      <c r="AC3354" s="137"/>
      <c r="AD3354" s="137"/>
    </row>
    <row r="3355" spans="1:30">
      <c r="A3355" s="132" t="str">
        <f>'[3]Planilha Orçamentária'!A875</f>
        <v>1.14.8.5</v>
      </c>
      <c r="B3355" s="108" t="str">
        <f>VLOOKUP(A3355,'[3]Planilha Orçamentária'!A:K,2,0)</f>
        <v>M0808</v>
      </c>
      <c r="C3355" s="104" t="str">
        <f>VLOOKUP(A3355,'[3]Planilha Orçamentária'!A:K,3,0)</f>
        <v>Brita 4</v>
      </c>
      <c r="D3355" s="105" t="str">
        <f>VLOOKUP(A3355,'[3]Planilha Orçamentária'!A:K,4,0)</f>
        <v>M3</v>
      </c>
      <c r="E3355" s="104"/>
      <c r="F3355" s="111"/>
      <c r="G3355" s="111"/>
      <c r="H3355" s="111"/>
      <c r="I3355" s="111"/>
      <c r="J3355" s="122">
        <f>ROUND(SUM(J3357:J3357),2)</f>
        <v>129.22999999999999</v>
      </c>
      <c r="U3355" s="443"/>
      <c r="V3355" s="443"/>
      <c r="W3355" s="443"/>
      <c r="X3355" s="443"/>
      <c r="Y3355" s="443"/>
      <c r="Z3355" s="443"/>
      <c r="AA3355" s="443"/>
      <c r="AB3355" s="443"/>
      <c r="AC3355" s="443"/>
      <c r="AD3355" s="443"/>
    </row>
    <row r="3356" spans="1:30">
      <c r="A3356" s="132"/>
      <c r="B3356" s="108"/>
      <c r="C3356" s="326"/>
      <c r="D3356" s="137"/>
      <c r="E3356" s="137" t="s">
        <v>2085</v>
      </c>
      <c r="F3356" s="174"/>
      <c r="G3356" s="174"/>
      <c r="H3356" s="174"/>
      <c r="I3356" s="174" t="s">
        <v>2007</v>
      </c>
      <c r="J3356" s="122"/>
      <c r="U3356" s="443"/>
      <c r="V3356" s="443"/>
      <c r="W3356" s="443"/>
      <c r="X3356" s="443"/>
      <c r="Y3356" s="443"/>
      <c r="Z3356" s="443"/>
      <c r="AA3356" s="443"/>
      <c r="AB3356" s="443"/>
      <c r="AC3356" s="443"/>
      <c r="AD3356" s="443"/>
    </row>
    <row r="3357" spans="1:30" ht="15">
      <c r="A3357" s="132"/>
      <c r="B3357" s="108"/>
      <c r="C3357" s="200" t="s">
        <v>2086</v>
      </c>
      <c r="D3357" s="137"/>
      <c r="E3357" s="327">
        <v>1.26</v>
      </c>
      <c r="F3357" s="174"/>
      <c r="G3357" s="174"/>
      <c r="H3357" s="174"/>
      <c r="I3357" s="286">
        <f>J3261</f>
        <v>102.56</v>
      </c>
      <c r="J3357" s="158">
        <f t="shared" ref="J3357" si="234">ROUND(PRODUCT(E3357:I3357),2)</f>
        <v>129.22999999999999</v>
      </c>
      <c r="U3357" s="443"/>
      <c r="V3357" s="443"/>
      <c r="W3357" s="443"/>
      <c r="X3357" s="443"/>
      <c r="Y3357" s="443"/>
      <c r="Z3357" s="443"/>
      <c r="AA3357" s="443"/>
      <c r="AB3357" s="443"/>
      <c r="AC3357" s="443"/>
      <c r="AD3357" s="443"/>
    </row>
    <row r="3358" spans="1:30">
      <c r="A3358" s="219"/>
      <c r="B3358" s="323"/>
      <c r="C3358" s="323"/>
      <c r="D3358" s="323"/>
      <c r="E3358" s="323"/>
      <c r="F3358" s="323"/>
      <c r="G3358" s="323"/>
      <c r="H3358" s="323"/>
      <c r="I3358" s="323"/>
      <c r="J3358" s="197"/>
      <c r="U3358" s="443"/>
      <c r="V3358" s="443"/>
      <c r="W3358" s="443"/>
      <c r="X3358" s="443"/>
      <c r="Y3358" s="443"/>
      <c r="Z3358" s="443"/>
      <c r="AA3358" s="443"/>
      <c r="AB3358" s="443"/>
      <c r="AC3358" s="443"/>
      <c r="AD3358" s="443"/>
    </row>
    <row r="3359" spans="1:30">
      <c r="A3359" s="132" t="str">
        <f>'[3]Planilha Orçamentária'!A876</f>
        <v>1.14.8.6</v>
      </c>
      <c r="B3359" s="108" t="str">
        <f>VLOOKUP(A3359,'[3]Planilha Orçamentária'!A:K,2,0)</f>
        <v>M1135</v>
      </c>
      <c r="C3359" s="104" t="str">
        <f>VLOOKUP(A3359,'[3]Planilha Orçamentária'!A:K,3,0)</f>
        <v>Pó de pedra</v>
      </c>
      <c r="D3359" s="105" t="str">
        <f>VLOOKUP(A3359,'[3]Planilha Orçamentária'!A:K,4,0)</f>
        <v>M3</v>
      </c>
      <c r="E3359" s="104"/>
      <c r="F3359" s="111"/>
      <c r="G3359" s="111"/>
      <c r="H3359" s="111"/>
      <c r="I3359" s="111"/>
      <c r="J3359" s="122">
        <f>ROUND(SUM(J3361:J3361),2)</f>
        <v>14.36</v>
      </c>
      <c r="U3359" s="443"/>
      <c r="V3359" s="443"/>
      <c r="W3359" s="443"/>
      <c r="X3359" s="443"/>
      <c r="Y3359" s="443"/>
      <c r="Z3359" s="443"/>
      <c r="AA3359" s="443"/>
      <c r="AB3359" s="443"/>
      <c r="AC3359" s="443"/>
      <c r="AD3359" s="443"/>
    </row>
    <row r="3360" spans="1:30">
      <c r="A3360" s="132"/>
      <c r="B3360" s="108"/>
      <c r="C3360" s="326"/>
      <c r="D3360" s="137"/>
      <c r="E3360" s="137" t="s">
        <v>2085</v>
      </c>
      <c r="F3360" s="174"/>
      <c r="G3360" s="174"/>
      <c r="H3360" s="174"/>
      <c r="I3360" s="174" t="s">
        <v>2007</v>
      </c>
      <c r="J3360" s="122"/>
      <c r="U3360" s="443"/>
      <c r="V3360" s="443"/>
      <c r="W3360" s="443"/>
      <c r="X3360" s="443"/>
      <c r="Y3360" s="443"/>
      <c r="Z3360" s="443"/>
      <c r="AA3360" s="443"/>
      <c r="AB3360" s="443"/>
      <c r="AC3360" s="443"/>
      <c r="AD3360" s="443"/>
    </row>
    <row r="3361" spans="1:30">
      <c r="A3361" s="132"/>
      <c r="B3361" s="108"/>
      <c r="C3361" s="200" t="s">
        <v>2086</v>
      </c>
      <c r="D3361" s="137"/>
      <c r="E3361" s="137">
        <v>0.14000000000000001</v>
      </c>
      <c r="F3361" s="174"/>
      <c r="G3361" s="174"/>
      <c r="H3361" s="174"/>
      <c r="I3361" s="286">
        <f>I3357</f>
        <v>102.56</v>
      </c>
      <c r="J3361" s="158">
        <f t="shared" ref="J3361" si="235">ROUND(PRODUCT(E3361:I3361),2)</f>
        <v>14.36</v>
      </c>
      <c r="U3361" s="443"/>
      <c r="V3361" s="443"/>
      <c r="W3361" s="443"/>
      <c r="X3361" s="443"/>
      <c r="Y3361" s="443"/>
      <c r="Z3361" s="443"/>
      <c r="AA3361" s="443"/>
      <c r="AB3361" s="443"/>
      <c r="AC3361" s="443"/>
      <c r="AD3361" s="443"/>
    </row>
    <row r="3362" spans="1:30">
      <c r="A3362" s="219"/>
      <c r="B3362" s="323"/>
      <c r="C3362" s="323"/>
      <c r="D3362" s="323"/>
      <c r="E3362" s="323"/>
      <c r="F3362" s="323"/>
      <c r="G3362" s="323"/>
      <c r="H3362" s="323"/>
      <c r="I3362" s="323"/>
      <c r="J3362" s="197"/>
      <c r="U3362" s="443"/>
      <c r="V3362" s="443"/>
      <c r="W3362" s="443"/>
      <c r="X3362" s="443"/>
      <c r="Y3362" s="443"/>
      <c r="Z3362" s="443"/>
      <c r="AA3362" s="443"/>
      <c r="AB3362" s="443"/>
      <c r="AC3362" s="443"/>
      <c r="AD3362" s="443"/>
    </row>
    <row r="3363" spans="1:30">
      <c r="A3363" s="132" t="str">
        <f>'[3]Planilha Orçamentária'!A877</f>
        <v>1.14.8.7</v>
      </c>
      <c r="B3363" s="108" t="str">
        <f>VLOOKUP(A3363,'[3]Planilha Orçamentária'!A:K,2,0)</f>
        <v>INS-711371</v>
      </c>
      <c r="C3363" s="104" t="str">
        <f>VLOOKUP(A3363,'[3]Planilha Orçamentária'!A:K,3,0)</f>
        <v>ASFALTO DILUÍDO CM - 30</v>
      </c>
      <c r="D3363" s="105" t="str">
        <f>VLOOKUP(A3363,'[3]Planilha Orçamentária'!A:K,4,0)</f>
        <v>KG</v>
      </c>
      <c r="E3363" s="104"/>
      <c r="F3363" s="111"/>
      <c r="G3363" s="111"/>
      <c r="H3363" s="111"/>
      <c r="I3363" s="111"/>
      <c r="J3363" s="122">
        <f>ROUND(SUM(J3365:J3365),2)</f>
        <v>703.73</v>
      </c>
      <c r="U3363" s="443"/>
      <c r="V3363" s="443"/>
      <c r="W3363" s="443"/>
      <c r="X3363" s="443"/>
      <c r="Y3363" s="443"/>
      <c r="Z3363" s="443"/>
      <c r="AA3363" s="443"/>
      <c r="AB3363" s="443"/>
      <c r="AC3363" s="443"/>
      <c r="AD3363" s="443"/>
    </row>
    <row r="3364" spans="1:30">
      <c r="A3364" s="132"/>
      <c r="B3364" s="108"/>
      <c r="C3364" s="361"/>
      <c r="D3364" s="180"/>
      <c r="E3364" s="174" t="s">
        <v>2085</v>
      </c>
      <c r="F3364" s="161"/>
      <c r="G3364" s="161"/>
      <c r="H3364" s="161"/>
      <c r="I3364" s="210" t="s">
        <v>2003</v>
      </c>
      <c r="J3364" s="122"/>
      <c r="U3364" s="443"/>
      <c r="V3364" s="443"/>
      <c r="W3364" s="443"/>
      <c r="X3364" s="443"/>
      <c r="Y3364" s="443"/>
      <c r="Z3364" s="443"/>
      <c r="AA3364" s="443"/>
      <c r="AB3364" s="443"/>
      <c r="AC3364" s="443"/>
      <c r="AD3364" s="443"/>
    </row>
    <row r="3365" spans="1:30">
      <c r="A3365" s="132"/>
      <c r="B3365" s="108"/>
      <c r="C3365" s="324" t="s">
        <v>2087</v>
      </c>
      <c r="D3365" s="137"/>
      <c r="E3365" s="325">
        <v>1.2</v>
      </c>
      <c r="F3365" s="127"/>
      <c r="G3365" s="161"/>
      <c r="H3365" s="161"/>
      <c r="I3365" s="212">
        <f>J3238</f>
        <v>586.44000000000005</v>
      </c>
      <c r="J3365" s="158">
        <f t="shared" ref="J3365" si="236">ROUND(PRODUCT(E3365:I3365),2)</f>
        <v>703.73</v>
      </c>
      <c r="U3365" s="443"/>
      <c r="V3365" s="443"/>
      <c r="W3365" s="443"/>
      <c r="X3365" s="443"/>
      <c r="Y3365" s="443"/>
      <c r="Z3365" s="443"/>
      <c r="AA3365" s="443"/>
      <c r="AB3365" s="443"/>
      <c r="AC3365" s="443"/>
      <c r="AD3365" s="443"/>
    </row>
    <row r="3366" spans="1:30">
      <c r="A3366" s="219"/>
      <c r="B3366" s="323"/>
      <c r="C3366" s="323"/>
      <c r="D3366" s="323"/>
      <c r="E3366" s="323"/>
      <c r="F3366" s="323"/>
      <c r="G3366" s="323"/>
      <c r="H3366" s="323"/>
      <c r="I3366" s="323"/>
      <c r="J3366" s="197"/>
      <c r="U3366" s="443"/>
      <c r="V3366" s="443"/>
      <c r="W3366" s="443"/>
      <c r="X3366" s="443"/>
      <c r="Y3366" s="443"/>
      <c r="Z3366" s="443"/>
      <c r="AA3366" s="443"/>
      <c r="AB3366" s="443"/>
      <c r="AC3366" s="443"/>
      <c r="AD3366" s="443"/>
    </row>
    <row r="3367" spans="1:30" ht="38.25">
      <c r="A3367" s="132" t="str">
        <f>'[3]Planilha Orçamentária'!A878</f>
        <v>1.14.8.8</v>
      </c>
      <c r="B3367" s="108">
        <f>VLOOKUP(A3367,'[3]Planilha Orçamentária'!A:K,2,0)</f>
        <v>34492</v>
      </c>
      <c r="C3367" s="104" t="str">
        <f>VLOOKUP(A3367,'[3]Planilha Orçamentária'!A:K,3,0)</f>
        <v xml:space="preserve">CONCRETO USINADO BOMBEAVEL, CLASSE DE RESISTENCIA C20, COM BRITA 0 E 1, SLUMP = 100 +/- 20 MM, EXCLUI SERVICO DE BOMBEAMENTO (NBR 8953)                                                                                                                                                                                                                                                                                                                                                                   </v>
      </c>
      <c r="D3367" s="105" t="str">
        <f>VLOOKUP(A3367,'[3]Planilha Orçamentária'!A:K,4,0)</f>
        <v xml:space="preserve">M3    </v>
      </c>
      <c r="E3367" s="104"/>
      <c r="F3367" s="111"/>
      <c r="G3367" s="111"/>
      <c r="H3367" s="111"/>
      <c r="I3367" s="111"/>
      <c r="J3367" s="122">
        <f>ROUND(SUM(J3369:J3369),2)</f>
        <v>111.18</v>
      </c>
      <c r="U3367" s="443"/>
      <c r="V3367" s="443"/>
      <c r="W3367" s="443"/>
      <c r="X3367" s="443"/>
      <c r="Y3367" s="443"/>
      <c r="Z3367" s="443"/>
      <c r="AA3367" s="443"/>
      <c r="AB3367" s="443"/>
      <c r="AC3367" s="443"/>
      <c r="AD3367" s="443"/>
    </row>
    <row r="3368" spans="1:30">
      <c r="A3368" s="132"/>
      <c r="B3368" s="108"/>
      <c r="C3368" s="159"/>
      <c r="D3368" s="174"/>
      <c r="E3368" s="137" t="s">
        <v>2085</v>
      </c>
      <c r="F3368" s="174"/>
      <c r="G3368" s="174"/>
      <c r="H3368" s="174"/>
      <c r="I3368" s="174" t="s">
        <v>2007</v>
      </c>
      <c r="J3368" s="122"/>
      <c r="U3368" s="443"/>
      <c r="V3368" s="443"/>
      <c r="W3368" s="443"/>
      <c r="X3368" s="443"/>
      <c r="Y3368" s="443"/>
      <c r="Z3368" s="443"/>
      <c r="AA3368" s="443"/>
      <c r="AB3368" s="443"/>
      <c r="AC3368" s="443"/>
      <c r="AD3368" s="443"/>
    </row>
    <row r="3369" spans="1:30">
      <c r="A3369" s="132"/>
      <c r="B3369" s="108"/>
      <c r="C3369" s="324" t="s">
        <v>2088</v>
      </c>
      <c r="D3369" s="137"/>
      <c r="E3369" s="325">
        <v>1.2130000000000001</v>
      </c>
      <c r="F3369" s="174"/>
      <c r="G3369" s="174"/>
      <c r="H3369" s="174"/>
      <c r="I3369" s="286">
        <f>J3281</f>
        <v>91.66</v>
      </c>
      <c r="J3369" s="158">
        <f t="shared" ref="J3369" si="237">ROUND(PRODUCT(E3369:I3369),2)</f>
        <v>111.18</v>
      </c>
      <c r="U3369" s="443"/>
      <c r="V3369" s="443"/>
      <c r="W3369" s="443"/>
      <c r="X3369" s="443"/>
      <c r="Y3369" s="443"/>
      <c r="Z3369" s="443"/>
      <c r="AA3369" s="443"/>
      <c r="AB3369" s="443"/>
      <c r="AC3369" s="443"/>
      <c r="AD3369" s="443"/>
    </row>
    <row r="3370" spans="1:30">
      <c r="A3370" s="219"/>
      <c r="B3370" s="323"/>
      <c r="C3370" s="323"/>
      <c r="D3370" s="323"/>
      <c r="E3370" s="323"/>
      <c r="F3370" s="323"/>
      <c r="G3370" s="323"/>
      <c r="H3370" s="323"/>
      <c r="I3370" s="323"/>
      <c r="J3370" s="197"/>
      <c r="U3370" s="443"/>
      <c r="V3370" s="443"/>
      <c r="W3370" s="443"/>
      <c r="X3370" s="443"/>
      <c r="Y3370" s="443"/>
      <c r="Z3370" s="443"/>
      <c r="AA3370" s="443"/>
      <c r="AB3370" s="443"/>
      <c r="AC3370" s="443"/>
      <c r="AD3370" s="443"/>
    </row>
    <row r="3371" spans="1:30" ht="12" customHeight="1">
      <c r="A3371" s="93" t="str">
        <f>'[3]Planilha Orçamentária'!A879</f>
        <v>1.15</v>
      </c>
      <c r="B3371" s="526" t="str">
        <f>VLOOKUP(A3371,'[3]Planilha Orçamentária'!A:K,3,0)</f>
        <v>RUA PARAGOMINAS - PRAZERES</v>
      </c>
      <c r="C3371" s="527"/>
      <c r="D3371" s="527"/>
      <c r="E3371" s="527"/>
      <c r="F3371" s="527"/>
      <c r="G3371" s="527"/>
      <c r="H3371" s="527"/>
      <c r="I3371" s="527"/>
      <c r="J3371" s="527"/>
    </row>
    <row r="3372" spans="1:30" ht="12" customHeight="1">
      <c r="A3372" s="94" t="str">
        <f>'[3]Planilha Orçamentária'!A880</f>
        <v>1.15.1</v>
      </c>
      <c r="B3372" s="95"/>
      <c r="C3372" s="96" t="str">
        <f>VLOOKUP(A3372,'[3]Planilha Orçamentária'!A:K,3,0)</f>
        <v>INSTALAÇÕES PROVISÓRIAS</v>
      </c>
      <c r="D3372" s="97"/>
      <c r="E3372" s="98"/>
      <c r="F3372" s="99"/>
      <c r="G3372" s="99"/>
      <c r="H3372" s="99"/>
      <c r="I3372" s="100"/>
      <c r="J3372" s="101"/>
    </row>
    <row r="3373" spans="1:30" ht="25.5">
      <c r="A3373" s="102" t="str">
        <f>'[3]Planilha Orçamentária'!A881</f>
        <v>1.15.1.1</v>
      </c>
      <c r="B3373" s="103" t="str">
        <f>VLOOKUP(A3373,'[3]Planilha Orçamentária'!A:K,2,0)</f>
        <v>CP-74209/001-15055090</v>
      </c>
      <c r="C3373" s="104" t="str">
        <f>VLOOKUP(A3373,'[3]Planilha Orçamentária'!A:K,3,0)</f>
        <v>PLACA DE OBRA EM CHAPA DE ACO GALVANIZADO</v>
      </c>
      <c r="D3373" s="105" t="str">
        <f>VLOOKUP(A3373,'[3]Planilha Orçamentária'!A:K,4,0)</f>
        <v xml:space="preserve">M2    </v>
      </c>
      <c r="E3373" s="104"/>
      <c r="F3373" s="106" t="s">
        <v>1989</v>
      </c>
      <c r="G3373" s="106" t="s">
        <v>1990</v>
      </c>
      <c r="H3373" s="106"/>
      <c r="I3373" s="106" t="s">
        <v>1991</v>
      </c>
      <c r="J3373" s="107">
        <f>ROUND(SUM(J3375:J3375),2)</f>
        <v>8</v>
      </c>
    </row>
    <row r="3374" spans="1:30">
      <c r="A3374" s="102"/>
      <c r="B3374" s="103"/>
      <c r="C3374" s="110"/>
      <c r="D3374" s="109"/>
      <c r="E3374" s="110"/>
      <c r="F3374" s="111"/>
      <c r="G3374" s="111"/>
      <c r="H3374" s="111"/>
      <c r="I3374" s="111"/>
      <c r="J3374" s="107"/>
    </row>
    <row r="3375" spans="1:30">
      <c r="A3375" s="102"/>
      <c r="B3375" s="123"/>
      <c r="C3375" s="328"/>
      <c r="D3375" s="114"/>
      <c r="E3375" s="115"/>
      <c r="F3375" s="116">
        <v>2</v>
      </c>
      <c r="G3375" s="116">
        <v>4</v>
      </c>
      <c r="H3375" s="117"/>
      <c r="I3375" s="116">
        <v>1</v>
      </c>
      <c r="J3375" s="118">
        <f>ROUND(PRODUCT(E3375:I3375),2)</f>
        <v>8</v>
      </c>
    </row>
    <row r="3376" spans="1:30">
      <c r="A3376" s="553"/>
      <c r="B3376" s="554"/>
      <c r="C3376" s="554"/>
      <c r="D3376" s="554"/>
      <c r="E3376" s="554"/>
      <c r="F3376" s="554"/>
      <c r="G3376" s="554"/>
      <c r="H3376" s="554"/>
      <c r="I3376" s="554"/>
      <c r="J3376" s="555"/>
    </row>
    <row r="3377" spans="1:10" ht="25.5">
      <c r="A3377" s="102" t="str">
        <f>'[3]Planilha Orçamentária'!A882</f>
        <v>1.15.1.2</v>
      </c>
      <c r="B3377" s="108" t="str">
        <f>VLOOKUP(A3377,'[3]Planilha Orçamentária'!A:K,2,0)</f>
        <v>COMP-07440249</v>
      </c>
      <c r="C3377" s="104" t="str">
        <f>VLOOKUP(A3377,'[3]Planilha Orçamentária'!A:K,3,0)</f>
        <v>BANHEIRO QUÍMICO, COM LOCAÇÃO, TRANSPORTE E LIMPEZA</v>
      </c>
      <c r="D3377" s="105" t="str">
        <f>VLOOKUP(A3377,'[3]Planilha Orçamentária'!A:K,4,0)</f>
        <v>MÊS</v>
      </c>
      <c r="E3377" s="104"/>
      <c r="F3377" s="111"/>
      <c r="G3377" s="111"/>
      <c r="H3377" s="111"/>
      <c r="I3377" s="111"/>
      <c r="J3377" s="122">
        <f>ROUND(SUM(J3379:J3379),2)</f>
        <v>10</v>
      </c>
    </row>
    <row r="3378" spans="1:10" ht="25.5">
      <c r="A3378" s="102"/>
      <c r="B3378" s="108"/>
      <c r="C3378" s="104"/>
      <c r="D3378" s="105"/>
      <c r="E3378" s="104"/>
      <c r="F3378" s="111"/>
      <c r="G3378" s="111"/>
      <c r="H3378" s="111"/>
      <c r="I3378" s="106" t="s">
        <v>1992</v>
      </c>
      <c r="J3378" s="122"/>
    </row>
    <row r="3379" spans="1:10">
      <c r="A3379" s="102"/>
      <c r="B3379" s="123"/>
      <c r="C3379" s="124"/>
      <c r="D3379" s="125"/>
      <c r="E3379" s="126"/>
      <c r="F3379" s="126"/>
      <c r="G3379" s="117"/>
      <c r="H3379" s="117"/>
      <c r="I3379" s="127">
        <v>10</v>
      </c>
      <c r="J3379" s="128">
        <f>ROUND(PRODUCT(E3379:I3379),2)</f>
        <v>10</v>
      </c>
    </row>
    <row r="3380" spans="1:10">
      <c r="A3380" s="102"/>
      <c r="B3380" s="123"/>
      <c r="C3380" s="124"/>
      <c r="D3380" s="125"/>
      <c r="E3380" s="126"/>
      <c r="F3380" s="126"/>
      <c r="G3380" s="117"/>
      <c r="H3380" s="117"/>
      <c r="I3380" s="127"/>
      <c r="J3380" s="128"/>
    </row>
    <row r="3381" spans="1:10">
      <c r="A3381" s="94" t="str">
        <f>'[3]Planilha Orçamentária'!A883</f>
        <v>1.15.2</v>
      </c>
      <c r="B3381" s="95"/>
      <c r="C3381" s="96" t="str">
        <f>VLOOKUP(A3381,'[3]Planilha Orçamentária'!A:K,3,0)</f>
        <v>ADMINISTRAÇÃO LOCAL</v>
      </c>
      <c r="D3381" s="96"/>
      <c r="E3381" s="129"/>
      <c r="F3381" s="130"/>
      <c r="G3381" s="130"/>
      <c r="H3381" s="130"/>
      <c r="I3381" s="130"/>
      <c r="J3381" s="131"/>
    </row>
    <row r="3382" spans="1:10" ht="25.5">
      <c r="A3382" s="132" t="str">
        <f>'[3]Planilha Orçamentária'!A884</f>
        <v>1.15.2.1</v>
      </c>
      <c r="B3382" s="103">
        <f>VLOOKUP(A3382,'[3]Planilha Orçamentária'!A:K,2,0)</f>
        <v>93565</v>
      </c>
      <c r="C3382" s="104" t="str">
        <f>VLOOKUP(A3382,'[3]Planilha Orçamentária'!A:K,3,0)</f>
        <v>ENGENHEIRO CIVIL DE OBRA JUNIOR COM ENCARGOS COMPLEMENTARES</v>
      </c>
      <c r="D3382" s="105" t="str">
        <f>VLOOKUP(A3382,'[3]Planilha Orçamentária'!A:K,4,0)</f>
        <v>MES</v>
      </c>
      <c r="E3382" s="133"/>
      <c r="F3382" s="134"/>
      <c r="G3382" s="134"/>
      <c r="H3382" s="134"/>
      <c r="I3382" s="134"/>
      <c r="J3382" s="107">
        <f>ROUND(SUM(J3384),2)</f>
        <v>1.25</v>
      </c>
    </row>
    <row r="3383" spans="1:10" ht="14.25">
      <c r="A3383" s="132"/>
      <c r="B3383" s="103"/>
      <c r="C3383" s="135"/>
      <c r="D3383" s="105"/>
      <c r="E3383" s="133"/>
      <c r="F3383" s="136"/>
      <c r="G3383" s="136"/>
      <c r="H3383" s="136"/>
      <c r="I3383" s="136"/>
      <c r="J3383" s="107"/>
    </row>
    <row r="3384" spans="1:10" ht="14.25">
      <c r="A3384" s="137"/>
      <c r="B3384" s="138"/>
      <c r="C3384" s="135" t="s">
        <v>2396</v>
      </c>
      <c r="D3384" s="139"/>
      <c r="E3384" s="136">
        <f>22/176</f>
        <v>0.125</v>
      </c>
      <c r="F3384" s="136"/>
      <c r="G3384" s="136"/>
      <c r="H3384" s="136"/>
      <c r="I3384" s="136">
        <f>I3379</f>
        <v>10</v>
      </c>
      <c r="J3384" s="118">
        <f>ROUND(PRODUCT(E3384:I3384),2)</f>
        <v>1.25</v>
      </c>
    </row>
    <row r="3385" spans="1:10" ht="14.25">
      <c r="A3385" s="137"/>
      <c r="B3385" s="138"/>
      <c r="C3385" s="135" t="s">
        <v>1994</v>
      </c>
      <c r="D3385" s="139"/>
      <c r="E3385" s="136"/>
      <c r="F3385" s="136"/>
      <c r="G3385" s="136"/>
      <c r="H3385" s="136"/>
      <c r="I3385" s="136"/>
      <c r="J3385" s="140"/>
    </row>
    <row r="3386" spans="1:10" ht="14.25">
      <c r="A3386" s="137"/>
      <c r="B3386" s="138"/>
      <c r="C3386" s="135" t="s">
        <v>1995</v>
      </c>
      <c r="D3386" s="141"/>
      <c r="E3386" s="142"/>
      <c r="F3386" s="127"/>
      <c r="G3386" s="117"/>
      <c r="H3386" s="117"/>
      <c r="I3386" s="143"/>
      <c r="J3386" s="144"/>
    </row>
    <row r="3387" spans="1:10">
      <c r="A3387" s="531"/>
      <c r="B3387" s="531"/>
      <c r="C3387" s="531"/>
      <c r="D3387" s="531"/>
      <c r="E3387" s="531"/>
      <c r="F3387" s="531"/>
      <c r="G3387" s="531"/>
      <c r="H3387" s="531"/>
      <c r="I3387" s="531"/>
      <c r="J3387" s="531"/>
    </row>
    <row r="3388" spans="1:10" ht="25.5">
      <c r="A3388" s="132" t="str">
        <f>'[3]Planilha Orçamentária'!A885</f>
        <v>1.15.2.2</v>
      </c>
      <c r="B3388" s="103">
        <f>VLOOKUP(A3388,'[3]Planilha Orçamentária'!A:K,2,0)</f>
        <v>93572</v>
      </c>
      <c r="C3388" s="104" t="str">
        <f>VLOOKUP(A3388,'[3]Planilha Orçamentária'!A:K,3,0)</f>
        <v>ENCARREGADO GERAL DE OBRAS COM ENCARGOS COMPLEMENTARES</v>
      </c>
      <c r="D3388" s="105" t="str">
        <f>VLOOKUP(A3388,'[3]Planilha Orçamentária'!A:K,4,0)</f>
        <v>MES</v>
      </c>
      <c r="E3388" s="133"/>
      <c r="F3388" s="134"/>
      <c r="G3388" s="134"/>
      <c r="H3388" s="134"/>
      <c r="I3388" s="134"/>
      <c r="J3388" s="107">
        <f>ROUND(SUM(J3390),2)</f>
        <v>5</v>
      </c>
    </row>
    <row r="3389" spans="1:10" ht="14.25">
      <c r="A3389" s="132"/>
      <c r="B3389" s="103"/>
      <c r="C3389" s="135"/>
      <c r="D3389" s="105"/>
      <c r="E3389" s="133"/>
      <c r="F3389" s="136"/>
      <c r="G3389" s="136"/>
      <c r="H3389" s="136"/>
      <c r="I3389" s="136"/>
      <c r="J3389" s="107"/>
    </row>
    <row r="3390" spans="1:10" ht="14.25">
      <c r="A3390" s="137"/>
      <c r="B3390" s="138"/>
      <c r="C3390" s="135" t="s">
        <v>2397</v>
      </c>
      <c r="D3390" s="139"/>
      <c r="E3390" s="136">
        <f>88/176</f>
        <v>0.5</v>
      </c>
      <c r="F3390" s="136"/>
      <c r="G3390" s="136"/>
      <c r="H3390" s="136"/>
      <c r="I3390" s="136">
        <f>I3379</f>
        <v>10</v>
      </c>
      <c r="J3390" s="118">
        <f>ROUND(PRODUCT(E3390:I3390),2)</f>
        <v>5</v>
      </c>
    </row>
    <row r="3391" spans="1:10" ht="14.25">
      <c r="A3391" s="137"/>
      <c r="B3391" s="138"/>
      <c r="C3391" s="135" t="s">
        <v>1997</v>
      </c>
      <c r="D3391" s="139"/>
      <c r="E3391" s="136"/>
      <c r="F3391" s="136"/>
      <c r="G3391" s="136"/>
      <c r="H3391" s="136"/>
      <c r="I3391" s="136"/>
      <c r="J3391" s="140"/>
    </row>
    <row r="3392" spans="1:10" ht="14.25">
      <c r="A3392" s="137"/>
      <c r="B3392" s="138"/>
      <c r="C3392" s="135" t="s">
        <v>1995</v>
      </c>
      <c r="D3392" s="141"/>
      <c r="E3392" s="142"/>
      <c r="F3392" s="127"/>
      <c r="G3392" s="117"/>
      <c r="H3392" s="117"/>
      <c r="I3392" s="143"/>
      <c r="J3392" s="144"/>
    </row>
    <row r="3393" spans="1:10">
      <c r="A3393" s="531"/>
      <c r="B3393" s="531"/>
      <c r="C3393" s="531"/>
      <c r="D3393" s="531"/>
      <c r="E3393" s="531"/>
      <c r="F3393" s="531"/>
      <c r="G3393" s="531"/>
      <c r="H3393" s="531"/>
      <c r="I3393" s="531"/>
      <c r="J3393" s="531"/>
    </row>
    <row r="3394" spans="1:10">
      <c r="A3394" s="94" t="str">
        <f>'[3]Planilha Orçamentária'!A886</f>
        <v>1.15.3</v>
      </c>
      <c r="B3394" s="95"/>
      <c r="C3394" s="96" t="str">
        <f>VLOOKUP(A3394,'[3]Planilha Orçamentária'!A:K,3,0)</f>
        <v>SERVIÇOS PRELIMINARES</v>
      </c>
      <c r="D3394" s="97"/>
      <c r="E3394" s="98"/>
      <c r="F3394" s="99"/>
      <c r="G3394" s="99"/>
      <c r="H3394" s="99"/>
      <c r="I3394" s="100"/>
      <c r="J3394" s="101"/>
    </row>
    <row r="3395" spans="1:10">
      <c r="A3395" s="145" t="str">
        <f>'[3]Planilha Orçamentária'!A887</f>
        <v>1.15.3.1</v>
      </c>
      <c r="B3395" s="146">
        <f>VLOOKUP(A3395,'[3]Planilha Orçamentária'!A:K,2,0)</f>
        <v>99064</v>
      </c>
      <c r="C3395" s="147" t="str">
        <f>VLOOKUP(A3395,'[3]Planilha Orçamentária'!A:K,3,0)</f>
        <v>LOCAÇÃO DE PAVIMENTAÇÃO. AF_10/2018</v>
      </c>
      <c r="D3395" s="148" t="str">
        <f>VLOOKUP(A3395,'[3]Planilha Orçamentária'!A:K,4,0)</f>
        <v>M</v>
      </c>
      <c r="E3395" s="147"/>
      <c r="F3395" s="136"/>
      <c r="G3395" s="149"/>
      <c r="H3395" s="149"/>
      <c r="I3395" s="149"/>
      <c r="J3395" s="150">
        <f>ROUND(SUM(J3396:J3399),2)</f>
        <v>978.31</v>
      </c>
    </row>
    <row r="3396" spans="1:10">
      <c r="A3396" s="151"/>
      <c r="B3396" s="152"/>
      <c r="C3396" s="147"/>
      <c r="D3396" s="148"/>
      <c r="E3396" s="147"/>
      <c r="F3396" s="106" t="s">
        <v>1989</v>
      </c>
      <c r="G3396" s="149"/>
      <c r="H3396" s="149"/>
      <c r="I3396" s="149"/>
      <c r="J3396" s="150"/>
    </row>
    <row r="3397" spans="1:10">
      <c r="A3397" s="174"/>
      <c r="B3397" s="174"/>
      <c r="C3397" s="200" t="s">
        <v>2398</v>
      </c>
      <c r="D3397" s="156"/>
      <c r="E3397" s="157"/>
      <c r="F3397" s="136">
        <f>(12*20)+(14.31)</f>
        <v>254.31</v>
      </c>
      <c r="G3397" s="157"/>
      <c r="H3397" s="157"/>
      <c r="I3397" s="157"/>
      <c r="J3397" s="158">
        <f>ROUND(PRODUCT(E3397:I3397),2)</f>
        <v>254.31</v>
      </c>
    </row>
    <row r="3398" spans="1:10">
      <c r="A3398" s="174"/>
      <c r="B3398" s="174"/>
      <c r="C3398" s="200" t="s">
        <v>2399</v>
      </c>
      <c r="D3398" s="156"/>
      <c r="E3398" s="157"/>
      <c r="F3398" s="136">
        <f>(9*20)+(20-0.44)+(6.91)</f>
        <v>206.47</v>
      </c>
      <c r="G3398" s="157"/>
      <c r="H3398" s="157"/>
      <c r="I3398" s="157"/>
      <c r="J3398" s="158">
        <f t="shared" ref="J3398:J3399" si="238">ROUND(PRODUCT(E3398:I3398),2)</f>
        <v>206.47</v>
      </c>
    </row>
    <row r="3399" spans="1:10">
      <c r="A3399" s="174"/>
      <c r="B3399" s="174"/>
      <c r="C3399" s="200" t="s">
        <v>2400</v>
      </c>
      <c r="D3399" s="156"/>
      <c r="E3399" s="157"/>
      <c r="F3399" s="136">
        <f>(20-6.93)+(25*20)+(4.46)</f>
        <v>517.53000000000009</v>
      </c>
      <c r="G3399" s="157"/>
      <c r="H3399" s="157"/>
      <c r="I3399" s="157"/>
      <c r="J3399" s="158">
        <f t="shared" si="238"/>
        <v>517.53</v>
      </c>
    </row>
    <row r="3400" spans="1:10">
      <c r="A3400" s="174"/>
      <c r="B3400" s="174"/>
      <c r="C3400" s="200"/>
      <c r="D3400" s="156"/>
      <c r="E3400" s="157"/>
      <c r="F3400" s="136"/>
      <c r="G3400" s="157"/>
      <c r="H3400" s="157"/>
      <c r="I3400" s="157"/>
      <c r="J3400" s="158"/>
    </row>
    <row r="3401" spans="1:10">
      <c r="A3401" s="531"/>
      <c r="B3401" s="531"/>
      <c r="C3401" s="531"/>
      <c r="D3401" s="531"/>
      <c r="E3401" s="531"/>
      <c r="F3401" s="531"/>
      <c r="G3401" s="531"/>
      <c r="H3401" s="531"/>
      <c r="I3401" s="531"/>
      <c r="J3401" s="531"/>
    </row>
    <row r="3402" spans="1:10">
      <c r="A3402" s="94" t="str">
        <f>'[3]Planilha Orçamentária'!A888</f>
        <v>1.15.4</v>
      </c>
      <c r="B3402" s="95"/>
      <c r="C3402" s="96" t="str">
        <f>VLOOKUP(A3402,'[3]Planilha Orçamentária'!A:K,3,0)</f>
        <v>TERRAPLENAGEM</v>
      </c>
      <c r="D3402" s="97"/>
      <c r="E3402" s="98"/>
      <c r="F3402" s="99"/>
      <c r="G3402" s="99"/>
      <c r="H3402" s="99"/>
      <c r="I3402" s="100"/>
      <c r="J3402" s="173"/>
    </row>
    <row r="3403" spans="1:10" ht="38.25">
      <c r="A3403" s="132" t="str">
        <f>'[3]Planilha Orçamentária'!A889</f>
        <v>1.15.4.1</v>
      </c>
      <c r="B3403" s="103" t="str">
        <f>VLOOKUP(A3403,'[3]Planilha Orçamentária'!A:K,2,0)</f>
        <v>CP-74205/001-17324935</v>
      </c>
      <c r="C3403" s="104" t="str">
        <f>VLOOKUP(A3403,'[3]Planilha Orçamentária'!A:K,3,0)</f>
        <v>ESCAVAÇÃO MECÂNICA DE MATERIAL 1A. CATEGORIA, PROVENIENTE DE CORTE DE SUBLEITO (C/TRATOR ESTEIRAS  160HP)</v>
      </c>
      <c r="D3403" s="105" t="str">
        <f>VLOOKUP(A3403,'[3]Planilha Orçamentária'!A:K,4,0)</f>
        <v>M3</v>
      </c>
      <c r="E3403" s="104"/>
      <c r="F3403" s="111"/>
      <c r="G3403" s="111"/>
      <c r="H3403" s="111"/>
      <c r="I3403" s="111"/>
      <c r="J3403" s="107">
        <f>ROUND(SUM(J3405:J3405),2)</f>
        <v>3357.35</v>
      </c>
    </row>
    <row r="3404" spans="1:10">
      <c r="A3404" s="132"/>
      <c r="B3404" s="103"/>
      <c r="C3404" s="165" t="s">
        <v>2401</v>
      </c>
      <c r="D3404" s="105"/>
      <c r="E3404" s="104"/>
      <c r="F3404" s="111"/>
      <c r="G3404" s="111"/>
      <c r="H3404" s="111"/>
      <c r="I3404" s="106" t="s">
        <v>2007</v>
      </c>
      <c r="J3404" s="107"/>
    </row>
    <row r="3405" spans="1:10">
      <c r="A3405" s="174"/>
      <c r="B3405" s="175"/>
      <c r="C3405" s="155" t="s">
        <v>2097</v>
      </c>
      <c r="D3405" s="156"/>
      <c r="E3405" s="157"/>
      <c r="F3405" s="157"/>
      <c r="G3405" s="157"/>
      <c r="H3405" s="157"/>
      <c r="I3405" s="157">
        <f>620.36+628.27+1002.56+1106.16</f>
        <v>3357.3500000000004</v>
      </c>
      <c r="J3405" s="176">
        <f>ROUND(PRODUCT(E3405:I3405),2)</f>
        <v>3357.35</v>
      </c>
    </row>
    <row r="3406" spans="1:10">
      <c r="A3406" s="549"/>
      <c r="B3406" s="549"/>
      <c r="C3406" s="549"/>
      <c r="D3406" s="549"/>
      <c r="E3406" s="549"/>
      <c r="F3406" s="549"/>
      <c r="G3406" s="549"/>
      <c r="H3406" s="549"/>
      <c r="I3406" s="549"/>
      <c r="J3406" s="549"/>
    </row>
    <row r="3407" spans="1:10" ht="51">
      <c r="A3407" s="177" t="str">
        <f>'[3]Planilha Orçamentária'!A890</f>
        <v>1.15.4.2</v>
      </c>
      <c r="B3407" s="178" t="str">
        <f>VLOOKUP(A3407,'[3]Planilha Orçamentária'!A:K,2,0)</f>
        <v>COMP-35145154</v>
      </c>
      <c r="C3407" s="179" t="str">
        <f>VLOOKUP(A3407,'[3]Planilha Orçamentária'!A:K,3,0)</f>
        <v>CARGA E DESCARGA MECANICA DE SOLO UTILIZANDO CAMINHAO BASCULANTE 14,0M3/36T E PA CARREGADEIRA SOBRE PNEUS 128 HP, CAPACIDADE DA CAÇAMBA 1,7 A 2,8 M3, PESO OPERACIONAL 11632 KH</v>
      </c>
      <c r="D3407" s="180" t="str">
        <f>VLOOKUP(A3407,'[3]Planilha Orçamentária'!A:K,4,0)</f>
        <v>M3</v>
      </c>
      <c r="E3407" s="179"/>
      <c r="F3407" s="181"/>
      <c r="G3407" s="181"/>
      <c r="H3407" s="181"/>
      <c r="I3407" s="181"/>
      <c r="J3407" s="107">
        <f>ROUND(SUM(J3409:J3409),2)</f>
        <v>4196.6899999999996</v>
      </c>
    </row>
    <row r="3408" spans="1:10">
      <c r="A3408" s="177"/>
      <c r="B3408" s="178"/>
      <c r="C3408" s="155" t="s">
        <v>2015</v>
      </c>
      <c r="D3408" s="180"/>
      <c r="E3408" s="184" t="s">
        <v>2006</v>
      </c>
      <c r="F3408" s="332"/>
      <c r="G3408" s="332"/>
      <c r="H3408" s="332"/>
      <c r="I3408" s="332" t="s">
        <v>2007</v>
      </c>
      <c r="J3408" s="182"/>
    </row>
    <row r="3409" spans="1:10">
      <c r="A3409" s="177"/>
      <c r="B3409" s="178"/>
      <c r="C3409" s="155" t="s">
        <v>2016</v>
      </c>
      <c r="D3409" s="156"/>
      <c r="E3409" s="157">
        <v>1.25</v>
      </c>
      <c r="F3409" s="116"/>
      <c r="G3409" s="116"/>
      <c r="H3409" s="116"/>
      <c r="I3409" s="116">
        <f>J3403</f>
        <v>3357.35</v>
      </c>
      <c r="J3409" s="176">
        <f>ROUND(PRODUCT(E3409:I3409),2)</f>
        <v>4196.6899999999996</v>
      </c>
    </row>
    <row r="3410" spans="1:10">
      <c r="A3410" s="549"/>
      <c r="B3410" s="549"/>
      <c r="C3410" s="549"/>
      <c r="D3410" s="549"/>
      <c r="E3410" s="549"/>
      <c r="F3410" s="549"/>
      <c r="G3410" s="549"/>
      <c r="H3410" s="549"/>
      <c r="I3410" s="549"/>
      <c r="J3410" s="549"/>
    </row>
    <row r="3411" spans="1:10" ht="38.25">
      <c r="A3411" s="186" t="str">
        <f>'[3]Planilha Orçamentária'!A891</f>
        <v>1.15.4.3</v>
      </c>
      <c r="B3411" s="187">
        <f>VLOOKUP(A3411,'[3]Planilha Orçamentária'!A:K,2,0)</f>
        <v>95876</v>
      </c>
      <c r="C3411" s="188" t="str">
        <f>VLOOKUP(A3411,'[3]Planilha Orçamentária'!A:K,3,0)</f>
        <v>TRANSPORTE COM CAMINHÃO BASCULANTE DE 14 M³, EM VIA URBANA PAVIMENTADA, DMT ATÉ 30 KM (UNIDADE: M3XKM). AF_07/2020</v>
      </c>
      <c r="D3411" s="189" t="str">
        <f>VLOOKUP(A3411,'[3]Planilha Orçamentária'!A:K,4,0)</f>
        <v>M3XKM</v>
      </c>
      <c r="E3411" s="188"/>
      <c r="F3411" s="160"/>
      <c r="G3411" s="160"/>
      <c r="H3411" s="160"/>
      <c r="I3411" s="160"/>
      <c r="J3411" s="122">
        <f>ROUND(SUM(J3413:J3413),2)</f>
        <v>34832.53</v>
      </c>
    </row>
    <row r="3412" spans="1:10">
      <c r="A3412" s="186"/>
      <c r="B3412" s="187"/>
      <c r="C3412" s="171" t="s">
        <v>2402</v>
      </c>
      <c r="D3412" s="123"/>
      <c r="E3412" s="123" t="s">
        <v>2011</v>
      </c>
      <c r="F3412" s="160"/>
      <c r="G3412" s="160"/>
      <c r="H3412" s="161"/>
      <c r="I3412" s="161" t="s">
        <v>2007</v>
      </c>
      <c r="J3412" s="150"/>
    </row>
    <row r="3413" spans="1:10">
      <c r="A3413" s="186"/>
      <c r="B3413" s="187"/>
      <c r="C3413" s="155" t="s">
        <v>2403</v>
      </c>
      <c r="D3413" s="123"/>
      <c r="E3413" s="162">
        <v>8.3000000000000007</v>
      </c>
      <c r="F3413" s="207"/>
      <c r="G3413" s="207"/>
      <c r="H3413" s="207"/>
      <c r="I3413" s="195">
        <f>J3407</f>
        <v>4196.6899999999996</v>
      </c>
      <c r="J3413" s="196">
        <f>ROUND(PRODUCT(E3413:I3413),2)</f>
        <v>34832.53</v>
      </c>
    </row>
    <row r="3414" spans="1:10">
      <c r="A3414" s="532"/>
      <c r="B3414" s="533"/>
      <c r="C3414" s="533"/>
      <c r="D3414" s="533"/>
      <c r="E3414" s="533"/>
      <c r="F3414" s="533"/>
      <c r="G3414" s="533"/>
      <c r="H3414" s="533"/>
      <c r="I3414" s="533"/>
      <c r="J3414" s="534"/>
    </row>
    <row r="3415" spans="1:10">
      <c r="A3415" s="94" t="str">
        <f>'[3]Planilha Orçamentária'!A892</f>
        <v>1.15.5</v>
      </c>
      <c r="B3415" s="95"/>
      <c r="C3415" s="96" t="str">
        <f>VLOOKUP(A3415,'[3]Planilha Orçamentária'!A:K,3,0)</f>
        <v>PAVIMENTAÇÃO</v>
      </c>
      <c r="D3415" s="97"/>
      <c r="E3415" s="98"/>
      <c r="F3415" s="99"/>
      <c r="G3415" s="99"/>
      <c r="H3415" s="99"/>
      <c r="I3415" s="100"/>
      <c r="J3415" s="131"/>
    </row>
    <row r="3416" spans="1:10" ht="25.5">
      <c r="A3416" s="145" t="str">
        <f>'[4]Planilha Orçamentária'!A893</f>
        <v>1.15.5.1</v>
      </c>
      <c r="B3416" s="199">
        <f>VLOOKUP(A3416,'[4]Planilha Orçamentária'!A:K,2,0)</f>
        <v>100576</v>
      </c>
      <c r="C3416" s="147" t="str">
        <f>VLOOKUP(A3416,'[4]Planilha Orçamentária'!A:K,3,0)</f>
        <v>REGULARIZAÇÃO E COMPACTAÇÃO DE SUBLEITO DE SOLO  PREDOMINANTEMENTE ARGILOSO. AF_11/2019</v>
      </c>
      <c r="D3416" s="148" t="str">
        <f>VLOOKUP(A3416,'[4]Planilha Orçamentária'!A:K,4,0)</f>
        <v>M2</v>
      </c>
      <c r="E3416" s="147"/>
      <c r="F3416" s="160"/>
      <c r="G3416" s="160"/>
      <c r="H3416" s="160"/>
      <c r="I3416" s="160"/>
      <c r="J3416" s="150">
        <f>ROUND(SUM(J3418:J3418),2)</f>
        <v>5380.71</v>
      </c>
    </row>
    <row r="3417" spans="1:10">
      <c r="A3417" s="145"/>
      <c r="B3417" s="199"/>
      <c r="C3417" s="159" t="s">
        <v>2404</v>
      </c>
      <c r="D3417" s="148"/>
      <c r="E3417" s="147"/>
      <c r="F3417" s="161" t="s">
        <v>1989</v>
      </c>
      <c r="G3417" s="161" t="s">
        <v>1990</v>
      </c>
      <c r="H3417" s="160"/>
      <c r="I3417" s="161"/>
      <c r="J3417" s="150"/>
    </row>
    <row r="3418" spans="1:10" ht="25.5">
      <c r="A3418" s="145"/>
      <c r="B3418" s="199"/>
      <c r="C3418" s="200" t="s">
        <v>2019</v>
      </c>
      <c r="D3418" s="185"/>
      <c r="E3418" s="116"/>
      <c r="F3418" s="136">
        <v>978.31</v>
      </c>
      <c r="G3418" s="161">
        <f>((4+5)/2)+1</f>
        <v>5.5</v>
      </c>
      <c r="H3418" s="160"/>
      <c r="I3418" s="161"/>
      <c r="J3418" s="158">
        <f>ROUND(PRODUCT(E3418:I3418),2)</f>
        <v>5380.71</v>
      </c>
    </row>
    <row r="3419" spans="1:10">
      <c r="A3419" s="550"/>
      <c r="B3419" s="551"/>
      <c r="C3419" s="551"/>
      <c r="D3419" s="551"/>
      <c r="E3419" s="551"/>
      <c r="F3419" s="551"/>
      <c r="G3419" s="551"/>
      <c r="H3419" s="551"/>
      <c r="I3419" s="551"/>
      <c r="J3419" s="552"/>
    </row>
    <row r="3420" spans="1:10" ht="25.5">
      <c r="A3420" s="444" t="str">
        <f>'[4]Planilha Orçamentária'!A894</f>
        <v>1.15.5.2</v>
      </c>
      <c r="B3420" s="199" t="str">
        <f>VLOOKUP(A3420,'[4]Planilha Orçamentária'!A:K,2,0)</f>
        <v>COMP-47176600</v>
      </c>
      <c r="C3420" s="147" t="str">
        <f>VLOOKUP(A3420,'[4]Planilha Orçamentária'!A:K,3,0)</f>
        <v xml:space="preserve">EXEC. DE ATERRO COM AREIA COM ADENSAMENTO HIDRAULICO </v>
      </c>
      <c r="D3420" s="148" t="str">
        <f>VLOOKUP(A3420,'[4]Planilha Orçamentária'!A:K,4,0)</f>
        <v xml:space="preserve">M3    </v>
      </c>
      <c r="E3420" s="147"/>
      <c r="F3420" s="160"/>
      <c r="G3420" s="160"/>
      <c r="H3420" s="160"/>
      <c r="I3420" s="160"/>
      <c r="J3420" s="150">
        <f>ROUND(SUM(J3422:J3422),2)</f>
        <v>1076.1400000000001</v>
      </c>
    </row>
    <row r="3421" spans="1:10">
      <c r="A3421" s="145"/>
      <c r="B3421" s="145"/>
      <c r="C3421" s="159" t="s">
        <v>2405</v>
      </c>
      <c r="D3421" s="145"/>
      <c r="E3421" s="145"/>
      <c r="F3421" s="161" t="s">
        <v>1989</v>
      </c>
      <c r="G3421" s="161" t="s">
        <v>1990</v>
      </c>
      <c r="H3421" s="161" t="s">
        <v>2002</v>
      </c>
      <c r="I3421" s="145"/>
      <c r="J3421" s="145"/>
    </row>
    <row r="3422" spans="1:10">
      <c r="A3422" s="145"/>
      <c r="B3422" s="145"/>
      <c r="C3422" s="145"/>
      <c r="D3422" s="145"/>
      <c r="E3422" s="145"/>
      <c r="F3422" s="136">
        <f>F3418</f>
        <v>978.31</v>
      </c>
      <c r="G3422" s="161">
        <f>G3418</f>
        <v>5.5</v>
      </c>
      <c r="H3422" s="161">
        <v>0.2</v>
      </c>
      <c r="I3422" s="145"/>
      <c r="J3422" s="158">
        <f>ROUND(PRODUCT(E3422:I3422),2)</f>
        <v>1076.1400000000001</v>
      </c>
    </row>
    <row r="3423" spans="1:10">
      <c r="A3423" s="145"/>
      <c r="B3423" s="145"/>
      <c r="C3423" s="145"/>
      <c r="D3423" s="145"/>
      <c r="E3423" s="145"/>
      <c r="F3423" s="145"/>
      <c r="G3423" s="145"/>
      <c r="H3423" s="145"/>
      <c r="I3423" s="145"/>
      <c r="J3423" s="145"/>
    </row>
    <row r="3424" spans="1:10" ht="38.25">
      <c r="A3424" s="186" t="str">
        <f>'[4]Planilha Orçamentária'!A895</f>
        <v>1.15.5.3</v>
      </c>
      <c r="B3424" s="445" t="str">
        <f>VLOOKUP(A3424,'[4]Planilha Orçamentária'!A:K,2,0)</f>
        <v>COMP-28881239</v>
      </c>
      <c r="C3424" s="188" t="str">
        <f>VLOOKUP(A3424,'[4]Planilha Orçamentária'!A:K,3,0)</f>
        <v>Base ou sub-base de macadame hidráulico com brita comercial - EXCLUSIVE MATERIAL, CARGA E TRANSPORTE - NÃO DESONERADO</v>
      </c>
      <c r="D3424" s="189" t="str">
        <f>VLOOKUP(A3424,'[4]Planilha Orçamentária'!A:K,4,0)</f>
        <v>M3</v>
      </c>
      <c r="E3424" s="188"/>
      <c r="F3424" s="190"/>
      <c r="G3424" s="190"/>
      <c r="H3424" s="190"/>
      <c r="I3424" s="190"/>
      <c r="J3424" s="203">
        <f>ROUND(SUM(J3426:J3426),2)</f>
        <v>660.36</v>
      </c>
    </row>
    <row r="3425" spans="1:10">
      <c r="A3425" s="186"/>
      <c r="B3425" s="187"/>
      <c r="C3425" s="159" t="s">
        <v>2404</v>
      </c>
      <c r="D3425" s="148"/>
      <c r="E3425" s="147"/>
      <c r="F3425" s="161" t="s">
        <v>1989</v>
      </c>
      <c r="G3425" s="161" t="s">
        <v>1990</v>
      </c>
      <c r="H3425" s="161" t="s">
        <v>2002</v>
      </c>
      <c r="I3425" s="161"/>
      <c r="J3425" s="203"/>
    </row>
    <row r="3426" spans="1:10" ht="28.5">
      <c r="A3426" s="186"/>
      <c r="B3426" s="187"/>
      <c r="C3426" s="204" t="s">
        <v>2020</v>
      </c>
      <c r="D3426" s="148"/>
      <c r="E3426" s="147"/>
      <c r="F3426" s="167">
        <f>F3418</f>
        <v>978.31</v>
      </c>
      <c r="G3426" s="161">
        <f>((4+5)/2)+0.5+0.5-1</f>
        <v>4.5</v>
      </c>
      <c r="H3426" s="161">
        <v>0.15</v>
      </c>
      <c r="I3426" s="167"/>
      <c r="J3426" s="176">
        <f>ROUND(PRODUCT(E3426:I3426),2)</f>
        <v>660.36</v>
      </c>
    </row>
    <row r="3427" spans="1:10">
      <c r="A3427" s="205"/>
      <c r="B3427" s="206"/>
      <c r="C3427" s="171"/>
      <c r="D3427" s="189"/>
      <c r="E3427" s="188"/>
      <c r="F3427" s="207"/>
      <c r="G3427" s="207"/>
      <c r="H3427" s="208"/>
      <c r="I3427" s="209"/>
      <c r="J3427" s="196"/>
    </row>
    <row r="3428" spans="1:10" ht="38.25">
      <c r="A3428" s="177" t="str">
        <f>'[4]Planilha Orçamentária'!A896</f>
        <v>1.15.5.4</v>
      </c>
      <c r="B3428" s="199" t="str">
        <f>VLOOKUP(A3428,'[4]Planilha Orçamentária'!A:K,2,0)</f>
        <v>CP-96396-26507981</v>
      </c>
      <c r="C3428" s="147" t="str">
        <f>VLOOKUP(A3428,'[4]Planilha Orçamentária'!A:K,3,0)</f>
        <v>EXECUÇÃO E COMPACTAÇÃO DE BASE E OU SUB BASE PARA PAVIMENTAÇÃO DE BRITA GRADUADA SIMPLES - EXCLUSIVE MATERIAL, CARGA E TRANSPORTE</v>
      </c>
      <c r="D3428" s="148" t="str">
        <f>VLOOKUP(A3428,'[4]Planilha Orçamentária'!A:K,4,0)</f>
        <v>M3</v>
      </c>
      <c r="E3428" s="179"/>
      <c r="F3428" s="181"/>
      <c r="G3428" s="181"/>
      <c r="H3428" s="181"/>
      <c r="I3428" s="181"/>
      <c r="J3428" s="182">
        <f>ROUND(SUM(J3430:J3430),2)</f>
        <v>880.48</v>
      </c>
    </row>
    <row r="3429" spans="1:10">
      <c r="A3429" s="177"/>
      <c r="B3429" s="178"/>
      <c r="C3429" s="159" t="s">
        <v>2404</v>
      </c>
      <c r="D3429" s="180"/>
      <c r="E3429" s="184"/>
      <c r="F3429" s="161" t="s">
        <v>1989</v>
      </c>
      <c r="G3429" s="161" t="s">
        <v>1990</v>
      </c>
      <c r="H3429" s="161" t="s">
        <v>2002</v>
      </c>
      <c r="I3429" s="210"/>
      <c r="J3429" s="182"/>
    </row>
    <row r="3430" spans="1:10" ht="28.5">
      <c r="A3430" s="123"/>
      <c r="B3430" s="211"/>
      <c r="C3430" s="204" t="s">
        <v>2021</v>
      </c>
      <c r="D3430" s="185"/>
      <c r="E3430" s="127"/>
      <c r="F3430" s="127">
        <f>F3418</f>
        <v>978.31</v>
      </c>
      <c r="G3430" s="161">
        <f>((4+5)/2)+0.5+0.5-1</f>
        <v>4.5</v>
      </c>
      <c r="H3430" s="161">
        <v>0.2</v>
      </c>
      <c r="I3430" s="212"/>
      <c r="J3430" s="118">
        <f>ROUND(PRODUCT(E3430:I3430),2)</f>
        <v>880.48</v>
      </c>
    </row>
    <row r="3431" spans="1:10">
      <c r="A3431" s="546"/>
      <c r="B3431" s="547"/>
      <c r="C3431" s="547"/>
      <c r="D3431" s="547"/>
      <c r="E3431" s="547"/>
      <c r="F3431" s="547"/>
      <c r="G3431" s="547"/>
      <c r="H3431" s="547"/>
      <c r="I3431" s="547"/>
      <c r="J3431" s="548"/>
    </row>
    <row r="3432" spans="1:10" ht="51">
      <c r="A3432" s="132" t="str">
        <f>'[4]Planilha Orçamentária'!A897</f>
        <v>1.15.5.5</v>
      </c>
      <c r="B3432" s="199" t="str">
        <f>VLOOKUP(A3432,'[4]Planilha Orçamentária'!A:K,2,0)</f>
        <v>COMP-35145154</v>
      </c>
      <c r="C3432" s="147" t="str">
        <f>VLOOKUP(A3432,'[4]Planilha Orçamentária'!A:K,3,0)</f>
        <v>CARGA E DESCARGA MECANICA DE SOLO UTILIZANDO CAMINHAO BASCULANTE 14,0M3/36T E PA CARREGADEIRA SOBRE PNEUS 128 HP, CAPACIDADE DA CAÇAMBA 1,7 A 2,8 M3, PESO OPERACIONAL 11632 KH</v>
      </c>
      <c r="D3432" s="148" t="str">
        <f>VLOOKUP(A3432,'[4]Planilha Orçamentária'!A:K,4,0)</f>
        <v>M3</v>
      </c>
      <c r="E3432" s="104"/>
      <c r="F3432" s="111"/>
      <c r="G3432" s="111"/>
      <c r="H3432" s="111"/>
      <c r="I3432" s="111"/>
      <c r="J3432" s="122">
        <f>ROUND(SUM(J3434:J3434),2)</f>
        <v>1926.05</v>
      </c>
    </row>
    <row r="3433" spans="1:10" ht="25.5">
      <c r="A3433" s="132"/>
      <c r="B3433" s="108"/>
      <c r="C3433" s="147"/>
      <c r="D3433" s="148"/>
      <c r="E3433" s="220" t="s">
        <v>2006</v>
      </c>
      <c r="F3433" s="106"/>
      <c r="G3433" s="111"/>
      <c r="H3433" s="111"/>
      <c r="I3433" s="143" t="s">
        <v>2022</v>
      </c>
      <c r="J3433" s="122"/>
    </row>
    <row r="3434" spans="1:10" ht="14.25">
      <c r="A3434" s="132"/>
      <c r="B3434" s="108"/>
      <c r="C3434" s="221" t="s">
        <v>2023</v>
      </c>
      <c r="D3434" s="156"/>
      <c r="E3434" s="106">
        <v>1.25</v>
      </c>
      <c r="F3434" s="238"/>
      <c r="G3434" s="205"/>
      <c r="H3434" s="205"/>
      <c r="I3434" s="239">
        <f>J3428+J3424</f>
        <v>1540.8400000000001</v>
      </c>
      <c r="J3434" s="342">
        <f t="shared" ref="J3434" si="239">ROUND(PRODUCT(E3434:I3434),2)</f>
        <v>1926.05</v>
      </c>
    </row>
    <row r="3435" spans="1:10">
      <c r="A3435" s="549"/>
      <c r="B3435" s="549"/>
      <c r="C3435" s="549"/>
      <c r="D3435" s="549"/>
      <c r="E3435" s="549"/>
      <c r="F3435" s="549"/>
      <c r="G3435" s="549"/>
      <c r="H3435" s="549"/>
      <c r="I3435" s="549"/>
      <c r="J3435" s="549"/>
    </row>
    <row r="3436" spans="1:10" ht="25.5">
      <c r="A3436" s="132" t="str">
        <f>'[4]Planilha Orçamentária'!A898</f>
        <v>1.15.5.6</v>
      </c>
      <c r="B3436" s="199" t="str">
        <f>VLOOKUP(A3436,'[4]Planilha Orçamentária'!A:K,2,0)</f>
        <v>COMP-83526730</v>
      </c>
      <c r="C3436" s="147" t="str">
        <f>VLOOKUP(A3436,'[4]Planilha Orçamentária'!A:K,3,0)</f>
        <v>TRANSPORTE COMERCIAL DE BRITA</v>
      </c>
      <c r="D3436" s="148" t="str">
        <f>VLOOKUP(A3436,'[4]Planilha Orçamentária'!A:K,4,0)</f>
        <v>M3XKM</v>
      </c>
      <c r="E3436" s="104"/>
      <c r="F3436" s="111"/>
      <c r="G3436" s="111"/>
      <c r="H3436" s="111"/>
      <c r="I3436" s="111"/>
      <c r="J3436" s="122">
        <f>ROUND(SUM(J3438:J3438),2)</f>
        <v>16178.82</v>
      </c>
    </row>
    <row r="3437" spans="1:10">
      <c r="A3437" s="132"/>
      <c r="B3437" s="108"/>
      <c r="C3437" s="159" t="s">
        <v>2406</v>
      </c>
      <c r="D3437" s="105"/>
      <c r="E3437" s="165" t="s">
        <v>2011</v>
      </c>
      <c r="F3437" s="106"/>
      <c r="G3437" s="106"/>
      <c r="H3437" s="106"/>
      <c r="I3437" s="106" t="s">
        <v>2007</v>
      </c>
      <c r="J3437" s="122"/>
    </row>
    <row r="3438" spans="1:10" ht="14.25">
      <c r="A3438" s="132"/>
      <c r="B3438" s="108"/>
      <c r="C3438" s="204" t="s">
        <v>2407</v>
      </c>
      <c r="D3438" s="174"/>
      <c r="E3438" s="239">
        <v>8.4</v>
      </c>
      <c r="F3438" s="223"/>
      <c r="G3438" s="174"/>
      <c r="H3438" s="174"/>
      <c r="I3438" s="224">
        <f>J3432</f>
        <v>1926.05</v>
      </c>
      <c r="J3438" s="342">
        <f t="shared" ref="J3438" si="240">ROUND(PRODUCT(E3438:I3438),2)</f>
        <v>16178.82</v>
      </c>
    </row>
    <row r="3439" spans="1:10">
      <c r="A3439" s="549"/>
      <c r="B3439" s="549"/>
      <c r="C3439" s="549"/>
      <c r="D3439" s="549"/>
      <c r="E3439" s="549"/>
      <c r="F3439" s="549"/>
      <c r="G3439" s="549"/>
      <c r="H3439" s="549"/>
      <c r="I3439" s="549"/>
      <c r="J3439" s="549"/>
    </row>
    <row r="3440" spans="1:10" ht="25.5">
      <c r="A3440" s="186" t="str">
        <f>'[4]Planilha Orçamentária'!A899</f>
        <v>1.15.5.7</v>
      </c>
      <c r="B3440" s="199" t="str">
        <f>VLOOKUP(A3440,'[4]Planilha Orçamentária'!A:K,2,0)</f>
        <v>CP-96401-52745838</v>
      </c>
      <c r="C3440" s="147" t="str">
        <f>VLOOKUP(A3440,'[4]Planilha Orçamentária'!A:K,3,0)</f>
        <v>EXECUÇÃO DE IMPRIMAÇÃO COM ASFALTO DILUÍDO CM-30, EXCLUSIVE MATERIAL.</v>
      </c>
      <c r="D3440" s="148" t="str">
        <f>VLOOKUP(A3440,'[4]Planilha Orçamentária'!A:K,4,0)</f>
        <v>M2</v>
      </c>
      <c r="E3440" s="188"/>
      <c r="F3440" s="190"/>
      <c r="G3440" s="190"/>
      <c r="H3440" s="190"/>
      <c r="I3440" s="190"/>
      <c r="J3440" s="150">
        <f>ROUND(SUM(J3442:J3444),2)</f>
        <v>3958.6</v>
      </c>
    </row>
    <row r="3441" spans="1:10">
      <c r="A3441" s="186"/>
      <c r="B3441" s="187"/>
      <c r="C3441" s="159" t="s">
        <v>2404</v>
      </c>
      <c r="D3441" s="189"/>
      <c r="E3441" s="188"/>
      <c r="F3441" s="190"/>
      <c r="G3441" s="190"/>
      <c r="H3441" s="208"/>
      <c r="I3441" s="161" t="s">
        <v>2003</v>
      </c>
      <c r="J3441" s="150"/>
    </row>
    <row r="3442" spans="1:10" ht="28.5">
      <c r="A3442" s="174"/>
      <c r="B3442" s="174"/>
      <c r="C3442" s="221" t="s">
        <v>2027</v>
      </c>
      <c r="D3442" s="174"/>
      <c r="E3442" s="174"/>
      <c r="F3442" s="223"/>
      <c r="G3442" s="174"/>
      <c r="H3442" s="224"/>
      <c r="I3442" s="224">
        <v>4554.42</v>
      </c>
      <c r="J3442" s="158">
        <f>ROUND(PRODUCT(E3442:I3442),2)</f>
        <v>4554.42</v>
      </c>
    </row>
    <row r="3443" spans="1:10" ht="14.25">
      <c r="A3443" s="174"/>
      <c r="B3443" s="174"/>
      <c r="C3443" s="221"/>
      <c r="D3443" s="174"/>
      <c r="E3443" s="174"/>
      <c r="F3443" s="223" t="s">
        <v>1989</v>
      </c>
      <c r="G3443" s="174" t="s">
        <v>1990</v>
      </c>
      <c r="H3443" s="224"/>
      <c r="I3443" s="224"/>
      <c r="J3443" s="158"/>
    </row>
    <row r="3444" spans="1:10" ht="14.25">
      <c r="A3444" s="174"/>
      <c r="B3444" s="174"/>
      <c r="C3444" s="221" t="s">
        <v>2028</v>
      </c>
      <c r="D3444" s="174"/>
      <c r="E3444" s="174">
        <v>-1</v>
      </c>
      <c r="F3444" s="223">
        <v>595.82000000000005</v>
      </c>
      <c r="G3444" s="174">
        <v>1</v>
      </c>
      <c r="H3444" s="224"/>
      <c r="I3444" s="224"/>
      <c r="J3444" s="158">
        <f>ROUND(PRODUCT(E3444:I3444),2)</f>
        <v>-595.82000000000005</v>
      </c>
    </row>
    <row r="3445" spans="1:10">
      <c r="A3445" s="549"/>
      <c r="B3445" s="549"/>
      <c r="C3445" s="549"/>
      <c r="D3445" s="549"/>
      <c r="E3445" s="549"/>
      <c r="F3445" s="549"/>
      <c r="G3445" s="549"/>
      <c r="H3445" s="549"/>
      <c r="I3445" s="549"/>
      <c r="J3445" s="549"/>
    </row>
    <row r="3446" spans="1:10" ht="38.25">
      <c r="A3446" s="225" t="str">
        <f>'[4]Planilha Orçamentária'!A900</f>
        <v>1.15.5.8</v>
      </c>
      <c r="B3446" s="199" t="str">
        <f>VLOOKUP(A3446,'[4]Planilha Orçamentária'!A:K,2,0)</f>
        <v>CP-95995-51339760</v>
      </c>
      <c r="C3446" s="147" t="str">
        <f>VLOOKUP(A3446,'[4]Planilha Orçamentária'!A:K,3,0)</f>
        <v>EXECUÇÃO DE PAVIMENTO COM APLICAÇÃO DE CONCRETO ASFÁLTICO, CAMADA DE ROLAMENTO - EXCLUSIVE CARGA E TRANSPORTE E CONCRETO BETUMINOSO</v>
      </c>
      <c r="D3446" s="148" t="str">
        <f>VLOOKUP(A3446,'[4]Planilha Orçamentária'!A:K,4,0)</f>
        <v>M3</v>
      </c>
      <c r="E3446" s="227"/>
      <c r="F3446" s="229"/>
      <c r="G3446" s="229"/>
      <c r="H3446" s="229"/>
      <c r="I3446" s="229"/>
      <c r="J3446" s="182">
        <f>ROUND(SUM(J3447:J3450),2)</f>
        <v>197.93</v>
      </c>
    </row>
    <row r="3447" spans="1:10">
      <c r="A3447" s="329"/>
      <c r="B3447" s="416"/>
      <c r="C3447" s="159" t="s">
        <v>2404</v>
      </c>
      <c r="D3447" s="254"/>
      <c r="E3447" s="359"/>
      <c r="F3447" s="320"/>
      <c r="G3447" s="320"/>
      <c r="H3447" s="320" t="s">
        <v>2002</v>
      </c>
      <c r="I3447" s="169" t="s">
        <v>2003</v>
      </c>
      <c r="J3447" s="306"/>
    </row>
    <row r="3448" spans="1:10" ht="14.25">
      <c r="A3448" s="174"/>
      <c r="B3448" s="174"/>
      <c r="C3448" s="221" t="s">
        <v>2029</v>
      </c>
      <c r="D3448" s="174"/>
      <c r="E3448" s="224"/>
      <c r="F3448" s="223"/>
      <c r="G3448" s="174"/>
      <c r="H3448" s="174">
        <v>0.05</v>
      </c>
      <c r="I3448" s="224">
        <f>J3442</f>
        <v>4554.42</v>
      </c>
      <c r="J3448" s="158">
        <f>ROUND(PRODUCT(E3448:I3448),2)</f>
        <v>227.72</v>
      </c>
    </row>
    <row r="3449" spans="1:10" ht="14.25">
      <c r="A3449" s="174"/>
      <c r="B3449" s="174"/>
      <c r="C3449" s="221"/>
      <c r="D3449" s="174"/>
      <c r="E3449" s="174"/>
      <c r="F3449" s="223" t="s">
        <v>1989</v>
      </c>
      <c r="G3449" s="174" t="s">
        <v>1990</v>
      </c>
      <c r="H3449" s="174" t="s">
        <v>2002</v>
      </c>
      <c r="I3449" s="224"/>
      <c r="J3449" s="158"/>
    </row>
    <row r="3450" spans="1:10" ht="14.25">
      <c r="A3450" s="174"/>
      <c r="B3450" s="174"/>
      <c r="C3450" s="221" t="s">
        <v>2028</v>
      </c>
      <c r="D3450" s="174"/>
      <c r="E3450" s="174">
        <v>-1</v>
      </c>
      <c r="F3450" s="223">
        <f>F3444</f>
        <v>595.82000000000005</v>
      </c>
      <c r="G3450" s="174">
        <f>G3444</f>
        <v>1</v>
      </c>
      <c r="H3450" s="174">
        <v>0.05</v>
      </c>
      <c r="I3450" s="224"/>
      <c r="J3450" s="158">
        <f>ROUND(PRODUCT(E3450:I3450),2)</f>
        <v>-29.79</v>
      </c>
    </row>
    <row r="3451" spans="1:10">
      <c r="A3451" s="546"/>
      <c r="B3451" s="547"/>
      <c r="C3451" s="547"/>
      <c r="D3451" s="547"/>
      <c r="E3451" s="547"/>
      <c r="F3451" s="547"/>
      <c r="G3451" s="547"/>
      <c r="H3451" s="547"/>
      <c r="I3451" s="547"/>
      <c r="J3451" s="547"/>
    </row>
    <row r="3452" spans="1:10" ht="38.25">
      <c r="A3452" s="132" t="str">
        <f>'[4]Planilha Orçamentária'!A901</f>
        <v>1.15.5.9</v>
      </c>
      <c r="B3452" s="199" t="str">
        <f>VLOOKUP(A3452,'[4]Planilha Orçamentária'!A:K,2,0)</f>
        <v>COMP-10034101</v>
      </c>
      <c r="C3452" s="147" t="str">
        <f>VLOOKUP(A3452,'[4]Planilha Orçamentária'!A:K,3,0)</f>
        <v>CARGA, MANOBRAS E DESCARGA DE MISTURA BETUMINOSA A QUENTE, COM CAMINHAO BASCULANTE 6 M3, DESCARGA EM VIBRO-ACABADORA</v>
      </c>
      <c r="D3452" s="148" t="str">
        <f>VLOOKUP(A3452,'[4]Planilha Orçamentária'!A:K,4,0)</f>
        <v>M3</v>
      </c>
      <c r="E3452" s="104"/>
      <c r="F3452" s="111"/>
      <c r="G3452" s="111"/>
      <c r="H3452" s="111"/>
      <c r="I3452" s="111"/>
      <c r="J3452" s="122">
        <f>ROUND(SUM(J3454:J3454),2)</f>
        <v>197.93</v>
      </c>
    </row>
    <row r="3453" spans="1:10" ht="14.25">
      <c r="A3453" s="132"/>
      <c r="B3453" s="108"/>
      <c r="C3453" s="204"/>
      <c r="D3453" s="105"/>
      <c r="E3453" s="104"/>
      <c r="F3453" s="106"/>
      <c r="G3453" s="111"/>
      <c r="H3453" s="111"/>
      <c r="I3453" s="143" t="s">
        <v>2007</v>
      </c>
      <c r="J3453" s="122"/>
    </row>
    <row r="3454" spans="1:10" ht="14.25">
      <c r="A3454" s="225"/>
      <c r="B3454" s="236"/>
      <c r="C3454" s="237" t="s">
        <v>2030</v>
      </c>
      <c r="D3454" s="205"/>
      <c r="E3454" s="205"/>
      <c r="F3454" s="238"/>
      <c r="G3454" s="205"/>
      <c r="H3454" s="205"/>
      <c r="I3454" s="239">
        <f>J3446</f>
        <v>197.93</v>
      </c>
      <c r="J3454" s="128">
        <f t="shared" ref="J3454" si="241">ROUND(PRODUCT(E3454:I3454),2)</f>
        <v>197.93</v>
      </c>
    </row>
    <row r="3455" spans="1:10">
      <c r="A3455" s="528"/>
      <c r="B3455" s="529"/>
      <c r="C3455" s="529"/>
      <c r="D3455" s="529"/>
      <c r="E3455" s="529"/>
      <c r="F3455" s="529"/>
      <c r="G3455" s="529"/>
      <c r="H3455" s="529"/>
      <c r="I3455" s="529"/>
      <c r="J3455" s="529"/>
    </row>
    <row r="3456" spans="1:10" ht="25.5">
      <c r="A3456" s="132" t="str">
        <f>'[4]Planilha Orçamentária'!A902</f>
        <v>1.15.5.10</v>
      </c>
      <c r="B3456" s="199" t="str">
        <f>VLOOKUP(A3456,'[4]Planilha Orçamentária'!A:K,2,0)</f>
        <v>CP-95303-56931542</v>
      </c>
      <c r="C3456" s="147" t="str">
        <f>VLOOKUP(A3456,'[4]Planilha Orçamentária'!A:K,3,0)</f>
        <v>TRANSPORTE COM CAMINHÃO BASCULANTE 10 M3 DE MASSA ASFALTICA PARA PAVIMENTAÇÃO URBANA</v>
      </c>
      <c r="D3456" s="148" t="str">
        <f>VLOOKUP(A3456,'[4]Planilha Orçamentária'!A:K,4,0)</f>
        <v>M3XKM</v>
      </c>
      <c r="E3456" s="104"/>
      <c r="F3456" s="111"/>
      <c r="G3456" s="111"/>
      <c r="H3456" s="111"/>
      <c r="I3456" s="111"/>
      <c r="J3456" s="122">
        <f>ROUND(SUM(J3458:J3458),2)</f>
        <v>3740.88</v>
      </c>
    </row>
    <row r="3457" spans="1:10" ht="25.5">
      <c r="A3457" s="132"/>
      <c r="B3457" s="108"/>
      <c r="C3457" s="171" t="s">
        <v>2408</v>
      </c>
      <c r="D3457" s="123"/>
      <c r="E3457" s="123" t="s">
        <v>2011</v>
      </c>
      <c r="F3457" s="106"/>
      <c r="G3457" s="106"/>
      <c r="H3457" s="160"/>
      <c r="I3457" s="167" t="s">
        <v>2025</v>
      </c>
      <c r="J3457" s="122"/>
    </row>
    <row r="3458" spans="1:10">
      <c r="A3458" s="225"/>
      <c r="B3458" s="236"/>
      <c r="C3458" s="155" t="s">
        <v>2409</v>
      </c>
      <c r="D3458" s="123"/>
      <c r="E3458" s="162">
        <v>18.899999999999999</v>
      </c>
      <c r="F3458" s="106"/>
      <c r="G3458" s="242"/>
      <c r="H3458" s="160"/>
      <c r="I3458" s="243">
        <f>J3452</f>
        <v>197.93</v>
      </c>
      <c r="J3458" s="128">
        <f t="shared" ref="J3458" si="242">ROUND(PRODUCT(E3458:I3458),2)</f>
        <v>3740.88</v>
      </c>
    </row>
    <row r="3459" spans="1:10">
      <c r="A3459" s="528"/>
      <c r="B3459" s="529"/>
      <c r="C3459" s="529"/>
      <c r="D3459" s="529"/>
      <c r="E3459" s="529"/>
      <c r="F3459" s="529"/>
      <c r="G3459" s="529"/>
      <c r="H3459" s="529"/>
      <c r="I3459" s="529"/>
      <c r="J3459" s="529"/>
    </row>
    <row r="3460" spans="1:10" ht="25.5">
      <c r="A3460" s="132" t="str">
        <f>'[4]Planilha Orçamentária'!A903</f>
        <v>1.15.5.11</v>
      </c>
      <c r="B3460" s="199" t="str">
        <f>VLOOKUP(A3460,'[4]Planilha Orçamentária'!A:K,2,0)</f>
        <v>CP-97084-89637704</v>
      </c>
      <c r="C3460" s="147" t="str">
        <f>VLOOKUP(A3460,'[4]Planilha Orçamentária'!A:K,3,0)</f>
        <v>REGULARIZACAO E COMPACTAÇÃO MANUAL DE TERRENO COM PLACA VIBRATÓRIA</v>
      </c>
      <c r="D3460" s="148" t="str">
        <f>VLOOKUP(A3460,'[4]Planilha Orçamentária'!A:K,4,0)</f>
        <v>M2</v>
      </c>
      <c r="E3460" s="104"/>
      <c r="F3460" s="111"/>
      <c r="G3460" s="111"/>
      <c r="H3460" s="111"/>
      <c r="I3460" s="111"/>
      <c r="J3460" s="122">
        <f>ROUND(SUM(J3462:J3462),2)</f>
        <v>3729.52</v>
      </c>
    </row>
    <row r="3461" spans="1:10">
      <c r="A3461" s="132"/>
      <c r="B3461" s="108"/>
      <c r="C3461" s="159" t="s">
        <v>2404</v>
      </c>
      <c r="D3461" s="105"/>
      <c r="E3461" s="104"/>
      <c r="F3461" s="106"/>
      <c r="G3461" s="111"/>
      <c r="H3461" s="111"/>
      <c r="I3461" s="161" t="s">
        <v>2003</v>
      </c>
      <c r="J3461" s="122"/>
    </row>
    <row r="3462" spans="1:10">
      <c r="A3462" s="225"/>
      <c r="B3462" s="236"/>
      <c r="C3462" s="244" t="s">
        <v>2033</v>
      </c>
      <c r="D3462" s="174"/>
      <c r="E3462" s="174"/>
      <c r="F3462" s="223"/>
      <c r="G3462" s="143"/>
      <c r="H3462" s="143"/>
      <c r="I3462" s="127">
        <v>3729.52</v>
      </c>
      <c r="J3462" s="128">
        <f t="shared" ref="J3462" si="243">ROUND(PRODUCT(E3462:I3462),2)</f>
        <v>3729.52</v>
      </c>
    </row>
    <row r="3463" spans="1:10">
      <c r="A3463" s="528"/>
      <c r="B3463" s="529"/>
      <c r="C3463" s="529"/>
      <c r="D3463" s="529"/>
      <c r="E3463" s="529"/>
      <c r="F3463" s="529"/>
      <c r="G3463" s="529"/>
      <c r="H3463" s="529"/>
      <c r="I3463" s="529"/>
      <c r="J3463" s="529"/>
    </row>
    <row r="3464" spans="1:10" ht="51">
      <c r="A3464" s="132" t="str">
        <f>'[4]Planilha Orçamentária'!A904</f>
        <v>1.15.5.12</v>
      </c>
      <c r="B3464" s="199" t="str">
        <f>VLOOKUP(A3464,'[4]Planilha Orçamentária'!A:K,2,0)</f>
        <v>CP-94991-12549457</v>
      </c>
      <c r="C3464" s="147" t="str">
        <f>VLOOKUP(A3464,'[4]Planilha Orçamentária'!A:K,3,0)</f>
        <v>EXECUÇÃO DE PASSEIO (CALÇADA) OU PISO DE CONCRETO COM CONCRETO MOLDADO IN LOCO, USINADO, ACABAMENTO CONVENCIONAL, NÃO ARMADO - EXCLUINDO O CONCRETO USINADO 20MPA</v>
      </c>
      <c r="D3464" s="148" t="str">
        <f>VLOOKUP(A3464,'[4]Planilha Orçamentária'!A:K,4,0)</f>
        <v>M3</v>
      </c>
      <c r="E3464" s="104"/>
      <c r="F3464" s="111"/>
      <c r="G3464" s="111"/>
      <c r="H3464" s="111"/>
      <c r="I3464" s="111"/>
      <c r="J3464" s="122">
        <f>ROUND(SUM(J3466:J3469),2)</f>
        <v>254.52</v>
      </c>
    </row>
    <row r="3465" spans="1:10">
      <c r="A3465" s="132"/>
      <c r="B3465" s="108"/>
      <c r="C3465" s="159" t="s">
        <v>2404</v>
      </c>
      <c r="D3465" s="105"/>
      <c r="E3465" s="104"/>
      <c r="F3465" s="106"/>
      <c r="G3465" s="111"/>
      <c r="H3465" s="111"/>
      <c r="I3465" s="111"/>
      <c r="J3465" s="122"/>
    </row>
    <row r="3466" spans="1:10">
      <c r="A3466" s="225"/>
      <c r="B3466" s="236"/>
      <c r="C3466" s="244" t="s">
        <v>2033</v>
      </c>
      <c r="D3466" s="174"/>
      <c r="E3466" s="174"/>
      <c r="F3466" s="223"/>
      <c r="G3466" s="143"/>
      <c r="H3466" s="143">
        <v>7.0000000000000007E-2</v>
      </c>
      <c r="I3466" s="127">
        <f>J3460</f>
        <v>3729.52</v>
      </c>
      <c r="J3466" s="128">
        <f t="shared" ref="J3466:J3469" si="244">ROUND(PRODUCT(E3466:I3466),2)</f>
        <v>261.07</v>
      </c>
    </row>
    <row r="3467" spans="1:10">
      <c r="A3467" s="132"/>
      <c r="B3467" s="108"/>
      <c r="C3467" s="155" t="s">
        <v>2034</v>
      </c>
      <c r="D3467" s="174"/>
      <c r="E3467" s="174">
        <v>-1</v>
      </c>
      <c r="F3467" s="223"/>
      <c r="G3467" s="143"/>
      <c r="H3467" s="143">
        <v>7.0000000000000007E-2</v>
      </c>
      <c r="I3467" s="127">
        <f>J3609</f>
        <v>78.19</v>
      </c>
      <c r="J3467" s="128">
        <f t="shared" si="244"/>
        <v>-5.47</v>
      </c>
    </row>
    <row r="3468" spans="1:10">
      <c r="A3468" s="132"/>
      <c r="B3468" s="108"/>
      <c r="C3468" s="155"/>
      <c r="D3468" s="174"/>
      <c r="E3468" s="174"/>
      <c r="F3468" s="223" t="s">
        <v>1989</v>
      </c>
      <c r="G3468" s="143" t="s">
        <v>1990</v>
      </c>
      <c r="H3468" s="143" t="s">
        <v>2002</v>
      </c>
      <c r="I3468" s="127" t="s">
        <v>2045</v>
      </c>
      <c r="J3468" s="128"/>
    </row>
    <row r="3469" spans="1:10">
      <c r="A3469" s="132"/>
      <c r="B3469" s="108"/>
      <c r="C3469" s="155" t="s">
        <v>2410</v>
      </c>
      <c r="D3469" s="174"/>
      <c r="E3469" s="174">
        <v>-1</v>
      </c>
      <c r="F3469" s="223">
        <v>1.1000000000000001</v>
      </c>
      <c r="G3469" s="143">
        <v>1.4</v>
      </c>
      <c r="H3469" s="143">
        <v>7.0000000000000007E-2</v>
      </c>
      <c r="I3469" s="127">
        <v>10</v>
      </c>
      <c r="J3469" s="128">
        <f t="shared" si="244"/>
        <v>-1.08</v>
      </c>
    </row>
    <row r="3470" spans="1:10">
      <c r="A3470" s="528"/>
      <c r="B3470" s="529"/>
      <c r="C3470" s="529"/>
      <c r="D3470" s="529"/>
      <c r="E3470" s="529"/>
      <c r="F3470" s="529"/>
      <c r="G3470" s="529"/>
      <c r="H3470" s="529"/>
      <c r="I3470" s="529"/>
      <c r="J3470" s="529"/>
    </row>
    <row r="3471" spans="1:10" ht="63.75">
      <c r="A3471" s="132" t="str">
        <f>'[4]Planilha Orçamentária'!A905</f>
        <v>1.15.5.13</v>
      </c>
      <c r="B3471" s="199">
        <f>VLOOKUP(A3471,'[4]Planilha Orçamentária'!A:K,2,0)</f>
        <v>94273</v>
      </c>
      <c r="C3471" s="147" t="str">
        <f>VLOOKUP(A3471,'[4]Planilha Orçamentária'!A:K,3,0)</f>
        <v>ASSENTAMENTO DE GUIA (MEIO-FIO) EM TRECHO RETO, CONFECCIONADA EM CONCRETO PRÉ-FABRICADO, DIMENSÕES 100X15X13X30 CM (COMPRIMENTO X BASE INFERIOR X BASE SUPERIOR X ALTURA), PARA VIAS URBANAS (USO VIÁRIO). AF_06/2016</v>
      </c>
      <c r="D3471" s="148" t="str">
        <f>VLOOKUP(A3471,'[4]Planilha Orçamentária'!A:K,4,0)</f>
        <v>M</v>
      </c>
      <c r="E3471" s="104"/>
      <c r="F3471" s="111"/>
      <c r="G3471" s="111"/>
      <c r="H3471" s="111"/>
      <c r="I3471" s="111"/>
      <c r="J3471" s="122">
        <f>ROUND(SUM(J3473:J3474),2)</f>
        <v>2002.55</v>
      </c>
    </row>
    <row r="3472" spans="1:10">
      <c r="A3472" s="132"/>
      <c r="B3472" s="108"/>
      <c r="C3472" s="159" t="s">
        <v>2404</v>
      </c>
      <c r="D3472" s="105"/>
      <c r="E3472" s="104"/>
      <c r="F3472" s="106" t="s">
        <v>1989</v>
      </c>
      <c r="G3472" s="111"/>
      <c r="H3472" s="111"/>
      <c r="I3472" s="111"/>
      <c r="J3472" s="122"/>
    </row>
    <row r="3473" spans="1:10" ht="25.5">
      <c r="A3473" s="132"/>
      <c r="B3473" s="108"/>
      <c r="C3473" s="247" t="s">
        <v>2035</v>
      </c>
      <c r="D3473" s="105"/>
      <c r="E3473" s="104"/>
      <c r="F3473" s="223">
        <f>1990.04-F3478</f>
        <v>1905.27</v>
      </c>
      <c r="G3473" s="111"/>
      <c r="H3473" s="111"/>
      <c r="I3473" s="111"/>
      <c r="J3473" s="128">
        <f t="shared" ref="J3473:J3474" si="245">ROUND(PRODUCT(E3473:I3473),2)</f>
        <v>1905.27</v>
      </c>
    </row>
    <row r="3474" spans="1:10">
      <c r="A3474" s="132"/>
      <c r="B3474" s="108"/>
      <c r="C3474" s="247" t="s">
        <v>2036</v>
      </c>
      <c r="D3474" s="105"/>
      <c r="E3474" s="104"/>
      <c r="F3474" s="223">
        <v>97.28</v>
      </c>
      <c r="G3474" s="111"/>
      <c r="H3474" s="111"/>
      <c r="I3474" s="111"/>
      <c r="J3474" s="128">
        <f t="shared" si="245"/>
        <v>97.28</v>
      </c>
    </row>
    <row r="3475" spans="1:10">
      <c r="A3475" s="528"/>
      <c r="B3475" s="529"/>
      <c r="C3475" s="529"/>
      <c r="D3475" s="529"/>
      <c r="E3475" s="529"/>
      <c r="F3475" s="529"/>
      <c r="G3475" s="529"/>
      <c r="H3475" s="529"/>
      <c r="I3475" s="529"/>
      <c r="J3475" s="529"/>
    </row>
    <row r="3476" spans="1:10" ht="63.75">
      <c r="A3476" s="132" t="str">
        <f>'[4]Planilha Orçamentária'!A906</f>
        <v>1.15.5.14</v>
      </c>
      <c r="B3476" s="199">
        <f>VLOOKUP(A3476,'[4]Planilha Orçamentária'!A:K,2,0)</f>
        <v>94274</v>
      </c>
      <c r="C3476" s="147" t="str">
        <f>VLOOKUP(A3476,'[4]Planilha Orçamentária'!A:K,3,0)</f>
        <v>ASSENTAMENTO DE GUIA (MEIO-FIO) EM TRECHO CURVO, CONFECCIONADA EM CONCRETO PRÉ-FABRICADO, DIMENSÕES 100X15X13X30 CM (COMPRIMENTO X BASE INFERIOR X BASE SUPERIOR X ALTURA), PARA VIAS URBANAS (USO VIÁRIO). AF_06/2016</v>
      </c>
      <c r="D3476" s="148" t="str">
        <f>VLOOKUP(A3476,'[4]Planilha Orçamentária'!A:K,4,0)</f>
        <v>M</v>
      </c>
      <c r="E3476" s="104"/>
      <c r="F3476" s="111"/>
      <c r="G3476" s="111"/>
      <c r="H3476" s="111"/>
      <c r="I3476" s="111"/>
      <c r="J3476" s="122">
        <f>ROUND(SUM(J3478:J3478),2)</f>
        <v>84.77</v>
      </c>
    </row>
    <row r="3477" spans="1:10">
      <c r="A3477" s="132"/>
      <c r="B3477" s="108"/>
      <c r="C3477" s="159" t="s">
        <v>2404</v>
      </c>
      <c r="D3477" s="105"/>
      <c r="E3477" s="104"/>
      <c r="F3477" s="106" t="s">
        <v>1989</v>
      </c>
      <c r="G3477" s="111"/>
      <c r="H3477" s="111"/>
      <c r="I3477" s="111"/>
      <c r="J3477" s="122"/>
    </row>
    <row r="3478" spans="1:10">
      <c r="A3478" s="225"/>
      <c r="B3478" s="236"/>
      <c r="C3478" s="245" t="s">
        <v>2037</v>
      </c>
      <c r="D3478" s="228"/>
      <c r="E3478" s="227"/>
      <c r="F3478" s="246">
        <f>3.3+3.07+3.11+3.03+3.93+3.2+3.2+2.39+3.11+3.18+3.14+2.9+2.8+2.94+3.08+3.09+3.3+5.98+2.35+4.65+3.01+3.25+3.24+3.22+3.15+3.15</f>
        <v>84.77</v>
      </c>
      <c r="G3478" s="229"/>
      <c r="H3478" s="229"/>
      <c r="I3478" s="229"/>
      <c r="J3478" s="128">
        <f t="shared" ref="J3478" si="246">ROUND(PRODUCT(E3478:I3478),2)</f>
        <v>84.77</v>
      </c>
    </row>
    <row r="3479" spans="1:10">
      <c r="A3479" s="528"/>
      <c r="B3479" s="529"/>
      <c r="C3479" s="529"/>
      <c r="D3479" s="529"/>
      <c r="E3479" s="529"/>
      <c r="F3479" s="529"/>
      <c r="G3479" s="529"/>
      <c r="H3479" s="529"/>
      <c r="I3479" s="529"/>
      <c r="J3479" s="529"/>
    </row>
    <row r="3480" spans="1:10" ht="38.25">
      <c r="A3480" s="132" t="str">
        <f>'[4]Planilha Orçamentária'!A907</f>
        <v>1.15.5.15</v>
      </c>
      <c r="B3480" s="199">
        <f>VLOOKUP(A3480,'[4]Planilha Orçamentária'!A:K,2,0)</f>
        <v>94287</v>
      </c>
      <c r="C3480" s="147" t="str">
        <f>VLOOKUP(A3480,'[4]Planilha Orçamentária'!A:K,3,0)</f>
        <v>EXECUÇÃO DE SARJETA DE CONCRETO USINADO, MOLDADA  IN LOCO  EM TRECHO RETO, 30 CM BASE X 10 CM ALTURA. AF_06/2016</v>
      </c>
      <c r="D3480" s="148" t="str">
        <f>VLOOKUP(A3480,'[4]Planilha Orçamentária'!A:K,4,0)</f>
        <v>M</v>
      </c>
      <c r="E3480" s="104"/>
      <c r="F3480" s="111"/>
      <c r="G3480" s="111"/>
      <c r="H3480" s="111"/>
      <c r="I3480" s="111"/>
      <c r="J3480" s="122">
        <f>ROUND(SUM(J3483:J3483),2)</f>
        <v>406.91</v>
      </c>
    </row>
    <row r="3481" spans="1:10">
      <c r="A3481" s="132"/>
      <c r="B3481" s="108"/>
      <c r="C3481" s="159" t="s">
        <v>2404</v>
      </c>
      <c r="D3481" s="105"/>
      <c r="E3481" s="104"/>
      <c r="F3481" s="106"/>
      <c r="G3481" s="111"/>
      <c r="H3481" s="111"/>
      <c r="I3481" s="111"/>
      <c r="J3481" s="122"/>
    </row>
    <row r="3482" spans="1:10">
      <c r="A3482" s="132"/>
      <c r="B3482" s="108"/>
      <c r="C3482" s="247"/>
      <c r="D3482" s="105"/>
      <c r="E3482" s="104"/>
      <c r="F3482" s="106" t="s">
        <v>1989</v>
      </c>
      <c r="G3482" s="111"/>
      <c r="H3482" s="111"/>
      <c r="I3482" s="111"/>
      <c r="J3482" s="122"/>
    </row>
    <row r="3483" spans="1:10">
      <c r="A3483" s="132"/>
      <c r="B3483" s="108"/>
      <c r="C3483" s="247" t="s">
        <v>2331</v>
      </c>
      <c r="D3483" s="105"/>
      <c r="E3483" s="136"/>
      <c r="F3483" s="136">
        <f>(128.1/0.3)-F3487</f>
        <v>406.91</v>
      </c>
      <c r="G3483" s="111"/>
      <c r="H3483" s="111"/>
      <c r="I3483" s="111"/>
      <c r="J3483" s="128">
        <f t="shared" ref="J3483" si="247">ROUND(PRODUCT(E3483:I3483),2)</f>
        <v>406.91</v>
      </c>
    </row>
    <row r="3484" spans="1:10">
      <c r="A3484" s="528"/>
      <c r="B3484" s="529"/>
      <c r="C3484" s="529"/>
      <c r="D3484" s="529"/>
      <c r="E3484" s="529"/>
      <c r="F3484" s="529"/>
      <c r="G3484" s="529"/>
      <c r="H3484" s="529"/>
      <c r="I3484" s="529"/>
      <c r="J3484" s="529"/>
    </row>
    <row r="3485" spans="1:10" ht="38.25">
      <c r="A3485" s="132" t="str">
        <f>'[4]Planilha Orçamentária'!A908</f>
        <v>1.15.5.16</v>
      </c>
      <c r="B3485" s="199">
        <f>VLOOKUP(A3485,'[4]Planilha Orçamentária'!A:K,2,0)</f>
        <v>94288</v>
      </c>
      <c r="C3485" s="147" t="str">
        <f>VLOOKUP(A3485,'[4]Planilha Orçamentária'!A:K,3,0)</f>
        <v>EXECUÇÃO DE SARJETA DE CONCRETO USINADO, MOLDADA  IN LOCO  EM TRECHO CURVO, 30 CM BASE X 10 CM ALTURA. AF_06/2016</v>
      </c>
      <c r="D3485" s="148" t="str">
        <f>VLOOKUP(A3485,'[4]Planilha Orçamentária'!A:K,4,0)</f>
        <v>M</v>
      </c>
      <c r="E3485" s="104"/>
      <c r="F3485" s="111"/>
      <c r="G3485" s="111"/>
      <c r="H3485" s="111"/>
      <c r="I3485" s="111"/>
      <c r="J3485" s="122">
        <f>ROUND(SUM(J3487:J3487),2)</f>
        <v>20.09</v>
      </c>
    </row>
    <row r="3486" spans="1:10">
      <c r="A3486" s="123"/>
      <c r="B3486" s="123"/>
      <c r="C3486" s="159" t="s">
        <v>2404</v>
      </c>
      <c r="D3486" s="123"/>
      <c r="E3486" s="123"/>
      <c r="F3486" s="106" t="s">
        <v>1989</v>
      </c>
      <c r="G3486" s="123"/>
      <c r="H3486" s="123"/>
      <c r="I3486" s="123"/>
      <c r="J3486" s="123"/>
    </row>
    <row r="3487" spans="1:10">
      <c r="A3487" s="123"/>
      <c r="B3487" s="123"/>
      <c r="C3487" s="247" t="s">
        <v>2332</v>
      </c>
      <c r="D3487" s="123"/>
      <c r="E3487" s="123"/>
      <c r="F3487" s="123">
        <f>3.14+3.09+1.81+3.05+3.08+3.14+2.78</f>
        <v>20.09</v>
      </c>
      <c r="G3487" s="123"/>
      <c r="H3487" s="123"/>
      <c r="I3487" s="123"/>
      <c r="J3487" s="128">
        <f t="shared" ref="J3487" si="248">ROUND(PRODUCT(E3487:I3487),2)</f>
        <v>20.09</v>
      </c>
    </row>
    <row r="3488" spans="1:10" ht="12" customHeight="1">
      <c r="A3488" s="329"/>
      <c r="B3488" s="330"/>
      <c r="C3488" s="427"/>
      <c r="D3488" s="330"/>
      <c r="E3488" s="330"/>
      <c r="F3488" s="330"/>
      <c r="G3488" s="330"/>
      <c r="H3488" s="330"/>
      <c r="I3488" s="330"/>
      <c r="J3488" s="386"/>
    </row>
    <row r="3489" spans="1:10" ht="12" customHeight="1">
      <c r="A3489" s="94" t="str">
        <f>'[3]Planilha Orçamentária'!A908</f>
        <v>1.15.6</v>
      </c>
      <c r="B3489" s="95"/>
      <c r="C3489" s="96" t="str">
        <f>VLOOKUP(A3489,'[3]Planilha Orçamentária'!A:K,3,0)</f>
        <v>CONTENÇÃO</v>
      </c>
      <c r="D3489" s="97"/>
      <c r="E3489" s="98"/>
      <c r="F3489" s="99"/>
      <c r="G3489" s="99"/>
      <c r="H3489" s="99"/>
      <c r="I3489" s="100"/>
      <c r="J3489" s="131"/>
    </row>
    <row r="3490" spans="1:10" ht="25.5">
      <c r="A3490" s="102" t="str">
        <f>'[3]Planilha Orçamentária'!A909</f>
        <v>1.15.6.1</v>
      </c>
      <c r="B3490" s="108">
        <f>VLOOKUP(A3490,'[3]Planilha Orçamentária'!A:K,2,0)</f>
        <v>100206</v>
      </c>
      <c r="C3490" s="104" t="str">
        <f>VLOOKUP(A3490,'[3]Planilha Orçamentária'!A:K,3,0)</f>
        <v>TRANSPORTE HORIZONTAL COM JERICA DE 90 L, DE MASSA/ GRANEL (UNIDADE: M3XKM). AF_07/2019</v>
      </c>
      <c r="D3490" s="105" t="str">
        <f>VLOOKUP(A3490,'[3]Planilha Orçamentária'!A:K,4,0)</f>
        <v>M3XKM</v>
      </c>
      <c r="E3490" s="104"/>
      <c r="F3490" s="106"/>
      <c r="G3490" s="106"/>
      <c r="H3490" s="106"/>
      <c r="I3490" s="106"/>
      <c r="J3490" s="122">
        <f>ROUND(SUM(J3492:J3492),2)</f>
        <v>39.450000000000003</v>
      </c>
    </row>
    <row r="3491" spans="1:10">
      <c r="A3491" s="102"/>
      <c r="B3491" s="108"/>
      <c r="C3491" s="159" t="s">
        <v>2404</v>
      </c>
      <c r="D3491" s="105"/>
      <c r="E3491" s="446" t="s">
        <v>2411</v>
      </c>
      <c r="F3491" s="446" t="s">
        <v>2412</v>
      </c>
      <c r="G3491" s="161"/>
      <c r="H3491" s="161"/>
      <c r="I3491" s="161"/>
      <c r="J3491" s="122"/>
    </row>
    <row r="3492" spans="1:10">
      <c r="A3492" s="138"/>
      <c r="B3492" s="138"/>
      <c r="C3492" s="417" t="s">
        <v>2413</v>
      </c>
      <c r="D3492" s="447"/>
      <c r="E3492" s="448">
        <v>1.25</v>
      </c>
      <c r="F3492" s="421">
        <f>(((122.75+129.35)/2)/1000)</f>
        <v>0.12605</v>
      </c>
      <c r="G3492" s="421"/>
      <c r="H3492" s="421"/>
      <c r="I3492" s="421">
        <f>J3504</f>
        <v>250.4</v>
      </c>
      <c r="J3492" s="128">
        <f t="shared" ref="J3492" si="249">ROUND(PRODUCT(E3492:I3492),2)</f>
        <v>39.450000000000003</v>
      </c>
    </row>
    <row r="3493" spans="1:10" ht="12" customHeight="1">
      <c r="A3493" s="540"/>
      <c r="B3493" s="541"/>
      <c r="C3493" s="541"/>
      <c r="D3493" s="541"/>
      <c r="E3493" s="541"/>
      <c r="F3493" s="541"/>
      <c r="G3493" s="541"/>
      <c r="H3493" s="541"/>
      <c r="I3493" s="541"/>
      <c r="J3493" s="542"/>
    </row>
    <row r="3494" spans="1:10" ht="25.5">
      <c r="A3494" s="102" t="str">
        <f>'[3]Planilha Orçamentária'!A910</f>
        <v>1.15.6.2</v>
      </c>
      <c r="B3494" s="108" t="str">
        <f>VLOOKUP(A3494,'[3]Planilha Orçamentária'!A:K,2,0)</f>
        <v>CP-95467-90315369</v>
      </c>
      <c r="C3494" s="104" t="str">
        <f>VLOOKUP(A3494,'[3]Planilha Orçamentária'!A:K,3,0)</f>
        <v>EMBASAMENTO C/PEDRA ARGAMASSADA UTILIZANDO ARG.CIM/AREIA 1:6</v>
      </c>
      <c r="D3494" s="105" t="str">
        <f>VLOOKUP(A3494,'[3]Planilha Orçamentária'!A:K,4,0)</f>
        <v>M3</v>
      </c>
      <c r="E3494" s="104"/>
      <c r="F3494" s="106"/>
      <c r="G3494" s="106"/>
      <c r="H3494" s="106"/>
      <c r="I3494" s="106"/>
      <c r="J3494" s="122">
        <f>ROUND(SUM(J3497),2)</f>
        <v>86.59</v>
      </c>
    </row>
    <row r="3495" spans="1:10">
      <c r="A3495" s="102"/>
      <c r="B3495" s="108"/>
      <c r="C3495" s="159" t="s">
        <v>2404</v>
      </c>
      <c r="D3495" s="105"/>
      <c r="E3495" s="104"/>
      <c r="F3495" s="106"/>
      <c r="G3495" s="106"/>
      <c r="H3495" s="106"/>
      <c r="I3495" s="106"/>
      <c r="J3495" s="122"/>
    </row>
    <row r="3496" spans="1:10">
      <c r="A3496" s="138"/>
      <c r="B3496" s="138"/>
      <c r="C3496" s="417" t="s">
        <v>2414</v>
      </c>
      <c r="D3496" s="447"/>
      <c r="E3496" s="423"/>
      <c r="F3496" s="449" t="s">
        <v>2064</v>
      </c>
      <c r="G3496" s="450" t="s">
        <v>1990</v>
      </c>
      <c r="H3496" s="450" t="s">
        <v>2069</v>
      </c>
      <c r="I3496" s="451"/>
      <c r="J3496" s="128"/>
    </row>
    <row r="3497" spans="1:10">
      <c r="A3497" s="138"/>
      <c r="B3497" s="138"/>
      <c r="C3497" s="417" t="s">
        <v>2415</v>
      </c>
      <c r="D3497" s="452"/>
      <c r="E3497" s="452"/>
      <c r="F3497" s="421">
        <v>262.39999999999998</v>
      </c>
      <c r="G3497" s="453">
        <v>0.3</v>
      </c>
      <c r="H3497" s="453">
        <v>1.1000000000000001</v>
      </c>
      <c r="I3497" s="453"/>
      <c r="J3497" s="128">
        <f>ROUND(PRODUCT(E3497:I3497),2)</f>
        <v>86.59</v>
      </c>
    </row>
    <row r="3498" spans="1:10" ht="12" customHeight="1">
      <c r="A3498" s="523"/>
      <c r="B3498" s="524"/>
      <c r="C3498" s="524"/>
      <c r="D3498" s="524"/>
      <c r="E3498" s="524"/>
      <c r="F3498" s="524"/>
      <c r="G3498" s="524"/>
      <c r="H3498" s="524"/>
      <c r="I3498" s="524"/>
      <c r="J3498" s="525"/>
    </row>
    <row r="3499" spans="1:10" ht="25.5">
      <c r="A3499" s="102" t="str">
        <f>'[3]Planilha Orçamentária'!A911</f>
        <v>1.15.6.3</v>
      </c>
      <c r="B3499" s="108">
        <f>VLOOKUP(A3499,'[3]Planilha Orçamentária'!A:K,2,0)</f>
        <v>96620</v>
      </c>
      <c r="C3499" s="104" t="str">
        <f>VLOOKUP(A3499,'[3]Planilha Orçamentária'!A:K,3,0)</f>
        <v>LASTRO DE CONCRETO MAGRO, APLICADO EM PISOS, LAJES SOBRE SOLO OU RADIERS. AF_08/2017</v>
      </c>
      <c r="D3499" s="105" t="str">
        <f>VLOOKUP(A3499,'[3]Planilha Orçamentária'!A:K,4,0)</f>
        <v>M3</v>
      </c>
      <c r="E3499" s="104"/>
      <c r="F3499" s="106"/>
      <c r="G3499" s="106"/>
      <c r="H3499" s="106"/>
      <c r="I3499" s="106"/>
      <c r="J3499" s="122">
        <f>ROUND(SUM(J3502),2)</f>
        <v>44.61</v>
      </c>
    </row>
    <row r="3500" spans="1:10" ht="12" customHeight="1">
      <c r="A3500" s="102"/>
      <c r="B3500" s="108"/>
      <c r="C3500" s="159" t="s">
        <v>2404</v>
      </c>
      <c r="D3500" s="105"/>
      <c r="E3500" s="104"/>
      <c r="F3500" s="106"/>
      <c r="G3500" s="106"/>
      <c r="H3500" s="106"/>
      <c r="I3500" s="106"/>
      <c r="J3500" s="122"/>
    </row>
    <row r="3501" spans="1:10" ht="12" customHeight="1">
      <c r="A3501" s="138"/>
      <c r="B3501" s="138"/>
      <c r="C3501" s="417" t="s">
        <v>2416</v>
      </c>
      <c r="D3501" s="447"/>
      <c r="E3501" s="454"/>
      <c r="F3501" s="449" t="s">
        <v>2064</v>
      </c>
      <c r="G3501" s="450" t="s">
        <v>1990</v>
      </c>
      <c r="H3501" s="450" t="s">
        <v>2069</v>
      </c>
      <c r="I3501" s="455"/>
      <c r="J3501" s="128"/>
    </row>
    <row r="3502" spans="1:10">
      <c r="A3502" s="138"/>
      <c r="B3502" s="138"/>
      <c r="C3502" s="417" t="s">
        <v>2415</v>
      </c>
      <c r="D3502" s="452"/>
      <c r="E3502" s="453"/>
      <c r="F3502" s="421">
        <f>F3497</f>
        <v>262.39999999999998</v>
      </c>
      <c r="G3502" s="453">
        <f>3.3+0.1</f>
        <v>3.4</v>
      </c>
      <c r="H3502" s="421">
        <v>0.05</v>
      </c>
      <c r="I3502" s="421"/>
      <c r="J3502" s="128">
        <f>ROUND(PRODUCT(E3502:I3502),2)</f>
        <v>44.61</v>
      </c>
    </row>
    <row r="3503" spans="1:10" ht="12" customHeight="1">
      <c r="A3503" s="138"/>
      <c r="B3503" s="138"/>
      <c r="C3503" s="138"/>
      <c r="D3503" s="137"/>
      <c r="E3503" s="138"/>
      <c r="F3503" s="325"/>
      <c r="G3503" s="325"/>
      <c r="H3503" s="325"/>
      <c r="I3503" s="325"/>
      <c r="J3503" s="325"/>
    </row>
    <row r="3504" spans="1:10" ht="63.75">
      <c r="A3504" s="102" t="str">
        <f>'[3]Planilha Orçamentária'!A912</f>
        <v>1.15.6.4</v>
      </c>
      <c r="B3504" s="108">
        <f>VLOOKUP(A3504,'[3]Planilha Orçamentária'!A:K,2,0)</f>
        <v>99839</v>
      </c>
      <c r="C3504" s="104" t="str">
        <f>VLOOKUP(A3504,'[3]Planilha Orçamentária'!A:K,3,0)</f>
        <v>GUARDA-CORPO DE AÇO GALVANIZADO DE 1,10M DE ALTURA, MONTANTES TUBULARES DE 1.1/2 ESPAÇADOS DE 1,20M, TRAVESSA SUPERIOR DE 2, GRADIL FORMADO POR BARRAS CHATAS EM FERRO DE 32X4,8MM, FIXADO COM CHUMBADOR MECÂNICO. AF_04/2019_P</v>
      </c>
      <c r="D3504" s="105" t="str">
        <f>VLOOKUP(A3504,'[3]Planilha Orçamentária'!A:K,4,0)</f>
        <v>M</v>
      </c>
      <c r="E3504" s="104"/>
      <c r="F3504" s="106"/>
      <c r="G3504" s="106"/>
      <c r="H3504" s="106"/>
      <c r="I3504" s="106"/>
      <c r="J3504" s="122">
        <f>ROUND(SUM(J3506),2)</f>
        <v>250.4</v>
      </c>
    </row>
    <row r="3505" spans="1:11" ht="12" customHeight="1">
      <c r="A3505" s="102"/>
      <c r="B3505" s="108"/>
      <c r="C3505" s="159" t="s">
        <v>2404</v>
      </c>
      <c r="D3505" s="105"/>
      <c r="E3505" s="456"/>
      <c r="F3505" s="449" t="s">
        <v>2064</v>
      </c>
      <c r="G3505" s="106"/>
      <c r="H3505" s="106"/>
      <c r="I3505" s="106"/>
      <c r="J3505" s="122"/>
    </row>
    <row r="3506" spans="1:11" ht="12" customHeight="1">
      <c r="A3506" s="138"/>
      <c r="B3506" s="138"/>
      <c r="C3506" s="417" t="s">
        <v>2417</v>
      </c>
      <c r="D3506" s="447"/>
      <c r="E3506" s="423"/>
      <c r="F3506" s="423">
        <v>250.4</v>
      </c>
      <c r="G3506" s="419"/>
      <c r="H3506" s="419"/>
      <c r="I3506" s="421"/>
      <c r="J3506" s="128">
        <f t="shared" ref="J3506" si="250">ROUND(PRODUCT(E3506:I3506),2)</f>
        <v>250.4</v>
      </c>
    </row>
    <row r="3507" spans="1:11" ht="12" customHeight="1">
      <c r="A3507" s="528"/>
      <c r="B3507" s="529"/>
      <c r="C3507" s="529"/>
      <c r="D3507" s="529"/>
      <c r="E3507" s="529"/>
      <c r="F3507" s="529"/>
      <c r="G3507" s="529"/>
      <c r="H3507" s="529"/>
      <c r="I3507" s="529"/>
      <c r="J3507" s="530"/>
    </row>
    <row r="3508" spans="1:11">
      <c r="A3508" s="94" t="str">
        <f>'[3]Planilha Orçamentária'!A913</f>
        <v>1.15.7</v>
      </c>
      <c r="B3508" s="95"/>
      <c r="C3508" s="96" t="str">
        <f>VLOOKUP(A3508,'[3]Planilha Orçamentária'!A:K,3,0)</f>
        <v>DRENAGEM</v>
      </c>
      <c r="D3508" s="97"/>
      <c r="E3508" s="98"/>
      <c r="F3508" s="99"/>
      <c r="G3508" s="99"/>
      <c r="H3508" s="99"/>
      <c r="I3508" s="100"/>
      <c r="J3508" s="131"/>
    </row>
    <row r="3509" spans="1:11" ht="63.75">
      <c r="A3509" s="251" t="str">
        <f>'[3]Planilha Orçamentária'!A914</f>
        <v>1.15.7.1</v>
      </c>
      <c r="B3509" s="252">
        <f>VLOOKUP(A3509,'[3]Planilha Orçamentária'!A:K,2,0)</f>
        <v>90091</v>
      </c>
      <c r="C3509" s="253" t="str">
        <f>VLOOKUP(A3509,'[3]Planilha Orçamentária'!A:K,3,0)</f>
        <v>ESCAVAÇÃO MECANIZADA DE VALA COM PROF. ATÉ 1,5 M (MÉDIA MONTANTE E JUSANTE/UMA COMPOSIÇÃO POR TRECHO), ESCAVADEIRA (0,8 M3), LARG. DE 1,5 M A 2,5 M, EM SOLO DE 1A CATEGORIA, LOCAIS COM BAIXO NÍVEL DE INTERFERÊNCIA. AF_02/2021</v>
      </c>
      <c r="D3509" s="254" t="str">
        <f>VLOOKUP(A3509,'[3]Planilha Orçamentária'!A:K,4,0)</f>
        <v>M3</v>
      </c>
      <c r="E3509" s="255"/>
      <c r="F3509" s="256"/>
      <c r="G3509" s="256"/>
      <c r="H3509" s="256"/>
      <c r="I3509" s="256"/>
      <c r="J3509" s="257">
        <f>ROUND(SUM(J3510:J3512),2)</f>
        <v>143</v>
      </c>
    </row>
    <row r="3510" spans="1:11">
      <c r="A3510" s="258"/>
      <c r="B3510" s="258"/>
      <c r="C3510" s="259" t="s">
        <v>2418</v>
      </c>
      <c r="D3510" s="258"/>
      <c r="E3510" s="258"/>
      <c r="F3510" s="161"/>
      <c r="G3510" s="161"/>
      <c r="H3510" s="161"/>
      <c r="I3510" s="258"/>
      <c r="J3510" s="258"/>
    </row>
    <row r="3511" spans="1:11" ht="14.25">
      <c r="A3511" s="258"/>
      <c r="B3511" s="258"/>
      <c r="C3511" s="204" t="s">
        <v>2048</v>
      </c>
      <c r="D3511" s="148"/>
      <c r="E3511" s="147"/>
      <c r="F3511" s="161" t="s">
        <v>1989</v>
      </c>
      <c r="G3511" s="161" t="s">
        <v>1990</v>
      </c>
      <c r="H3511" s="161" t="s">
        <v>2049</v>
      </c>
      <c r="I3511" s="161"/>
      <c r="J3511" s="158"/>
    </row>
    <row r="3512" spans="1:11" ht="42.75">
      <c r="A3512" s="258"/>
      <c r="B3512" s="258"/>
      <c r="C3512" s="260" t="s">
        <v>2050</v>
      </c>
      <c r="D3512" s="148"/>
      <c r="E3512" s="147"/>
      <c r="F3512" s="223">
        <v>595.82000000000005</v>
      </c>
      <c r="G3512" s="223">
        <f>1+0.6</f>
        <v>1.6</v>
      </c>
      <c r="H3512" s="223">
        <f>0.55-0.4</f>
        <v>0.15000000000000002</v>
      </c>
      <c r="I3512" s="223"/>
      <c r="J3512" s="128">
        <f>ROUND(PRODUCT(E3512:I3512),2)</f>
        <v>143</v>
      </c>
    </row>
    <row r="3513" spans="1:11">
      <c r="A3513" s="258"/>
      <c r="B3513" s="258"/>
      <c r="C3513" s="261" t="s">
        <v>2051</v>
      </c>
      <c r="D3513" s="262"/>
      <c r="E3513" s="263"/>
      <c r="F3513" s="264"/>
      <c r="G3513" s="264"/>
      <c r="H3513" s="263"/>
      <c r="I3513" s="263"/>
      <c r="J3513" s="158"/>
    </row>
    <row r="3514" spans="1:11">
      <c r="A3514" s="543"/>
      <c r="B3514" s="544"/>
      <c r="C3514" s="544"/>
      <c r="D3514" s="544"/>
      <c r="E3514" s="544"/>
      <c r="F3514" s="544"/>
      <c r="G3514" s="544"/>
      <c r="H3514" s="544"/>
      <c r="I3514" s="544"/>
      <c r="J3514" s="545"/>
    </row>
    <row r="3515" spans="1:11" ht="63.75">
      <c r="A3515" s="251" t="str">
        <f>'[3]Planilha Orçamentária'!A915</f>
        <v>1.15.7.2</v>
      </c>
      <c r="B3515" s="252">
        <f>VLOOKUP(A3515,'[3]Planilha Orçamentária'!A:K,2,0)</f>
        <v>90106</v>
      </c>
      <c r="C3515" s="253" t="str">
        <f>VLOOKUP(A3515,'[3]Planilha Orçamentária'!A:K,3,0)</f>
        <v>ESCAVAÇÃO MECANIZADA DE VALA COM PROFUNDIDADE ATÉ 1,5 M (MÉDIA MONTANTE E JUSANTE/UMA COMPOSIÇÃO POR TRECHO), RETROESCAV. (0,26 M3), LARGURA DE 0,8 M A 1,5 M, EM SOLO DE 1A CATEGORIA, LOCAIS COM BAIXO NÍVEL DE INTERFERÊNCIA. AF_02/2021</v>
      </c>
      <c r="D3515" s="254" t="str">
        <f>VLOOKUP(A3515,'[3]Planilha Orçamentária'!A:K,4,0)</f>
        <v>M3</v>
      </c>
      <c r="E3515" s="255"/>
      <c r="F3515" s="256"/>
      <c r="G3515" s="256"/>
      <c r="H3515" s="256"/>
      <c r="I3515" s="256"/>
      <c r="J3515" s="257">
        <f>ROUND(SUM(J3516:J3518),2)</f>
        <v>0.99</v>
      </c>
    </row>
    <row r="3516" spans="1:11" ht="25.5">
      <c r="A3516" s="265"/>
      <c r="B3516" s="266"/>
      <c r="C3516" s="267" t="s">
        <v>2135</v>
      </c>
      <c r="D3516" s="156"/>
      <c r="E3516" s="157"/>
      <c r="F3516" s="161" t="s">
        <v>1989</v>
      </c>
      <c r="G3516" s="161" t="s">
        <v>2136</v>
      </c>
      <c r="H3516" s="161" t="s">
        <v>2049</v>
      </c>
      <c r="I3516" s="263"/>
      <c r="J3516" s="158"/>
    </row>
    <row r="3517" spans="1:11" ht="28.5">
      <c r="A3517" s="265"/>
      <c r="B3517" s="266"/>
      <c r="C3517" s="260" t="s">
        <v>2137</v>
      </c>
      <c r="D3517" s="156"/>
      <c r="E3517" s="157"/>
      <c r="F3517" s="263">
        <v>2</v>
      </c>
      <c r="G3517" s="263">
        <f>0.6+0.3</f>
        <v>0.89999999999999991</v>
      </c>
      <c r="H3517" s="263">
        <v>0.55000000000000004</v>
      </c>
      <c r="I3517" s="347"/>
      <c r="J3517" s="128">
        <f>ROUND(PRODUCT(E3517:I3517),2)</f>
        <v>0.99</v>
      </c>
      <c r="K3517" s="82" t="s">
        <v>2419</v>
      </c>
    </row>
    <row r="3518" spans="1:11">
      <c r="A3518" s="543"/>
      <c r="B3518" s="544"/>
      <c r="C3518" s="544"/>
      <c r="D3518" s="544"/>
      <c r="E3518" s="544"/>
      <c r="F3518" s="544"/>
      <c r="G3518" s="544"/>
      <c r="H3518" s="544"/>
      <c r="I3518" s="544"/>
      <c r="J3518" s="545"/>
    </row>
    <row r="3519" spans="1:11" ht="63.75">
      <c r="A3519" s="132" t="str">
        <f>'[3]Planilha Orçamentária'!A916</f>
        <v>1.15.7.3</v>
      </c>
      <c r="B3519" s="108">
        <f>VLOOKUP(A3519,'[3]Planilha Orçamentária'!A:K,2,0)</f>
        <v>93379</v>
      </c>
      <c r="C3519" s="276" t="str">
        <f>VLOOKUP(A3519,'[3]Planilha Orçamentária'!A:K,3,0)</f>
        <v>REATERRO MECANIZADO DE VALA COM RETROESCAVADEIRA (CAPACIDADE DA CAÇAMBA DA RETRO: 0,26 M³ / POTÊNCIA: 88 HP), LARGURA DE 0,8 A 1,5 M, PROFUNDIDADE ATÉ 1,5 M, COM SOLO DE 1ª CATEGORIA EM LOCAIS COM BAIXO NÍVEL DE INTERFERÊNCIA. AF_04/2016</v>
      </c>
      <c r="D3519" s="105" t="str">
        <f>VLOOKUP(A3519,'[3]Planilha Orçamentária'!A:K,4,0)</f>
        <v>M3</v>
      </c>
      <c r="E3519" s="104"/>
      <c r="F3519" s="111"/>
      <c r="G3519" s="111"/>
      <c r="H3519" s="111"/>
      <c r="I3519" s="111"/>
      <c r="J3519" s="122">
        <f>ROUND(SUM(J3520:J3522),2)</f>
        <v>0.42</v>
      </c>
    </row>
    <row r="3520" spans="1:11" ht="25.5">
      <c r="A3520" s="258"/>
      <c r="B3520" s="258"/>
      <c r="C3520" s="155" t="s">
        <v>2148</v>
      </c>
      <c r="D3520" s="293"/>
      <c r="E3520" s="293"/>
      <c r="F3520" s="293"/>
      <c r="G3520" s="293"/>
      <c r="H3520" s="293"/>
      <c r="I3520" s="293"/>
      <c r="J3520" s="258"/>
    </row>
    <row r="3521" spans="1:10">
      <c r="A3521" s="258"/>
      <c r="B3521" s="258"/>
      <c r="C3521" s="247" t="s">
        <v>2144</v>
      </c>
      <c r="D3521" s="293"/>
      <c r="E3521" s="263"/>
      <c r="F3521" s="263"/>
      <c r="G3521" s="263"/>
      <c r="H3521" s="263"/>
      <c r="I3521" s="263">
        <f>J3515</f>
        <v>0.99</v>
      </c>
      <c r="J3521" s="128">
        <f t="shared" ref="J3521:J3522" si="251">ROUND(PRODUCT(E3521:I3521),2)</f>
        <v>0.99</v>
      </c>
    </row>
    <row r="3522" spans="1:10" ht="25.5">
      <c r="A3522" s="258"/>
      <c r="B3522" s="258"/>
      <c r="C3522" s="247" t="s">
        <v>2149</v>
      </c>
      <c r="D3522" s="293"/>
      <c r="E3522" s="157">
        <v>-1</v>
      </c>
      <c r="F3522" s="157">
        <f>F3517</f>
        <v>2</v>
      </c>
      <c r="G3522" s="157"/>
      <c r="H3522" s="263"/>
      <c r="I3522" s="263">
        <f>PI()*(0.3^2)</f>
        <v>0.28274333882308139</v>
      </c>
      <c r="J3522" s="128">
        <f t="shared" si="251"/>
        <v>-0.56999999999999995</v>
      </c>
    </row>
    <row r="3523" spans="1:10">
      <c r="A3523" s="265"/>
      <c r="B3523" s="266"/>
      <c r="C3523" s="457"/>
      <c r="D3523" s="458"/>
      <c r="E3523" s="347"/>
      <c r="F3523" s="459"/>
      <c r="G3523" s="459"/>
      <c r="H3523" s="347"/>
      <c r="I3523" s="347"/>
      <c r="J3523" s="460"/>
    </row>
    <row r="3524" spans="1:10">
      <c r="A3524" s="535"/>
      <c r="B3524" s="536"/>
      <c r="C3524" s="536"/>
      <c r="D3524" s="536"/>
      <c r="E3524" s="536"/>
      <c r="F3524" s="536"/>
      <c r="G3524" s="536"/>
      <c r="H3524" s="536"/>
      <c r="I3524" s="536"/>
      <c r="J3524" s="537"/>
    </row>
    <row r="3525" spans="1:10" ht="63.75">
      <c r="A3525" s="251" t="str">
        <f>'[3]Planilha Orçamentária'!A917</f>
        <v>1.15.7.4</v>
      </c>
      <c r="B3525" s="252">
        <f>VLOOKUP(A3525,'[3]Planilha Orçamentária'!A:K,2,0)</f>
        <v>93367</v>
      </c>
      <c r="C3525" s="253" t="str">
        <f>VLOOKUP(A3525,'[3]Planilha Orçamentária'!A:K,3,0)</f>
        <v>REATERRO MECANIZADO DE VALA COM ESCAVADEIRA HIDRÁULICA (CAPACIDADE DA CAÇAMBA: 0,8 M³ / POTÊNCIA: 111 HP), LARGURA DE 1,5 A 2,5 M, PROFUNDIDADE ATÉ 1,5 M, COM SOLO DE 1ª CATEGORIA EM LOCAIS COM BAIXO NÍVEL DE INTERFERÊNCIA. AF_04/2016</v>
      </c>
      <c r="D3525" s="254" t="str">
        <f>VLOOKUP(A3525,'[3]Planilha Orçamentária'!A:K,4,0)</f>
        <v>M3</v>
      </c>
      <c r="E3525" s="255"/>
      <c r="F3525" s="256"/>
      <c r="G3525" s="256"/>
      <c r="H3525" s="256"/>
      <c r="I3525" s="256"/>
      <c r="J3525" s="257">
        <f>ROUND(SUM(J3526:J3529),2)</f>
        <v>53.63</v>
      </c>
    </row>
    <row r="3526" spans="1:10">
      <c r="A3526" s="258"/>
      <c r="B3526" s="258"/>
      <c r="C3526" s="259" t="s">
        <v>2418</v>
      </c>
      <c r="D3526" s="258"/>
      <c r="E3526" s="258"/>
      <c r="F3526" s="258"/>
      <c r="G3526" s="258"/>
      <c r="H3526" s="258"/>
      <c r="I3526" s="258"/>
      <c r="J3526" s="258"/>
    </row>
    <row r="3527" spans="1:10" ht="25.5">
      <c r="A3527" s="258"/>
      <c r="B3527" s="258"/>
      <c r="C3527" s="267" t="s">
        <v>2053</v>
      </c>
      <c r="D3527" s="258"/>
      <c r="E3527" s="258"/>
      <c r="F3527" s="258"/>
      <c r="G3527" s="258"/>
      <c r="H3527" s="258"/>
      <c r="I3527" s="258"/>
      <c r="J3527" s="258"/>
    </row>
    <row r="3528" spans="1:10" ht="15">
      <c r="A3528" s="258"/>
      <c r="B3528" s="258"/>
      <c r="C3528" s="268" t="s">
        <v>2054</v>
      </c>
      <c r="D3528" s="258"/>
      <c r="E3528" s="258"/>
      <c r="F3528" s="269"/>
      <c r="G3528" s="269"/>
      <c r="H3528" s="269"/>
      <c r="I3528" s="263">
        <f>J3509</f>
        <v>143</v>
      </c>
      <c r="J3528" s="158">
        <f>ROUND(PRODUCT(E3528:I3528),2)</f>
        <v>143</v>
      </c>
    </row>
    <row r="3529" spans="1:10" ht="25.5">
      <c r="A3529" s="258"/>
      <c r="B3529" s="258"/>
      <c r="C3529" s="268" t="s">
        <v>2055</v>
      </c>
      <c r="D3529" s="270"/>
      <c r="E3529" s="270">
        <v>-1</v>
      </c>
      <c r="F3529" s="271">
        <f>F3512</f>
        <v>595.82000000000005</v>
      </c>
      <c r="G3529" s="123">
        <v>1</v>
      </c>
      <c r="H3529" s="272">
        <f>H3512</f>
        <v>0.15000000000000002</v>
      </c>
      <c r="I3529" s="269"/>
      <c r="J3529" s="158">
        <f>ROUND(PRODUCT(E3529:I3529),2)</f>
        <v>-89.37</v>
      </c>
    </row>
    <row r="3530" spans="1:10">
      <c r="A3530" s="535"/>
      <c r="B3530" s="536"/>
      <c r="C3530" s="536"/>
      <c r="D3530" s="536"/>
      <c r="E3530" s="536"/>
      <c r="F3530" s="536"/>
      <c r="G3530" s="536"/>
      <c r="H3530" s="536"/>
      <c r="I3530" s="536"/>
      <c r="J3530" s="537"/>
    </row>
    <row r="3531" spans="1:10" ht="51">
      <c r="A3531" s="251" t="str">
        <f>'[3]Planilha Orçamentária'!A918</f>
        <v>1.15.7.5</v>
      </c>
      <c r="B3531" s="252" t="str">
        <f>VLOOKUP(A3531,'[3]Planilha Orçamentária'!A:K,2,0)</f>
        <v>COMP-35145154</v>
      </c>
      <c r="C3531" s="253" t="str">
        <f>VLOOKUP(A3531,'[3]Planilha Orçamentária'!A:K,3,0)</f>
        <v>CARGA E DESCARGA MECANICA DE SOLO UTILIZANDO CAMINHAO BASCULANTE 14,0M3/36T E PA CARREGADEIRA SOBRE PNEUS 128 HP, CAPACIDADE DA CAÇAMBA 1,7 A 2,8 M3, PESO OPERACIONAL 11632 KH</v>
      </c>
      <c r="D3531" s="254" t="str">
        <f>VLOOKUP(A3531,'[3]Planilha Orçamentária'!A:K,4,0)</f>
        <v>M3</v>
      </c>
      <c r="E3531" s="255"/>
      <c r="F3531" s="256"/>
      <c r="G3531" s="256"/>
      <c r="H3531" s="256"/>
      <c r="I3531" s="256"/>
      <c r="J3531" s="257">
        <f>ROUND(SUM(J3532:J3533),2)</f>
        <v>112.43</v>
      </c>
    </row>
    <row r="3532" spans="1:10" ht="25.5">
      <c r="A3532" s="258"/>
      <c r="B3532" s="258"/>
      <c r="C3532" s="159"/>
      <c r="D3532" s="148"/>
      <c r="E3532" s="159" t="s">
        <v>2006</v>
      </c>
      <c r="F3532" s="161"/>
      <c r="G3532" s="161"/>
      <c r="H3532" s="161"/>
      <c r="I3532" s="161" t="s">
        <v>2056</v>
      </c>
      <c r="J3532" s="258"/>
    </row>
    <row r="3533" spans="1:10" ht="14.25">
      <c r="A3533" s="258"/>
      <c r="B3533" s="258"/>
      <c r="C3533" s="273" t="s">
        <v>2057</v>
      </c>
      <c r="D3533" s="274"/>
      <c r="E3533" s="263">
        <v>1.25</v>
      </c>
      <c r="F3533" s="157"/>
      <c r="G3533" s="275"/>
      <c r="H3533" s="275"/>
      <c r="I3533" s="275">
        <f>(J3509+J3515)-(J3519+J3525)</f>
        <v>89.94</v>
      </c>
      <c r="J3533" s="158">
        <f>ROUND(PRODUCT(E3533:I3533),2)</f>
        <v>112.43</v>
      </c>
    </row>
    <row r="3534" spans="1:10">
      <c r="A3534" s="535"/>
      <c r="B3534" s="536"/>
      <c r="C3534" s="536"/>
      <c r="D3534" s="536"/>
      <c r="E3534" s="536"/>
      <c r="F3534" s="536"/>
      <c r="G3534" s="536"/>
      <c r="H3534" s="536"/>
      <c r="I3534" s="536"/>
      <c r="J3534" s="537"/>
    </row>
    <row r="3535" spans="1:10" ht="38.25">
      <c r="A3535" s="251" t="str">
        <f>'[3]Planilha Orçamentária'!A919</f>
        <v>1.15.7.6</v>
      </c>
      <c r="B3535" s="252">
        <f>VLOOKUP(A3535,'[3]Planilha Orçamentária'!A:K,2,0)</f>
        <v>95876</v>
      </c>
      <c r="C3535" s="276" t="str">
        <f>VLOOKUP(A3535,'[3]Planilha Orçamentária'!A:K,3,0)</f>
        <v>TRANSPORTE COM CAMINHÃO BASCULANTE DE 14 M³, EM VIA URBANA PAVIMENTADA, DMT ATÉ 30 KM (UNIDADE: M3XKM). AF_07/2020</v>
      </c>
      <c r="D3535" s="105" t="str">
        <f>VLOOKUP(A3535,'[3]Planilha Orçamentária'!A:K,4,0)</f>
        <v>M3XKM</v>
      </c>
      <c r="E3535" s="104"/>
      <c r="F3535" s="256"/>
      <c r="G3535" s="256"/>
      <c r="H3535" s="256"/>
      <c r="I3535" s="256"/>
      <c r="J3535" s="257">
        <f>ROUND(SUM(J3536:J3537),2)</f>
        <v>933.17</v>
      </c>
    </row>
    <row r="3536" spans="1:10">
      <c r="A3536" s="258"/>
      <c r="B3536" s="258"/>
      <c r="C3536" s="171" t="s">
        <v>2402</v>
      </c>
      <c r="D3536" s="123"/>
      <c r="E3536" s="123" t="s">
        <v>2011</v>
      </c>
      <c r="F3536" s="258"/>
      <c r="G3536" s="258"/>
      <c r="H3536" s="258"/>
      <c r="I3536" s="258" t="s">
        <v>2007</v>
      </c>
      <c r="J3536" s="258"/>
    </row>
    <row r="3537" spans="1:10">
      <c r="A3537" s="258"/>
      <c r="B3537" s="258"/>
      <c r="C3537" s="155" t="s">
        <v>2403</v>
      </c>
      <c r="D3537" s="123"/>
      <c r="E3537" s="162">
        <v>8.3000000000000007</v>
      </c>
      <c r="F3537" s="258"/>
      <c r="G3537" s="258"/>
      <c r="H3537" s="258"/>
      <c r="I3537" s="278">
        <f>J3531</f>
        <v>112.43</v>
      </c>
      <c r="J3537" s="158">
        <f>ROUND(PRODUCT(E3537:I3537),2)</f>
        <v>933.17</v>
      </c>
    </row>
    <row r="3538" spans="1:10">
      <c r="A3538" s="535"/>
      <c r="B3538" s="536"/>
      <c r="C3538" s="536"/>
      <c r="D3538" s="536"/>
      <c r="E3538" s="536"/>
      <c r="F3538" s="536"/>
      <c r="G3538" s="536"/>
      <c r="H3538" s="536"/>
      <c r="I3538" s="536"/>
      <c r="J3538" s="537"/>
    </row>
    <row r="3539" spans="1:10" ht="38.25">
      <c r="A3539" s="251" t="str">
        <f>'[3]Planilha Orçamentária'!A920</f>
        <v>1.15.7.7</v>
      </c>
      <c r="B3539" s="252">
        <f>VLOOKUP(A3539,'[3]Planilha Orçamentária'!A:K,2,0)</f>
        <v>94971</v>
      </c>
      <c r="C3539" s="253" t="str">
        <f>VLOOKUP(A3539,'[3]Planilha Orçamentária'!A:K,3,0)</f>
        <v>CONCRETO FCK = 25MPA, TRAÇO 1:2,3:2,7 (EM MASSA SECA DE CIMENTO/ AREIA MÉDIA/ BRITA 1) - PREPARO MECÂNICO COM BETONEIRA 600 L. AF_05/2021</v>
      </c>
      <c r="D3539" s="254" t="str">
        <f>VLOOKUP(A3539,'[3]Planilha Orçamentária'!A:K,4,0)</f>
        <v>M3</v>
      </c>
      <c r="E3539" s="255"/>
      <c r="F3539" s="256"/>
      <c r="G3539" s="256"/>
      <c r="H3539" s="256"/>
      <c r="I3539" s="256"/>
      <c r="J3539" s="257">
        <f>ROUND(SUM(J3540:J3542),2)</f>
        <v>75.930000000000007</v>
      </c>
    </row>
    <row r="3540" spans="1:10" ht="28.5">
      <c r="A3540" s="258"/>
      <c r="B3540" s="258"/>
      <c r="C3540" s="221" t="s">
        <v>2060</v>
      </c>
      <c r="D3540" s="258"/>
      <c r="E3540" s="258"/>
      <c r="F3540" s="161"/>
      <c r="G3540" s="161"/>
      <c r="H3540" s="161"/>
      <c r="I3540" s="279"/>
      <c r="J3540" s="258"/>
    </row>
    <row r="3541" spans="1:10" ht="14.25">
      <c r="A3541" s="258"/>
      <c r="B3541" s="258"/>
      <c r="C3541" s="280" t="s">
        <v>2061</v>
      </c>
      <c r="D3541" s="123"/>
      <c r="E3541" s="123"/>
      <c r="F3541" s="281">
        <f>F3512</f>
        <v>595.82000000000005</v>
      </c>
      <c r="G3541" s="282">
        <v>1</v>
      </c>
      <c r="H3541" s="123">
        <v>0.15</v>
      </c>
      <c r="I3541" s="281"/>
      <c r="J3541" s="158">
        <f>ROUND(PRODUCT(E3541:I3541),2)</f>
        <v>89.37</v>
      </c>
    </row>
    <row r="3542" spans="1:10" ht="28.5">
      <c r="A3542" s="265"/>
      <c r="B3542" s="266"/>
      <c r="C3542" s="280" t="s">
        <v>2062</v>
      </c>
      <c r="D3542" s="123"/>
      <c r="E3542" s="123">
        <v>-1</v>
      </c>
      <c r="F3542" s="283">
        <v>1.8800000000000001E-2</v>
      </c>
      <c r="G3542" s="136">
        <f>F3541</f>
        <v>595.82000000000005</v>
      </c>
      <c r="H3542" s="136">
        <v>0.15</v>
      </c>
      <c r="I3542" s="136">
        <v>8</v>
      </c>
      <c r="J3542" s="158">
        <f>ROUND(PRODUCT(E3542:I3542),2)</f>
        <v>-13.44</v>
      </c>
    </row>
    <row r="3543" spans="1:10">
      <c r="A3543" s="535"/>
      <c r="B3543" s="536"/>
      <c r="C3543" s="536"/>
      <c r="D3543" s="536"/>
      <c r="E3543" s="536"/>
      <c r="F3543" s="536"/>
      <c r="G3543" s="536"/>
      <c r="H3543" s="536"/>
      <c r="I3543" s="536"/>
      <c r="J3543" s="537"/>
    </row>
    <row r="3544" spans="1:10" ht="38.25">
      <c r="A3544" s="251" t="str">
        <f>'[3]Planilha Orçamentária'!A921</f>
        <v>1.15.7.8</v>
      </c>
      <c r="B3544" s="252">
        <f>VLOOKUP(A3544,'[3]Planilha Orçamentária'!A:K,2,0)</f>
        <v>94974</v>
      </c>
      <c r="C3544" s="253" t="str">
        <f>VLOOKUP(A3544,'[3]Planilha Orçamentária'!A:K,3,0)</f>
        <v>CONCRETO MAGRO PARA LASTRO, TRAÇO 1:4,5:4,5 (EM MASSA SECA DE CIMENTO/ AREIA MÉDIA/ BRITA 1) - PREPARO MANUAL. AF_05/2021</v>
      </c>
      <c r="D3544" s="254" t="str">
        <f>VLOOKUP(A3544,'[3]Planilha Orçamentária'!A:K,4,0)</f>
        <v>M3</v>
      </c>
      <c r="E3544" s="255"/>
      <c r="F3544" s="256"/>
      <c r="G3544" s="256"/>
      <c r="H3544" s="256"/>
      <c r="I3544" s="279"/>
      <c r="J3544" s="257">
        <f>ROUND(SUM(J3545:J3546),2)</f>
        <v>59.58</v>
      </c>
    </row>
    <row r="3545" spans="1:10">
      <c r="A3545" s="258"/>
      <c r="B3545" s="258"/>
      <c r="C3545" s="259" t="s">
        <v>2418</v>
      </c>
      <c r="D3545" s="258"/>
      <c r="E3545" s="258"/>
      <c r="F3545" s="263" t="s">
        <v>1989</v>
      </c>
      <c r="G3545" s="263" t="s">
        <v>1990</v>
      </c>
      <c r="H3545" s="263" t="s">
        <v>2002</v>
      </c>
      <c r="I3545" s="279"/>
      <c r="J3545" s="258"/>
    </row>
    <row r="3546" spans="1:10" ht="14.25">
      <c r="A3546" s="258"/>
      <c r="B3546" s="258"/>
      <c r="C3546" s="284" t="s">
        <v>2063</v>
      </c>
      <c r="D3546" s="123"/>
      <c r="E3546" s="123"/>
      <c r="F3546" s="285">
        <f>F3512</f>
        <v>595.82000000000005</v>
      </c>
      <c r="G3546" s="282">
        <v>1</v>
      </c>
      <c r="H3546" s="123">
        <v>0.1</v>
      </c>
      <c r="I3546" s="278"/>
      <c r="J3546" s="158">
        <f>ROUND(PRODUCT(E3546:I3546),2)</f>
        <v>59.58</v>
      </c>
    </row>
    <row r="3547" spans="1:10">
      <c r="A3547" s="535"/>
      <c r="B3547" s="536"/>
      <c r="C3547" s="536"/>
      <c r="D3547" s="536"/>
      <c r="E3547" s="536"/>
      <c r="F3547" s="536"/>
      <c r="G3547" s="536"/>
      <c r="H3547" s="536"/>
      <c r="I3547" s="536"/>
      <c r="J3547" s="537"/>
    </row>
    <row r="3548" spans="1:10" ht="38.25">
      <c r="A3548" s="251" t="str">
        <f>'[3]Planilha Orçamentária'!A922</f>
        <v>1.15.7.9</v>
      </c>
      <c r="B3548" s="252">
        <f>VLOOKUP(A3548,'[3]Planilha Orçamentária'!A:K,2,0)</f>
        <v>92771</v>
      </c>
      <c r="C3548" s="253" t="str">
        <f>VLOOKUP(A3548,'[3]Planilha Orçamentária'!A:K,3,0)</f>
        <v>ARMAÇÃO DE LAJE DE ESTRUTURA CONVENCIONAL DE CONCRETO ARMADO UTILIZANDO AÇO CA-50 DE 10,0 MM - MONTAGEM. AF_06/2022</v>
      </c>
      <c r="D3548" s="254" t="str">
        <f>VLOOKUP(A3548,'[3]Planilha Orçamentária'!A:K,4,0)</f>
        <v>KG</v>
      </c>
      <c r="E3548" s="255"/>
      <c r="F3548" s="256"/>
      <c r="G3548" s="256"/>
      <c r="H3548" s="256"/>
      <c r="I3548" s="256"/>
      <c r="J3548" s="257">
        <f>ROUND(SUM(J3549:J3550),2)</f>
        <v>4939.3500000000004</v>
      </c>
    </row>
    <row r="3549" spans="1:10">
      <c r="A3549" s="258"/>
      <c r="B3549" s="258"/>
      <c r="C3549" s="259" t="s">
        <v>2418</v>
      </c>
      <c r="D3549" s="258"/>
      <c r="E3549" s="279"/>
      <c r="F3549" s="263" t="s">
        <v>2064</v>
      </c>
      <c r="G3549" s="263"/>
      <c r="H3549" s="263"/>
      <c r="I3549" s="279" t="s">
        <v>2065</v>
      </c>
      <c r="J3549" s="258"/>
    </row>
    <row r="3550" spans="1:10" ht="28.5">
      <c r="A3550" s="258"/>
      <c r="B3550" s="258"/>
      <c r="C3550" s="221" t="s">
        <v>2066</v>
      </c>
      <c r="D3550" s="105"/>
      <c r="E3550" s="104"/>
      <c r="F3550" s="278">
        <f>F3512</f>
        <v>595.82000000000005</v>
      </c>
      <c r="G3550" s="278"/>
      <c r="H3550" s="278"/>
      <c r="I3550" s="278">
        <v>8.2899999999999991</v>
      </c>
      <c r="J3550" s="158">
        <f>ROUND(PRODUCT(E3550:I3550),2)</f>
        <v>4939.3500000000004</v>
      </c>
    </row>
    <row r="3551" spans="1:10">
      <c r="A3551" s="535"/>
      <c r="B3551" s="536"/>
      <c r="C3551" s="536"/>
      <c r="D3551" s="536"/>
      <c r="E3551" s="536"/>
      <c r="F3551" s="536"/>
      <c r="G3551" s="536"/>
      <c r="H3551" s="536"/>
      <c r="I3551" s="536"/>
      <c r="J3551" s="537"/>
    </row>
    <row r="3552" spans="1:10" ht="51">
      <c r="A3552" s="251" t="str">
        <f>'[3]Planilha Orçamentária'!A923</f>
        <v>1.15.7.10</v>
      </c>
      <c r="B3552" s="252" t="str">
        <f>VLOOKUP(A3552,'[3]Planilha Orçamentária'!A:K,2,0)</f>
        <v>CP-92268-29291149</v>
      </c>
      <c r="C3552" s="253" t="str">
        <f>VLOOKUP(A3552,'[3]Planilha Orçamentária'!A:K,3,0)</f>
        <v>FABRICAÇÃO DE FÔRMA PARA LAJES, EM CHAPA DE MADEIRA COMPENSADA PLASTIFICADA, E = 18 MM - EXCLUINDO O PAINEL DE MADEIRA COMPENSADA PLASTIFICADA DE 2200 x 1100 MM, E = *17* MM</v>
      </c>
      <c r="D3552" s="254" t="str">
        <f>VLOOKUP(A3552,'[3]Planilha Orçamentária'!A:K,4,0)</f>
        <v>M2</v>
      </c>
      <c r="E3552" s="255"/>
      <c r="F3552" s="256"/>
      <c r="G3552" s="256"/>
      <c r="H3552" s="256"/>
      <c r="I3552" s="256"/>
      <c r="J3552" s="257">
        <f>ROUND(SUM(J3553:J3554),2)</f>
        <v>357.49</v>
      </c>
    </row>
    <row r="3553" spans="1:10">
      <c r="A3553" s="258"/>
      <c r="B3553" s="258"/>
      <c r="C3553" s="259" t="s">
        <v>2418</v>
      </c>
      <c r="D3553" s="174"/>
      <c r="E3553" s="279"/>
      <c r="F3553" s="174" t="s">
        <v>2067</v>
      </c>
      <c r="G3553" s="174" t="s">
        <v>2002</v>
      </c>
      <c r="H3553" s="174" t="s">
        <v>1989</v>
      </c>
      <c r="I3553" s="174"/>
      <c r="J3553" s="258"/>
    </row>
    <row r="3554" spans="1:10" ht="28.5">
      <c r="A3554" s="258"/>
      <c r="B3554" s="258"/>
      <c r="C3554" s="280" t="s">
        <v>2068</v>
      </c>
      <c r="D3554" s="156"/>
      <c r="E3554" s="157"/>
      <c r="F3554" s="136">
        <f>1*4</f>
        <v>4</v>
      </c>
      <c r="G3554" s="136">
        <v>0.15</v>
      </c>
      <c r="H3554" s="136">
        <f>F3550</f>
        <v>595.82000000000005</v>
      </c>
      <c r="I3554" s="286"/>
      <c r="J3554" s="158">
        <f>ROUND(PRODUCT(E3554:I3554),2)</f>
        <v>357.49</v>
      </c>
    </row>
    <row r="3555" spans="1:10">
      <c r="A3555" s="535"/>
      <c r="B3555" s="536"/>
      <c r="C3555" s="536"/>
      <c r="D3555" s="536"/>
      <c r="E3555" s="536"/>
      <c r="F3555" s="536"/>
      <c r="G3555" s="536"/>
      <c r="H3555" s="536"/>
      <c r="I3555" s="536"/>
      <c r="J3555" s="537"/>
    </row>
    <row r="3556" spans="1:10" ht="51">
      <c r="A3556" s="251" t="str">
        <f>'[3]Planilha Orçamentária'!A924</f>
        <v>1.15.7.11</v>
      </c>
      <c r="B3556" s="252">
        <f>VLOOKUP(A3556,'[3]Planilha Orçamentária'!A:K,2,0)</f>
        <v>103320</v>
      </c>
      <c r="C3556" s="253" t="str">
        <f>VLOOKUP(A3556,'[3]Planilha Orçamentária'!A:K,3,0)</f>
        <v>ALVENARIA DE VEDAÇÃO DE BLOCOS VAZADOS DE CONCRETO DE 19X19X39 CM (ESPESSURA 19 CM) E ARGAMASSA DE ASSENTAMENTO COM PREPARO EM BETONEIRA. AF_12/2021</v>
      </c>
      <c r="D3556" s="254" t="str">
        <f>VLOOKUP(A3556,'[3]Planilha Orçamentária'!A:K,4,0)</f>
        <v>M2</v>
      </c>
      <c r="E3556" s="255"/>
      <c r="F3556" s="256"/>
      <c r="G3556" s="256"/>
      <c r="H3556" s="256"/>
      <c r="I3556" s="256"/>
      <c r="J3556" s="257">
        <f>ROUND(SUM(J3557:J3558),2)</f>
        <v>476.66</v>
      </c>
    </row>
    <row r="3557" spans="1:10">
      <c r="A3557" s="258"/>
      <c r="B3557" s="258"/>
      <c r="C3557" s="259" t="s">
        <v>2418</v>
      </c>
      <c r="D3557" s="174"/>
      <c r="E3557" s="279"/>
      <c r="F3557" s="174" t="s">
        <v>1989</v>
      </c>
      <c r="G3557" s="174"/>
      <c r="H3557" s="174" t="s">
        <v>2069</v>
      </c>
      <c r="I3557" s="174" t="s">
        <v>2070</v>
      </c>
      <c r="J3557" s="258"/>
    </row>
    <row r="3558" spans="1:10" ht="14.25">
      <c r="A3558" s="258"/>
      <c r="B3558" s="258"/>
      <c r="C3558" s="280" t="s">
        <v>2071</v>
      </c>
      <c r="D3558" s="156"/>
      <c r="E3558" s="157"/>
      <c r="F3558" s="136">
        <f>H3554</f>
        <v>595.82000000000005</v>
      </c>
      <c r="G3558" s="136"/>
      <c r="H3558" s="136">
        <v>0.4</v>
      </c>
      <c r="I3558" s="136">
        <v>2</v>
      </c>
      <c r="J3558" s="158">
        <f>ROUND(PRODUCT(E3558:I3558),2)</f>
        <v>476.66</v>
      </c>
    </row>
    <row r="3559" spans="1:10">
      <c r="A3559" s="535"/>
      <c r="B3559" s="536"/>
      <c r="C3559" s="536"/>
      <c r="D3559" s="536"/>
      <c r="E3559" s="536"/>
      <c r="F3559" s="536"/>
      <c r="G3559" s="536"/>
      <c r="H3559" s="536"/>
      <c r="I3559" s="536"/>
      <c r="J3559" s="537"/>
    </row>
    <row r="3560" spans="1:10" ht="51">
      <c r="A3560" s="251" t="str">
        <f>'[3]Planilha Orçamentária'!A925</f>
        <v>1.15.7.12</v>
      </c>
      <c r="B3560" s="252">
        <f>VLOOKUP(A3560,'[3]Planilha Orçamentária'!A:K,2,0)</f>
        <v>87879</v>
      </c>
      <c r="C3560" s="253" t="str">
        <f>VLOOKUP(A3560,'[3]Planilha Orçamentária'!A:K,3,0)</f>
        <v>CHAPISCO APLICADO EM ALVENARIAS E ESTRUTURAS DE CONCRETO INTERNAS, COM COLHER DE PEDREIRO.  ARGAMASSA TRAÇO 1:3 COM PREPARO EM BETONEIRA 400L. AF_06/2014</v>
      </c>
      <c r="D3560" s="254" t="str">
        <f>VLOOKUP(A3560,'[3]Planilha Orçamentária'!A:K,4,0)</f>
        <v>M2</v>
      </c>
      <c r="E3560" s="255"/>
      <c r="F3560" s="256"/>
      <c r="G3560" s="256"/>
      <c r="H3560" s="256"/>
      <c r="I3560" s="256"/>
      <c r="J3560" s="257">
        <f>ROUND(SUM(J3561:J3562),2)</f>
        <v>476.66</v>
      </c>
    </row>
    <row r="3561" spans="1:10">
      <c r="A3561" s="258"/>
      <c r="B3561" s="258"/>
      <c r="C3561" s="259" t="s">
        <v>2418</v>
      </c>
      <c r="D3561" s="258"/>
      <c r="E3561" s="258"/>
      <c r="F3561" s="258"/>
      <c r="G3561" s="258"/>
      <c r="H3561" s="136"/>
      <c r="I3561" s="287"/>
      <c r="J3561" s="258"/>
    </row>
    <row r="3562" spans="1:10" ht="14.25">
      <c r="A3562" s="258"/>
      <c r="B3562" s="258"/>
      <c r="C3562" s="280" t="s">
        <v>2072</v>
      </c>
      <c r="D3562" s="156"/>
      <c r="E3562" s="157"/>
      <c r="F3562" s="136"/>
      <c r="G3562" s="136"/>
      <c r="H3562" s="136"/>
      <c r="I3562" s="288">
        <f>J3556</f>
        <v>476.66</v>
      </c>
      <c r="J3562" s="158">
        <f>ROUND(PRODUCT(E3562:I3562),2)</f>
        <v>476.66</v>
      </c>
    </row>
    <row r="3563" spans="1:10">
      <c r="A3563" s="535"/>
      <c r="B3563" s="536"/>
      <c r="C3563" s="536"/>
      <c r="D3563" s="536"/>
      <c r="E3563" s="536"/>
      <c r="F3563" s="536"/>
      <c r="G3563" s="536"/>
      <c r="H3563" s="536"/>
      <c r="I3563" s="536"/>
      <c r="J3563" s="537"/>
    </row>
    <row r="3564" spans="1:10" ht="63.75">
      <c r="A3564" s="251" t="str">
        <f>'[3]Planilha Orçamentária'!A926</f>
        <v>1.15.7.13</v>
      </c>
      <c r="B3564" s="252">
        <f>VLOOKUP(A3564,'[3]Planilha Orçamentária'!A:K,2,0)</f>
        <v>87547</v>
      </c>
      <c r="C3564" s="253" t="str">
        <f>VLOOKUP(A3564,'[3]Planilha Orçamentária'!A:K,3,0)</f>
        <v>MASSA ÚNICA, PARA RECEBIMENTO DE PINTURA, EM ARGAMASSA TRAÇO 1:2:8, PREPARO MECÂNICO COM BETONEIRA 400L, APLICADA MANUALMENTE EM FACES INTERNAS DE PAREDES, ESPESSURA DE 10MM, COM EXECUÇÃO DE TALISCAS. AF_06/2014</v>
      </c>
      <c r="D3564" s="254" t="str">
        <f>VLOOKUP(A3564,'[3]Planilha Orçamentária'!A:K,4,0)</f>
        <v>M2</v>
      </c>
      <c r="E3564" s="255"/>
      <c r="F3564" s="256"/>
      <c r="G3564" s="256"/>
      <c r="H3564" s="256"/>
      <c r="I3564" s="256"/>
      <c r="J3564" s="257">
        <f>ROUND(SUM(J3565:J3566),2)</f>
        <v>476.66</v>
      </c>
    </row>
    <row r="3565" spans="1:10">
      <c r="A3565" s="258"/>
      <c r="B3565" s="258"/>
      <c r="C3565" s="259" t="s">
        <v>2418</v>
      </c>
      <c r="D3565" s="258"/>
      <c r="E3565" s="258"/>
      <c r="F3565" s="258"/>
      <c r="G3565" s="258"/>
      <c r="H3565" s="136"/>
      <c r="I3565" s="287"/>
      <c r="J3565" s="258"/>
    </row>
    <row r="3566" spans="1:10" ht="14.25">
      <c r="A3566" s="258"/>
      <c r="B3566" s="258"/>
      <c r="C3566" s="280" t="s">
        <v>2072</v>
      </c>
      <c r="D3566" s="156"/>
      <c r="E3566" s="157"/>
      <c r="F3566" s="136"/>
      <c r="G3566" s="136"/>
      <c r="H3566" s="136"/>
      <c r="I3566" s="288">
        <f>J3560</f>
        <v>476.66</v>
      </c>
      <c r="J3566" s="158">
        <f>ROUND(PRODUCT(E3566:I3566),2)</f>
        <v>476.66</v>
      </c>
    </row>
    <row r="3567" spans="1:10">
      <c r="A3567" s="535"/>
      <c r="B3567" s="536"/>
      <c r="C3567" s="536"/>
      <c r="D3567" s="536"/>
      <c r="E3567" s="536"/>
      <c r="F3567" s="536"/>
      <c r="G3567" s="536"/>
      <c r="H3567" s="536"/>
      <c r="I3567" s="536"/>
      <c r="J3567" s="537"/>
    </row>
    <row r="3568" spans="1:10" ht="38.25">
      <c r="A3568" s="251" t="str">
        <f>'[3]Planilha Orçamentária'!A927</f>
        <v>1.15.7.14</v>
      </c>
      <c r="B3568" s="252">
        <f>VLOOKUP(A3568,'[3]Planilha Orçamentária'!A:K,2,0)</f>
        <v>94975</v>
      </c>
      <c r="C3568" s="253" t="str">
        <f>VLOOKUP(A3568,'[3]Planilha Orçamentária'!A:K,3,0)</f>
        <v>CONCRETO FCK = 15MPA, TRAÇO 1:3,4:3,5 (EM MASSA SECA DE CIMENTO/ AREIA MÉDIA/ BRITA 1) - PREPARO MANUAL. AF_05/2021</v>
      </c>
      <c r="D3568" s="254" t="str">
        <f>VLOOKUP(A3568,'[3]Planilha Orçamentária'!A:K,4,0)</f>
        <v>M3</v>
      </c>
      <c r="E3568" s="255"/>
      <c r="F3568" s="256"/>
      <c r="G3568" s="256"/>
      <c r="H3568" s="256"/>
      <c r="I3568" s="256"/>
      <c r="J3568" s="257">
        <f>ROUND(SUM(J3569:J3571),2)</f>
        <v>50.7</v>
      </c>
    </row>
    <row r="3569" spans="1:10">
      <c r="A3569" s="258"/>
      <c r="B3569" s="258"/>
      <c r="C3569" s="259" t="s">
        <v>2418</v>
      </c>
      <c r="D3569" s="258"/>
      <c r="E3569" s="258"/>
      <c r="F3569" s="258" t="s">
        <v>1989</v>
      </c>
      <c r="G3569" s="258"/>
      <c r="H3569" s="136"/>
      <c r="I3569" s="287"/>
      <c r="J3569" s="258"/>
    </row>
    <row r="3570" spans="1:10" ht="28.5">
      <c r="A3570" s="258"/>
      <c r="B3570" s="258"/>
      <c r="C3570" s="221" t="s">
        <v>2048</v>
      </c>
      <c r="D3570" s="289"/>
      <c r="E3570" s="290" t="s">
        <v>2073</v>
      </c>
      <c r="F3570" s="290" t="s">
        <v>2074</v>
      </c>
      <c r="G3570" s="282"/>
      <c r="H3570" s="290" t="s">
        <v>2075</v>
      </c>
      <c r="I3570" s="287"/>
      <c r="J3570" s="258"/>
    </row>
    <row r="3571" spans="1:10" ht="28.5">
      <c r="A3571" s="258"/>
      <c r="B3571" s="258"/>
      <c r="C3571" s="280" t="s">
        <v>2076</v>
      </c>
      <c r="D3571" s="289"/>
      <c r="E3571" s="291">
        <f>0.294*0.14*0.19</f>
        <v>7.8203999999999999E-3</v>
      </c>
      <c r="F3571" s="282">
        <v>13.6</v>
      </c>
      <c r="G3571" s="292"/>
      <c r="H3571" s="136">
        <f>J3556</f>
        <v>476.66</v>
      </c>
      <c r="I3571" s="287"/>
      <c r="J3571" s="158">
        <f>ROUND(PRODUCT(E3571:I3571),2)</f>
        <v>50.7</v>
      </c>
    </row>
    <row r="3572" spans="1:10">
      <c r="A3572" s="535"/>
      <c r="B3572" s="536"/>
      <c r="C3572" s="536"/>
      <c r="D3572" s="536"/>
      <c r="E3572" s="536"/>
      <c r="F3572" s="536"/>
      <c r="G3572" s="536"/>
      <c r="H3572" s="536"/>
      <c r="I3572" s="536"/>
      <c r="J3572" s="537"/>
    </row>
    <row r="3573" spans="1:10" ht="25.5">
      <c r="A3573" s="251" t="str">
        <f>'[3]Planilha Orçamentária'!A928</f>
        <v>1.15.7.15</v>
      </c>
      <c r="B3573" s="252" t="str">
        <f>VLOOKUP(A3573,'[3]Planilha Orçamentária'!A:K,2,0)</f>
        <v>CP-74157/004-48264518</v>
      </c>
      <c r="C3573" s="253" t="str">
        <f>VLOOKUP(A3573,'[3]Planilha Orçamentária'!A:K,3,0)</f>
        <v>LANCAMENTO/APLICACAO MANUAL DE CONCRETO EM FUNDACOES (concreto magro)</v>
      </c>
      <c r="D3573" s="254" t="str">
        <f>VLOOKUP(A3573,'[3]Planilha Orçamentária'!A:K,4,0)</f>
        <v>M3</v>
      </c>
      <c r="E3573" s="255"/>
      <c r="F3573" s="256"/>
      <c r="G3573" s="256"/>
      <c r="H3573" s="256"/>
      <c r="I3573" s="256"/>
      <c r="J3573" s="257">
        <f>ROUND(SUM(J3574:J3575),2)</f>
        <v>186.21</v>
      </c>
    </row>
    <row r="3574" spans="1:10">
      <c r="A3574" s="258"/>
      <c r="B3574" s="258"/>
      <c r="C3574" s="259" t="s">
        <v>2418</v>
      </c>
      <c r="D3574" s="258"/>
      <c r="E3574" s="258"/>
      <c r="F3574" s="258"/>
      <c r="G3574" s="258"/>
      <c r="H3574" s="136"/>
      <c r="I3574" s="287"/>
      <c r="J3574" s="258"/>
    </row>
    <row r="3575" spans="1:10" ht="14.25">
      <c r="A3575" s="258"/>
      <c r="B3575" s="258"/>
      <c r="C3575" s="280" t="s">
        <v>2420</v>
      </c>
      <c r="D3575" s="156"/>
      <c r="E3575" s="157"/>
      <c r="F3575" s="136"/>
      <c r="G3575" s="136"/>
      <c r="H3575" s="136"/>
      <c r="I3575" s="136">
        <f>J3568+J3544+J3539</f>
        <v>186.21</v>
      </c>
      <c r="J3575" s="158">
        <f>ROUND(PRODUCT(E3575:I3575),2)</f>
        <v>186.21</v>
      </c>
    </row>
    <row r="3576" spans="1:10">
      <c r="A3576" s="535"/>
      <c r="B3576" s="536"/>
      <c r="C3576" s="536"/>
      <c r="D3576" s="536"/>
      <c r="E3576" s="536"/>
      <c r="F3576" s="536"/>
      <c r="G3576" s="536"/>
      <c r="H3576" s="536"/>
      <c r="I3576" s="536"/>
      <c r="J3576" s="537"/>
    </row>
    <row r="3577" spans="1:10" ht="51">
      <c r="A3577" s="251" t="str">
        <f>'[3]Planilha Orçamentária'!A929</f>
        <v>1.15.7.16</v>
      </c>
      <c r="B3577" s="252">
        <f>VLOOKUP(A3577,'[3]Planilha Orçamentária'!A:K,2,0)</f>
        <v>90747</v>
      </c>
      <c r="C3577" s="253" t="str">
        <f>VLOOKUP(A3577,'[3]Planilha Orçamentária'!A:K,3,0)</f>
        <v>ASSENTAMENTO DE TUBO DE PEAD CORRUGADO DE DUPLA PAREDE PARA REDE COLETORA DE ESGOTO, DN 600 MM, JUNTA ELÁSTICA INTEGRADA (NÃO INCLUI FORNECIMENTO). AF_01/2021</v>
      </c>
      <c r="D3577" s="254" t="str">
        <f>VLOOKUP(A3577,'[3]Planilha Orçamentária'!A:K,4,0)</f>
        <v>M</v>
      </c>
      <c r="E3577" s="255"/>
      <c r="F3577" s="256"/>
      <c r="G3577" s="256"/>
      <c r="H3577" s="256"/>
      <c r="I3577" s="256"/>
      <c r="J3577" s="257">
        <f>ROUND(SUM(J3578:J3579),2)</f>
        <v>2</v>
      </c>
    </row>
    <row r="3578" spans="1:10">
      <c r="A3578" s="258"/>
      <c r="B3578" s="258"/>
      <c r="C3578" s="259" t="s">
        <v>2418</v>
      </c>
      <c r="D3578" s="258"/>
      <c r="E3578" s="258"/>
      <c r="F3578" s="258" t="s">
        <v>1989</v>
      </c>
      <c r="G3578" s="258"/>
      <c r="H3578" s="136"/>
      <c r="I3578" s="287"/>
      <c r="J3578" s="258"/>
    </row>
    <row r="3579" spans="1:10" ht="14.25">
      <c r="A3579" s="258"/>
      <c r="B3579" s="258"/>
      <c r="C3579" s="280" t="s">
        <v>2421</v>
      </c>
      <c r="D3579" s="156"/>
      <c r="E3579" s="157"/>
      <c r="F3579" s="136">
        <f>F3517</f>
        <v>2</v>
      </c>
      <c r="G3579" s="136"/>
      <c r="H3579" s="136"/>
      <c r="I3579" s="136"/>
      <c r="J3579" s="158">
        <f>ROUND(PRODUCT(E3579:I3579),2)</f>
        <v>2</v>
      </c>
    </row>
    <row r="3580" spans="1:10">
      <c r="A3580" s="535"/>
      <c r="B3580" s="536"/>
      <c r="C3580" s="536"/>
      <c r="D3580" s="536"/>
      <c r="E3580" s="536"/>
      <c r="F3580" s="536"/>
      <c r="G3580" s="536"/>
      <c r="H3580" s="536"/>
      <c r="I3580" s="536"/>
      <c r="J3580" s="537"/>
    </row>
    <row r="3581" spans="1:10" ht="25.5">
      <c r="A3581" s="251" t="str">
        <f>'[3]Planilha Orçamentária'!A930</f>
        <v>1.15.7.17</v>
      </c>
      <c r="B3581" s="252" t="str">
        <f>VLOOKUP(A3581,'[3]Planilha Orçamentária'!A:K,2,0)</f>
        <v>COM-66148211</v>
      </c>
      <c r="C3581" s="253" t="str">
        <f>VLOOKUP(A3581,'[3]Planilha Orçamentária'!A:K,3,0)</f>
        <v>SAÍDA D'ÁGUA</v>
      </c>
      <c r="D3581" s="254" t="str">
        <f>VLOOKUP(A3581,'[3]Planilha Orçamentária'!A:K,4,0)</f>
        <v>UND</v>
      </c>
      <c r="E3581" s="255"/>
      <c r="F3581" s="256"/>
      <c r="G3581" s="256"/>
      <c r="H3581" s="256"/>
      <c r="I3581" s="256"/>
      <c r="J3581" s="257">
        <f>ROUND(SUM(J3582:J3583),2)</f>
        <v>10</v>
      </c>
    </row>
    <row r="3582" spans="1:10">
      <c r="A3582" s="258"/>
      <c r="B3582" s="258"/>
      <c r="C3582" s="259" t="s">
        <v>2418</v>
      </c>
      <c r="D3582" s="258"/>
      <c r="E3582" s="258"/>
      <c r="F3582" s="258"/>
      <c r="G3582" s="258"/>
      <c r="H3582" s="136"/>
      <c r="I3582" s="287" t="s">
        <v>171</v>
      </c>
      <c r="J3582" s="258"/>
    </row>
    <row r="3583" spans="1:10" ht="14.25">
      <c r="A3583" s="258"/>
      <c r="B3583" s="258"/>
      <c r="C3583" s="280" t="s">
        <v>2421</v>
      </c>
      <c r="D3583" s="156"/>
      <c r="E3583" s="157"/>
      <c r="F3583" s="136"/>
      <c r="G3583" s="136"/>
      <c r="H3583" s="136"/>
      <c r="I3583" s="136">
        <v>10</v>
      </c>
      <c r="J3583" s="158">
        <f>ROUND(PRODUCT(E3583:I3583),2)</f>
        <v>10</v>
      </c>
    </row>
    <row r="3584" spans="1:10">
      <c r="A3584" s="535"/>
      <c r="B3584" s="536"/>
      <c r="C3584" s="536"/>
      <c r="D3584" s="536"/>
      <c r="E3584" s="536"/>
      <c r="F3584" s="536"/>
      <c r="G3584" s="536"/>
      <c r="H3584" s="536"/>
      <c r="I3584" s="536"/>
      <c r="J3584" s="537"/>
    </row>
    <row r="3585" spans="1:10">
      <c r="A3585" s="94" t="str">
        <f>'[3]Planilha Orçamentária'!A931</f>
        <v>1.15.8</v>
      </c>
      <c r="B3585" s="95"/>
      <c r="C3585" s="96" t="str">
        <f>VLOOKUP(A3585,'[3]Planilha Orçamentária'!A:K,3,0)</f>
        <v>SINALIZAÇÃO</v>
      </c>
      <c r="D3585" s="97"/>
      <c r="E3585" s="98"/>
      <c r="F3585" s="99"/>
      <c r="G3585" s="99"/>
      <c r="H3585" s="99"/>
      <c r="I3585" s="100"/>
      <c r="J3585" s="131"/>
    </row>
    <row r="3586" spans="1:10" ht="25.5">
      <c r="A3586" s="251" t="str">
        <f>'[3]Planilha Orçamentária'!A932</f>
        <v>1.15.8.1</v>
      </c>
      <c r="B3586" s="252">
        <f>VLOOKUP(A3586,'[3]Planilha Orçamentária'!A:K,2,0)</f>
        <v>5213421</v>
      </c>
      <c r="C3586" s="253" t="str">
        <f>VLOOKUP(A3586,'[3]Planilha Orçamentária'!A:K,3,0)</f>
        <v>Confecção de placa em aço nº 16 galvanizado, com película tipo I + IV</v>
      </c>
      <c r="D3586" s="254" t="str">
        <f>VLOOKUP(A3586,'[3]Planilha Orçamentária'!A:K,4,0)</f>
        <v xml:space="preserve">M2    </v>
      </c>
      <c r="E3586" s="255"/>
      <c r="F3586" s="256"/>
      <c r="G3586" s="256"/>
      <c r="H3586" s="256"/>
      <c r="I3586" s="256"/>
      <c r="J3586" s="257">
        <f>ROUND(SUM(J3587:J3591),2)</f>
        <v>12.9</v>
      </c>
    </row>
    <row r="3587" spans="1:10">
      <c r="A3587" s="293"/>
      <c r="B3587" s="294"/>
      <c r="C3587" s="244" t="s">
        <v>2422</v>
      </c>
      <c r="D3587" s="105"/>
      <c r="E3587" s="241"/>
      <c r="F3587" s="105"/>
      <c r="G3587" s="105"/>
      <c r="H3587" s="241" t="s">
        <v>2003</v>
      </c>
      <c r="I3587" s="241" t="s">
        <v>1446</v>
      </c>
      <c r="J3587" s="299"/>
    </row>
    <row r="3588" spans="1:10">
      <c r="A3588" s="293"/>
      <c r="B3588" s="294"/>
      <c r="C3588" s="244" t="s">
        <v>2079</v>
      </c>
      <c r="D3588" s="307"/>
      <c r="E3588" s="116"/>
      <c r="F3588" s="116"/>
      <c r="G3588" s="116"/>
      <c r="H3588" s="116">
        <v>0.2</v>
      </c>
      <c r="I3588" s="157">
        <v>17</v>
      </c>
      <c r="J3588" s="128">
        <f t="shared" ref="J3588:J3590" si="252">ROUND(PRODUCT(E3588:I3588),2)</f>
        <v>3.4</v>
      </c>
    </row>
    <row r="3589" spans="1:10">
      <c r="A3589" s="311"/>
      <c r="B3589" s="345"/>
      <c r="C3589" s="409" t="s">
        <v>2081</v>
      </c>
      <c r="D3589" s="303"/>
      <c r="E3589" s="304"/>
      <c r="F3589" s="304"/>
      <c r="G3589" s="304"/>
      <c r="H3589" s="304">
        <f>0.5*0.5</f>
        <v>0.25</v>
      </c>
      <c r="I3589" s="410">
        <v>22</v>
      </c>
      <c r="J3589" s="128">
        <f t="shared" si="252"/>
        <v>5.5</v>
      </c>
    </row>
    <row r="3590" spans="1:10">
      <c r="A3590" s="293"/>
      <c r="B3590" s="294"/>
      <c r="C3590" s="409" t="s">
        <v>2230</v>
      </c>
      <c r="D3590" s="307"/>
      <c r="E3590" s="313"/>
      <c r="F3590" s="116"/>
      <c r="G3590" s="116"/>
      <c r="H3590" s="304">
        <f>0.5*0.5</f>
        <v>0.25</v>
      </c>
      <c r="I3590" s="308">
        <v>16</v>
      </c>
      <c r="J3590" s="128">
        <f t="shared" si="252"/>
        <v>4</v>
      </c>
    </row>
    <row r="3591" spans="1:10">
      <c r="A3591" s="538"/>
      <c r="B3591" s="539"/>
      <c r="C3591" s="539"/>
      <c r="D3591" s="539"/>
      <c r="E3591" s="539"/>
      <c r="F3591" s="539"/>
      <c r="G3591" s="539"/>
      <c r="H3591" s="539"/>
      <c r="I3591" s="539"/>
      <c r="J3591" s="539"/>
    </row>
    <row r="3592" spans="1:10" ht="38.25">
      <c r="A3592" s="132" t="str">
        <f>'[3]Planilha Orçamentária'!A933</f>
        <v>1.15.8.2</v>
      </c>
      <c r="B3592" s="103">
        <f>VLOOKUP(A3592,'[3]Planilha Orçamentária'!A:K,2,0)</f>
        <v>5216111</v>
      </c>
      <c r="C3592" s="276" t="str">
        <f>VLOOKUP(A3592,'[3]Planilha Orçamentária'!A:K,3,0)</f>
        <v>FORNECIMENTO E IMPLANTAÇÃO DE SUPORTE E TRAVESSA PARA PLACA DE SINALIZAÇÃO EM MADEIRA DE LEI TRATADA 8 X 8 CM</v>
      </c>
      <c r="D3592" s="105" t="str">
        <f>VLOOKUP(A3592,'[3]Planilha Orçamentária'!A:K,4,0)</f>
        <v>UND</v>
      </c>
      <c r="E3592" s="104"/>
      <c r="F3592" s="111"/>
      <c r="G3592" s="111"/>
      <c r="H3592" s="111"/>
      <c r="I3592" s="111"/>
      <c r="J3592" s="107">
        <f>ROUND(SUM(J3593:J3594),2)</f>
        <v>34</v>
      </c>
    </row>
    <row r="3593" spans="1:10">
      <c r="A3593" s="138"/>
      <c r="B3593" s="138"/>
      <c r="C3593" s="244" t="s">
        <v>2422</v>
      </c>
      <c r="D3593" s="105"/>
      <c r="E3593" s="104"/>
      <c r="F3593" s="111"/>
      <c r="G3593" s="111"/>
      <c r="H3593" s="111"/>
      <c r="I3593" s="241" t="s">
        <v>1446</v>
      </c>
      <c r="J3593" s="118"/>
    </row>
    <row r="3594" spans="1:10">
      <c r="A3594" s="314"/>
      <c r="B3594" s="314"/>
      <c r="C3594" s="244" t="s">
        <v>2046</v>
      </c>
      <c r="D3594" s="307"/>
      <c r="E3594" s="313"/>
      <c r="F3594" s="116"/>
      <c r="G3594" s="116"/>
      <c r="H3594" s="157"/>
      <c r="I3594" s="157">
        <v>34</v>
      </c>
      <c r="J3594" s="118">
        <f>ROUND(PRODUCT(E3594:I3594),2)</f>
        <v>34</v>
      </c>
    </row>
    <row r="3595" spans="1:10">
      <c r="A3595" s="524"/>
      <c r="B3595" s="524"/>
      <c r="C3595" s="524"/>
      <c r="D3595" s="524"/>
      <c r="E3595" s="524"/>
      <c r="F3595" s="524"/>
      <c r="G3595" s="524"/>
      <c r="H3595" s="524"/>
      <c r="I3595" s="524"/>
      <c r="J3595" s="525"/>
    </row>
    <row r="3596" spans="1:10" ht="25.5">
      <c r="A3596" s="132" t="str">
        <f>'[3]Planilha Orçamentária'!A934</f>
        <v>1.15.8.3</v>
      </c>
      <c r="B3596" s="103" t="str">
        <f>VLOOKUP(A3596,'[3]Planilha Orçamentária'!A:K,2,0)</f>
        <v>COMP-58084869</v>
      </c>
      <c r="C3596" s="276" t="str">
        <f>VLOOKUP(A3596,'[3]Planilha Orçamentária'!A:K,3,0)</f>
        <v>PLACA ESMALTADA PARA IDENTIFICAÇÃO NR DE RUA, DIMENSÕES 45X25CM</v>
      </c>
      <c r="D3596" s="105" t="str">
        <f>VLOOKUP(A3596,'[3]Planilha Orçamentária'!A:K,4,0)</f>
        <v>UND</v>
      </c>
      <c r="E3596" s="104"/>
      <c r="F3596" s="111"/>
      <c r="G3596" s="111"/>
      <c r="H3596" s="111"/>
      <c r="I3596" s="111"/>
      <c r="J3596" s="107">
        <f>ROUND(SUM(J3598:J3598),2)</f>
        <v>12</v>
      </c>
    </row>
    <row r="3597" spans="1:10">
      <c r="A3597" s="251"/>
      <c r="B3597" s="252"/>
      <c r="C3597" s="244" t="s">
        <v>2422</v>
      </c>
      <c r="D3597" s="105"/>
      <c r="E3597" s="104"/>
      <c r="F3597" s="111"/>
      <c r="G3597" s="111"/>
      <c r="H3597" s="111"/>
      <c r="I3597" s="241" t="s">
        <v>1446</v>
      </c>
      <c r="J3597" s="257"/>
    </row>
    <row r="3598" spans="1:10">
      <c r="A3598" s="314"/>
      <c r="B3598" s="314"/>
      <c r="C3598" s="244" t="s">
        <v>2046</v>
      </c>
      <c r="D3598" s="105"/>
      <c r="E3598" s="104"/>
      <c r="F3598" s="111"/>
      <c r="G3598" s="111"/>
      <c r="H3598" s="111"/>
      <c r="I3598" s="157">
        <v>12</v>
      </c>
      <c r="J3598" s="306">
        <f>ROUND(PRODUCT(E3598:I3598),2)</f>
        <v>12</v>
      </c>
    </row>
    <row r="3599" spans="1:10">
      <c r="A3599" s="523"/>
      <c r="B3599" s="524"/>
      <c r="C3599" s="524"/>
      <c r="D3599" s="524"/>
      <c r="E3599" s="524"/>
      <c r="F3599" s="524"/>
      <c r="G3599" s="524"/>
      <c r="H3599" s="524"/>
      <c r="I3599" s="524"/>
      <c r="J3599" s="525"/>
    </row>
    <row r="3600" spans="1:10" ht="51">
      <c r="A3600" s="132" t="str">
        <f>'[3]Planilha Orçamentária'!A935</f>
        <v>1.15.8.4</v>
      </c>
      <c r="B3600" s="103">
        <f>VLOOKUP(A3600,'[3]Planilha Orçamentária'!A:K,2,0)</f>
        <v>102509</v>
      </c>
      <c r="C3600" s="276" t="str">
        <f>VLOOKUP(A3600,'[3]Planilha Orçamentária'!A:K,3,0)</f>
        <v>PINTURA DE FAIXA DE PEDESTRE OU ZEBRADA TINTA RETRORREFLETIVA A BASE DE RESINA ACRÍLICA COM MICROESFERAS DE VIDRO, E = 30 CM, APLICAÇÃO MANUAL. AF_05/2021</v>
      </c>
      <c r="D3600" s="105" t="str">
        <f>VLOOKUP(A3600,'[3]Planilha Orçamentária'!A:K,4,0)</f>
        <v>M2</v>
      </c>
      <c r="E3600" s="104"/>
      <c r="F3600" s="111"/>
      <c r="G3600" s="111"/>
      <c r="H3600" s="111"/>
      <c r="I3600" s="111"/>
      <c r="J3600" s="107">
        <f>ROUND(SUM(J3602:J3602),2)</f>
        <v>121.6</v>
      </c>
    </row>
    <row r="3601" spans="1:10">
      <c r="A3601" s="251"/>
      <c r="B3601" s="252"/>
      <c r="C3601" s="244" t="s">
        <v>2422</v>
      </c>
      <c r="D3601" s="148"/>
      <c r="E3601" s="357"/>
      <c r="F3601" s="160"/>
      <c r="G3601" s="160"/>
      <c r="H3601" s="160"/>
      <c r="I3601" s="357" t="s">
        <v>2003</v>
      </c>
      <c r="J3601" s="257"/>
    </row>
    <row r="3602" spans="1:10">
      <c r="A3602" s="314"/>
      <c r="B3602" s="314"/>
      <c r="C3602" s="244" t="s">
        <v>2046</v>
      </c>
      <c r="D3602" s="262"/>
      <c r="E3602" s="157"/>
      <c r="F3602" s="157"/>
      <c r="G3602" s="157"/>
      <c r="H3602" s="157"/>
      <c r="I3602" s="157">
        <v>121.6</v>
      </c>
      <c r="J3602" s="306">
        <f>ROUND(PRODUCT(E3602:I3602),2)</f>
        <v>121.6</v>
      </c>
    </row>
    <row r="3603" spans="1:10">
      <c r="A3603" s="523"/>
      <c r="B3603" s="524"/>
      <c r="C3603" s="524"/>
      <c r="D3603" s="524"/>
      <c r="E3603" s="524"/>
      <c r="F3603" s="524"/>
      <c r="G3603" s="524"/>
      <c r="H3603" s="524"/>
      <c r="I3603" s="524"/>
      <c r="J3603" s="525"/>
    </row>
    <row r="3604" spans="1:10" ht="51">
      <c r="A3604" s="132" t="str">
        <f>'[3]Planilha Orçamentária'!A936</f>
        <v>1.15.8.5</v>
      </c>
      <c r="B3604" s="103">
        <f>VLOOKUP(A3604,'[3]Planilha Orçamentária'!A:K,2,0)</f>
        <v>102512</v>
      </c>
      <c r="C3604" s="276" t="str">
        <f>VLOOKUP(A3604,'[3]Planilha Orçamentária'!A:K,3,0)</f>
        <v>PINTURA DE EIXO VIÁRIO SOBRE ASFALTO COM TINTA RETRORREFLETIVA A BASE DE RESINA ACRÍLICA COM MICROESFERAS DE VIDRO, APLICAÇÃO MECÂNICA COM DEMARCADORA AUTOPROPELIDA. AF_05/2021</v>
      </c>
      <c r="D3604" s="105" t="str">
        <f>VLOOKUP(A3604,'[3]Planilha Orçamentária'!A:K,4,0)</f>
        <v>M</v>
      </c>
      <c r="E3604" s="104"/>
      <c r="F3604" s="111"/>
      <c r="G3604" s="111"/>
      <c r="H3604" s="111"/>
      <c r="I3604" s="111"/>
      <c r="J3604" s="107">
        <f>ROUND(SUM(J3606:J3606),2)</f>
        <v>2399.96</v>
      </c>
    </row>
    <row r="3605" spans="1:10">
      <c r="A3605" s="251"/>
      <c r="B3605" s="252"/>
      <c r="C3605" s="244" t="s">
        <v>2422</v>
      </c>
      <c r="D3605" s="148"/>
      <c r="E3605" s="357"/>
      <c r="F3605" s="161" t="s">
        <v>1989</v>
      </c>
      <c r="G3605" s="160"/>
      <c r="H3605" s="160"/>
      <c r="I3605" s="357"/>
      <c r="J3605" s="257"/>
    </row>
    <row r="3606" spans="1:10">
      <c r="A3606" s="314"/>
      <c r="B3606" s="314"/>
      <c r="C3606" s="244" t="s">
        <v>2046</v>
      </c>
      <c r="D3606" s="262"/>
      <c r="E3606" s="157"/>
      <c r="F3606" s="157">
        <v>2399.96</v>
      </c>
      <c r="G3606" s="157"/>
      <c r="H3606" s="157"/>
      <c r="I3606" s="157"/>
      <c r="J3606" s="306">
        <f>ROUND(PRODUCT(E3606:I3606),2)</f>
        <v>2399.96</v>
      </c>
    </row>
    <row r="3607" spans="1:10">
      <c r="A3607" s="523"/>
      <c r="B3607" s="524"/>
      <c r="C3607" s="524"/>
      <c r="D3607" s="524"/>
      <c r="E3607" s="524"/>
      <c r="F3607" s="524"/>
      <c r="G3607" s="524"/>
      <c r="H3607" s="524"/>
      <c r="I3607" s="524"/>
      <c r="J3607" s="525"/>
    </row>
    <row r="3608" spans="1:10">
      <c r="A3608" s="94" t="str">
        <f>'[3]Planilha Orçamentária'!A937</f>
        <v>1.15.9</v>
      </c>
      <c r="B3608" s="95"/>
      <c r="C3608" s="96" t="str">
        <f>VLOOKUP(A3608,'[3]Planilha Orçamentária'!A:K,3,0)</f>
        <v>ACESSIBILIDADE</v>
      </c>
      <c r="D3608" s="96"/>
      <c r="E3608" s="129"/>
      <c r="F3608" s="130"/>
      <c r="G3608" s="130"/>
      <c r="H3608" s="130"/>
      <c r="I3608" s="130"/>
      <c r="J3608" s="131"/>
    </row>
    <row r="3609" spans="1:10" ht="51">
      <c r="A3609" s="251" t="str">
        <f>'[3]Planilha Orçamentária'!A938</f>
        <v>1.15.9.1</v>
      </c>
      <c r="B3609" s="252" t="str">
        <f>VLOOKUP(A3609,'[3]Planilha Orçamentária'!A:K,2,0)</f>
        <v>CP-S12039-81921471</v>
      </c>
      <c r="C3609" s="253" t="str">
        <f>VLOOKUP(A3609,'[3]Planilha Orçamentária'!A:K,3,0)</f>
        <v>Piso tátil direcional e/ou alerta, de concreto, na cor natural, p/deficientes visuais, dimensões 40x40cm, aplicado com argamassa industrializada ac-ii, rejuntado, exclusive regularização de base</v>
      </c>
      <c r="D3609" s="254" t="str">
        <f>VLOOKUP(A3609,'[3]Planilha Orçamentária'!A:K,4,0)</f>
        <v>M2</v>
      </c>
      <c r="E3609" s="255"/>
      <c r="F3609" s="256"/>
      <c r="G3609" s="256"/>
      <c r="H3609" s="256"/>
      <c r="I3609" s="256"/>
      <c r="J3609" s="122">
        <f>ROUND(SUM(J3610:J3611),2)</f>
        <v>78.19</v>
      </c>
    </row>
    <row r="3610" spans="1:10">
      <c r="A3610" s="251"/>
      <c r="B3610" s="252"/>
      <c r="C3610" s="244" t="s">
        <v>2422</v>
      </c>
      <c r="D3610" s="166"/>
      <c r="E3610" s="426"/>
      <c r="F3610" s="149"/>
      <c r="G3610" s="149"/>
      <c r="H3610" s="149"/>
      <c r="I3610" s="426" t="s">
        <v>2003</v>
      </c>
      <c r="J3610" s="257"/>
    </row>
    <row r="3611" spans="1:10">
      <c r="A3611" s="138"/>
      <c r="B3611" s="138"/>
      <c r="C3611" s="244" t="s">
        <v>2046</v>
      </c>
      <c r="D3611" s="262"/>
      <c r="E3611" s="157"/>
      <c r="F3611" s="157"/>
      <c r="G3611" s="157"/>
      <c r="H3611" s="157"/>
      <c r="I3611" s="157">
        <f>66.37+11.82</f>
        <v>78.19</v>
      </c>
      <c r="J3611" s="128">
        <f>ROUND(PRODUCT(E3611:I3611),2)</f>
        <v>78.19</v>
      </c>
    </row>
    <row r="3612" spans="1:10" ht="12" customHeight="1">
      <c r="A3612" s="523"/>
      <c r="B3612" s="524"/>
      <c r="C3612" s="524"/>
      <c r="D3612" s="524"/>
      <c r="E3612" s="524"/>
      <c r="F3612" s="524"/>
      <c r="G3612" s="524"/>
      <c r="H3612" s="524"/>
      <c r="I3612" s="524"/>
      <c r="J3612" s="524"/>
    </row>
    <row r="3613" spans="1:10" ht="12" customHeight="1">
      <c r="A3613" s="94" t="str">
        <f>'[3]Planilha Orçamentária'!A939</f>
        <v>1.15.10</v>
      </c>
      <c r="B3613" s="95"/>
      <c r="C3613" s="96" t="str">
        <f>VLOOKUP(A3613,'[3]Planilha Orçamentária'!A:K,3,0)</f>
        <v>MATERIAIS</v>
      </c>
      <c r="D3613" s="96"/>
      <c r="E3613" s="129"/>
      <c r="F3613" s="130"/>
      <c r="G3613" s="130"/>
      <c r="H3613" s="130"/>
      <c r="I3613" s="130"/>
      <c r="J3613" s="131"/>
    </row>
    <row r="3614" spans="1:10" ht="51">
      <c r="A3614" s="145" t="str">
        <f>'[3]Planilha Orçamentária'!A940</f>
        <v>1.15.10.1</v>
      </c>
      <c r="B3614" s="146">
        <f>VLOOKUP(A3614,'[3]Planilha Orçamentária'!A:K,2,0)</f>
        <v>10775</v>
      </c>
      <c r="C3614" s="147" t="str">
        <f>VLOOKUP(A3614,'[3]Planilha Orçamentária'!A:K,3,0)</f>
        <v xml:space="preserve">LOCACAO DE CONTAINER 2,30 X 6,00 M, ALT. 2,50 M, COM 1 SANITARIO, PARA ESCRITORIO, COMPLETO, SEM DIVISORIAS INTERNAS (NAO INCLUI MOBILIZACAO/DESMOBILIZACAO)                                                                                                                                                                                                                                                                                                                                              </v>
      </c>
      <c r="D3614" s="148" t="str">
        <f>VLOOKUP(A3614,'[3]Planilha Orçamentária'!A:K,4,0)</f>
        <v xml:space="preserve">MES   </v>
      </c>
      <c r="E3614" s="147"/>
      <c r="F3614" s="160"/>
      <c r="G3614" s="160"/>
      <c r="H3614" s="160"/>
      <c r="I3614" s="160"/>
      <c r="J3614" s="218">
        <f>ROUND(SUM(J3616:J3616),2)</f>
        <v>10</v>
      </c>
    </row>
    <row r="3615" spans="1:10" ht="25.5">
      <c r="A3615" s="151"/>
      <c r="B3615" s="152"/>
      <c r="C3615" s="168"/>
      <c r="D3615" s="166"/>
      <c r="E3615" s="168"/>
      <c r="F3615" s="320"/>
      <c r="G3615" s="149"/>
      <c r="H3615" s="149"/>
      <c r="I3615" s="106" t="s">
        <v>1992</v>
      </c>
      <c r="J3615" s="321"/>
    </row>
    <row r="3616" spans="1:10">
      <c r="A3616" s="123"/>
      <c r="B3616" s="123"/>
      <c r="C3616" s="155"/>
      <c r="D3616" s="185"/>
      <c r="E3616" s="116"/>
      <c r="F3616" s="126"/>
      <c r="G3616" s="116"/>
      <c r="H3616" s="116"/>
      <c r="I3616" s="116">
        <f>I3379</f>
        <v>10</v>
      </c>
      <c r="J3616" s="128">
        <f>ROUND(PRODUCT(E3616:I3616),2)</f>
        <v>10</v>
      </c>
    </row>
    <row r="3617" spans="1:10">
      <c r="A3617" s="531"/>
      <c r="B3617" s="531"/>
      <c r="C3617" s="531"/>
      <c r="D3617" s="531"/>
      <c r="E3617" s="531"/>
      <c r="F3617" s="531"/>
      <c r="G3617" s="531"/>
      <c r="H3617" s="531"/>
      <c r="I3617" s="531"/>
      <c r="J3617" s="531"/>
    </row>
    <row r="3618" spans="1:10" ht="38.25">
      <c r="A3618" s="145" t="str">
        <f>'[3]Planilha Orçamentária'!A941</f>
        <v>1.15.10.2</v>
      </c>
      <c r="B3618" s="146">
        <f>VLOOKUP(A3618,'[3]Planilha Orçamentária'!A:K,2,0)</f>
        <v>10776</v>
      </c>
      <c r="C3618" s="147" t="str">
        <f>VLOOKUP(A3618,'[3]Planilha Orçamentária'!A:K,3,0)</f>
        <v xml:space="preserve">LOCACAO DE CONTAINER 2,30 X 6,00 M, ALT. 2,50 M, PARA ESCRITORIO, SEM DIVISORIAS INTERNAS E SEM SANITARIO (NAO INCLUI MOBILIZACAO/DESMOBILIZACAO)                                                                                                                                                                                                                                                                                                                                                         </v>
      </c>
      <c r="D3618" s="148" t="str">
        <f>VLOOKUP(A3618,'[3]Planilha Orçamentária'!A:K,4,0)</f>
        <v xml:space="preserve">MES   </v>
      </c>
      <c r="E3618" s="147"/>
      <c r="F3618" s="160"/>
      <c r="G3618" s="160"/>
      <c r="H3618" s="160"/>
      <c r="I3618" s="160"/>
      <c r="J3618" s="218">
        <f>ROUND(SUM(J3620:J3620),2)</f>
        <v>10</v>
      </c>
    </row>
    <row r="3619" spans="1:10" ht="25.5">
      <c r="A3619" s="151"/>
      <c r="B3619" s="152"/>
      <c r="C3619" s="168"/>
      <c r="D3619" s="166"/>
      <c r="E3619" s="168"/>
      <c r="F3619" s="320"/>
      <c r="G3619" s="149"/>
      <c r="H3619" s="149"/>
      <c r="I3619" s="106" t="s">
        <v>1992</v>
      </c>
      <c r="J3619" s="321"/>
    </row>
    <row r="3620" spans="1:10">
      <c r="A3620" s="123"/>
      <c r="B3620" s="123"/>
      <c r="C3620" s="155"/>
      <c r="D3620" s="185"/>
      <c r="E3620" s="116"/>
      <c r="F3620" s="126"/>
      <c r="G3620" s="116"/>
      <c r="H3620" s="116"/>
      <c r="I3620" s="116">
        <f>I3616</f>
        <v>10</v>
      </c>
      <c r="J3620" s="128">
        <f>ROUND(PRODUCT(E3620:I3620),2)</f>
        <v>10</v>
      </c>
    </row>
    <row r="3621" spans="1:10">
      <c r="A3621" s="531"/>
      <c r="B3621" s="531"/>
      <c r="C3621" s="531"/>
      <c r="D3621" s="531"/>
      <c r="E3621" s="531"/>
      <c r="F3621" s="531"/>
      <c r="G3621" s="531"/>
      <c r="H3621" s="531"/>
      <c r="I3621" s="531"/>
      <c r="J3621" s="531"/>
    </row>
    <row r="3622" spans="1:10" ht="38.25">
      <c r="A3622" s="132" t="str">
        <f>'[3]Planilha Orçamentária'!A942</f>
        <v>1.15.10.3</v>
      </c>
      <c r="B3622" s="108">
        <f>VLOOKUP(A3622,'[3]Planilha Orçamentária'!A:K,2,0)</f>
        <v>1518</v>
      </c>
      <c r="C3622" s="104" t="str">
        <f>VLOOKUP(A3622,'[3]Planilha Orçamentária'!A:K,3,0)</f>
        <v xml:space="preserve">CONCRETO BETUMINOSO USINADO A QUENTE (CBUQ) PARA PAVIMENTACAO ASFALTICA, PADRAO DNIT, FAIXA C, COM CAP 50/70 - AQUISICAO POSTO USINA                                                                                                                                                                                                                                                                                                                                                                      </v>
      </c>
      <c r="D3622" s="105" t="str">
        <f>VLOOKUP(A3622,'[3]Planilha Orçamentária'!A:K,4,0)</f>
        <v xml:space="preserve">T     </v>
      </c>
      <c r="E3622" s="104"/>
      <c r="F3622" s="111"/>
      <c r="G3622" s="111"/>
      <c r="H3622" s="111"/>
      <c r="I3622" s="111"/>
      <c r="J3622" s="122">
        <f>ROUND(SUM(J3623:J3624),2)</f>
        <v>505.67</v>
      </c>
    </row>
    <row r="3623" spans="1:10">
      <c r="A3623" s="174"/>
      <c r="B3623" s="174"/>
      <c r="C3623" s="159" t="s">
        <v>2404</v>
      </c>
      <c r="D3623" s="174"/>
      <c r="E3623" s="174" t="s">
        <v>2085</v>
      </c>
      <c r="F3623" s="174"/>
      <c r="G3623" s="174"/>
      <c r="H3623" s="174"/>
      <c r="I3623" s="174" t="s">
        <v>2007</v>
      </c>
      <c r="J3623" s="174"/>
    </row>
    <row r="3624" spans="1:10">
      <c r="A3624" s="174"/>
      <c r="B3624" s="174"/>
      <c r="C3624" s="322" t="s">
        <v>2083</v>
      </c>
      <c r="D3624" s="174"/>
      <c r="E3624" s="174">
        <v>2.5548000000000002</v>
      </c>
      <c r="F3624" s="174"/>
      <c r="G3624" s="174"/>
      <c r="H3624" s="174"/>
      <c r="I3624" s="286">
        <f>J3446</f>
        <v>197.93</v>
      </c>
      <c r="J3624" s="158">
        <f t="shared" ref="J3624" si="253">ROUND(PRODUCT(E3624:I3624),2)</f>
        <v>505.67</v>
      </c>
    </row>
    <row r="3625" spans="1:10">
      <c r="A3625" s="219"/>
      <c r="B3625" s="323"/>
      <c r="C3625" s="323"/>
      <c r="D3625" s="323"/>
      <c r="E3625" s="323"/>
      <c r="F3625" s="323"/>
      <c r="G3625" s="323"/>
      <c r="H3625" s="323"/>
      <c r="I3625" s="323"/>
      <c r="J3625" s="198"/>
    </row>
    <row r="3626" spans="1:10" ht="25.5">
      <c r="A3626" s="177" t="str">
        <f>'[3]Planilha Orçamentária'!A943</f>
        <v>1.15.10.4</v>
      </c>
      <c r="B3626" s="178" t="str">
        <f>VLOOKUP(A3626,'[3]Planilha Orçamentária'!A:K,2,0)</f>
        <v>M0134</v>
      </c>
      <c r="C3626" s="179" t="str">
        <f>VLOOKUP(A3626,'[3]Planilha Orçamentária'!A:K,3,0)</f>
        <v>Tubo PEAD corrugado com paredes estruturadas para drenagem - D = 600 mm</v>
      </c>
      <c r="D3626" s="180" t="str">
        <f>VLOOKUP(A3626,'[3]Planilha Orçamentária'!A:K,4,0)</f>
        <v>M</v>
      </c>
      <c r="E3626" s="179"/>
      <c r="F3626" s="181"/>
      <c r="G3626" s="181"/>
      <c r="H3626" s="181"/>
      <c r="I3626" s="181"/>
      <c r="J3626" s="122">
        <f>ROUND(SUM(J3627:J3629),2)</f>
        <v>2</v>
      </c>
    </row>
    <row r="3627" spans="1:10">
      <c r="A3627" s="174"/>
      <c r="B3627" s="363"/>
      <c r="C3627" s="259" t="s">
        <v>2418</v>
      </c>
      <c r="D3627" s="156"/>
      <c r="E3627" s="157"/>
      <c r="F3627" s="106" t="s">
        <v>1989</v>
      </c>
      <c r="G3627" s="157"/>
      <c r="H3627" s="157"/>
      <c r="I3627" s="157"/>
      <c r="J3627" s="158"/>
    </row>
    <row r="3628" spans="1:10" ht="14.25">
      <c r="A3628" s="174"/>
      <c r="B3628" s="363"/>
      <c r="C3628" s="280" t="s">
        <v>2421</v>
      </c>
      <c r="D3628" s="156"/>
      <c r="E3628" s="157"/>
      <c r="F3628" s="441">
        <f>F3579</f>
        <v>2</v>
      </c>
      <c r="G3628" s="157"/>
      <c r="H3628" s="157"/>
      <c r="I3628" s="157"/>
      <c r="J3628" s="158">
        <f t="shared" ref="J3628" si="254">ROUND(PRODUCT(E3628:I3628),2)</f>
        <v>2</v>
      </c>
    </row>
    <row r="3629" spans="1:10" ht="12" customHeight="1">
      <c r="A3629" s="532"/>
      <c r="B3629" s="533"/>
      <c r="C3629" s="533"/>
      <c r="D3629" s="533"/>
      <c r="E3629" s="533"/>
      <c r="F3629" s="533"/>
      <c r="G3629" s="533"/>
      <c r="H3629" s="533"/>
      <c r="I3629" s="533"/>
      <c r="J3629" s="534"/>
    </row>
    <row r="3630" spans="1:10" ht="12" customHeight="1">
      <c r="A3630" s="177" t="str">
        <f>'[3]Planilha Orçamentária'!A944</f>
        <v>1.15.10.5</v>
      </c>
      <c r="B3630" s="178" t="str">
        <f>VLOOKUP(A3630,'[3]Planilha Orçamentária'!A:K,2,0)</f>
        <v>INS-185032</v>
      </c>
      <c r="C3630" s="179" t="str">
        <f>VLOOKUP(A3630,'[3]Planilha Orçamentária'!A:K,3,0)</f>
        <v>BRITA GRADUADA SIMPLES (BGS)</v>
      </c>
      <c r="D3630" s="180" t="str">
        <f>VLOOKUP(A3630,'[3]Planilha Orçamentária'!A:K,4,0)</f>
        <v>M3</v>
      </c>
      <c r="E3630" s="179"/>
      <c r="F3630" s="181"/>
      <c r="G3630" s="181"/>
      <c r="H3630" s="181"/>
      <c r="I3630" s="181"/>
      <c r="J3630" s="122">
        <f>ROUND(SUM(J3631:J3632),2)</f>
        <v>880.48</v>
      </c>
    </row>
    <row r="3631" spans="1:10" ht="12" customHeight="1">
      <c r="A3631" s="174"/>
      <c r="B3631" s="174"/>
      <c r="C3631" s="259" t="s">
        <v>2418</v>
      </c>
      <c r="D3631" s="137"/>
      <c r="E3631" s="174" t="s">
        <v>2085</v>
      </c>
      <c r="F3631" s="174"/>
      <c r="G3631" s="174"/>
      <c r="H3631" s="174"/>
      <c r="I3631" s="174" t="s">
        <v>2007</v>
      </c>
      <c r="J3631" s="158"/>
    </row>
    <row r="3632" spans="1:10">
      <c r="A3632" s="174"/>
      <c r="B3632" s="174"/>
      <c r="C3632" s="324" t="s">
        <v>2084</v>
      </c>
      <c r="D3632" s="137"/>
      <c r="E3632" s="325">
        <v>1</v>
      </c>
      <c r="F3632" s="174"/>
      <c r="G3632" s="174"/>
      <c r="H3632" s="174"/>
      <c r="I3632" s="286">
        <f>J3428</f>
        <v>880.48</v>
      </c>
      <c r="J3632" s="158">
        <f t="shared" ref="J3632" si="255">ROUND(PRODUCT(E3632:I3632),2)</f>
        <v>880.48</v>
      </c>
    </row>
    <row r="3633" spans="1:10" ht="12" customHeight="1">
      <c r="A3633" s="174"/>
      <c r="B3633" s="174"/>
      <c r="C3633" s="174"/>
      <c r="D3633" s="174"/>
      <c r="E3633" s="174"/>
      <c r="F3633" s="174"/>
      <c r="G3633" s="174"/>
      <c r="H3633" s="174"/>
      <c r="I3633" s="174"/>
      <c r="J3633" s="174"/>
    </row>
    <row r="3634" spans="1:10" ht="12" customHeight="1">
      <c r="A3634" s="174"/>
      <c r="B3634" s="175"/>
      <c r="C3634" s="197"/>
      <c r="D3634" s="197"/>
      <c r="E3634" s="197"/>
      <c r="F3634" s="197"/>
      <c r="G3634" s="197"/>
      <c r="H3634" s="197"/>
      <c r="I3634" s="197"/>
      <c r="J3634" s="197"/>
    </row>
    <row r="3635" spans="1:10" ht="12" customHeight="1">
      <c r="A3635" s="132" t="str">
        <f>'[3]Planilha Orçamentária'!A945</f>
        <v>1.15.10.6</v>
      </c>
      <c r="B3635" s="108" t="str">
        <f>VLOOKUP(A3635,'[3]Planilha Orçamentária'!A:K,2,0)</f>
        <v>M0808</v>
      </c>
      <c r="C3635" s="104" t="str">
        <f>VLOOKUP(A3635,'[3]Planilha Orçamentária'!A:K,3,0)</f>
        <v>Brita 4</v>
      </c>
      <c r="D3635" s="105" t="str">
        <f>VLOOKUP(A3635,'[3]Planilha Orçamentária'!A:K,4,0)</f>
        <v>M3</v>
      </c>
      <c r="E3635" s="104"/>
      <c r="F3635" s="111"/>
      <c r="G3635" s="111"/>
      <c r="H3635" s="111"/>
      <c r="I3635" s="111"/>
      <c r="J3635" s="122">
        <f>ROUND(SUM(J3637:J3637),2)</f>
        <v>832.05</v>
      </c>
    </row>
    <row r="3636" spans="1:10" ht="12" customHeight="1">
      <c r="A3636" s="132"/>
      <c r="B3636" s="108"/>
      <c r="C3636" s="326"/>
      <c r="D3636" s="137"/>
      <c r="E3636" s="137" t="s">
        <v>2085</v>
      </c>
      <c r="F3636" s="174"/>
      <c r="G3636" s="174"/>
      <c r="H3636" s="174"/>
      <c r="I3636" s="174" t="s">
        <v>2007</v>
      </c>
      <c r="J3636" s="122"/>
    </row>
    <row r="3637" spans="1:10" ht="12" customHeight="1">
      <c r="A3637" s="132"/>
      <c r="B3637" s="108"/>
      <c r="C3637" s="200" t="s">
        <v>2086</v>
      </c>
      <c r="D3637" s="137"/>
      <c r="E3637" s="327">
        <v>1.26</v>
      </c>
      <c r="F3637" s="174"/>
      <c r="G3637" s="174"/>
      <c r="H3637" s="174"/>
      <c r="I3637" s="286">
        <f>J3424</f>
        <v>660.36</v>
      </c>
      <c r="J3637" s="158">
        <f t="shared" ref="J3637" si="256">ROUND(PRODUCT(E3637:I3637),2)</f>
        <v>832.05</v>
      </c>
    </row>
    <row r="3638" spans="1:10" ht="12" customHeight="1">
      <c r="A3638" s="219"/>
      <c r="B3638" s="323"/>
      <c r="C3638" s="323"/>
      <c r="D3638" s="323"/>
      <c r="E3638" s="323"/>
      <c r="F3638" s="323"/>
      <c r="G3638" s="323"/>
      <c r="H3638" s="323"/>
      <c r="I3638" s="323"/>
      <c r="J3638" s="197"/>
    </row>
    <row r="3639" spans="1:10" ht="12" customHeight="1">
      <c r="A3639" s="132" t="str">
        <f>'[3]Planilha Orçamentária'!A946</f>
        <v>1.15.10.7</v>
      </c>
      <c r="B3639" s="108" t="str">
        <f>VLOOKUP(A3639,'[3]Planilha Orçamentária'!A:K,2,0)</f>
        <v>M1135</v>
      </c>
      <c r="C3639" s="104" t="str">
        <f>VLOOKUP(A3639,'[3]Planilha Orçamentária'!A:K,3,0)</f>
        <v>Pó de pedra</v>
      </c>
      <c r="D3639" s="105" t="str">
        <f>VLOOKUP(A3639,'[3]Planilha Orçamentária'!A:K,4,0)</f>
        <v>M3</v>
      </c>
      <c r="E3639" s="104"/>
      <c r="F3639" s="111"/>
      <c r="G3639" s="111"/>
      <c r="H3639" s="111"/>
      <c r="I3639" s="111"/>
      <c r="J3639" s="122">
        <f>ROUND(SUM(J3641:J3641),2)</f>
        <v>92.45</v>
      </c>
    </row>
    <row r="3640" spans="1:10" ht="12" customHeight="1">
      <c r="A3640" s="132"/>
      <c r="B3640" s="108"/>
      <c r="C3640" s="326"/>
      <c r="D3640" s="137"/>
      <c r="E3640" s="137" t="s">
        <v>2085</v>
      </c>
      <c r="F3640" s="174"/>
      <c r="G3640" s="174"/>
      <c r="H3640" s="174"/>
      <c r="I3640" s="174" t="s">
        <v>2007</v>
      </c>
      <c r="J3640" s="122"/>
    </row>
    <row r="3641" spans="1:10" ht="12" customHeight="1">
      <c r="A3641" s="132"/>
      <c r="B3641" s="108"/>
      <c r="C3641" s="200" t="s">
        <v>2086</v>
      </c>
      <c r="D3641" s="137"/>
      <c r="E3641" s="137">
        <v>0.14000000000000001</v>
      </c>
      <c r="F3641" s="174"/>
      <c r="G3641" s="174"/>
      <c r="H3641" s="174"/>
      <c r="I3641" s="286">
        <f>I3637</f>
        <v>660.36</v>
      </c>
      <c r="J3641" s="158">
        <f t="shared" ref="J3641" si="257">ROUND(PRODUCT(E3641:I3641),2)</f>
        <v>92.45</v>
      </c>
    </row>
    <row r="3642" spans="1:10" ht="12" customHeight="1">
      <c r="A3642" s="219"/>
      <c r="B3642" s="323"/>
      <c r="C3642" s="323"/>
      <c r="D3642" s="323"/>
      <c r="E3642" s="323"/>
      <c r="F3642" s="323"/>
      <c r="G3642" s="323"/>
      <c r="H3642" s="323"/>
      <c r="I3642" s="323"/>
      <c r="J3642" s="197"/>
    </row>
    <row r="3643" spans="1:10" ht="12" customHeight="1">
      <c r="A3643" s="132" t="str">
        <f>'[3]Planilha Orçamentária'!A947</f>
        <v>1.15.10.8</v>
      </c>
      <c r="B3643" s="108" t="str">
        <f>VLOOKUP(A3643,'[3]Planilha Orçamentária'!A:K,2,0)</f>
        <v>INS-711371</v>
      </c>
      <c r="C3643" s="104" t="str">
        <f>VLOOKUP(A3643,'[3]Planilha Orçamentária'!A:K,3,0)</f>
        <v>ASFALTO DILUÍDO CM - 30</v>
      </c>
      <c r="D3643" s="105" t="str">
        <f>VLOOKUP(A3643,'[3]Planilha Orçamentária'!A:K,4,0)</f>
        <v>KG</v>
      </c>
      <c r="E3643" s="104"/>
      <c r="F3643" s="111"/>
      <c r="G3643" s="111"/>
      <c r="H3643" s="111"/>
      <c r="I3643" s="111"/>
      <c r="J3643" s="122">
        <f>ROUND(SUM(J3645:J3645),2)</f>
        <v>4750.32</v>
      </c>
    </row>
    <row r="3644" spans="1:10" ht="12" customHeight="1">
      <c r="A3644" s="132"/>
      <c r="B3644" s="108"/>
      <c r="C3644" s="361"/>
      <c r="D3644" s="180"/>
      <c r="E3644" s="174" t="s">
        <v>2085</v>
      </c>
      <c r="F3644" s="161"/>
      <c r="G3644" s="161"/>
      <c r="H3644" s="161"/>
      <c r="I3644" s="210" t="s">
        <v>2003</v>
      </c>
      <c r="J3644" s="122"/>
    </row>
    <row r="3645" spans="1:10" ht="12" customHeight="1">
      <c r="A3645" s="132"/>
      <c r="B3645" s="108"/>
      <c r="C3645" s="324" t="s">
        <v>2087</v>
      </c>
      <c r="D3645" s="137"/>
      <c r="E3645" s="325">
        <v>1.2</v>
      </c>
      <c r="F3645" s="127"/>
      <c r="G3645" s="161"/>
      <c r="H3645" s="161"/>
      <c r="I3645" s="212">
        <f>J3440</f>
        <v>3958.6</v>
      </c>
      <c r="J3645" s="158">
        <f t="shared" ref="J3645" si="258">ROUND(PRODUCT(E3645:I3645),2)</f>
        <v>4750.32</v>
      </c>
    </row>
    <row r="3646" spans="1:10" ht="12" customHeight="1">
      <c r="A3646" s="219"/>
      <c r="B3646" s="323"/>
      <c r="C3646" s="323"/>
      <c r="D3646" s="323"/>
      <c r="E3646" s="323"/>
      <c r="F3646" s="323"/>
      <c r="G3646" s="323"/>
      <c r="H3646" s="323"/>
      <c r="I3646" s="323"/>
      <c r="J3646" s="197"/>
    </row>
    <row r="3647" spans="1:10" ht="38.25">
      <c r="A3647" s="132" t="str">
        <f>'[3]Planilha Orçamentária'!A948</f>
        <v>1.15.10.9</v>
      </c>
      <c r="B3647" s="108">
        <f>VLOOKUP(A3647,'[3]Planilha Orçamentária'!A:K,2,0)</f>
        <v>34492</v>
      </c>
      <c r="C3647" s="104" t="str">
        <f>VLOOKUP(A3647,'[3]Planilha Orçamentária'!A:K,3,0)</f>
        <v xml:space="preserve">CONCRETO USINADO BOMBEAVEL, CLASSE DE RESISTENCIA C20, COM BRITA 0 E 1, SLUMP = 100 +/- 20 MM, EXCLUI SERVICO DE BOMBEAMENTO (NBR 8953)                                                                                                                                                                                                                                                                                                                                                                   </v>
      </c>
      <c r="D3647" s="105" t="str">
        <f>VLOOKUP(A3647,'[3]Planilha Orçamentária'!A:K,4,0)</f>
        <v xml:space="preserve">M3    </v>
      </c>
      <c r="E3647" s="104"/>
      <c r="F3647" s="111"/>
      <c r="G3647" s="111"/>
      <c r="H3647" s="111"/>
      <c r="I3647" s="111"/>
      <c r="J3647" s="122">
        <f>ROUND(SUM(J3649:J3649),2)</f>
        <v>308.73</v>
      </c>
    </row>
    <row r="3648" spans="1:10" ht="12" customHeight="1">
      <c r="A3648" s="132"/>
      <c r="B3648" s="108"/>
      <c r="C3648" s="159"/>
      <c r="D3648" s="174"/>
      <c r="E3648" s="137" t="s">
        <v>2085</v>
      </c>
      <c r="F3648" s="174"/>
      <c r="G3648" s="174"/>
      <c r="H3648" s="174"/>
      <c r="I3648" s="174" t="s">
        <v>2007</v>
      </c>
      <c r="J3648" s="122"/>
    </row>
    <row r="3649" spans="1:10" ht="12" customHeight="1">
      <c r="A3649" s="132"/>
      <c r="B3649" s="108"/>
      <c r="C3649" s="324" t="s">
        <v>2088</v>
      </c>
      <c r="D3649" s="137"/>
      <c r="E3649" s="325">
        <v>1.2130000000000001</v>
      </c>
      <c r="F3649" s="174"/>
      <c r="G3649" s="174"/>
      <c r="H3649" s="174"/>
      <c r="I3649" s="286">
        <f>J3464</f>
        <v>254.52</v>
      </c>
      <c r="J3649" s="158">
        <f t="shared" ref="J3649" si="259">ROUND(PRODUCT(E3649:I3649),2)</f>
        <v>308.73</v>
      </c>
    </row>
    <row r="3650" spans="1:10" ht="12" customHeight="1">
      <c r="A3650" s="219"/>
      <c r="B3650" s="323"/>
      <c r="C3650" s="323"/>
      <c r="D3650" s="323"/>
      <c r="E3650" s="323"/>
      <c r="F3650" s="323"/>
      <c r="G3650" s="323"/>
      <c r="H3650" s="323"/>
      <c r="I3650" s="323"/>
      <c r="J3650" s="197"/>
    </row>
    <row r="3651" spans="1:10" ht="38.25">
      <c r="A3651" s="132" t="str">
        <f>'[3]Planilha Orçamentária'!A949</f>
        <v>1.15.10.10</v>
      </c>
      <c r="B3651" s="108">
        <f>VLOOKUP(A3651,'[3]Planilha Orçamentária'!A:K,2,0)</f>
        <v>1345</v>
      </c>
      <c r="C3651" s="104" t="str">
        <f>VLOOKUP(A3651,'[3]Planilha Orçamentária'!A:K,3,0)</f>
        <v xml:space="preserve">CHAPA/PAINEL DE MADEIRA COMPENSADA PLASTIFICADA (MADEIRITE PLASTIFICADO) PARA FORMA DE CONCRETO, DE 2200 x 1100 MM, E = *17* MM                                                                                                                                                                                                                                                                                                                                                                           </v>
      </c>
      <c r="D3651" s="105" t="str">
        <f>VLOOKUP(A3651,'[3]Planilha Orçamentária'!A:K,4,0)</f>
        <v xml:space="preserve">M2    </v>
      </c>
      <c r="E3651" s="104"/>
      <c r="F3651" s="111"/>
      <c r="G3651" s="111"/>
      <c r="H3651" s="111"/>
      <c r="I3651" s="111"/>
      <c r="J3651" s="122">
        <f>ROUND(SUM(J3653:J3653),2)</f>
        <v>375.36</v>
      </c>
    </row>
    <row r="3652" spans="1:10" ht="12" customHeight="1">
      <c r="A3652" s="132"/>
      <c r="B3652" s="108"/>
      <c r="C3652" s="159"/>
      <c r="D3652" s="174"/>
      <c r="E3652" s="137" t="s">
        <v>2085</v>
      </c>
      <c r="F3652" s="174"/>
      <c r="G3652" s="174"/>
      <c r="H3652" s="174"/>
      <c r="I3652" s="174" t="s">
        <v>2003</v>
      </c>
      <c r="J3652" s="122"/>
    </row>
    <row r="3653" spans="1:10" ht="12" customHeight="1">
      <c r="A3653" s="132"/>
      <c r="B3653" s="108"/>
      <c r="C3653" s="324" t="s">
        <v>2089</v>
      </c>
      <c r="D3653" s="137"/>
      <c r="E3653" s="325">
        <v>1.05</v>
      </c>
      <c r="F3653" s="174"/>
      <c r="G3653" s="174"/>
      <c r="H3653" s="174"/>
      <c r="I3653" s="286">
        <f>J3552</f>
        <v>357.49</v>
      </c>
      <c r="J3653" s="158">
        <f t="shared" ref="J3653" si="260">ROUND(PRODUCT(E3653:I3653),2)</f>
        <v>375.36</v>
      </c>
    </row>
    <row r="3654" spans="1:10" ht="12" customHeight="1">
      <c r="A3654" s="219"/>
      <c r="B3654" s="323"/>
      <c r="C3654" s="323"/>
      <c r="D3654" s="323"/>
      <c r="E3654" s="323"/>
      <c r="F3654" s="323"/>
      <c r="G3654" s="323"/>
      <c r="H3654" s="323"/>
      <c r="I3654" s="323"/>
      <c r="J3654" s="197"/>
    </row>
    <row r="3655" spans="1:10">
      <c r="A3655" s="93" t="str">
        <f>'[3]Planilha Orçamentária'!A950</f>
        <v>2.0</v>
      </c>
      <c r="B3655" s="526" t="str">
        <f>'[3]Planilha Orçamentária'!C950</f>
        <v>IMPLANTAÇÃO DE CICLOFAIXA</v>
      </c>
      <c r="C3655" s="527"/>
      <c r="D3655" s="527"/>
      <c r="E3655" s="527"/>
      <c r="F3655" s="527"/>
      <c r="G3655" s="527"/>
      <c r="H3655" s="527"/>
      <c r="I3655" s="527"/>
      <c r="J3655" s="527"/>
    </row>
    <row r="3656" spans="1:10">
      <c r="A3656" s="93" t="str">
        <f>'[3]Planilha Orçamentária'!A951</f>
        <v>2.1</v>
      </c>
      <c r="B3656" s="526" t="str">
        <f>VLOOKUP(A3656,'[3]Planilha Orçamentária'!A:K,3,0)</f>
        <v>CICLOFAIXA - AVENIDA BARRETO DE MENEZES</v>
      </c>
      <c r="C3656" s="527"/>
      <c r="D3656" s="527"/>
      <c r="E3656" s="527"/>
      <c r="F3656" s="527"/>
      <c r="G3656" s="527"/>
      <c r="H3656" s="527"/>
      <c r="I3656" s="527"/>
      <c r="J3656" s="527"/>
    </row>
    <row r="3657" spans="1:10">
      <c r="A3657" s="94" t="str">
        <f>'[3]Planilha Orçamentária'!A952</f>
        <v>2.1.1</v>
      </c>
      <c r="B3657" s="95"/>
      <c r="C3657" s="96" t="str">
        <f>VLOOKUP(A3657,'[3]Planilha Orçamentária'!A:K,3,0)</f>
        <v>INSTALAÇÕES PROVISÓRIAS</v>
      </c>
      <c r="D3657" s="97"/>
      <c r="E3657" s="98"/>
      <c r="F3657" s="99"/>
      <c r="G3657" s="99"/>
      <c r="H3657" s="99"/>
      <c r="I3657" s="100"/>
      <c r="J3657" s="101"/>
    </row>
    <row r="3658" spans="1:10" ht="25.5">
      <c r="A3658" s="102" t="str">
        <f>'[3]Planilha Orçamentária'!A953</f>
        <v>2.1.1.1</v>
      </c>
      <c r="B3658" s="108" t="str">
        <f>VLOOKUP(A3658,'[3]Planilha Orçamentária'!A:K,2,0)</f>
        <v>CP-74209/001-15055090</v>
      </c>
      <c r="C3658" s="104" t="str">
        <f>VLOOKUP(A3658,'[3]Planilha Orçamentária'!A:K,3,0)</f>
        <v>PLACA DE OBRA EM CHAPA DE ACO GALVANIZADO</v>
      </c>
      <c r="D3658" s="105" t="str">
        <f>VLOOKUP(A3658,'[3]Planilha Orçamentária'!A:K,4,0)</f>
        <v xml:space="preserve">M2    </v>
      </c>
      <c r="E3658" s="104"/>
      <c r="F3658" s="106" t="s">
        <v>1989</v>
      </c>
      <c r="G3658" s="106" t="s">
        <v>1990</v>
      </c>
      <c r="H3658" s="106"/>
      <c r="I3658" s="106" t="s">
        <v>1991</v>
      </c>
      <c r="J3658" s="122">
        <f>ROUND(SUM(J3660:J3660),2)</f>
        <v>2.88</v>
      </c>
    </row>
    <row r="3659" spans="1:10">
      <c r="A3659" s="138"/>
      <c r="B3659" s="138"/>
      <c r="C3659" s="138"/>
      <c r="D3659" s="137"/>
      <c r="E3659" s="138"/>
      <c r="F3659" s="325"/>
      <c r="G3659" s="325"/>
      <c r="H3659" s="325"/>
      <c r="I3659" s="325"/>
      <c r="J3659" s="325"/>
    </row>
    <row r="3660" spans="1:10">
      <c r="A3660" s="138"/>
      <c r="B3660" s="138"/>
      <c r="C3660" s="138"/>
      <c r="D3660" s="137"/>
      <c r="E3660" s="138"/>
      <c r="F3660" s="419">
        <v>2.4</v>
      </c>
      <c r="G3660" s="419"/>
      <c r="H3660" s="419">
        <v>1.2</v>
      </c>
      <c r="I3660" s="325">
        <v>1</v>
      </c>
      <c r="J3660" s="128">
        <f>ROUND(PRODUCT(E3660:I3660),2)</f>
        <v>2.88</v>
      </c>
    </row>
    <row r="3661" spans="1:10">
      <c r="A3661" s="523"/>
      <c r="B3661" s="524"/>
      <c r="C3661" s="524"/>
      <c r="D3661" s="524"/>
      <c r="E3661" s="524"/>
      <c r="F3661" s="524"/>
      <c r="G3661" s="524"/>
      <c r="H3661" s="524"/>
      <c r="I3661" s="524"/>
      <c r="J3661" s="525"/>
    </row>
    <row r="3662" spans="1:10" ht="25.5">
      <c r="A3662" s="132" t="str">
        <f>'[3]Planilha Orçamentária'!A954</f>
        <v>2.1.1.2</v>
      </c>
      <c r="B3662" s="108" t="str">
        <f>VLOOKUP(A3662,'[3]Planilha Orçamentária'!A:K,2,0)</f>
        <v>COMP-07440249</v>
      </c>
      <c r="C3662" s="104" t="str">
        <f>VLOOKUP(A3662,'[3]Planilha Orçamentária'!A:K,3,0)</f>
        <v>BANHEIRO QUÍMICO, COM LOCAÇÃO, TRANSPORTE E LIMPEZA</v>
      </c>
      <c r="D3662" s="105" t="str">
        <f>VLOOKUP(A3662,'[3]Planilha Orçamentária'!A:K,4,0)</f>
        <v>MÊS</v>
      </c>
      <c r="E3662" s="104"/>
      <c r="F3662" s="111"/>
      <c r="G3662" s="111"/>
      <c r="H3662" s="111"/>
      <c r="I3662" s="111"/>
      <c r="J3662" s="122">
        <f>ROUND(SUM(J3664:J3664),2)</f>
        <v>2</v>
      </c>
    </row>
    <row r="3663" spans="1:10" ht="25.5">
      <c r="A3663" s="132"/>
      <c r="B3663" s="108"/>
      <c r="C3663" s="104"/>
      <c r="D3663" s="105"/>
      <c r="E3663" s="104"/>
      <c r="F3663" s="106"/>
      <c r="G3663" s="106"/>
      <c r="H3663" s="106"/>
      <c r="I3663" s="106" t="s">
        <v>1992</v>
      </c>
      <c r="J3663" s="122"/>
    </row>
    <row r="3664" spans="1:10">
      <c r="A3664" s="123"/>
      <c r="B3664" s="123"/>
      <c r="C3664" s="123"/>
      <c r="D3664" s="123"/>
      <c r="E3664" s="123"/>
      <c r="F3664" s="116"/>
      <c r="G3664" s="116"/>
      <c r="H3664" s="123"/>
      <c r="I3664" s="116">
        <v>2</v>
      </c>
      <c r="J3664" s="128">
        <f>ROUND(PRODUCT(E3664:I3664),2)</f>
        <v>2</v>
      </c>
    </row>
    <row r="3665" spans="1:10">
      <c r="A3665" s="528"/>
      <c r="B3665" s="529"/>
      <c r="C3665" s="529"/>
      <c r="D3665" s="529"/>
      <c r="E3665" s="529"/>
      <c r="F3665" s="529"/>
      <c r="G3665" s="529"/>
      <c r="H3665" s="529"/>
      <c r="I3665" s="529"/>
      <c r="J3665" s="530"/>
    </row>
    <row r="3666" spans="1:10">
      <c r="A3666" s="94" t="str">
        <f>'[3]Planilha Orçamentária'!A955</f>
        <v>2.1.2</v>
      </c>
      <c r="B3666" s="95"/>
      <c r="C3666" s="96" t="str">
        <f>VLOOKUP(A3666,'[3]Planilha Orçamentária'!A:K,3,0)</f>
        <v>ADMINISTRAÇÃO LOCAL</v>
      </c>
      <c r="D3666" s="96"/>
      <c r="E3666" s="129"/>
      <c r="F3666" s="130"/>
      <c r="G3666" s="130"/>
      <c r="H3666" s="130"/>
      <c r="I3666" s="130"/>
      <c r="J3666" s="131"/>
    </row>
    <row r="3667" spans="1:10" ht="25.5">
      <c r="A3667" s="132" t="str">
        <f>'[3]Planilha Orçamentária'!A956</f>
        <v>2.1.2.1</v>
      </c>
      <c r="B3667" s="103">
        <f>VLOOKUP(A3667,'[3]Planilha Orçamentária'!A:K,2,0)</f>
        <v>93572</v>
      </c>
      <c r="C3667" s="104" t="str">
        <f>VLOOKUP(A3667,'[3]Planilha Orçamentária'!A:K,3,0)</f>
        <v>ENCARREGADO GERAL DE OBRAS COM ENCARGOS COMPLEMENTARES</v>
      </c>
      <c r="D3667" s="105" t="str">
        <f>VLOOKUP(A3667,'[3]Planilha Orçamentária'!A:K,4,0)</f>
        <v>MES</v>
      </c>
      <c r="E3667" s="133"/>
      <c r="F3667" s="134"/>
      <c r="G3667" s="134"/>
      <c r="H3667" s="134"/>
      <c r="I3667" s="134"/>
      <c r="J3667" s="107">
        <f>ROUND(SUM(J3670),2)</f>
        <v>0.25</v>
      </c>
    </row>
    <row r="3668" spans="1:10">
      <c r="A3668" s="132"/>
      <c r="B3668" s="108"/>
      <c r="C3668" s="429" t="s">
        <v>2423</v>
      </c>
      <c r="D3668" s="105"/>
      <c r="E3668" s="133"/>
      <c r="F3668" s="134"/>
      <c r="G3668" s="134"/>
      <c r="H3668" s="134"/>
      <c r="I3668" s="134"/>
      <c r="J3668" s="461"/>
    </row>
    <row r="3669" spans="1:10">
      <c r="A3669" s="132"/>
      <c r="B3669" s="178"/>
      <c r="C3669" s="462" t="s">
        <v>1994</v>
      </c>
      <c r="D3669" s="463"/>
      <c r="E3669" s="464"/>
      <c r="F3669" s="465"/>
      <c r="G3669" s="465"/>
      <c r="H3669" s="465"/>
      <c r="I3669" s="465"/>
      <c r="J3669" s="107"/>
    </row>
    <row r="3670" spans="1:10">
      <c r="A3670" s="137"/>
      <c r="B3670" s="138"/>
      <c r="C3670" s="429" t="s">
        <v>1995</v>
      </c>
      <c r="D3670" s="466"/>
      <c r="E3670" s="467">
        <f>22/176</f>
        <v>0.125</v>
      </c>
      <c r="F3670" s="136"/>
      <c r="G3670" s="136"/>
      <c r="H3670" s="136"/>
      <c r="I3670" s="136">
        <f>I3664</f>
        <v>2</v>
      </c>
      <c r="J3670" s="118">
        <f>ROUND(PRODUCT(E3670:I3670),2)</f>
        <v>0.25</v>
      </c>
    </row>
    <row r="3671" spans="1:10">
      <c r="A3671" s="531"/>
      <c r="B3671" s="531"/>
      <c r="C3671" s="531"/>
      <c r="D3671" s="531"/>
      <c r="E3671" s="531"/>
      <c r="F3671" s="531"/>
      <c r="G3671" s="531"/>
      <c r="H3671" s="531"/>
      <c r="I3671" s="531"/>
      <c r="J3671" s="531"/>
    </row>
    <row r="3672" spans="1:10">
      <c r="A3672" s="94" t="str">
        <f>'[3]Planilha Orçamentária'!A957</f>
        <v>2.1.3</v>
      </c>
      <c r="B3672" s="95"/>
      <c r="C3672" s="96" t="str">
        <f>VLOOKUP(A3672,'[3]Planilha Orçamentária'!A:K,3,0)</f>
        <v>SINALIZAÇÃO VERTICAL E HORIZONTAL</v>
      </c>
      <c r="D3672" s="97"/>
      <c r="E3672" s="98"/>
      <c r="F3672" s="99"/>
      <c r="G3672" s="99"/>
      <c r="H3672" s="99"/>
      <c r="I3672" s="100"/>
      <c r="J3672" s="101"/>
    </row>
    <row r="3673" spans="1:10" ht="25.5">
      <c r="A3673" s="468" t="str">
        <f>'[3]Planilha Orçamentária'!A958</f>
        <v>2.1.3.1</v>
      </c>
      <c r="B3673" s="199">
        <f>VLOOKUP(A3673,'[3]Planilha Orçamentária'!A:K,2,0)</f>
        <v>5213416</v>
      </c>
      <c r="C3673" s="147" t="str">
        <f>VLOOKUP(A3673,'[3]Planilha Orçamentária'!A:K,3,0)</f>
        <v>Confecção de placa em aço nº 16 galvanizado, com película tipo I + I</v>
      </c>
      <c r="D3673" s="148" t="str">
        <f>VLOOKUP(A3673,'[3]Planilha Orçamentária'!A:K,4,0)</f>
        <v xml:space="preserve">M2    </v>
      </c>
      <c r="E3673" s="147"/>
      <c r="F3673" s="161"/>
      <c r="G3673" s="161"/>
      <c r="H3673" s="161"/>
      <c r="I3673" s="161"/>
      <c r="J3673" s="150">
        <f>ROUND(SUM(J3675),2)</f>
        <v>2.4</v>
      </c>
    </row>
    <row r="3674" spans="1:10">
      <c r="A3674" s="293"/>
      <c r="B3674" s="294"/>
      <c r="C3674" s="469" t="s">
        <v>2424</v>
      </c>
      <c r="D3674" s="295"/>
      <c r="E3674" s="296"/>
      <c r="F3674" s="297"/>
      <c r="G3674" s="297"/>
      <c r="H3674" s="297"/>
      <c r="I3674" s="297"/>
      <c r="J3674" s="470"/>
    </row>
    <row r="3675" spans="1:10">
      <c r="A3675" s="293"/>
      <c r="B3675" s="294"/>
      <c r="C3675" s="268" t="s">
        <v>2425</v>
      </c>
      <c r="D3675" s="262"/>
      <c r="E3675" s="358"/>
      <c r="F3675" s="157"/>
      <c r="G3675" s="157"/>
      <c r="H3675" s="157">
        <f>ROUNDUP(((4.828427*0.35*0.35)),2)</f>
        <v>0.6</v>
      </c>
      <c r="I3675" s="263">
        <v>4</v>
      </c>
      <c r="J3675" s="158">
        <f>ROUND(PRODUCT(E3675:I3675),2)</f>
        <v>2.4</v>
      </c>
    </row>
    <row r="3676" spans="1:10">
      <c r="A3676" s="293"/>
      <c r="B3676" s="407"/>
      <c r="C3676" s="295"/>
      <c r="D3676" s="430"/>
      <c r="E3676" s="431"/>
      <c r="F3676" s="432"/>
      <c r="G3676" s="432"/>
      <c r="H3676" s="432"/>
      <c r="I3676" s="433"/>
      <c r="J3676" s="470"/>
    </row>
    <row r="3677" spans="1:10" ht="25.5">
      <c r="A3677" s="102" t="str">
        <f>'[3]Planilha Orçamentária'!A959</f>
        <v>2.1.3.2</v>
      </c>
      <c r="B3677" s="108">
        <f>VLOOKUP(A3677,'[3]Planilha Orçamentária'!A:K,2,0)</f>
        <v>5213421</v>
      </c>
      <c r="C3677" s="104" t="str">
        <f>VLOOKUP(A3677,'[3]Planilha Orçamentária'!A:K,3,0)</f>
        <v>Confecção de placa em aço nº 16 galvanizado, com película tipo I + IV</v>
      </c>
      <c r="D3677" s="105" t="str">
        <f>VLOOKUP(A3677,'[3]Planilha Orçamentária'!A:K,4,0)</f>
        <v xml:space="preserve">M2    </v>
      </c>
      <c r="E3677" s="104"/>
      <c r="F3677" s="106"/>
      <c r="G3677" s="106"/>
      <c r="H3677" s="106"/>
      <c r="I3677" s="106"/>
      <c r="J3677" s="122">
        <f>ROUND(SUM(J3679:J3681),2)</f>
        <v>3.8</v>
      </c>
    </row>
    <row r="3678" spans="1:10">
      <c r="A3678" s="138"/>
      <c r="B3678" s="138"/>
      <c r="C3678" s="469" t="s">
        <v>2424</v>
      </c>
      <c r="D3678" s="307"/>
      <c r="E3678" s="471"/>
      <c r="F3678" s="472"/>
      <c r="G3678" s="472"/>
      <c r="H3678" s="472"/>
      <c r="I3678" s="473"/>
      <c r="J3678" s="325"/>
    </row>
    <row r="3679" spans="1:10">
      <c r="A3679" s="138"/>
      <c r="B3679" s="138"/>
      <c r="C3679" s="429" t="s">
        <v>2426</v>
      </c>
      <c r="D3679" s="307"/>
      <c r="E3679" s="313"/>
      <c r="F3679" s="116"/>
      <c r="G3679" s="116"/>
      <c r="H3679" s="116">
        <v>0.2</v>
      </c>
      <c r="I3679" s="136">
        <v>12</v>
      </c>
      <c r="J3679" s="128">
        <f t="shared" ref="J3679:J3681" si="261">ROUND(PRODUCT(E3679:I3679),2)</f>
        <v>2.4</v>
      </c>
    </row>
    <row r="3680" spans="1:10">
      <c r="A3680" s="138"/>
      <c r="B3680" s="138"/>
      <c r="C3680" s="429" t="s">
        <v>2427</v>
      </c>
      <c r="D3680" s="303"/>
      <c r="E3680" s="404"/>
      <c r="F3680" s="304"/>
      <c r="G3680" s="304"/>
      <c r="H3680" s="304">
        <f>0.5*0.5</f>
        <v>0.25</v>
      </c>
      <c r="I3680" s="136">
        <v>4</v>
      </c>
      <c r="J3680" s="128">
        <f t="shared" si="261"/>
        <v>1</v>
      </c>
    </row>
    <row r="3681" spans="1:10">
      <c r="A3681" s="138"/>
      <c r="B3681" s="138"/>
      <c r="C3681" s="429" t="s">
        <v>2428</v>
      </c>
      <c r="D3681" s="307"/>
      <c r="E3681" s="313"/>
      <c r="F3681" s="116"/>
      <c r="G3681" s="116"/>
      <c r="H3681" s="116">
        <v>0.2</v>
      </c>
      <c r="I3681" s="136">
        <v>2</v>
      </c>
      <c r="J3681" s="128">
        <f t="shared" si="261"/>
        <v>0.4</v>
      </c>
    </row>
    <row r="3682" spans="1:10">
      <c r="A3682" s="523"/>
      <c r="B3682" s="524"/>
      <c r="C3682" s="524"/>
      <c r="D3682" s="524"/>
      <c r="E3682" s="524"/>
      <c r="F3682" s="524"/>
      <c r="G3682" s="524"/>
      <c r="H3682" s="524"/>
      <c r="I3682" s="524"/>
      <c r="J3682" s="525"/>
    </row>
    <row r="3683" spans="1:10" ht="38.25">
      <c r="A3683" s="102" t="str">
        <f>'[3]Planilha Orçamentária'!A960</f>
        <v>2.1.3.3</v>
      </c>
      <c r="B3683" s="108">
        <f>VLOOKUP(A3683,'[3]Planilha Orçamentária'!A:K,2,0)</f>
        <v>5216111</v>
      </c>
      <c r="C3683" s="104" t="str">
        <f>VLOOKUP(A3683,'[3]Planilha Orçamentária'!A:K,3,0)</f>
        <v>FORNECIMENTO E IMPLANTAÇÃO DE SUPORTE E TRAVESSA PARA PLACA DE SINALIZAÇÃO EM MADEIRA DE LEI TRATADA 8 X 8 CM</v>
      </c>
      <c r="D3683" s="105" t="str">
        <f>VLOOKUP(A3683,'[3]Planilha Orçamentária'!A:K,4,0)</f>
        <v>UND</v>
      </c>
      <c r="E3683" s="104"/>
      <c r="F3683" s="106"/>
      <c r="G3683" s="106"/>
      <c r="H3683" s="106"/>
      <c r="I3683" s="106"/>
      <c r="J3683" s="122">
        <f>ROUND(SUM(J3685),2)</f>
        <v>10</v>
      </c>
    </row>
    <row r="3684" spans="1:10">
      <c r="A3684" s="138"/>
      <c r="B3684" s="138"/>
      <c r="C3684" s="469" t="s">
        <v>2424</v>
      </c>
      <c r="D3684" s="105"/>
      <c r="E3684" s="104"/>
      <c r="F3684" s="111"/>
      <c r="G3684" s="111"/>
      <c r="H3684" s="111"/>
      <c r="I3684" s="111"/>
      <c r="J3684" s="325"/>
    </row>
    <row r="3685" spans="1:10">
      <c r="A3685" s="138"/>
      <c r="B3685" s="138"/>
      <c r="C3685" s="429" t="s">
        <v>2421</v>
      </c>
      <c r="D3685" s="307"/>
      <c r="E3685" s="313"/>
      <c r="F3685" s="116"/>
      <c r="G3685" s="116"/>
      <c r="H3685" s="157"/>
      <c r="I3685" s="116">
        <v>10</v>
      </c>
      <c r="J3685" s="128">
        <f>ROUND(PRODUCT(E3685:I3685),2)</f>
        <v>10</v>
      </c>
    </row>
    <row r="3686" spans="1:10">
      <c r="A3686" s="523"/>
      <c r="B3686" s="524"/>
      <c r="C3686" s="524"/>
      <c r="D3686" s="524"/>
      <c r="E3686" s="524"/>
      <c r="F3686" s="524"/>
      <c r="G3686" s="524"/>
      <c r="H3686" s="524"/>
      <c r="I3686" s="524"/>
      <c r="J3686" s="525"/>
    </row>
    <row r="3687" spans="1:10" ht="51">
      <c r="A3687" s="102" t="str">
        <f>'[3]Planilha Orçamentária'!A961</f>
        <v>2.1.3.4</v>
      </c>
      <c r="B3687" s="108">
        <f>VLOOKUP(A3687,'[3]Planilha Orçamentária'!A:K,2,0)</f>
        <v>102512</v>
      </c>
      <c r="C3687" s="104" t="str">
        <f>VLOOKUP(A3687,'[3]Planilha Orçamentária'!A:K,3,0)</f>
        <v>PINTURA DE EIXO VIÁRIO SOBRE ASFALTO COM TINTA RETRORREFLETIVA A BASE DE RESINA ACRÍLICA COM MICROESFERAS DE VIDRO, APLICAÇÃO MECÂNICA COM DEMARCADORA AUTOPROPELIDA. AF_05/2021</v>
      </c>
      <c r="D3687" s="105" t="str">
        <f>VLOOKUP(A3687,'[3]Planilha Orçamentária'!A:K,4,0)</f>
        <v>M</v>
      </c>
      <c r="E3687" s="104"/>
      <c r="F3687" s="106"/>
      <c r="G3687" s="106"/>
      <c r="H3687" s="106"/>
      <c r="I3687" s="106"/>
      <c r="J3687" s="122">
        <f>ROUND(SUM(J3688:J3690),2)</f>
        <v>1281.1400000000001</v>
      </c>
    </row>
    <row r="3688" spans="1:10">
      <c r="A3688" s="138"/>
      <c r="B3688" s="138"/>
      <c r="C3688" s="469" t="s">
        <v>2424</v>
      </c>
      <c r="D3688" s="307"/>
      <c r="E3688" s="313"/>
      <c r="F3688" s="116" t="s">
        <v>1989</v>
      </c>
      <c r="G3688" s="111"/>
      <c r="H3688" s="111"/>
      <c r="I3688" s="111"/>
      <c r="J3688" s="128"/>
    </row>
    <row r="3689" spans="1:10">
      <c r="A3689" s="138"/>
      <c r="B3689" s="138"/>
      <c r="C3689" s="429" t="s">
        <v>2429</v>
      </c>
      <c r="D3689" s="307"/>
      <c r="E3689" s="313"/>
      <c r="F3689" s="116">
        <v>389.35</v>
      </c>
      <c r="G3689" s="111"/>
      <c r="H3689" s="111"/>
      <c r="I3689" s="116"/>
      <c r="J3689" s="128">
        <f t="shared" ref="J3689:J3690" si="262">ROUND(PRODUCT(E3689:I3689),2)</f>
        <v>389.35</v>
      </c>
    </row>
    <row r="3690" spans="1:10">
      <c r="A3690" s="138"/>
      <c r="B3690" s="138"/>
      <c r="C3690" s="429"/>
      <c r="D3690" s="307"/>
      <c r="E3690" s="313"/>
      <c r="F3690" s="116">
        <v>891.79</v>
      </c>
      <c r="G3690" s="111"/>
      <c r="H3690" s="111"/>
      <c r="I3690" s="116"/>
      <c r="J3690" s="128">
        <f t="shared" si="262"/>
        <v>891.79</v>
      </c>
    </row>
    <row r="3691" spans="1:10">
      <c r="A3691" s="523"/>
      <c r="B3691" s="524"/>
      <c r="C3691" s="524"/>
      <c r="D3691" s="524"/>
      <c r="E3691" s="524"/>
      <c r="F3691" s="524"/>
      <c r="G3691" s="524"/>
      <c r="H3691" s="524"/>
      <c r="I3691" s="524"/>
      <c r="J3691" s="525"/>
    </row>
    <row r="3692" spans="1:10" ht="38.25">
      <c r="A3692" s="102" t="str">
        <f>'[3]Planilha Orçamentária'!A962</f>
        <v>2.1.3.5</v>
      </c>
      <c r="B3692" s="108">
        <f>VLOOKUP(A3692,'[3]Planilha Orçamentária'!A:K,2,0)</f>
        <v>102513</v>
      </c>
      <c r="C3692" s="104" t="str">
        <f>VLOOKUP(A3692,'[3]Planilha Orçamentária'!A:K,3,0)</f>
        <v>PINTURA DE SÍMBOLOS E TEXTOS COM TINTA ACRÍLICA, DEMARCAÇÃO COM FITA ADESIVA E APLICAÇÃO COM ROLO. AF_05/2021</v>
      </c>
      <c r="D3692" s="105" t="str">
        <f>VLOOKUP(A3692,'[3]Planilha Orçamentária'!A:K,4,0)</f>
        <v>M2</v>
      </c>
      <c r="E3692" s="104"/>
      <c r="F3692" s="106"/>
      <c r="G3692" s="106"/>
      <c r="H3692" s="106"/>
      <c r="I3692" s="106"/>
      <c r="J3692" s="122">
        <f>ROUND(SUM(J3693:J3696),2)</f>
        <v>23.6</v>
      </c>
    </row>
    <row r="3693" spans="1:10">
      <c r="A3693" s="138"/>
      <c r="B3693" s="138"/>
      <c r="C3693" s="469" t="s">
        <v>2424</v>
      </c>
      <c r="D3693" s="307"/>
      <c r="E3693" s="313"/>
      <c r="F3693" s="116"/>
      <c r="G3693" s="116"/>
      <c r="H3693" s="157"/>
      <c r="I3693" s="157" t="s">
        <v>2003</v>
      </c>
      <c r="J3693" s="128"/>
    </row>
    <row r="3694" spans="1:10">
      <c r="A3694" s="138"/>
      <c r="B3694" s="138"/>
      <c r="C3694" s="429" t="s">
        <v>2421</v>
      </c>
      <c r="D3694" s="307"/>
      <c r="E3694" s="313"/>
      <c r="F3694" s="116"/>
      <c r="G3694" s="116"/>
      <c r="H3694" s="157"/>
      <c r="I3694" s="116">
        <v>9.6199999999999992</v>
      </c>
      <c r="J3694" s="128">
        <f t="shared" ref="J3694:J3696" si="263">ROUND(PRODUCT(E3694:I3694),2)</f>
        <v>9.6199999999999992</v>
      </c>
    </row>
    <row r="3695" spans="1:10">
      <c r="A3695" s="138"/>
      <c r="B3695" s="138"/>
      <c r="C3695" s="469"/>
      <c r="D3695" s="307"/>
      <c r="E3695" s="313"/>
      <c r="F3695" s="116"/>
      <c r="G3695" s="116"/>
      <c r="H3695" s="157"/>
      <c r="I3695" s="116">
        <v>9.1</v>
      </c>
      <c r="J3695" s="128">
        <f t="shared" si="263"/>
        <v>9.1</v>
      </c>
    </row>
    <row r="3696" spans="1:10">
      <c r="A3696" s="138"/>
      <c r="B3696" s="138"/>
      <c r="C3696" s="429"/>
      <c r="D3696" s="307"/>
      <c r="E3696" s="313"/>
      <c r="F3696" s="116"/>
      <c r="G3696" s="116"/>
      <c r="H3696" s="157"/>
      <c r="I3696" s="116">
        <v>4.88</v>
      </c>
      <c r="J3696" s="128">
        <f t="shared" si="263"/>
        <v>4.88</v>
      </c>
    </row>
    <row r="3697" spans="1:10">
      <c r="A3697" s="523"/>
      <c r="B3697" s="524"/>
      <c r="C3697" s="524"/>
      <c r="D3697" s="524"/>
      <c r="E3697" s="524"/>
      <c r="F3697" s="524"/>
      <c r="G3697" s="524"/>
      <c r="H3697" s="524"/>
      <c r="I3697" s="524"/>
      <c r="J3697" s="525"/>
    </row>
    <row r="3698" spans="1:10" ht="25.5">
      <c r="A3698" s="102" t="str">
        <f>'[3]Planilha Orçamentária'!A963</f>
        <v>2.1.3.6</v>
      </c>
      <c r="B3698" s="108">
        <f>VLOOKUP(A3698,'[3]Planilha Orçamentária'!A:K,2,0)</f>
        <v>5213395</v>
      </c>
      <c r="C3698" s="104" t="str">
        <f>VLOOKUP(A3698,'[3]Planilha Orçamentária'!A:K,3,0)</f>
        <v>Tacha refletiva metálica - bidirecional tipo II - com dois pinos - fornecimento e colocação</v>
      </c>
      <c r="D3698" s="105" t="str">
        <f>VLOOKUP(A3698,'[3]Planilha Orçamentária'!A:K,4,0)</f>
        <v>UND</v>
      </c>
      <c r="E3698" s="104"/>
      <c r="F3698" s="106"/>
      <c r="G3698" s="106"/>
      <c r="H3698" s="106"/>
      <c r="I3698" s="106"/>
      <c r="J3698" s="122">
        <f>ROUND(SUM(J3699:J3700),2)</f>
        <v>455</v>
      </c>
    </row>
    <row r="3699" spans="1:10">
      <c r="A3699" s="138"/>
      <c r="B3699" s="138"/>
      <c r="C3699" s="469" t="s">
        <v>2424</v>
      </c>
      <c r="D3699" s="307"/>
      <c r="E3699" s="313"/>
      <c r="F3699" s="116"/>
      <c r="G3699" s="116"/>
      <c r="H3699" s="157"/>
      <c r="I3699" s="157" t="s">
        <v>1446</v>
      </c>
      <c r="J3699" s="128">
        <f>ROUND(PRODUCT(E3699:I3699),2)</f>
        <v>0</v>
      </c>
    </row>
    <row r="3700" spans="1:10">
      <c r="A3700" s="138"/>
      <c r="B3700" s="138"/>
      <c r="C3700" s="429" t="s">
        <v>2421</v>
      </c>
      <c r="D3700" s="307"/>
      <c r="E3700" s="313"/>
      <c r="F3700" s="116"/>
      <c r="G3700" s="116"/>
      <c r="H3700" s="116"/>
      <c r="I3700" s="116">
        <v>455</v>
      </c>
      <c r="J3700" s="128">
        <f>ROUND(PRODUCT(E3700:I3700),2)</f>
        <v>455</v>
      </c>
    </row>
    <row r="3701" spans="1:10">
      <c r="A3701" s="523"/>
      <c r="B3701" s="524"/>
      <c r="C3701" s="524"/>
      <c r="D3701" s="524"/>
      <c r="E3701" s="524"/>
      <c r="F3701" s="524"/>
      <c r="G3701" s="524"/>
      <c r="H3701" s="524"/>
      <c r="I3701" s="524"/>
      <c r="J3701" s="525"/>
    </row>
    <row r="3702" spans="1:10" ht="38.25">
      <c r="A3702" s="102" t="str">
        <f>'[3]Planilha Orçamentária'!A964</f>
        <v>2.1.3.7</v>
      </c>
      <c r="B3702" s="108" t="str">
        <f>VLOOKUP(A3702,'[3]Planilha Orçamentária'!A:K,2,0)</f>
        <v>CP-72947-21572945</v>
      </c>
      <c r="C3702" s="104" t="str">
        <f>VLOOKUP(A3702,'[3]Planilha Orçamentária'!A:K,3,0)</f>
        <v>SINALIZACAO HORIZONTAL COM TINTA RETRORREFLETIVA A BASE DE RESINA ACRILICA COM MICROESFERAS DE VIDRO</v>
      </c>
      <c r="D3702" s="105" t="str">
        <f>VLOOKUP(A3702,'[3]Planilha Orçamentária'!A:K,4,0)</f>
        <v>M2</v>
      </c>
      <c r="E3702" s="104"/>
      <c r="F3702" s="106"/>
      <c r="G3702" s="106"/>
      <c r="H3702" s="106"/>
      <c r="I3702" s="106"/>
      <c r="J3702" s="122">
        <f>ROUND(SUM(J3703:J3705),2)</f>
        <v>223.35</v>
      </c>
    </row>
    <row r="3703" spans="1:10">
      <c r="A3703" s="138"/>
      <c r="B3703" s="138"/>
      <c r="C3703" s="469" t="s">
        <v>2424</v>
      </c>
      <c r="D3703" s="307"/>
      <c r="E3703" s="313"/>
      <c r="F3703" s="116"/>
      <c r="G3703" s="116"/>
      <c r="H3703" s="157"/>
      <c r="I3703" s="157" t="s">
        <v>2003</v>
      </c>
      <c r="J3703" s="128"/>
    </row>
    <row r="3704" spans="1:10">
      <c r="A3704" s="138"/>
      <c r="B3704" s="138"/>
      <c r="C3704" s="429" t="s">
        <v>2421</v>
      </c>
      <c r="D3704" s="307"/>
      <c r="E3704" s="313"/>
      <c r="F3704" s="116"/>
      <c r="G3704" s="116"/>
      <c r="H3704" s="116"/>
      <c r="I3704" s="116">
        <v>178.55</v>
      </c>
      <c r="J3704" s="128">
        <f>ROUND(PRODUCT(E3704:I3704),2)</f>
        <v>178.55</v>
      </c>
    </row>
    <row r="3705" spans="1:10">
      <c r="A3705" s="138"/>
      <c r="B3705" s="138"/>
      <c r="C3705" s="429"/>
      <c r="D3705" s="307"/>
      <c r="E3705" s="313"/>
      <c r="F3705" s="116"/>
      <c r="G3705" s="116"/>
      <c r="H3705" s="116"/>
      <c r="I3705" s="116">
        <v>44.8</v>
      </c>
      <c r="J3705" s="128">
        <f>ROUND(PRODUCT(E3705:I3705),2)</f>
        <v>44.8</v>
      </c>
    </row>
    <row r="3706" spans="1:10">
      <c r="A3706" s="523"/>
      <c r="B3706" s="524"/>
      <c r="C3706" s="524"/>
      <c r="D3706" s="524"/>
      <c r="E3706" s="524"/>
      <c r="F3706" s="524"/>
      <c r="G3706" s="524"/>
      <c r="H3706" s="524"/>
      <c r="I3706" s="524"/>
      <c r="J3706" s="525"/>
    </row>
  </sheetData>
  <mergeCells count="670">
    <mergeCell ref="A7:J7"/>
    <mergeCell ref="A8:I8"/>
    <mergeCell ref="B10:J10"/>
    <mergeCell ref="A15:J15"/>
    <mergeCell ref="A27:J27"/>
    <mergeCell ref="A39:J39"/>
    <mergeCell ref="A1:J1"/>
    <mergeCell ref="A2:J2"/>
    <mergeCell ref="A3:J3"/>
    <mergeCell ref="A4:J4"/>
    <mergeCell ref="A5:J5"/>
    <mergeCell ref="A6:J6"/>
    <mergeCell ref="A77:J77"/>
    <mergeCell ref="A85:J85"/>
    <mergeCell ref="A100:J100"/>
    <mergeCell ref="A106:J106"/>
    <mergeCell ref="A110:J110"/>
    <mergeCell ref="A114:J114"/>
    <mergeCell ref="A43:J43"/>
    <mergeCell ref="A53:J53"/>
    <mergeCell ref="A57:J57"/>
    <mergeCell ref="A62:J62"/>
    <mergeCell ref="A67:J67"/>
    <mergeCell ref="A72:J72"/>
    <mergeCell ref="A151:J151"/>
    <mergeCell ref="A155:J155"/>
    <mergeCell ref="A159:J159"/>
    <mergeCell ref="A166:J166"/>
    <mergeCell ref="A172:J172"/>
    <mergeCell ref="A176:J176"/>
    <mergeCell ref="A118:J118"/>
    <mergeCell ref="A123:J123"/>
    <mergeCell ref="A128:J128"/>
    <mergeCell ref="A132:J132"/>
    <mergeCell ref="A136:J136"/>
    <mergeCell ref="A144:J144"/>
    <mergeCell ref="A205:J205"/>
    <mergeCell ref="A209:J209"/>
    <mergeCell ref="A214:J214"/>
    <mergeCell ref="A218:J218"/>
    <mergeCell ref="A226:J226"/>
    <mergeCell ref="A230:J230"/>
    <mergeCell ref="A180:J180"/>
    <mergeCell ref="A185:J185"/>
    <mergeCell ref="A189:J189"/>
    <mergeCell ref="A193:J193"/>
    <mergeCell ref="A197:J197"/>
    <mergeCell ref="A201:J201"/>
    <mergeCell ref="A289:J289"/>
    <mergeCell ref="A301:J301"/>
    <mergeCell ref="A307:J307"/>
    <mergeCell ref="A313:J313"/>
    <mergeCell ref="A317:J317"/>
    <mergeCell ref="A327:J327"/>
    <mergeCell ref="A234:J234"/>
    <mergeCell ref="A238:J238"/>
    <mergeCell ref="A242:J242"/>
    <mergeCell ref="A247:J247"/>
    <mergeCell ref="A252:J252"/>
    <mergeCell ref="A256:J256"/>
    <mergeCell ref="A363:J363"/>
    <mergeCell ref="A370:J370"/>
    <mergeCell ref="A376:J376"/>
    <mergeCell ref="A380:J380"/>
    <mergeCell ref="A384:J384"/>
    <mergeCell ref="A388:J388"/>
    <mergeCell ref="A331:J331"/>
    <mergeCell ref="A336:J336"/>
    <mergeCell ref="A340:J340"/>
    <mergeCell ref="A344:J344"/>
    <mergeCell ref="A355:J355"/>
    <mergeCell ref="A359:J359"/>
    <mergeCell ref="A427:J427"/>
    <mergeCell ref="A443:J443"/>
    <mergeCell ref="A451:J451"/>
    <mergeCell ref="A466:J466"/>
    <mergeCell ref="A470:J470"/>
    <mergeCell ref="A474:J474"/>
    <mergeCell ref="A393:J393"/>
    <mergeCell ref="A398:J398"/>
    <mergeCell ref="A402:J402"/>
    <mergeCell ref="A408:J408"/>
    <mergeCell ref="A417:J417"/>
    <mergeCell ref="A421:J421"/>
    <mergeCell ref="A530:J530"/>
    <mergeCell ref="A536:J536"/>
    <mergeCell ref="A541:J541"/>
    <mergeCell ref="A545:J545"/>
    <mergeCell ref="A549:J549"/>
    <mergeCell ref="A553:J553"/>
    <mergeCell ref="A478:J478"/>
    <mergeCell ref="A483:J483"/>
    <mergeCell ref="A488:J488"/>
    <mergeCell ref="A492:J492"/>
    <mergeCell ref="B513:J513"/>
    <mergeCell ref="A518:J518"/>
    <mergeCell ref="A590:J590"/>
    <mergeCell ref="A595:J595"/>
    <mergeCell ref="A599:J599"/>
    <mergeCell ref="A608:J608"/>
    <mergeCell ref="A612:J612"/>
    <mergeCell ref="A617:J617"/>
    <mergeCell ref="A558:J558"/>
    <mergeCell ref="A562:J562"/>
    <mergeCell ref="A566:J566"/>
    <mergeCell ref="A577:J577"/>
    <mergeCell ref="A582:J582"/>
    <mergeCell ref="A586:J586"/>
    <mergeCell ref="A652:J652"/>
    <mergeCell ref="A657:J657"/>
    <mergeCell ref="A669:J669"/>
    <mergeCell ref="A673:J673"/>
    <mergeCell ref="A677:J677"/>
    <mergeCell ref="A682:J682"/>
    <mergeCell ref="A621:J621"/>
    <mergeCell ref="A625:J625"/>
    <mergeCell ref="A629:J629"/>
    <mergeCell ref="A633:J633"/>
    <mergeCell ref="A637:J637"/>
    <mergeCell ref="A647:J647"/>
    <mergeCell ref="A713:J713"/>
    <mergeCell ref="A717:J717"/>
    <mergeCell ref="A721:J721"/>
    <mergeCell ref="A725:J725"/>
    <mergeCell ref="A729:J729"/>
    <mergeCell ref="A735:J735"/>
    <mergeCell ref="A686:J686"/>
    <mergeCell ref="A690:J690"/>
    <mergeCell ref="A694:J694"/>
    <mergeCell ref="A698:J698"/>
    <mergeCell ref="A702:J702"/>
    <mergeCell ref="A706:J706"/>
    <mergeCell ref="A794:J794"/>
    <mergeCell ref="A800:J800"/>
    <mergeCell ref="A805:J805"/>
    <mergeCell ref="A809:J809"/>
    <mergeCell ref="A819:J819"/>
    <mergeCell ref="A823:J823"/>
    <mergeCell ref="A740:J740"/>
    <mergeCell ref="A744:J744"/>
    <mergeCell ref="A752:J752"/>
    <mergeCell ref="A756:J756"/>
    <mergeCell ref="B777:J777"/>
    <mergeCell ref="A782:J782"/>
    <mergeCell ref="A857:J857"/>
    <mergeCell ref="A861:J861"/>
    <mergeCell ref="A865:J865"/>
    <mergeCell ref="A872:J872"/>
    <mergeCell ref="A878:J878"/>
    <mergeCell ref="A882:J882"/>
    <mergeCell ref="A828:J828"/>
    <mergeCell ref="A832:J832"/>
    <mergeCell ref="A836:J836"/>
    <mergeCell ref="A842:J842"/>
    <mergeCell ref="A847:J847"/>
    <mergeCell ref="A852:J852"/>
    <mergeCell ref="A914:J914"/>
    <mergeCell ref="A918:J918"/>
    <mergeCell ref="A922:J922"/>
    <mergeCell ref="A926:J926"/>
    <mergeCell ref="A930:J930"/>
    <mergeCell ref="A934:J934"/>
    <mergeCell ref="A886:J886"/>
    <mergeCell ref="A890:J890"/>
    <mergeCell ref="A895:J895"/>
    <mergeCell ref="A900:J900"/>
    <mergeCell ref="A904:J904"/>
    <mergeCell ref="A910:J910"/>
    <mergeCell ref="A966:J966"/>
    <mergeCell ref="A972:J972"/>
    <mergeCell ref="A977:J977"/>
    <mergeCell ref="A981:J981"/>
    <mergeCell ref="B1010:J1010"/>
    <mergeCell ref="A1015:J1015"/>
    <mergeCell ref="A939:J939"/>
    <mergeCell ref="A943:J943"/>
    <mergeCell ref="A950:J950"/>
    <mergeCell ref="A954:J954"/>
    <mergeCell ref="A958:J958"/>
    <mergeCell ref="A962:J962"/>
    <mergeCell ref="A1059:J1059"/>
    <mergeCell ref="A1064:J1064"/>
    <mergeCell ref="A1068:J1068"/>
    <mergeCell ref="A1072:J1072"/>
    <mergeCell ref="A1078:J1078"/>
    <mergeCell ref="A1088:J1088"/>
    <mergeCell ref="A1027:J1027"/>
    <mergeCell ref="A1033:J1033"/>
    <mergeCell ref="A1041:J1041"/>
    <mergeCell ref="A1045:J1045"/>
    <mergeCell ref="A1049:J1049"/>
    <mergeCell ref="A1055:J1055"/>
    <mergeCell ref="A1118:J1118"/>
    <mergeCell ref="A1122:J1122"/>
    <mergeCell ref="A1127:J1127"/>
    <mergeCell ref="A1132:J1132"/>
    <mergeCell ref="A1136:J1136"/>
    <mergeCell ref="A1140:J1140"/>
    <mergeCell ref="A1093:J1093"/>
    <mergeCell ref="A1097:J1097"/>
    <mergeCell ref="A1101:J1101"/>
    <mergeCell ref="A1106:J1106"/>
    <mergeCell ref="A1110:J1110"/>
    <mergeCell ref="A1114:J1114"/>
    <mergeCell ref="A1170:J1170"/>
    <mergeCell ref="A1176:J1176"/>
    <mergeCell ref="A1181:J1181"/>
    <mergeCell ref="A1185:J1185"/>
    <mergeCell ref="B1210:J1210"/>
    <mergeCell ref="A1215:J1215"/>
    <mergeCell ref="A1144:J1144"/>
    <mergeCell ref="A1148:J1148"/>
    <mergeCell ref="A1154:J1154"/>
    <mergeCell ref="A1158:J1158"/>
    <mergeCell ref="A1162:J1162"/>
    <mergeCell ref="A1166:J1166"/>
    <mergeCell ref="A1255:J1255"/>
    <mergeCell ref="A1259:J1259"/>
    <mergeCell ref="A1263:J1263"/>
    <mergeCell ref="A1267:J1267"/>
    <mergeCell ref="A1273:J1273"/>
    <mergeCell ref="A1279:J1279"/>
    <mergeCell ref="A1227:J1227"/>
    <mergeCell ref="A1233:J1233"/>
    <mergeCell ref="A1238:J1238"/>
    <mergeCell ref="A1242:J1242"/>
    <mergeCell ref="A1246:J1246"/>
    <mergeCell ref="A1250:J1250"/>
    <mergeCell ref="A1313:J1313"/>
    <mergeCell ref="A1317:J1317"/>
    <mergeCell ref="A1321:J1321"/>
    <mergeCell ref="A1328:J1328"/>
    <mergeCell ref="A1332:J1332"/>
    <mergeCell ref="A1337:J1337"/>
    <mergeCell ref="A1283:J1283"/>
    <mergeCell ref="A1287:J1287"/>
    <mergeCell ref="A1294:J1294"/>
    <mergeCell ref="A1299:J1299"/>
    <mergeCell ref="A1304:J1304"/>
    <mergeCell ref="A1308:J1308"/>
    <mergeCell ref="A1365:J1365"/>
    <mergeCell ref="A1370:J1370"/>
    <mergeCell ref="A1375:J1375"/>
    <mergeCell ref="A1379:J1379"/>
    <mergeCell ref="A1383:J1383"/>
    <mergeCell ref="A1387:J1387"/>
    <mergeCell ref="A1341:J1341"/>
    <mergeCell ref="A1345:J1345"/>
    <mergeCell ref="A1349:J1349"/>
    <mergeCell ref="A1353:J1353"/>
    <mergeCell ref="A1357:J1357"/>
    <mergeCell ref="A1361:J1361"/>
    <mergeCell ref="A1430:J1430"/>
    <mergeCell ref="A1436:J1436"/>
    <mergeCell ref="A1441:J1441"/>
    <mergeCell ref="A1445:J1445"/>
    <mergeCell ref="A1449:J1449"/>
    <mergeCell ref="A1453:J1453"/>
    <mergeCell ref="A1392:J1392"/>
    <mergeCell ref="A1396:J1396"/>
    <mergeCell ref="A1400:J1400"/>
    <mergeCell ref="A1405:J1405"/>
    <mergeCell ref="B1414:J1414"/>
    <mergeCell ref="A1419:J1419"/>
    <mergeCell ref="A1491:J1491"/>
    <mergeCell ref="A1495:J1495"/>
    <mergeCell ref="A1499:J1499"/>
    <mergeCell ref="A1503:J1503"/>
    <mergeCell ref="A1507:J1507"/>
    <mergeCell ref="A1511:J1511"/>
    <mergeCell ref="A1458:J1458"/>
    <mergeCell ref="A1462:J1462"/>
    <mergeCell ref="A1466:J1466"/>
    <mergeCell ref="A1471:J1471"/>
    <mergeCell ref="A1483:J1483"/>
    <mergeCell ref="A1487:J1487"/>
    <mergeCell ref="A1543:J1543"/>
    <mergeCell ref="A1547:J1547"/>
    <mergeCell ref="A1551:J1551"/>
    <mergeCell ref="A1555:J1555"/>
    <mergeCell ref="A1559:J1559"/>
    <mergeCell ref="A1565:J1565"/>
    <mergeCell ref="A1516:J1516"/>
    <mergeCell ref="A1521:J1521"/>
    <mergeCell ref="A1525:J1525"/>
    <mergeCell ref="A1529:J1529"/>
    <mergeCell ref="A1533:J1533"/>
    <mergeCell ref="A1538:J1538"/>
    <mergeCell ref="A1626:J1626"/>
    <mergeCell ref="A1630:J1630"/>
    <mergeCell ref="A1634:J1634"/>
    <mergeCell ref="A1638:J1638"/>
    <mergeCell ref="A1643:J1643"/>
    <mergeCell ref="A1647:J1647"/>
    <mergeCell ref="A1570:J1570"/>
    <mergeCell ref="A1574:J1574"/>
    <mergeCell ref="B1599:J1599"/>
    <mergeCell ref="A1604:J1604"/>
    <mergeCell ref="A1615:J1615"/>
    <mergeCell ref="A1621:J1621"/>
    <mergeCell ref="A1686:J1686"/>
    <mergeCell ref="A1692:J1692"/>
    <mergeCell ref="A1696:J1696"/>
    <mergeCell ref="A1700:J1700"/>
    <mergeCell ref="A1704:J1704"/>
    <mergeCell ref="A1709:J1709"/>
    <mergeCell ref="A1651:J1651"/>
    <mergeCell ref="A1655:J1655"/>
    <mergeCell ref="A1660:J1660"/>
    <mergeCell ref="A1672:J1672"/>
    <mergeCell ref="A1676:J1676"/>
    <mergeCell ref="A1680:J1680"/>
    <mergeCell ref="A1740:J1740"/>
    <mergeCell ref="A1744:J1744"/>
    <mergeCell ref="A1749:J1749"/>
    <mergeCell ref="A1757:J1757"/>
    <mergeCell ref="A1763:J1763"/>
    <mergeCell ref="A1767:J1767"/>
    <mergeCell ref="A1714:J1714"/>
    <mergeCell ref="A1720:J1720"/>
    <mergeCell ref="A1724:J1724"/>
    <mergeCell ref="A1728:J1728"/>
    <mergeCell ref="A1732:J1732"/>
    <mergeCell ref="A1736:J1736"/>
    <mergeCell ref="B1823:J1823"/>
    <mergeCell ref="A1828:J1828"/>
    <mergeCell ref="A1839:J1839"/>
    <mergeCell ref="A1845:J1845"/>
    <mergeCell ref="A1850:J1850"/>
    <mergeCell ref="A1854:J1854"/>
    <mergeCell ref="A1771:J1771"/>
    <mergeCell ref="A1775:J1775"/>
    <mergeCell ref="A1779:J1779"/>
    <mergeCell ref="A1785:J1785"/>
    <mergeCell ref="A1790:J1790"/>
    <mergeCell ref="A1794:J1794"/>
    <mergeCell ref="A1886:J1886"/>
    <mergeCell ref="A1890:J1890"/>
    <mergeCell ref="A1898:J1898"/>
    <mergeCell ref="A1902:J1902"/>
    <mergeCell ref="A1906:J1906"/>
    <mergeCell ref="A1912:J1912"/>
    <mergeCell ref="A1858:J1858"/>
    <mergeCell ref="A1864:J1864"/>
    <mergeCell ref="A1868:J1868"/>
    <mergeCell ref="A1873:J1873"/>
    <mergeCell ref="A1877:J1877"/>
    <mergeCell ref="A1881:J1881"/>
    <mergeCell ref="A1944:J1944"/>
    <mergeCell ref="A1948:J1948"/>
    <mergeCell ref="A1952:J1952"/>
    <mergeCell ref="A1956:J1956"/>
    <mergeCell ref="A1960:J1960"/>
    <mergeCell ref="A1964:J1964"/>
    <mergeCell ref="A1918:J1918"/>
    <mergeCell ref="A1922:J1922"/>
    <mergeCell ref="A1926:J1926"/>
    <mergeCell ref="A1930:J1930"/>
    <mergeCell ref="A1935:J1935"/>
    <mergeCell ref="A1940:J1940"/>
    <mergeCell ref="A1998:J1998"/>
    <mergeCell ref="A2002:J2002"/>
    <mergeCell ref="A2006:J2006"/>
    <mergeCell ref="A2010:J2010"/>
    <mergeCell ref="A2014:J2014"/>
    <mergeCell ref="A2019:J2019"/>
    <mergeCell ref="A1971:J1971"/>
    <mergeCell ref="A1977:J1977"/>
    <mergeCell ref="A1981:J1981"/>
    <mergeCell ref="A1985:J1985"/>
    <mergeCell ref="A1990:J1990"/>
    <mergeCell ref="A1994:J1994"/>
    <mergeCell ref="A2051:J2051"/>
    <mergeCell ref="A2056:J2056"/>
    <mergeCell ref="A2061:J2061"/>
    <mergeCell ref="A2065:J2065"/>
    <mergeCell ref="B2094:J2094"/>
    <mergeCell ref="A2099:J2099"/>
    <mergeCell ref="A2023:J2023"/>
    <mergeCell ref="A2027:J2027"/>
    <mergeCell ref="A2035:J2035"/>
    <mergeCell ref="A2039:J2039"/>
    <mergeCell ref="A2043:J2043"/>
    <mergeCell ref="A2047:J2047"/>
    <mergeCell ref="A2139:J2139"/>
    <mergeCell ref="A2147:J2147"/>
    <mergeCell ref="A2151:J2151"/>
    <mergeCell ref="A2155:J2155"/>
    <mergeCell ref="A2161:J2161"/>
    <mergeCell ref="A2167:J2167"/>
    <mergeCell ref="A2110:J2110"/>
    <mergeCell ref="A2116:J2116"/>
    <mergeCell ref="A2121:J2121"/>
    <mergeCell ref="A2126:J2126"/>
    <mergeCell ref="A2130:J2130"/>
    <mergeCell ref="A2134:J2134"/>
    <mergeCell ref="A2197:J2197"/>
    <mergeCell ref="A2201:J2201"/>
    <mergeCell ref="A2208:J2208"/>
    <mergeCell ref="A2214:J2214"/>
    <mergeCell ref="A2218:J2218"/>
    <mergeCell ref="A2222:J2222"/>
    <mergeCell ref="A2171:J2171"/>
    <mergeCell ref="A2175:J2175"/>
    <mergeCell ref="A2179:J2179"/>
    <mergeCell ref="A2184:J2184"/>
    <mergeCell ref="A2189:J2189"/>
    <mergeCell ref="A2193:J2193"/>
    <mergeCell ref="A2251:J2251"/>
    <mergeCell ref="A2256:J2256"/>
    <mergeCell ref="A2260:J2260"/>
    <mergeCell ref="A2267:J2267"/>
    <mergeCell ref="A2271:J2271"/>
    <mergeCell ref="A2275:J2275"/>
    <mergeCell ref="A2227:J2227"/>
    <mergeCell ref="A2231:J2231"/>
    <mergeCell ref="A2235:J2235"/>
    <mergeCell ref="A2239:J2239"/>
    <mergeCell ref="A2243:J2243"/>
    <mergeCell ref="A2247:J2247"/>
    <mergeCell ref="A2331:J2331"/>
    <mergeCell ref="A2342:J2342"/>
    <mergeCell ref="A2348:J2348"/>
    <mergeCell ref="A2355:J2355"/>
    <mergeCell ref="A2359:J2359"/>
    <mergeCell ref="A2363:J2363"/>
    <mergeCell ref="A2279:J2279"/>
    <mergeCell ref="A2283:J2283"/>
    <mergeCell ref="A2288:J2288"/>
    <mergeCell ref="A2293:J2293"/>
    <mergeCell ref="A2297:J2297"/>
    <mergeCell ref="B2326:J2326"/>
    <mergeCell ref="A2396:J2396"/>
    <mergeCell ref="A2401:J2401"/>
    <mergeCell ref="A2409:J2409"/>
    <mergeCell ref="A2413:J2413"/>
    <mergeCell ref="A2417:J2417"/>
    <mergeCell ref="A2423:J2423"/>
    <mergeCell ref="A2367:J2367"/>
    <mergeCell ref="A2375:J2375"/>
    <mergeCell ref="A2379:J2379"/>
    <mergeCell ref="A2384:J2384"/>
    <mergeCell ref="A2388:J2388"/>
    <mergeCell ref="A2392:J2392"/>
    <mergeCell ref="A2455:J2455"/>
    <mergeCell ref="A2459:J2459"/>
    <mergeCell ref="A2463:J2463"/>
    <mergeCell ref="A2467:J2467"/>
    <mergeCell ref="A2471:J2471"/>
    <mergeCell ref="A2478:J2478"/>
    <mergeCell ref="A2429:J2429"/>
    <mergeCell ref="A2433:J2433"/>
    <mergeCell ref="A2437:J2437"/>
    <mergeCell ref="A2441:J2441"/>
    <mergeCell ref="A2446:J2446"/>
    <mergeCell ref="A2451:J2451"/>
    <mergeCell ref="A2507:J2507"/>
    <mergeCell ref="A2511:J2511"/>
    <mergeCell ref="A2518:J2518"/>
    <mergeCell ref="A2522:J2522"/>
    <mergeCell ref="A2526:J2526"/>
    <mergeCell ref="A2530:J2530"/>
    <mergeCell ref="A2482:J2482"/>
    <mergeCell ref="A2486:J2486"/>
    <mergeCell ref="A2490:J2490"/>
    <mergeCell ref="A2494:J2494"/>
    <mergeCell ref="A2498:J2498"/>
    <mergeCell ref="A2502:J2502"/>
    <mergeCell ref="A2594:J2594"/>
    <mergeCell ref="A2600:J2600"/>
    <mergeCell ref="A2605:J2605"/>
    <mergeCell ref="A2609:J2609"/>
    <mergeCell ref="A2613:J2613"/>
    <mergeCell ref="A2617:J2617"/>
    <mergeCell ref="A2534:J2534"/>
    <mergeCell ref="A2539:J2539"/>
    <mergeCell ref="A2544:J2544"/>
    <mergeCell ref="A2548:J2548"/>
    <mergeCell ref="B2578:J2578"/>
    <mergeCell ref="A2583:J2583"/>
    <mergeCell ref="A2655:J2655"/>
    <mergeCell ref="A2659:J2659"/>
    <mergeCell ref="A2665:J2665"/>
    <mergeCell ref="A2671:J2671"/>
    <mergeCell ref="A2675:J2675"/>
    <mergeCell ref="A2679:J2679"/>
    <mergeCell ref="A2622:J2622"/>
    <mergeCell ref="A2626:J2626"/>
    <mergeCell ref="A2630:J2630"/>
    <mergeCell ref="A2634:J2634"/>
    <mergeCell ref="A2639:J2639"/>
    <mergeCell ref="A2651:J2651"/>
    <mergeCell ref="A2714:J2714"/>
    <mergeCell ref="A2720:J2720"/>
    <mergeCell ref="A2724:J2724"/>
    <mergeCell ref="A2728:J2728"/>
    <mergeCell ref="A2733:J2733"/>
    <mergeCell ref="A2737:J2737"/>
    <mergeCell ref="A2683:J2683"/>
    <mergeCell ref="A2688:J2688"/>
    <mergeCell ref="A2693:J2693"/>
    <mergeCell ref="A2697:J2697"/>
    <mergeCell ref="A2702:J2702"/>
    <mergeCell ref="A2707:J2707"/>
    <mergeCell ref="A2766:J2766"/>
    <mergeCell ref="A2773:J2773"/>
    <mergeCell ref="A2777:J2777"/>
    <mergeCell ref="A2781:J2781"/>
    <mergeCell ref="A2785:J2785"/>
    <mergeCell ref="A2789:J2789"/>
    <mergeCell ref="A2741:J2741"/>
    <mergeCell ref="A2745:J2745"/>
    <mergeCell ref="A2749:J2749"/>
    <mergeCell ref="A2753:J2753"/>
    <mergeCell ref="A2757:J2757"/>
    <mergeCell ref="A2762:J2762"/>
    <mergeCell ref="A2854:J2854"/>
    <mergeCell ref="A2860:J2860"/>
    <mergeCell ref="A2864:J2864"/>
    <mergeCell ref="A2868:J2868"/>
    <mergeCell ref="A2872:J2872"/>
    <mergeCell ref="A2877:J2877"/>
    <mergeCell ref="A2794:J2794"/>
    <mergeCell ref="A2799:J2799"/>
    <mergeCell ref="A2803:J2803"/>
    <mergeCell ref="B2832:J2832"/>
    <mergeCell ref="A2837:J2837"/>
    <mergeCell ref="A2848:J2848"/>
    <mergeCell ref="A2907:J2907"/>
    <mergeCell ref="A2921:J2921"/>
    <mergeCell ref="A2925:J2925"/>
    <mergeCell ref="A2929:J2929"/>
    <mergeCell ref="A2934:J2934"/>
    <mergeCell ref="A2946:J2946"/>
    <mergeCell ref="A2881:J2881"/>
    <mergeCell ref="A2885:J2885"/>
    <mergeCell ref="A2889:J2889"/>
    <mergeCell ref="A2894:J2894"/>
    <mergeCell ref="A2898:J2898"/>
    <mergeCell ref="A2902:J2902"/>
    <mergeCell ref="A2983:J2983"/>
    <mergeCell ref="A3001:J3001"/>
    <mergeCell ref="A3006:J3006"/>
    <mergeCell ref="A3023:J3023"/>
    <mergeCell ref="A3027:J3027"/>
    <mergeCell ref="A3032:J3032"/>
    <mergeCell ref="A2950:J2950"/>
    <mergeCell ref="A2954:J2954"/>
    <mergeCell ref="A2959:J2959"/>
    <mergeCell ref="A2964:J2964"/>
    <mergeCell ref="A2968:J2968"/>
    <mergeCell ref="A2976:J2976"/>
    <mergeCell ref="A3061:J3061"/>
    <mergeCell ref="A3065:J3065"/>
    <mergeCell ref="A3069:J3069"/>
    <mergeCell ref="A3079:J3079"/>
    <mergeCell ref="A3084:J3084"/>
    <mergeCell ref="A3090:J3090"/>
    <mergeCell ref="A3036:J3036"/>
    <mergeCell ref="A3041:J3041"/>
    <mergeCell ref="A3045:J3045"/>
    <mergeCell ref="A3049:J3049"/>
    <mergeCell ref="A3053:J3053"/>
    <mergeCell ref="A3057:J3057"/>
    <mergeCell ref="A3120:J3120"/>
    <mergeCell ref="A3124:J3124"/>
    <mergeCell ref="B3161:J3161"/>
    <mergeCell ref="A3166:J3166"/>
    <mergeCell ref="A3177:J3177"/>
    <mergeCell ref="A3183:J3183"/>
    <mergeCell ref="A3094:J3094"/>
    <mergeCell ref="A3098:J3098"/>
    <mergeCell ref="A3102:J3102"/>
    <mergeCell ref="A3106:J3106"/>
    <mergeCell ref="A3110:J3110"/>
    <mergeCell ref="A3115:J3115"/>
    <mergeCell ref="A3215:J3215"/>
    <mergeCell ref="A3219:J3219"/>
    <mergeCell ref="A3224:J3224"/>
    <mergeCell ref="A3228:J3228"/>
    <mergeCell ref="A3232:J3232"/>
    <mergeCell ref="A3237:J3237"/>
    <mergeCell ref="A3188:J3188"/>
    <mergeCell ref="A3192:J3192"/>
    <mergeCell ref="A3196:J3196"/>
    <mergeCell ref="A3202:J3202"/>
    <mergeCell ref="A3206:J3206"/>
    <mergeCell ref="A3211:J3211"/>
    <mergeCell ref="A3280:J3280"/>
    <mergeCell ref="A3285:J3285"/>
    <mergeCell ref="A3289:J3289"/>
    <mergeCell ref="A3293:J3293"/>
    <mergeCell ref="A3298:J3298"/>
    <mergeCell ref="A3302:J3302"/>
    <mergeCell ref="A3247:J3247"/>
    <mergeCell ref="A3251:J3251"/>
    <mergeCell ref="A3255:J3255"/>
    <mergeCell ref="A3260:J3260"/>
    <mergeCell ref="A3272:J3272"/>
    <mergeCell ref="A3276:J3276"/>
    <mergeCell ref="A3337:J3337"/>
    <mergeCell ref="A3342:J3342"/>
    <mergeCell ref="A3346:J3346"/>
    <mergeCell ref="B3371:J3371"/>
    <mergeCell ref="A3376:J3376"/>
    <mergeCell ref="A3387:J3387"/>
    <mergeCell ref="A3307:J3307"/>
    <mergeCell ref="A3316:J3316"/>
    <mergeCell ref="A3320:J3320"/>
    <mergeCell ref="A3324:J3324"/>
    <mergeCell ref="A3328:J3328"/>
    <mergeCell ref="A3332:J3332"/>
    <mergeCell ref="A3431:J3431"/>
    <mergeCell ref="A3435:J3435"/>
    <mergeCell ref="A3439:J3439"/>
    <mergeCell ref="A3445:J3445"/>
    <mergeCell ref="A3451:J3451"/>
    <mergeCell ref="A3455:J3455"/>
    <mergeCell ref="A3393:J3393"/>
    <mergeCell ref="A3401:J3401"/>
    <mergeCell ref="A3406:J3406"/>
    <mergeCell ref="A3410:J3410"/>
    <mergeCell ref="A3414:J3414"/>
    <mergeCell ref="A3419:J3419"/>
    <mergeCell ref="A3493:J3493"/>
    <mergeCell ref="A3498:J3498"/>
    <mergeCell ref="A3507:J3507"/>
    <mergeCell ref="A3514:J3514"/>
    <mergeCell ref="A3518:J3518"/>
    <mergeCell ref="A3524:J3524"/>
    <mergeCell ref="A3459:J3459"/>
    <mergeCell ref="A3463:J3463"/>
    <mergeCell ref="A3470:J3470"/>
    <mergeCell ref="A3475:J3475"/>
    <mergeCell ref="A3479:J3479"/>
    <mergeCell ref="A3484:J3484"/>
    <mergeCell ref="A3555:J3555"/>
    <mergeCell ref="A3559:J3559"/>
    <mergeCell ref="A3563:J3563"/>
    <mergeCell ref="A3567:J3567"/>
    <mergeCell ref="A3572:J3572"/>
    <mergeCell ref="A3576:J3576"/>
    <mergeCell ref="A3530:J3530"/>
    <mergeCell ref="A3534:J3534"/>
    <mergeCell ref="A3538:J3538"/>
    <mergeCell ref="A3543:J3543"/>
    <mergeCell ref="A3547:J3547"/>
    <mergeCell ref="A3551:J3551"/>
    <mergeCell ref="A3607:J3607"/>
    <mergeCell ref="A3612:J3612"/>
    <mergeCell ref="A3617:J3617"/>
    <mergeCell ref="A3621:J3621"/>
    <mergeCell ref="A3629:J3629"/>
    <mergeCell ref="B3655:J3655"/>
    <mergeCell ref="A3580:J3580"/>
    <mergeCell ref="A3584:J3584"/>
    <mergeCell ref="A3591:J3591"/>
    <mergeCell ref="A3595:J3595"/>
    <mergeCell ref="A3599:J3599"/>
    <mergeCell ref="A3603:J3603"/>
    <mergeCell ref="A3691:J3691"/>
    <mergeCell ref="A3697:J3697"/>
    <mergeCell ref="A3701:J3701"/>
    <mergeCell ref="A3706:J3706"/>
    <mergeCell ref="B3656:J3656"/>
    <mergeCell ref="A3661:J3661"/>
    <mergeCell ref="A3665:J3665"/>
    <mergeCell ref="A3671:J3671"/>
    <mergeCell ref="A3682:J3682"/>
    <mergeCell ref="A3686:J3686"/>
  </mergeCells>
  <printOptions horizontalCentered="1"/>
  <pageMargins left="0" right="0" top="0.39370078740157483" bottom="0.78740157480314965" header="0" footer="0"/>
  <pageSetup paperSize="9" scale="56" fitToHeight="0" orientation="portrait" r:id="rId1"/>
  <headerFooter>
    <oddFooter>&amp;C&amp;P/&amp;N&amp;R&amp;G</oddFooter>
  </headerFooter>
  <rowBreaks count="1" manualBreakCount="1">
    <brk id="3654" max="9"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320"/>
  <sheetViews>
    <sheetView view="pageBreakPreview" zoomScaleNormal="100" zoomScaleSheetLayoutView="100" workbookViewId="0">
      <selection activeCell="D7" sqref="D7:E7"/>
    </sheetView>
  </sheetViews>
  <sheetFormatPr defaultRowHeight="12"/>
  <cols>
    <col min="1" max="1" width="10.28515625" style="35" customWidth="1"/>
    <col min="2" max="2" width="45.85546875" style="35" customWidth="1"/>
    <col min="3" max="3" width="3" style="35" customWidth="1"/>
    <col min="4" max="4" width="8.5703125" style="35" customWidth="1"/>
    <col min="5" max="6" width="6.140625" style="35" customWidth="1"/>
    <col min="7" max="9" width="12.42578125" style="35" customWidth="1"/>
    <col min="10" max="16384" width="9.140625" style="35"/>
  </cols>
  <sheetData>
    <row r="1" spans="1:9" ht="113.1" customHeight="1">
      <c r="A1" s="520"/>
      <c r="B1" s="520"/>
      <c r="C1" s="520"/>
      <c r="D1" s="520"/>
      <c r="E1" s="520"/>
      <c r="F1" s="520"/>
      <c r="G1" s="520"/>
      <c r="H1" s="520"/>
      <c r="I1" s="520"/>
    </row>
    <row r="2" spans="1:9" ht="9.9499999999999993" customHeight="1">
      <c r="A2" s="42"/>
      <c r="B2" s="42"/>
      <c r="C2" s="42"/>
      <c r="D2" s="586"/>
      <c r="E2" s="586"/>
      <c r="F2" s="586"/>
      <c r="G2" s="42"/>
      <c r="H2" s="42"/>
      <c r="I2" s="42"/>
    </row>
    <row r="3" spans="1:9">
      <c r="A3" s="587" t="s">
        <v>1189</v>
      </c>
      <c r="B3" s="587"/>
      <c r="C3" s="587"/>
      <c r="D3" s="587"/>
      <c r="E3" s="587"/>
      <c r="F3" s="587"/>
      <c r="G3" s="587"/>
      <c r="H3" s="587"/>
      <c r="I3" s="587"/>
    </row>
    <row r="4" spans="1:9" ht="24">
      <c r="A4" s="588" t="s">
        <v>1190</v>
      </c>
      <c r="B4" s="588"/>
      <c r="C4" s="588"/>
      <c r="D4" s="589" t="s">
        <v>1191</v>
      </c>
      <c r="E4" s="589"/>
      <c r="F4" s="43" t="s">
        <v>1192</v>
      </c>
      <c r="G4" s="43" t="s">
        <v>1193</v>
      </c>
      <c r="H4" s="43" t="s">
        <v>8</v>
      </c>
      <c r="I4" s="43" t="s">
        <v>1194</v>
      </c>
    </row>
    <row r="5" spans="1:9" ht="41.25" customHeight="1">
      <c r="A5" s="44" t="s">
        <v>1195</v>
      </c>
      <c r="B5" s="584" t="s">
        <v>1196</v>
      </c>
      <c r="C5" s="584"/>
      <c r="D5" s="585" t="s">
        <v>29</v>
      </c>
      <c r="E5" s="585"/>
      <c r="F5" s="44" t="s">
        <v>20</v>
      </c>
      <c r="G5" s="45">
        <v>1</v>
      </c>
      <c r="H5" s="46">
        <v>445</v>
      </c>
      <c r="I5" s="46">
        <v>445</v>
      </c>
    </row>
    <row r="6" spans="1:9" ht="41.25" customHeight="1">
      <c r="A6" s="44" t="s">
        <v>1197</v>
      </c>
      <c r="B6" s="584" t="s">
        <v>1198</v>
      </c>
      <c r="C6" s="584"/>
      <c r="D6" s="585" t="s">
        <v>29</v>
      </c>
      <c r="E6" s="585"/>
      <c r="F6" s="44" t="s">
        <v>40</v>
      </c>
      <c r="G6" s="45">
        <v>4</v>
      </c>
      <c r="H6" s="46">
        <v>10.85</v>
      </c>
      <c r="I6" s="46">
        <v>43.4</v>
      </c>
    </row>
    <row r="7" spans="1:9" ht="41.25" customHeight="1">
      <c r="A7" s="44" t="s">
        <v>1199</v>
      </c>
      <c r="B7" s="584" t="s">
        <v>1200</v>
      </c>
      <c r="C7" s="584"/>
      <c r="D7" s="585" t="s">
        <v>29</v>
      </c>
      <c r="E7" s="585"/>
      <c r="F7" s="44" t="s">
        <v>138</v>
      </c>
      <c r="G7" s="45">
        <v>0.11</v>
      </c>
      <c r="H7" s="46">
        <v>23.4</v>
      </c>
      <c r="I7" s="46">
        <v>2.5739999999999998</v>
      </c>
    </row>
    <row r="8" spans="1:9" ht="41.25" customHeight="1">
      <c r="A8" s="44" t="s">
        <v>1201</v>
      </c>
      <c r="B8" s="584" t="s">
        <v>1202</v>
      </c>
      <c r="C8" s="584"/>
      <c r="D8" s="585" t="s">
        <v>29</v>
      </c>
      <c r="E8" s="585"/>
      <c r="F8" s="44" t="s">
        <v>40</v>
      </c>
      <c r="G8" s="45">
        <v>1</v>
      </c>
      <c r="H8" s="46">
        <v>6.12</v>
      </c>
      <c r="I8" s="46">
        <v>6.12</v>
      </c>
    </row>
    <row r="9" spans="1:9">
      <c r="A9" s="42"/>
      <c r="B9" s="42"/>
      <c r="C9" s="42"/>
      <c r="D9" s="42"/>
      <c r="E9" s="42"/>
      <c r="F9" s="42"/>
      <c r="G9" s="590" t="s">
        <v>1203</v>
      </c>
      <c r="H9" s="590"/>
      <c r="I9" s="47">
        <v>497.09</v>
      </c>
    </row>
    <row r="10" spans="1:9" ht="24">
      <c r="A10" s="588" t="s">
        <v>1204</v>
      </c>
      <c r="B10" s="588"/>
      <c r="C10" s="588"/>
      <c r="D10" s="589" t="s">
        <v>1191</v>
      </c>
      <c r="E10" s="589"/>
      <c r="F10" s="43" t="s">
        <v>1192</v>
      </c>
      <c r="G10" s="43" t="s">
        <v>1193</v>
      </c>
      <c r="H10" s="43" t="s">
        <v>8</v>
      </c>
      <c r="I10" s="43" t="s">
        <v>1194</v>
      </c>
    </row>
    <row r="11" spans="1:9">
      <c r="A11" s="44" t="s">
        <v>1205</v>
      </c>
      <c r="B11" s="584" t="s">
        <v>1206</v>
      </c>
      <c r="C11" s="584"/>
      <c r="D11" s="585" t="s">
        <v>29</v>
      </c>
      <c r="E11" s="585"/>
      <c r="F11" s="44" t="s">
        <v>1207</v>
      </c>
      <c r="G11" s="45">
        <v>1</v>
      </c>
      <c r="H11" s="46">
        <v>24.39</v>
      </c>
      <c r="I11" s="46">
        <v>24.39</v>
      </c>
    </row>
    <row r="12" spans="1:9">
      <c r="A12" s="44" t="s">
        <v>1208</v>
      </c>
      <c r="B12" s="584" t="s">
        <v>1209</v>
      </c>
      <c r="C12" s="584"/>
      <c r="D12" s="585" t="s">
        <v>29</v>
      </c>
      <c r="E12" s="585"/>
      <c r="F12" s="44" t="s">
        <v>1207</v>
      </c>
      <c r="G12" s="45">
        <v>2</v>
      </c>
      <c r="H12" s="46">
        <v>19.8</v>
      </c>
      <c r="I12" s="46">
        <v>39.6</v>
      </c>
    </row>
    <row r="13" spans="1:9">
      <c r="A13" s="42"/>
      <c r="B13" s="42"/>
      <c r="C13" s="42"/>
      <c r="D13" s="42"/>
      <c r="E13" s="42"/>
      <c r="F13" s="42"/>
      <c r="G13" s="590" t="s">
        <v>1210</v>
      </c>
      <c r="H13" s="590"/>
      <c r="I13" s="47">
        <v>63.99</v>
      </c>
    </row>
    <row r="14" spans="1:9" ht="24">
      <c r="A14" s="588" t="s">
        <v>1211</v>
      </c>
      <c r="B14" s="588"/>
      <c r="C14" s="588"/>
      <c r="D14" s="589" t="s">
        <v>1191</v>
      </c>
      <c r="E14" s="589"/>
      <c r="F14" s="43" t="s">
        <v>1192</v>
      </c>
      <c r="G14" s="43" t="s">
        <v>1193</v>
      </c>
      <c r="H14" s="43" t="s">
        <v>8</v>
      </c>
      <c r="I14" s="43" t="s">
        <v>1194</v>
      </c>
    </row>
    <row r="15" spans="1:9" ht="45.75" customHeight="1">
      <c r="A15" s="44" t="s">
        <v>1212</v>
      </c>
      <c r="B15" s="584" t="s">
        <v>1213</v>
      </c>
      <c r="C15" s="584"/>
      <c r="D15" s="585" t="s">
        <v>29</v>
      </c>
      <c r="E15" s="585"/>
      <c r="F15" s="44" t="s">
        <v>60</v>
      </c>
      <c r="G15" s="45">
        <v>0.01</v>
      </c>
      <c r="H15" s="46">
        <v>390.79</v>
      </c>
      <c r="I15" s="46">
        <v>3.9079000000000002</v>
      </c>
    </row>
    <row r="16" spans="1:9">
      <c r="A16" s="42"/>
      <c r="B16" s="42"/>
      <c r="C16" s="42"/>
      <c r="D16" s="42"/>
      <c r="E16" s="42"/>
      <c r="F16" s="42"/>
      <c r="G16" s="590" t="s">
        <v>1214</v>
      </c>
      <c r="H16" s="590"/>
      <c r="I16" s="47">
        <v>3.91</v>
      </c>
    </row>
    <row r="17" spans="1:9">
      <c r="A17" s="591" t="s">
        <v>1215</v>
      </c>
      <c r="B17" s="591"/>
      <c r="C17" s="591"/>
      <c r="D17" s="42"/>
      <c r="E17" s="42"/>
      <c r="F17" s="42"/>
      <c r="G17" s="592" t="s">
        <v>1216</v>
      </c>
      <c r="H17" s="592"/>
      <c r="I17" s="38">
        <v>564.99</v>
      </c>
    </row>
    <row r="18" spans="1:9">
      <c r="A18" s="42"/>
      <c r="B18" s="42"/>
      <c r="C18" s="42"/>
      <c r="D18" s="586"/>
      <c r="E18" s="586"/>
      <c r="F18" s="586"/>
      <c r="G18" s="42"/>
      <c r="H18" s="42"/>
      <c r="I18" s="42"/>
    </row>
    <row r="19" spans="1:9">
      <c r="A19" s="587" t="s">
        <v>1217</v>
      </c>
      <c r="B19" s="587"/>
      <c r="C19" s="587"/>
      <c r="D19" s="587"/>
      <c r="E19" s="587"/>
      <c r="F19" s="587"/>
      <c r="G19" s="587"/>
      <c r="H19" s="587"/>
      <c r="I19" s="587"/>
    </row>
    <row r="20" spans="1:9" ht="24">
      <c r="A20" s="588" t="s">
        <v>1218</v>
      </c>
      <c r="B20" s="588"/>
      <c r="C20" s="588"/>
      <c r="D20" s="589" t="s">
        <v>1191</v>
      </c>
      <c r="E20" s="589"/>
      <c r="F20" s="43" t="s">
        <v>1192</v>
      </c>
      <c r="G20" s="43" t="s">
        <v>1193</v>
      </c>
      <c r="H20" s="43" t="s">
        <v>8</v>
      </c>
      <c r="I20" s="43" t="s">
        <v>1194</v>
      </c>
    </row>
    <row r="21" spans="1:9" ht="24">
      <c r="A21" s="44" t="s">
        <v>1219</v>
      </c>
      <c r="B21" s="584" t="s">
        <v>23</v>
      </c>
      <c r="C21" s="584"/>
      <c r="D21" s="585" t="s">
        <v>1220</v>
      </c>
      <c r="E21" s="585"/>
      <c r="F21" s="44" t="s">
        <v>24</v>
      </c>
      <c r="G21" s="45">
        <v>1</v>
      </c>
      <c r="H21" s="46">
        <v>700</v>
      </c>
      <c r="I21" s="46">
        <v>700</v>
      </c>
    </row>
    <row r="22" spans="1:9">
      <c r="A22" s="42"/>
      <c r="B22" s="42"/>
      <c r="C22" s="42"/>
      <c r="D22" s="42"/>
      <c r="E22" s="42"/>
      <c r="F22" s="42"/>
      <c r="G22" s="590" t="s">
        <v>1221</v>
      </c>
      <c r="H22" s="590"/>
      <c r="I22" s="47">
        <v>700</v>
      </c>
    </row>
    <row r="23" spans="1:9">
      <c r="A23" s="591" t="s">
        <v>1222</v>
      </c>
      <c r="B23" s="591"/>
      <c r="C23" s="591"/>
      <c r="D23" s="42"/>
      <c r="E23" s="42"/>
      <c r="F23" s="42"/>
      <c r="G23" s="592" t="s">
        <v>1216</v>
      </c>
      <c r="H23" s="592"/>
      <c r="I23" s="38">
        <v>700</v>
      </c>
    </row>
    <row r="24" spans="1:9">
      <c r="A24" s="591"/>
      <c r="B24" s="591"/>
      <c r="C24" s="591"/>
      <c r="D24" s="42"/>
      <c r="E24" s="42"/>
      <c r="F24" s="42"/>
      <c r="G24" s="42"/>
      <c r="H24" s="42"/>
      <c r="I24" s="42"/>
    </row>
    <row r="25" spans="1:9">
      <c r="A25" s="42"/>
      <c r="B25" s="42"/>
      <c r="C25" s="42"/>
      <c r="D25" s="586"/>
      <c r="E25" s="586"/>
      <c r="F25" s="586"/>
      <c r="G25" s="42"/>
      <c r="H25" s="42"/>
      <c r="I25" s="42"/>
    </row>
    <row r="26" spans="1:9">
      <c r="A26" s="587" t="s">
        <v>1223</v>
      </c>
      <c r="B26" s="587"/>
      <c r="C26" s="587"/>
      <c r="D26" s="587"/>
      <c r="E26" s="587"/>
      <c r="F26" s="587"/>
      <c r="G26" s="587"/>
      <c r="H26" s="587"/>
      <c r="I26" s="587"/>
    </row>
    <row r="27" spans="1:9" ht="24">
      <c r="A27" s="588" t="s">
        <v>1204</v>
      </c>
      <c r="B27" s="588"/>
      <c r="C27" s="588"/>
      <c r="D27" s="589" t="s">
        <v>1191</v>
      </c>
      <c r="E27" s="589"/>
      <c r="F27" s="43" t="s">
        <v>1192</v>
      </c>
      <c r="G27" s="43" t="s">
        <v>1193</v>
      </c>
      <c r="H27" s="43" t="s">
        <v>8</v>
      </c>
      <c r="I27" s="43" t="s">
        <v>1194</v>
      </c>
    </row>
    <row r="28" spans="1:9">
      <c r="A28" s="44" t="s">
        <v>1224</v>
      </c>
      <c r="B28" s="584" t="s">
        <v>1225</v>
      </c>
      <c r="C28" s="584"/>
      <c r="D28" s="585" t="s">
        <v>29</v>
      </c>
      <c r="E28" s="585"/>
      <c r="F28" s="44" t="s">
        <v>1207</v>
      </c>
      <c r="G28" s="45">
        <v>1.3</v>
      </c>
      <c r="H28" s="46">
        <v>24.66</v>
      </c>
      <c r="I28" s="46">
        <v>32.058</v>
      </c>
    </row>
    <row r="29" spans="1:9">
      <c r="A29" s="44" t="s">
        <v>1208</v>
      </c>
      <c r="B29" s="584" t="s">
        <v>1209</v>
      </c>
      <c r="C29" s="584"/>
      <c r="D29" s="585" t="s">
        <v>29</v>
      </c>
      <c r="E29" s="585"/>
      <c r="F29" s="44" t="s">
        <v>1207</v>
      </c>
      <c r="G29" s="45">
        <v>9.1</v>
      </c>
      <c r="H29" s="46">
        <v>19.8</v>
      </c>
      <c r="I29" s="46">
        <v>180.18</v>
      </c>
    </row>
    <row r="30" spans="1:9">
      <c r="A30" s="42"/>
      <c r="B30" s="42"/>
      <c r="C30" s="42"/>
      <c r="D30" s="42"/>
      <c r="E30" s="42"/>
      <c r="F30" s="42"/>
      <c r="G30" s="590" t="s">
        <v>1210</v>
      </c>
      <c r="H30" s="590"/>
      <c r="I30" s="47">
        <v>212.24</v>
      </c>
    </row>
    <row r="31" spans="1:9">
      <c r="A31" s="591" t="s">
        <v>1226</v>
      </c>
      <c r="B31" s="591"/>
      <c r="C31" s="591"/>
      <c r="D31" s="42"/>
      <c r="E31" s="42"/>
      <c r="F31" s="42"/>
      <c r="G31" s="592" t="s">
        <v>1216</v>
      </c>
      <c r="H31" s="592"/>
      <c r="I31" s="38">
        <v>212.24</v>
      </c>
    </row>
    <row r="32" spans="1:9">
      <c r="A32" s="42"/>
      <c r="B32" s="42"/>
      <c r="C32" s="42"/>
      <c r="D32" s="586"/>
      <c r="E32" s="586"/>
      <c r="F32" s="586"/>
      <c r="G32" s="42"/>
      <c r="H32" s="42"/>
      <c r="I32" s="42"/>
    </row>
    <row r="33" spans="1:9">
      <c r="A33" s="587" t="s">
        <v>1227</v>
      </c>
      <c r="B33" s="587"/>
      <c r="C33" s="587"/>
      <c r="D33" s="587"/>
      <c r="E33" s="587"/>
      <c r="F33" s="587"/>
      <c r="G33" s="587"/>
      <c r="H33" s="587"/>
      <c r="I33" s="587"/>
    </row>
    <row r="34" spans="1:9" ht="24">
      <c r="A34" s="588" t="s">
        <v>1204</v>
      </c>
      <c r="B34" s="588"/>
      <c r="C34" s="588"/>
      <c r="D34" s="589" t="s">
        <v>1191</v>
      </c>
      <c r="E34" s="589"/>
      <c r="F34" s="43" t="s">
        <v>1192</v>
      </c>
      <c r="G34" s="43" t="s">
        <v>1193</v>
      </c>
      <c r="H34" s="43" t="s">
        <v>8</v>
      </c>
      <c r="I34" s="43" t="s">
        <v>1194</v>
      </c>
    </row>
    <row r="35" spans="1:9">
      <c r="A35" s="44" t="s">
        <v>1224</v>
      </c>
      <c r="B35" s="584" t="s">
        <v>1225</v>
      </c>
      <c r="C35" s="584"/>
      <c r="D35" s="585" t="s">
        <v>29</v>
      </c>
      <c r="E35" s="585"/>
      <c r="F35" s="44" t="s">
        <v>1207</v>
      </c>
      <c r="G35" s="45">
        <v>0.05</v>
      </c>
      <c r="H35" s="46">
        <v>24.66</v>
      </c>
      <c r="I35" s="46">
        <v>1.2330000000000001</v>
      </c>
    </row>
    <row r="36" spans="1:9">
      <c r="A36" s="44" t="s">
        <v>1208</v>
      </c>
      <c r="B36" s="584" t="s">
        <v>1209</v>
      </c>
      <c r="C36" s="584"/>
      <c r="D36" s="585" t="s">
        <v>29</v>
      </c>
      <c r="E36" s="585"/>
      <c r="F36" s="44" t="s">
        <v>1207</v>
      </c>
      <c r="G36" s="45">
        <v>0.5</v>
      </c>
      <c r="H36" s="46">
        <v>19.8</v>
      </c>
      <c r="I36" s="46">
        <v>9.9</v>
      </c>
    </row>
    <row r="37" spans="1:9">
      <c r="A37" s="42"/>
      <c r="B37" s="42"/>
      <c r="C37" s="42"/>
      <c r="D37" s="42"/>
      <c r="E37" s="42"/>
      <c r="F37" s="42"/>
      <c r="G37" s="590" t="s">
        <v>1210</v>
      </c>
      <c r="H37" s="590"/>
      <c r="I37" s="47">
        <v>11.13</v>
      </c>
    </row>
    <row r="38" spans="1:9">
      <c r="A38" s="591" t="s">
        <v>1228</v>
      </c>
      <c r="B38" s="591"/>
      <c r="C38" s="591"/>
      <c r="D38" s="42"/>
      <c r="E38" s="42"/>
      <c r="F38" s="42"/>
      <c r="G38" s="592" t="s">
        <v>1216</v>
      </c>
      <c r="H38" s="592"/>
      <c r="I38" s="38">
        <v>11.13</v>
      </c>
    </row>
    <row r="39" spans="1:9">
      <c r="A39" s="42"/>
      <c r="B39" s="42"/>
      <c r="C39" s="42"/>
      <c r="D39" s="586"/>
      <c r="E39" s="586"/>
      <c r="F39" s="586"/>
      <c r="G39" s="42"/>
      <c r="H39" s="42"/>
      <c r="I39" s="42"/>
    </row>
    <row r="40" spans="1:9">
      <c r="A40" s="587" t="s">
        <v>1229</v>
      </c>
      <c r="B40" s="587"/>
      <c r="C40" s="587"/>
      <c r="D40" s="587"/>
      <c r="E40" s="587"/>
      <c r="F40" s="587"/>
      <c r="G40" s="587"/>
      <c r="H40" s="587"/>
      <c r="I40" s="587"/>
    </row>
    <row r="41" spans="1:9" ht="24">
      <c r="A41" s="588" t="s">
        <v>1230</v>
      </c>
      <c r="B41" s="588"/>
      <c r="C41" s="588"/>
      <c r="D41" s="589" t="s">
        <v>1191</v>
      </c>
      <c r="E41" s="589"/>
      <c r="F41" s="43" t="s">
        <v>1192</v>
      </c>
      <c r="G41" s="43" t="s">
        <v>1193</v>
      </c>
      <c r="H41" s="43" t="s">
        <v>8</v>
      </c>
      <c r="I41" s="43" t="s">
        <v>1194</v>
      </c>
    </row>
    <row r="42" spans="1:9" ht="63.75" customHeight="1">
      <c r="A42" s="44" t="s">
        <v>1231</v>
      </c>
      <c r="B42" s="584" t="s">
        <v>1232</v>
      </c>
      <c r="C42" s="584"/>
      <c r="D42" s="585" t="s">
        <v>29</v>
      </c>
      <c r="E42" s="585"/>
      <c r="F42" s="44" t="s">
        <v>1233</v>
      </c>
      <c r="G42" s="45">
        <v>3.0000000000000001E-3</v>
      </c>
      <c r="H42" s="46">
        <v>354.67</v>
      </c>
      <c r="I42" s="46">
        <v>1.0640099999999999</v>
      </c>
    </row>
    <row r="43" spans="1:9" ht="63.75" customHeight="1">
      <c r="A43" s="44" t="s">
        <v>1234</v>
      </c>
      <c r="B43" s="584" t="s">
        <v>1235</v>
      </c>
      <c r="C43" s="584"/>
      <c r="D43" s="585" t="s">
        <v>29</v>
      </c>
      <c r="E43" s="585"/>
      <c r="F43" s="44" t="s">
        <v>1233</v>
      </c>
      <c r="G43" s="45">
        <v>8.0000000000000002E-3</v>
      </c>
      <c r="H43" s="46">
        <v>209.48</v>
      </c>
      <c r="I43" s="46">
        <v>1.67584</v>
      </c>
    </row>
    <row r="44" spans="1:9">
      <c r="A44" s="42"/>
      <c r="B44" s="42"/>
      <c r="C44" s="42"/>
      <c r="D44" s="42"/>
      <c r="E44" s="42"/>
      <c r="F44" s="42"/>
      <c r="G44" s="590" t="s">
        <v>1236</v>
      </c>
      <c r="H44" s="590"/>
      <c r="I44" s="47">
        <v>2.74</v>
      </c>
    </row>
    <row r="45" spans="1:9" ht="24">
      <c r="A45" s="588" t="s">
        <v>1204</v>
      </c>
      <c r="B45" s="588"/>
      <c r="C45" s="588"/>
      <c r="D45" s="589" t="s">
        <v>1191</v>
      </c>
      <c r="E45" s="589"/>
      <c r="F45" s="43" t="s">
        <v>1192</v>
      </c>
      <c r="G45" s="43" t="s">
        <v>1193</v>
      </c>
      <c r="H45" s="43" t="s">
        <v>8</v>
      </c>
      <c r="I45" s="43" t="s">
        <v>1194</v>
      </c>
    </row>
    <row r="46" spans="1:9">
      <c r="A46" s="44" t="s">
        <v>1208</v>
      </c>
      <c r="B46" s="584" t="s">
        <v>1209</v>
      </c>
      <c r="C46" s="584"/>
      <c r="D46" s="585" t="s">
        <v>29</v>
      </c>
      <c r="E46" s="585"/>
      <c r="F46" s="44" t="s">
        <v>1207</v>
      </c>
      <c r="G46" s="45">
        <v>8.0000000000000002E-3</v>
      </c>
      <c r="H46" s="46">
        <v>19.8</v>
      </c>
      <c r="I46" s="46">
        <v>0.15840000000000001</v>
      </c>
    </row>
    <row r="47" spans="1:9">
      <c r="A47" s="42"/>
      <c r="B47" s="42"/>
      <c r="C47" s="42"/>
      <c r="D47" s="42"/>
      <c r="E47" s="42"/>
      <c r="F47" s="42"/>
      <c r="G47" s="590" t="s">
        <v>1210</v>
      </c>
      <c r="H47" s="590"/>
      <c r="I47" s="47">
        <v>0.16</v>
      </c>
    </row>
    <row r="48" spans="1:9">
      <c r="A48" s="591" t="s">
        <v>1237</v>
      </c>
      <c r="B48" s="591"/>
      <c r="C48" s="591"/>
      <c r="D48" s="42"/>
      <c r="E48" s="42"/>
      <c r="F48" s="42"/>
      <c r="G48" s="592" t="s">
        <v>1216</v>
      </c>
      <c r="H48" s="592"/>
      <c r="I48" s="38">
        <v>2.9</v>
      </c>
    </row>
    <row r="49" spans="1:9">
      <c r="A49" s="42"/>
      <c r="B49" s="42"/>
      <c r="C49" s="42"/>
      <c r="D49" s="586"/>
      <c r="E49" s="586"/>
      <c r="F49" s="586"/>
      <c r="G49" s="42"/>
      <c r="H49" s="42"/>
      <c r="I49" s="42"/>
    </row>
    <row r="50" spans="1:9">
      <c r="A50" s="587" t="s">
        <v>1238</v>
      </c>
      <c r="B50" s="587"/>
      <c r="C50" s="587"/>
      <c r="D50" s="587"/>
      <c r="E50" s="587"/>
      <c r="F50" s="587"/>
      <c r="G50" s="587"/>
      <c r="H50" s="587"/>
      <c r="I50" s="587"/>
    </row>
    <row r="51" spans="1:9" ht="24">
      <c r="A51" s="588" t="s">
        <v>1230</v>
      </c>
      <c r="B51" s="588"/>
      <c r="C51" s="588"/>
      <c r="D51" s="589" t="s">
        <v>1191</v>
      </c>
      <c r="E51" s="589"/>
      <c r="F51" s="43" t="s">
        <v>1192</v>
      </c>
      <c r="G51" s="43" t="s">
        <v>1193</v>
      </c>
      <c r="H51" s="43" t="s">
        <v>8</v>
      </c>
      <c r="I51" s="43" t="s">
        <v>1194</v>
      </c>
    </row>
    <row r="52" spans="1:9" ht="42.75" customHeight="1">
      <c r="A52" s="44" t="s">
        <v>1239</v>
      </c>
      <c r="B52" s="584" t="s">
        <v>1240</v>
      </c>
      <c r="C52" s="584"/>
      <c r="D52" s="585" t="s">
        <v>29</v>
      </c>
      <c r="E52" s="585"/>
      <c r="F52" s="44" t="s">
        <v>1233</v>
      </c>
      <c r="G52" s="45">
        <v>7.9399999999999991E-3</v>
      </c>
      <c r="H52" s="46">
        <v>308.91000000000003</v>
      </c>
      <c r="I52" s="46">
        <v>2.4527454</v>
      </c>
    </row>
    <row r="53" spans="1:9">
      <c r="A53" s="42"/>
      <c r="B53" s="42"/>
      <c r="C53" s="42"/>
      <c r="D53" s="42"/>
      <c r="E53" s="42"/>
      <c r="F53" s="42"/>
      <c r="G53" s="590" t="s">
        <v>1236</v>
      </c>
      <c r="H53" s="590"/>
      <c r="I53" s="47">
        <v>2.4500000000000002</v>
      </c>
    </row>
    <row r="54" spans="1:9" ht="24">
      <c r="A54" s="588" t="s">
        <v>1204</v>
      </c>
      <c r="B54" s="588"/>
      <c r="C54" s="588"/>
      <c r="D54" s="589" t="s">
        <v>1191</v>
      </c>
      <c r="E54" s="589"/>
      <c r="F54" s="43" t="s">
        <v>1192</v>
      </c>
      <c r="G54" s="43" t="s">
        <v>1193</v>
      </c>
      <c r="H54" s="43" t="s">
        <v>8</v>
      </c>
      <c r="I54" s="43" t="s">
        <v>1194</v>
      </c>
    </row>
    <row r="55" spans="1:9">
      <c r="A55" s="44" t="s">
        <v>1208</v>
      </c>
      <c r="B55" s="584" t="s">
        <v>1209</v>
      </c>
      <c r="C55" s="584"/>
      <c r="D55" s="585" t="s">
        <v>29</v>
      </c>
      <c r="E55" s="585"/>
      <c r="F55" s="44" t="s">
        <v>1207</v>
      </c>
      <c r="G55" s="45">
        <v>6.8999999999999999E-3</v>
      </c>
      <c r="H55" s="46">
        <v>19.8</v>
      </c>
      <c r="I55" s="46">
        <v>0.13661999999999999</v>
      </c>
    </row>
    <row r="56" spans="1:9">
      <c r="A56" s="42"/>
      <c r="B56" s="42"/>
      <c r="C56" s="42"/>
      <c r="D56" s="42"/>
      <c r="E56" s="42"/>
      <c r="F56" s="42"/>
      <c r="G56" s="590" t="s">
        <v>1210</v>
      </c>
      <c r="H56" s="590"/>
      <c r="I56" s="47">
        <v>0.14000000000000001</v>
      </c>
    </row>
    <row r="57" spans="1:9">
      <c r="A57" s="591" t="s">
        <v>1241</v>
      </c>
      <c r="B57" s="591"/>
      <c r="C57" s="591"/>
      <c r="D57" s="42"/>
      <c r="E57" s="42"/>
      <c r="F57" s="42"/>
      <c r="G57" s="592" t="s">
        <v>1216</v>
      </c>
      <c r="H57" s="592"/>
      <c r="I57" s="38">
        <v>2.59</v>
      </c>
    </row>
    <row r="58" spans="1:9">
      <c r="A58" s="42"/>
      <c r="B58" s="42"/>
      <c r="C58" s="42"/>
      <c r="D58" s="586"/>
      <c r="E58" s="586"/>
      <c r="F58" s="586"/>
      <c r="G58" s="42"/>
      <c r="H58" s="42"/>
      <c r="I58" s="42"/>
    </row>
    <row r="59" spans="1:9">
      <c r="A59" s="587" t="s">
        <v>1242</v>
      </c>
      <c r="B59" s="587"/>
      <c r="C59" s="587"/>
      <c r="D59" s="587"/>
      <c r="E59" s="587"/>
      <c r="F59" s="587"/>
      <c r="G59" s="587"/>
      <c r="H59" s="587"/>
      <c r="I59" s="587"/>
    </row>
    <row r="60" spans="1:9">
      <c r="A60" s="593" t="s">
        <v>1243</v>
      </c>
      <c r="B60" s="593"/>
      <c r="C60" s="594" t="s">
        <v>1244</v>
      </c>
      <c r="D60" s="594"/>
      <c r="E60" s="595" t="s">
        <v>1245</v>
      </c>
      <c r="F60" s="595"/>
      <c r="G60" s="595" t="s">
        <v>1246</v>
      </c>
      <c r="H60" s="595"/>
      <c r="I60" s="595" t="s">
        <v>1247</v>
      </c>
    </row>
    <row r="61" spans="1:9">
      <c r="A61" s="593"/>
      <c r="B61" s="593"/>
      <c r="C61" s="594"/>
      <c r="D61" s="594"/>
      <c r="E61" s="43" t="s">
        <v>1248</v>
      </c>
      <c r="F61" s="43" t="s">
        <v>1249</v>
      </c>
      <c r="G61" s="43" t="s">
        <v>1248</v>
      </c>
      <c r="H61" s="43" t="s">
        <v>1249</v>
      </c>
      <c r="I61" s="595"/>
    </row>
    <row r="62" spans="1:9" ht="24">
      <c r="A62" s="40" t="s">
        <v>1250</v>
      </c>
      <c r="B62" s="39" t="s">
        <v>1251</v>
      </c>
      <c r="C62" s="598">
        <v>1</v>
      </c>
      <c r="D62" s="598"/>
      <c r="E62" s="49">
        <v>0.76</v>
      </c>
      <c r="F62" s="49">
        <v>0.24</v>
      </c>
      <c r="G62" s="50">
        <v>346.76339999999999</v>
      </c>
      <c r="H62" s="50">
        <v>81.125100000000003</v>
      </c>
      <c r="I62" s="50">
        <v>283.01020799999998</v>
      </c>
    </row>
    <row r="63" spans="1:9" ht="24">
      <c r="A63" s="40" t="s">
        <v>1252</v>
      </c>
      <c r="B63" s="39" t="s">
        <v>1253</v>
      </c>
      <c r="C63" s="598">
        <v>1</v>
      </c>
      <c r="D63" s="598"/>
      <c r="E63" s="49">
        <v>1</v>
      </c>
      <c r="F63" s="49">
        <v>0</v>
      </c>
      <c r="G63" s="50">
        <v>280.73719999999997</v>
      </c>
      <c r="H63" s="50">
        <v>89.770300000000006</v>
      </c>
      <c r="I63" s="50">
        <v>280.73719999999997</v>
      </c>
    </row>
    <row r="64" spans="1:9" ht="24">
      <c r="A64" s="40" t="s">
        <v>1254</v>
      </c>
      <c r="B64" s="39" t="s">
        <v>1255</v>
      </c>
      <c r="C64" s="598">
        <v>1</v>
      </c>
      <c r="D64" s="598"/>
      <c r="E64" s="49">
        <v>0.88</v>
      </c>
      <c r="F64" s="49">
        <v>0.12</v>
      </c>
      <c r="G64" s="50">
        <v>229.67740000000001</v>
      </c>
      <c r="H64" s="50">
        <v>103.4821</v>
      </c>
      <c r="I64" s="50">
        <v>214.533964</v>
      </c>
    </row>
    <row r="65" spans="1:9" ht="24">
      <c r="A65" s="40" t="s">
        <v>1256</v>
      </c>
      <c r="B65" s="39" t="s">
        <v>1257</v>
      </c>
      <c r="C65" s="598">
        <v>1</v>
      </c>
      <c r="D65" s="598"/>
      <c r="E65" s="49">
        <v>0.71</v>
      </c>
      <c r="F65" s="49">
        <v>0.28999999999999998</v>
      </c>
      <c r="G65" s="50">
        <v>199.58199999999999</v>
      </c>
      <c r="H65" s="50">
        <v>71.465199999999996</v>
      </c>
      <c r="I65" s="50">
        <v>162.42812799999999</v>
      </c>
    </row>
    <row r="66" spans="1:9">
      <c r="A66" s="34"/>
      <c r="B66" s="34"/>
      <c r="C66" s="34"/>
      <c r="D66" s="34"/>
      <c r="E66" s="34"/>
      <c r="F66" s="34"/>
      <c r="G66" s="522" t="s">
        <v>1258</v>
      </c>
      <c r="H66" s="522"/>
      <c r="I66" s="51">
        <v>940.70950000000005</v>
      </c>
    </row>
    <row r="67" spans="1:9" ht="24">
      <c r="A67" s="596" t="s">
        <v>1259</v>
      </c>
      <c r="B67" s="596"/>
      <c r="C67" s="596"/>
      <c r="D67" s="596"/>
      <c r="E67" s="596"/>
      <c r="F67" s="36" t="s">
        <v>1192</v>
      </c>
      <c r="G67" s="36" t="s">
        <v>1260</v>
      </c>
      <c r="H67" s="36" t="s">
        <v>1261</v>
      </c>
      <c r="I67" s="36" t="s">
        <v>1247</v>
      </c>
    </row>
    <row r="68" spans="1:9">
      <c r="A68" s="40" t="s">
        <v>1262</v>
      </c>
      <c r="B68" s="597" t="s">
        <v>1263</v>
      </c>
      <c r="C68" s="597"/>
      <c r="D68" s="597"/>
      <c r="E68" s="597"/>
      <c r="F68" s="40" t="s">
        <v>1264</v>
      </c>
      <c r="G68" s="48">
        <v>1</v>
      </c>
      <c r="H68" s="41">
        <v>18.947800000000001</v>
      </c>
      <c r="I68" s="41">
        <v>18.947800000000001</v>
      </c>
    </row>
    <row r="69" spans="1:9">
      <c r="A69" s="34"/>
      <c r="B69" s="34"/>
      <c r="C69" s="34"/>
      <c r="D69" s="34"/>
      <c r="E69" s="34"/>
      <c r="F69" s="34"/>
      <c r="G69" s="522" t="s">
        <v>1265</v>
      </c>
      <c r="H69" s="522"/>
      <c r="I69" s="38">
        <v>18.95</v>
      </c>
    </row>
    <row r="70" spans="1:9">
      <c r="A70" s="42"/>
      <c r="B70" s="42"/>
      <c r="C70" s="42"/>
      <c r="D70" s="42"/>
      <c r="E70" s="42"/>
      <c r="F70" s="42"/>
      <c r="G70" s="592" t="s">
        <v>1266</v>
      </c>
      <c r="H70" s="592"/>
      <c r="I70" s="50">
        <v>959.65949999999998</v>
      </c>
    </row>
    <row r="71" spans="1:9">
      <c r="A71" s="42"/>
      <c r="B71" s="42"/>
      <c r="C71" s="42"/>
      <c r="D71" s="42"/>
      <c r="E71" s="42"/>
      <c r="F71" s="42"/>
      <c r="G71" s="592" t="s">
        <v>1267</v>
      </c>
      <c r="H71" s="592"/>
      <c r="I71" s="50">
        <v>84.62</v>
      </c>
    </row>
    <row r="72" spans="1:9">
      <c r="A72" s="42"/>
      <c r="B72" s="42"/>
      <c r="C72" s="42"/>
      <c r="D72" s="42"/>
      <c r="E72" s="42"/>
      <c r="F72" s="42"/>
      <c r="G72" s="592" t="s">
        <v>1268</v>
      </c>
      <c r="H72" s="592"/>
      <c r="I72" s="50">
        <v>11.34</v>
      </c>
    </row>
    <row r="73" spans="1:9">
      <c r="A73" s="42"/>
      <c r="B73" s="42"/>
      <c r="C73" s="42"/>
      <c r="D73" s="42"/>
      <c r="E73" s="42"/>
      <c r="F73" s="42"/>
      <c r="G73" s="592" t="s">
        <v>1269</v>
      </c>
      <c r="H73" s="592"/>
      <c r="I73" s="50">
        <v>6.1699999999999998E-2</v>
      </c>
    </row>
    <row r="74" spans="1:9">
      <c r="A74" s="42"/>
      <c r="B74" s="42"/>
      <c r="C74" s="42"/>
      <c r="D74" s="42"/>
      <c r="E74" s="42"/>
      <c r="F74" s="42"/>
      <c r="G74" s="592" t="s">
        <v>1270</v>
      </c>
      <c r="H74" s="592"/>
      <c r="I74" s="41">
        <v>11.4017</v>
      </c>
    </row>
    <row r="75" spans="1:9">
      <c r="A75" s="591" t="s">
        <v>1271</v>
      </c>
      <c r="B75" s="591"/>
      <c r="C75" s="591"/>
      <c r="D75" s="42"/>
      <c r="E75" s="42"/>
      <c r="F75" s="42"/>
      <c r="G75" s="592" t="s">
        <v>1216</v>
      </c>
      <c r="H75" s="592"/>
      <c r="I75" s="38">
        <v>11.4</v>
      </c>
    </row>
    <row r="76" spans="1:9">
      <c r="A76" s="591"/>
      <c r="B76" s="591"/>
      <c r="C76" s="591"/>
      <c r="D76" s="42"/>
      <c r="E76" s="42"/>
      <c r="F76" s="42"/>
      <c r="G76" s="42"/>
      <c r="H76" s="42"/>
      <c r="I76" s="42"/>
    </row>
    <row r="77" spans="1:9">
      <c r="A77" s="42"/>
      <c r="B77" s="42"/>
      <c r="C77" s="42"/>
      <c r="D77" s="586"/>
      <c r="E77" s="586"/>
      <c r="F77" s="586"/>
      <c r="G77" s="42"/>
      <c r="H77" s="42"/>
      <c r="I77" s="42"/>
    </row>
    <row r="78" spans="1:9">
      <c r="A78" s="587" t="s">
        <v>1272</v>
      </c>
      <c r="B78" s="587"/>
      <c r="C78" s="587"/>
      <c r="D78" s="587"/>
      <c r="E78" s="587"/>
      <c r="F78" s="587"/>
      <c r="G78" s="587"/>
      <c r="H78" s="587"/>
      <c r="I78" s="587"/>
    </row>
    <row r="79" spans="1:9" ht="24">
      <c r="A79" s="588" t="s">
        <v>1230</v>
      </c>
      <c r="B79" s="588"/>
      <c r="C79" s="588"/>
      <c r="D79" s="589" t="s">
        <v>1191</v>
      </c>
      <c r="E79" s="589"/>
      <c r="F79" s="43" t="s">
        <v>1192</v>
      </c>
      <c r="G79" s="43" t="s">
        <v>1193</v>
      </c>
      <c r="H79" s="43" t="s">
        <v>8</v>
      </c>
      <c r="I79" s="43" t="s">
        <v>1194</v>
      </c>
    </row>
    <row r="80" spans="1:9" ht="65.25" customHeight="1">
      <c r="A80" s="44" t="s">
        <v>1273</v>
      </c>
      <c r="B80" s="584" t="s">
        <v>1274</v>
      </c>
      <c r="C80" s="584"/>
      <c r="D80" s="585" t="s">
        <v>29</v>
      </c>
      <c r="E80" s="585"/>
      <c r="F80" s="44" t="s">
        <v>1275</v>
      </c>
      <c r="G80" s="45">
        <v>2.8000000000000001E-2</v>
      </c>
      <c r="H80" s="46">
        <v>69.290000000000006</v>
      </c>
      <c r="I80" s="46">
        <v>1.9401200000000001</v>
      </c>
    </row>
    <row r="81" spans="1:9" ht="65.25" customHeight="1">
      <c r="A81" s="44" t="s">
        <v>1276</v>
      </c>
      <c r="B81" s="584" t="s">
        <v>1277</v>
      </c>
      <c r="C81" s="584"/>
      <c r="D81" s="585" t="s">
        <v>29</v>
      </c>
      <c r="E81" s="585"/>
      <c r="F81" s="44" t="s">
        <v>1233</v>
      </c>
      <c r="G81" s="45">
        <v>2E-3</v>
      </c>
      <c r="H81" s="46">
        <v>365.18</v>
      </c>
      <c r="I81" s="46">
        <v>0.73036000000000001</v>
      </c>
    </row>
    <row r="82" spans="1:9" ht="65.25" customHeight="1">
      <c r="A82" s="44" t="s">
        <v>1278</v>
      </c>
      <c r="B82" s="584" t="s">
        <v>1279</v>
      </c>
      <c r="C82" s="584"/>
      <c r="D82" s="585" t="s">
        <v>29</v>
      </c>
      <c r="E82" s="585"/>
      <c r="F82" s="44" t="s">
        <v>1275</v>
      </c>
      <c r="G82" s="45">
        <v>2.1999999999999999E-2</v>
      </c>
      <c r="H82" s="46">
        <v>105.01</v>
      </c>
      <c r="I82" s="46">
        <v>2.3102200000000002</v>
      </c>
    </row>
    <row r="83" spans="1:9" ht="65.25" customHeight="1">
      <c r="A83" s="44" t="s">
        <v>1280</v>
      </c>
      <c r="B83" s="584" t="s">
        <v>1281</v>
      </c>
      <c r="C83" s="584"/>
      <c r="D83" s="585" t="s">
        <v>29</v>
      </c>
      <c r="E83" s="585"/>
      <c r="F83" s="44" t="s">
        <v>1233</v>
      </c>
      <c r="G83" s="45">
        <v>8.0000000000000002E-3</v>
      </c>
      <c r="H83" s="46">
        <v>298.69</v>
      </c>
      <c r="I83" s="46">
        <v>2.3895200000000001</v>
      </c>
    </row>
    <row r="84" spans="1:9" ht="65.25" customHeight="1">
      <c r="A84" s="44" t="s">
        <v>1282</v>
      </c>
      <c r="B84" s="584" t="s">
        <v>1283</v>
      </c>
      <c r="C84" s="584"/>
      <c r="D84" s="585" t="s">
        <v>29</v>
      </c>
      <c r="E84" s="585"/>
      <c r="F84" s="44" t="s">
        <v>1275</v>
      </c>
      <c r="G84" s="45">
        <v>2.5999999999999999E-2</v>
      </c>
      <c r="H84" s="46">
        <v>93.1</v>
      </c>
      <c r="I84" s="46">
        <v>2.4205999999999999</v>
      </c>
    </row>
    <row r="85" spans="1:9" ht="65.25" customHeight="1">
      <c r="A85" s="44" t="s">
        <v>1284</v>
      </c>
      <c r="B85" s="584" t="s">
        <v>1285</v>
      </c>
      <c r="C85" s="584"/>
      <c r="D85" s="585" t="s">
        <v>29</v>
      </c>
      <c r="E85" s="585"/>
      <c r="F85" s="44" t="s">
        <v>1233</v>
      </c>
      <c r="G85" s="45">
        <v>4.0000000000000001E-3</v>
      </c>
      <c r="H85" s="46">
        <v>236.64</v>
      </c>
      <c r="I85" s="46">
        <v>0.94655999999999996</v>
      </c>
    </row>
    <row r="86" spans="1:9" ht="65.25" customHeight="1">
      <c r="A86" s="44" t="s">
        <v>1286</v>
      </c>
      <c r="B86" s="584" t="s">
        <v>1287</v>
      </c>
      <c r="C86" s="584"/>
      <c r="D86" s="585" t="s">
        <v>29</v>
      </c>
      <c r="E86" s="585"/>
      <c r="F86" s="44" t="s">
        <v>1275</v>
      </c>
      <c r="G86" s="45">
        <v>2.1000000000000001E-2</v>
      </c>
      <c r="H86" s="46">
        <v>70.67</v>
      </c>
      <c r="I86" s="46">
        <v>1.48407</v>
      </c>
    </row>
    <row r="87" spans="1:9" ht="65.25" customHeight="1">
      <c r="A87" s="44" t="s">
        <v>1288</v>
      </c>
      <c r="B87" s="584" t="s">
        <v>1289</v>
      </c>
      <c r="C87" s="584"/>
      <c r="D87" s="585" t="s">
        <v>29</v>
      </c>
      <c r="E87" s="585"/>
      <c r="F87" s="44" t="s">
        <v>1233</v>
      </c>
      <c r="G87" s="45">
        <v>8.9999999999999993E-3</v>
      </c>
      <c r="H87" s="46">
        <v>181.02</v>
      </c>
      <c r="I87" s="46">
        <v>1.6291800000000001</v>
      </c>
    </row>
    <row r="88" spans="1:9">
      <c r="A88" s="42"/>
      <c r="B88" s="42"/>
      <c r="C88" s="42"/>
      <c r="D88" s="42"/>
      <c r="E88" s="42"/>
      <c r="F88" s="42"/>
      <c r="G88" s="590" t="s">
        <v>1236</v>
      </c>
      <c r="H88" s="590"/>
      <c r="I88" s="47">
        <v>13.85</v>
      </c>
    </row>
    <row r="89" spans="1:9" ht="24">
      <c r="A89" s="588" t="s">
        <v>1204</v>
      </c>
      <c r="B89" s="588"/>
      <c r="C89" s="588"/>
      <c r="D89" s="589" t="s">
        <v>1191</v>
      </c>
      <c r="E89" s="589"/>
      <c r="F89" s="43" t="s">
        <v>1192</v>
      </c>
      <c r="G89" s="43" t="s">
        <v>1193</v>
      </c>
      <c r="H89" s="43" t="s">
        <v>8</v>
      </c>
      <c r="I89" s="43" t="s">
        <v>1194</v>
      </c>
    </row>
    <row r="90" spans="1:9">
      <c r="A90" s="44" t="s">
        <v>1208</v>
      </c>
      <c r="B90" s="584" t="s">
        <v>1209</v>
      </c>
      <c r="C90" s="584"/>
      <c r="D90" s="585" t="s">
        <v>29</v>
      </c>
      <c r="E90" s="585"/>
      <c r="F90" s="44" t="s">
        <v>1207</v>
      </c>
      <c r="G90" s="45">
        <v>0.03</v>
      </c>
      <c r="H90" s="46">
        <v>19.8</v>
      </c>
      <c r="I90" s="46">
        <v>0.59399999999999997</v>
      </c>
    </row>
    <row r="91" spans="1:9">
      <c r="A91" s="42"/>
      <c r="B91" s="42"/>
      <c r="C91" s="42"/>
      <c r="D91" s="42"/>
      <c r="E91" s="42"/>
      <c r="F91" s="42"/>
      <c r="G91" s="590" t="s">
        <v>1210</v>
      </c>
      <c r="H91" s="590"/>
      <c r="I91" s="47">
        <v>0.59</v>
      </c>
    </row>
    <row r="92" spans="1:9">
      <c r="A92" s="591" t="s">
        <v>1290</v>
      </c>
      <c r="B92" s="591"/>
      <c r="C92" s="591"/>
      <c r="D92" s="42"/>
      <c r="E92" s="42"/>
      <c r="F92" s="42"/>
      <c r="G92" s="592" t="s">
        <v>1216</v>
      </c>
      <c r="H92" s="592"/>
      <c r="I92" s="38">
        <v>14.44</v>
      </c>
    </row>
    <row r="93" spans="1:9">
      <c r="A93" s="42"/>
      <c r="B93" s="42"/>
      <c r="C93" s="42"/>
      <c r="D93" s="586"/>
      <c r="E93" s="586"/>
      <c r="F93" s="586"/>
      <c r="G93" s="42"/>
      <c r="H93" s="42"/>
      <c r="I93" s="42"/>
    </row>
    <row r="94" spans="1:9">
      <c r="A94" s="587" t="s">
        <v>1291</v>
      </c>
      <c r="B94" s="587"/>
      <c r="C94" s="587"/>
      <c r="D94" s="587"/>
      <c r="E94" s="587"/>
      <c r="F94" s="587"/>
      <c r="G94" s="587"/>
      <c r="H94" s="587"/>
      <c r="I94" s="587"/>
    </row>
    <row r="95" spans="1:9" ht="24">
      <c r="A95" s="588" t="s">
        <v>1230</v>
      </c>
      <c r="B95" s="588"/>
      <c r="C95" s="588"/>
      <c r="D95" s="589" t="s">
        <v>1191</v>
      </c>
      <c r="E95" s="589"/>
      <c r="F95" s="43" t="s">
        <v>1192</v>
      </c>
      <c r="G95" s="43" t="s">
        <v>1193</v>
      </c>
      <c r="H95" s="43" t="s">
        <v>8</v>
      </c>
      <c r="I95" s="43" t="s">
        <v>1194</v>
      </c>
    </row>
    <row r="96" spans="1:9" ht="63.75" customHeight="1">
      <c r="A96" s="44" t="s">
        <v>1292</v>
      </c>
      <c r="B96" s="584" t="s">
        <v>1293</v>
      </c>
      <c r="C96" s="584"/>
      <c r="D96" s="585" t="s">
        <v>29</v>
      </c>
      <c r="E96" s="585"/>
      <c r="F96" s="44" t="s">
        <v>1233</v>
      </c>
      <c r="G96" s="45">
        <v>4.5999999999999999E-3</v>
      </c>
      <c r="H96" s="46">
        <v>298.73</v>
      </c>
      <c r="I96" s="46">
        <v>1.374158</v>
      </c>
    </row>
    <row r="97" spans="1:9">
      <c r="A97" s="42"/>
      <c r="B97" s="42"/>
      <c r="C97" s="42"/>
      <c r="D97" s="42"/>
      <c r="E97" s="42"/>
      <c r="F97" s="42"/>
      <c r="G97" s="590" t="s">
        <v>1236</v>
      </c>
      <c r="H97" s="590"/>
      <c r="I97" s="47">
        <v>1.37</v>
      </c>
    </row>
    <row r="98" spans="1:9">
      <c r="A98" s="591" t="s">
        <v>1294</v>
      </c>
      <c r="B98" s="591"/>
      <c r="C98" s="591"/>
      <c r="D98" s="42"/>
      <c r="E98" s="42"/>
      <c r="F98" s="42"/>
      <c r="G98" s="592" t="s">
        <v>1216</v>
      </c>
      <c r="H98" s="592"/>
      <c r="I98" s="38">
        <v>1.37</v>
      </c>
    </row>
    <row r="99" spans="1:9">
      <c r="A99" s="42"/>
      <c r="B99" s="42"/>
      <c r="C99" s="42"/>
      <c r="D99" s="586"/>
      <c r="E99" s="586"/>
      <c r="F99" s="586"/>
      <c r="G99" s="42"/>
      <c r="H99" s="42"/>
      <c r="I99" s="42"/>
    </row>
    <row r="100" spans="1:9">
      <c r="A100" s="587" t="s">
        <v>1295</v>
      </c>
      <c r="B100" s="587"/>
      <c r="C100" s="587"/>
      <c r="D100" s="587"/>
      <c r="E100" s="587"/>
      <c r="F100" s="587"/>
      <c r="G100" s="587"/>
      <c r="H100" s="587"/>
      <c r="I100" s="587"/>
    </row>
    <row r="101" spans="1:9" ht="24">
      <c r="A101" s="588" t="s">
        <v>1230</v>
      </c>
      <c r="B101" s="588"/>
      <c r="C101" s="588"/>
      <c r="D101" s="589" t="s">
        <v>1191</v>
      </c>
      <c r="E101" s="589"/>
      <c r="F101" s="43" t="s">
        <v>1192</v>
      </c>
      <c r="G101" s="43" t="s">
        <v>1193</v>
      </c>
      <c r="H101" s="43" t="s">
        <v>8</v>
      </c>
      <c r="I101" s="43" t="s">
        <v>1194</v>
      </c>
    </row>
    <row r="102" spans="1:9" ht="64.5" customHeight="1">
      <c r="A102" s="44" t="s">
        <v>1296</v>
      </c>
      <c r="B102" s="584" t="s">
        <v>1297</v>
      </c>
      <c r="C102" s="584"/>
      <c r="D102" s="585" t="s">
        <v>29</v>
      </c>
      <c r="E102" s="585"/>
      <c r="F102" s="44" t="s">
        <v>1275</v>
      </c>
      <c r="G102" s="45">
        <v>4.8999999999999998E-3</v>
      </c>
      <c r="H102" s="46">
        <v>65.45</v>
      </c>
      <c r="I102" s="46">
        <v>0.32070500000000002</v>
      </c>
    </row>
    <row r="103" spans="1:9" ht="64.5" customHeight="1">
      <c r="A103" s="44" t="s">
        <v>1298</v>
      </c>
      <c r="B103" s="584" t="s">
        <v>1299</v>
      </c>
      <c r="C103" s="584"/>
      <c r="D103" s="585" t="s">
        <v>29</v>
      </c>
      <c r="E103" s="585"/>
      <c r="F103" s="44" t="s">
        <v>1233</v>
      </c>
      <c r="G103" s="45">
        <v>1E-3</v>
      </c>
      <c r="H103" s="46">
        <v>305.55</v>
      </c>
      <c r="I103" s="46">
        <v>0.30554999999999999</v>
      </c>
    </row>
    <row r="104" spans="1:9" ht="64.5" customHeight="1">
      <c r="A104" s="44" t="s">
        <v>1300</v>
      </c>
      <c r="B104" s="584" t="s">
        <v>1301</v>
      </c>
      <c r="C104" s="584"/>
      <c r="D104" s="585" t="s">
        <v>29</v>
      </c>
      <c r="E104" s="585"/>
      <c r="F104" s="44" t="s">
        <v>1275</v>
      </c>
      <c r="G104" s="45">
        <v>4.1000000000000003E-3</v>
      </c>
      <c r="H104" s="46">
        <v>49.49</v>
      </c>
      <c r="I104" s="46">
        <v>0.20290900000000001</v>
      </c>
    </row>
    <row r="105" spans="1:9" ht="64.5" customHeight="1">
      <c r="A105" s="44" t="s">
        <v>1302</v>
      </c>
      <c r="B105" s="584" t="s">
        <v>1303</v>
      </c>
      <c r="C105" s="584"/>
      <c r="D105" s="585" t="s">
        <v>29</v>
      </c>
      <c r="E105" s="585"/>
      <c r="F105" s="44" t="s">
        <v>1233</v>
      </c>
      <c r="G105" s="45">
        <v>1.6999999999999999E-3</v>
      </c>
      <c r="H105" s="46">
        <v>150.81</v>
      </c>
      <c r="I105" s="46">
        <v>0.25637700000000002</v>
      </c>
    </row>
    <row r="106" spans="1:9" ht="64.5" customHeight="1">
      <c r="A106" s="44" t="s">
        <v>1304</v>
      </c>
      <c r="B106" s="584" t="s">
        <v>1305</v>
      </c>
      <c r="C106" s="584"/>
      <c r="D106" s="585" t="s">
        <v>29</v>
      </c>
      <c r="E106" s="585"/>
      <c r="F106" s="44" t="s">
        <v>1275</v>
      </c>
      <c r="G106" s="45">
        <v>4.0000000000000001E-3</v>
      </c>
      <c r="H106" s="46">
        <v>5.4</v>
      </c>
      <c r="I106" s="46">
        <v>2.1600000000000001E-2</v>
      </c>
    </row>
    <row r="107" spans="1:9" ht="64.5" customHeight="1">
      <c r="A107" s="44" t="s">
        <v>1306</v>
      </c>
      <c r="B107" s="584" t="s">
        <v>1307</v>
      </c>
      <c r="C107" s="584"/>
      <c r="D107" s="585" t="s">
        <v>29</v>
      </c>
      <c r="E107" s="585"/>
      <c r="F107" s="44" t="s">
        <v>1233</v>
      </c>
      <c r="G107" s="45">
        <v>2E-3</v>
      </c>
      <c r="H107" s="46">
        <v>11.36</v>
      </c>
      <c r="I107" s="46">
        <v>2.2720000000000001E-2</v>
      </c>
    </row>
    <row r="108" spans="1:9">
      <c r="A108" s="42"/>
      <c r="B108" s="42"/>
      <c r="C108" s="42"/>
      <c r="D108" s="42"/>
      <c r="E108" s="42"/>
      <c r="F108" s="42"/>
      <c r="G108" s="590" t="s">
        <v>1236</v>
      </c>
      <c r="H108" s="590"/>
      <c r="I108" s="47">
        <v>1.1299999999999999</v>
      </c>
    </row>
    <row r="109" spans="1:9" ht="24">
      <c r="A109" s="588" t="s">
        <v>1204</v>
      </c>
      <c r="B109" s="588"/>
      <c r="C109" s="588"/>
      <c r="D109" s="589" t="s">
        <v>1191</v>
      </c>
      <c r="E109" s="589"/>
      <c r="F109" s="43" t="s">
        <v>1192</v>
      </c>
      <c r="G109" s="43" t="s">
        <v>1193</v>
      </c>
      <c r="H109" s="43" t="s">
        <v>8</v>
      </c>
      <c r="I109" s="43" t="s">
        <v>1194</v>
      </c>
    </row>
    <row r="110" spans="1:9">
      <c r="A110" s="44" t="s">
        <v>1208</v>
      </c>
      <c r="B110" s="584" t="s">
        <v>1209</v>
      </c>
      <c r="C110" s="584"/>
      <c r="D110" s="585" t="s">
        <v>29</v>
      </c>
      <c r="E110" s="585"/>
      <c r="F110" s="44" t="s">
        <v>1207</v>
      </c>
      <c r="G110" s="45">
        <v>5.7999999999999996E-3</v>
      </c>
      <c r="H110" s="46">
        <v>19.8</v>
      </c>
      <c r="I110" s="46">
        <v>0.11484</v>
      </c>
    </row>
    <row r="111" spans="1:9">
      <c r="A111" s="42"/>
      <c r="B111" s="42"/>
      <c r="C111" s="42"/>
      <c r="D111" s="42"/>
      <c r="E111" s="42"/>
      <c r="F111" s="42"/>
      <c r="G111" s="590" t="s">
        <v>1210</v>
      </c>
      <c r="H111" s="590"/>
      <c r="I111" s="47">
        <v>0.11</v>
      </c>
    </row>
    <row r="112" spans="1:9">
      <c r="A112" s="591" t="s">
        <v>1308</v>
      </c>
      <c r="B112" s="591"/>
      <c r="C112" s="591"/>
      <c r="D112" s="42"/>
      <c r="E112" s="42"/>
      <c r="F112" s="42"/>
      <c r="G112" s="592" t="s">
        <v>1216</v>
      </c>
      <c r="H112" s="592"/>
      <c r="I112" s="38">
        <v>1.24</v>
      </c>
    </row>
    <row r="113" spans="1:9">
      <c r="A113" s="591"/>
      <c r="B113" s="591"/>
      <c r="C113" s="591"/>
      <c r="D113" s="42"/>
      <c r="E113" s="42"/>
      <c r="F113" s="42"/>
      <c r="G113" s="42"/>
      <c r="H113" s="42"/>
      <c r="I113" s="42"/>
    </row>
    <row r="114" spans="1:9">
      <c r="A114" s="42"/>
      <c r="B114" s="42"/>
      <c r="C114" s="42"/>
      <c r="D114" s="586"/>
      <c r="E114" s="586"/>
      <c r="F114" s="586"/>
      <c r="G114" s="42"/>
      <c r="H114" s="42"/>
      <c r="I114" s="42"/>
    </row>
    <row r="115" spans="1:9">
      <c r="A115" s="587" t="s">
        <v>1309</v>
      </c>
      <c r="B115" s="587"/>
      <c r="C115" s="587"/>
      <c r="D115" s="587"/>
      <c r="E115" s="587"/>
      <c r="F115" s="587"/>
      <c r="G115" s="587"/>
      <c r="H115" s="587"/>
      <c r="I115" s="587"/>
    </row>
    <row r="116" spans="1:9" ht="24">
      <c r="A116" s="588" t="s">
        <v>1230</v>
      </c>
      <c r="B116" s="588"/>
      <c r="C116" s="588"/>
      <c r="D116" s="589" t="s">
        <v>1191</v>
      </c>
      <c r="E116" s="589"/>
      <c r="F116" s="43" t="s">
        <v>1192</v>
      </c>
      <c r="G116" s="43" t="s">
        <v>1193</v>
      </c>
      <c r="H116" s="43" t="s">
        <v>8</v>
      </c>
      <c r="I116" s="43" t="s">
        <v>1194</v>
      </c>
    </row>
    <row r="117" spans="1:9" ht="63.75" customHeight="1">
      <c r="A117" s="44" t="s">
        <v>1292</v>
      </c>
      <c r="B117" s="584" t="s">
        <v>1293</v>
      </c>
      <c r="C117" s="584"/>
      <c r="D117" s="585" t="s">
        <v>29</v>
      </c>
      <c r="E117" s="585"/>
      <c r="F117" s="44" t="s">
        <v>1233</v>
      </c>
      <c r="G117" s="45">
        <v>4.6399999999999997E-2</v>
      </c>
      <c r="H117" s="46">
        <v>298.73</v>
      </c>
      <c r="I117" s="46">
        <v>13.861072</v>
      </c>
    </row>
    <row r="118" spans="1:9" ht="63.75" customHeight="1">
      <c r="A118" s="44" t="s">
        <v>1282</v>
      </c>
      <c r="B118" s="584" t="s">
        <v>1283</v>
      </c>
      <c r="C118" s="584"/>
      <c r="D118" s="585" t="s">
        <v>29</v>
      </c>
      <c r="E118" s="585"/>
      <c r="F118" s="44" t="s">
        <v>1275</v>
      </c>
      <c r="G118" s="45">
        <v>9.9000000000000005E-2</v>
      </c>
      <c r="H118" s="46">
        <v>93.1</v>
      </c>
      <c r="I118" s="46">
        <v>9.2169000000000008</v>
      </c>
    </row>
    <row r="119" spans="1:9" ht="63.75" customHeight="1">
      <c r="A119" s="44" t="s">
        <v>1284</v>
      </c>
      <c r="B119" s="584" t="s">
        <v>1285</v>
      </c>
      <c r="C119" s="584"/>
      <c r="D119" s="585" t="s">
        <v>29</v>
      </c>
      <c r="E119" s="585"/>
      <c r="F119" s="44" t="s">
        <v>1233</v>
      </c>
      <c r="G119" s="45">
        <v>4.19E-2</v>
      </c>
      <c r="H119" s="46">
        <v>236.64</v>
      </c>
      <c r="I119" s="46">
        <v>9.9152159999999991</v>
      </c>
    </row>
    <row r="120" spans="1:9" ht="63.75" customHeight="1">
      <c r="A120" s="44" t="s">
        <v>1310</v>
      </c>
      <c r="B120" s="584" t="s">
        <v>1311</v>
      </c>
      <c r="C120" s="584"/>
      <c r="D120" s="585" t="s">
        <v>29</v>
      </c>
      <c r="E120" s="585"/>
      <c r="F120" s="44" t="s">
        <v>1275</v>
      </c>
      <c r="G120" s="45">
        <v>6.0699999999999997E-2</v>
      </c>
      <c r="H120" s="46">
        <v>87.54</v>
      </c>
      <c r="I120" s="46">
        <v>5.3136780000000003</v>
      </c>
    </row>
    <row r="121" spans="1:9" ht="63.75" customHeight="1">
      <c r="A121" s="44" t="s">
        <v>1312</v>
      </c>
      <c r="B121" s="584" t="s">
        <v>1313</v>
      </c>
      <c r="C121" s="584"/>
      <c r="D121" s="585" t="s">
        <v>29</v>
      </c>
      <c r="E121" s="585"/>
      <c r="F121" s="44" t="s">
        <v>1233</v>
      </c>
      <c r="G121" s="45">
        <v>8.0500000000000002E-2</v>
      </c>
      <c r="H121" s="46">
        <v>257.45</v>
      </c>
      <c r="I121" s="46">
        <v>20.724724999999999</v>
      </c>
    </row>
    <row r="122" spans="1:9" ht="63.75" customHeight="1">
      <c r="A122" s="44" t="s">
        <v>1314</v>
      </c>
      <c r="B122" s="584" t="s">
        <v>1315</v>
      </c>
      <c r="C122" s="584"/>
      <c r="D122" s="585" t="s">
        <v>29</v>
      </c>
      <c r="E122" s="585"/>
      <c r="F122" s="44" t="s">
        <v>1275</v>
      </c>
      <c r="G122" s="45">
        <v>0.1071</v>
      </c>
      <c r="H122" s="46">
        <v>54.66</v>
      </c>
      <c r="I122" s="46">
        <v>5.8540859999999997</v>
      </c>
    </row>
    <row r="123" spans="1:9" ht="63.75" customHeight="1">
      <c r="A123" s="44" t="s">
        <v>1316</v>
      </c>
      <c r="B123" s="584" t="s">
        <v>1317</v>
      </c>
      <c r="C123" s="584"/>
      <c r="D123" s="585" t="s">
        <v>29</v>
      </c>
      <c r="E123" s="585"/>
      <c r="F123" s="44" t="s">
        <v>1233</v>
      </c>
      <c r="G123" s="45">
        <v>3.4099999999999998E-2</v>
      </c>
      <c r="H123" s="46">
        <v>160.94</v>
      </c>
      <c r="I123" s="46">
        <v>5.488054</v>
      </c>
    </row>
    <row r="124" spans="1:9" ht="63.75" customHeight="1">
      <c r="A124" s="44" t="s">
        <v>1318</v>
      </c>
      <c r="B124" s="584" t="s">
        <v>1319</v>
      </c>
      <c r="C124" s="584"/>
      <c r="D124" s="585" t="s">
        <v>29</v>
      </c>
      <c r="E124" s="585"/>
      <c r="F124" s="44" t="s">
        <v>1275</v>
      </c>
      <c r="G124" s="45">
        <v>9.4899999999999998E-2</v>
      </c>
      <c r="H124" s="46">
        <v>153.12</v>
      </c>
      <c r="I124" s="46">
        <v>14.531088</v>
      </c>
    </row>
    <row r="125" spans="1:9" ht="63.75" customHeight="1">
      <c r="A125" s="44" t="s">
        <v>1320</v>
      </c>
      <c r="B125" s="584" t="s">
        <v>1321</v>
      </c>
      <c r="C125" s="584"/>
      <c r="D125" s="585" t="s">
        <v>29</v>
      </c>
      <c r="E125" s="585"/>
      <c r="F125" s="44" t="s">
        <v>1233</v>
      </c>
      <c r="G125" s="45">
        <v>4.6399999999999997E-2</v>
      </c>
      <c r="H125" s="46">
        <v>427.12</v>
      </c>
      <c r="I125" s="46">
        <v>19.818368</v>
      </c>
    </row>
    <row r="126" spans="1:9">
      <c r="A126" s="42"/>
      <c r="B126" s="42"/>
      <c r="C126" s="42"/>
      <c r="D126" s="42"/>
      <c r="E126" s="42"/>
      <c r="F126" s="42"/>
      <c r="G126" s="590" t="s">
        <v>1236</v>
      </c>
      <c r="H126" s="590"/>
      <c r="I126" s="47">
        <v>104.72</v>
      </c>
    </row>
    <row r="127" spans="1:9" ht="24">
      <c r="A127" s="588" t="s">
        <v>1204</v>
      </c>
      <c r="B127" s="588"/>
      <c r="C127" s="588"/>
      <c r="D127" s="589" t="s">
        <v>1191</v>
      </c>
      <c r="E127" s="589"/>
      <c r="F127" s="43" t="s">
        <v>1192</v>
      </c>
      <c r="G127" s="43" t="s">
        <v>1193</v>
      </c>
      <c r="H127" s="43" t="s">
        <v>8</v>
      </c>
      <c r="I127" s="43" t="s">
        <v>1194</v>
      </c>
    </row>
    <row r="128" spans="1:9">
      <c r="A128" s="44" t="s">
        <v>1322</v>
      </c>
      <c r="B128" s="584" t="s">
        <v>1323</v>
      </c>
      <c r="C128" s="584"/>
      <c r="D128" s="585" t="s">
        <v>29</v>
      </c>
      <c r="E128" s="585"/>
      <c r="F128" s="44" t="s">
        <v>1207</v>
      </c>
      <c r="G128" s="45">
        <v>1.1301000000000001</v>
      </c>
      <c r="H128" s="46">
        <v>25.35</v>
      </c>
      <c r="I128" s="46">
        <v>28.648035</v>
      </c>
    </row>
    <row r="129" spans="1:9">
      <c r="A129" s="42"/>
      <c r="B129" s="42"/>
      <c r="C129" s="42"/>
      <c r="D129" s="42"/>
      <c r="E129" s="42"/>
      <c r="F129" s="42"/>
      <c r="G129" s="590" t="s">
        <v>1210</v>
      </c>
      <c r="H129" s="590"/>
      <c r="I129" s="47">
        <v>28.65</v>
      </c>
    </row>
    <row r="130" spans="1:9">
      <c r="A130" s="591" t="s">
        <v>1324</v>
      </c>
      <c r="B130" s="591"/>
      <c r="C130" s="591"/>
      <c r="D130" s="42"/>
      <c r="E130" s="42"/>
      <c r="F130" s="42"/>
      <c r="G130" s="592" t="s">
        <v>1216</v>
      </c>
      <c r="H130" s="592"/>
      <c r="I130" s="38">
        <v>133.37</v>
      </c>
    </row>
    <row r="131" spans="1:9">
      <c r="A131" s="591"/>
      <c r="B131" s="591"/>
      <c r="C131" s="591"/>
      <c r="D131" s="42"/>
      <c r="E131" s="42"/>
      <c r="F131" s="42"/>
      <c r="G131" s="42"/>
      <c r="H131" s="42"/>
      <c r="I131" s="42"/>
    </row>
    <row r="132" spans="1:9">
      <c r="A132" s="42"/>
      <c r="B132" s="42"/>
      <c r="C132" s="42"/>
      <c r="D132" s="586"/>
      <c r="E132" s="586"/>
      <c r="F132" s="586"/>
      <c r="G132" s="42"/>
      <c r="H132" s="42"/>
      <c r="I132" s="42"/>
    </row>
    <row r="133" spans="1:9">
      <c r="A133" s="587" t="s">
        <v>1325</v>
      </c>
      <c r="B133" s="587"/>
      <c r="C133" s="587"/>
      <c r="D133" s="587"/>
      <c r="E133" s="587"/>
      <c r="F133" s="587"/>
      <c r="G133" s="587"/>
      <c r="H133" s="587"/>
      <c r="I133" s="587"/>
    </row>
    <row r="134" spans="1:9" ht="24">
      <c r="A134" s="588" t="s">
        <v>1230</v>
      </c>
      <c r="B134" s="588"/>
      <c r="C134" s="588"/>
      <c r="D134" s="589" t="s">
        <v>1191</v>
      </c>
      <c r="E134" s="589"/>
      <c r="F134" s="43" t="s">
        <v>1192</v>
      </c>
      <c r="G134" s="43" t="s">
        <v>1193</v>
      </c>
      <c r="H134" s="43" t="s">
        <v>8</v>
      </c>
      <c r="I134" s="43" t="s">
        <v>1194</v>
      </c>
    </row>
    <row r="135" spans="1:9" ht="57" customHeight="1">
      <c r="A135" s="44" t="s">
        <v>1326</v>
      </c>
      <c r="B135" s="584" t="s">
        <v>1327</v>
      </c>
      <c r="C135" s="584"/>
      <c r="D135" s="585" t="s">
        <v>29</v>
      </c>
      <c r="E135" s="585"/>
      <c r="F135" s="44" t="s">
        <v>1233</v>
      </c>
      <c r="G135" s="45">
        <v>3.4799999999999998E-2</v>
      </c>
      <c r="H135" s="46">
        <v>225.89</v>
      </c>
      <c r="I135" s="46">
        <v>7.8609720000000003</v>
      </c>
    </row>
    <row r="136" spans="1:9">
      <c r="A136" s="42"/>
      <c r="B136" s="42"/>
      <c r="C136" s="42"/>
      <c r="D136" s="42"/>
      <c r="E136" s="42"/>
      <c r="F136" s="42"/>
      <c r="G136" s="590" t="s">
        <v>1236</v>
      </c>
      <c r="H136" s="590"/>
      <c r="I136" s="47">
        <v>7.86</v>
      </c>
    </row>
    <row r="137" spans="1:9">
      <c r="A137" s="591" t="s">
        <v>1328</v>
      </c>
      <c r="B137" s="591"/>
      <c r="C137" s="591"/>
      <c r="D137" s="42"/>
      <c r="E137" s="42"/>
      <c r="F137" s="42"/>
      <c r="G137" s="592" t="s">
        <v>1216</v>
      </c>
      <c r="H137" s="592"/>
      <c r="I137" s="38">
        <v>7.86</v>
      </c>
    </row>
    <row r="138" spans="1:9">
      <c r="A138" s="42"/>
      <c r="B138" s="42"/>
      <c r="C138" s="42"/>
      <c r="D138" s="586"/>
      <c r="E138" s="586"/>
      <c r="F138" s="586"/>
      <c r="G138" s="42"/>
      <c r="H138" s="42"/>
      <c r="I138" s="42"/>
    </row>
    <row r="139" spans="1:9">
      <c r="A139" s="587" t="s">
        <v>1329</v>
      </c>
      <c r="B139" s="587"/>
      <c r="C139" s="587"/>
      <c r="D139" s="587"/>
      <c r="E139" s="587"/>
      <c r="F139" s="587"/>
      <c r="G139" s="587"/>
      <c r="H139" s="587"/>
      <c r="I139" s="587"/>
    </row>
    <row r="140" spans="1:9" ht="24">
      <c r="A140" s="588" t="s">
        <v>1230</v>
      </c>
      <c r="B140" s="588"/>
      <c r="C140" s="588"/>
      <c r="D140" s="589" t="s">
        <v>1191</v>
      </c>
      <c r="E140" s="589"/>
      <c r="F140" s="43" t="s">
        <v>1192</v>
      </c>
      <c r="G140" s="43" t="s">
        <v>1193</v>
      </c>
      <c r="H140" s="43" t="s">
        <v>8</v>
      </c>
      <c r="I140" s="43" t="s">
        <v>1194</v>
      </c>
    </row>
    <row r="141" spans="1:9" ht="64.5" customHeight="1">
      <c r="A141" s="44" t="s">
        <v>1292</v>
      </c>
      <c r="B141" s="584" t="s">
        <v>1293</v>
      </c>
      <c r="C141" s="584"/>
      <c r="D141" s="585" t="s">
        <v>29</v>
      </c>
      <c r="E141" s="585"/>
      <c r="F141" s="44" t="s">
        <v>1233</v>
      </c>
      <c r="G141" s="45">
        <v>5.9172000000000001E-3</v>
      </c>
      <c r="H141" s="46">
        <v>298.73</v>
      </c>
      <c r="I141" s="46">
        <v>1.7676451559999999</v>
      </c>
    </row>
    <row r="142" spans="1:9">
      <c r="A142" s="42"/>
      <c r="B142" s="42"/>
      <c r="C142" s="42"/>
      <c r="D142" s="42"/>
      <c r="E142" s="42"/>
      <c r="F142" s="42"/>
      <c r="G142" s="590" t="s">
        <v>1236</v>
      </c>
      <c r="H142" s="590"/>
      <c r="I142" s="47">
        <v>1.77</v>
      </c>
    </row>
    <row r="143" spans="1:9">
      <c r="A143" s="591" t="s">
        <v>1330</v>
      </c>
      <c r="B143" s="591"/>
      <c r="C143" s="591"/>
      <c r="D143" s="42"/>
      <c r="E143" s="42"/>
      <c r="F143" s="42"/>
      <c r="G143" s="592" t="s">
        <v>1216</v>
      </c>
      <c r="H143" s="592"/>
      <c r="I143" s="38">
        <v>1.77</v>
      </c>
    </row>
    <row r="144" spans="1:9">
      <c r="A144" s="42"/>
      <c r="B144" s="42"/>
      <c r="C144" s="42"/>
      <c r="D144" s="586"/>
      <c r="E144" s="586"/>
      <c r="F144" s="586"/>
      <c r="G144" s="42"/>
      <c r="H144" s="42"/>
      <c r="I144" s="42"/>
    </row>
    <row r="145" spans="1:9">
      <c r="A145" s="587" t="s">
        <v>1331</v>
      </c>
      <c r="B145" s="587"/>
      <c r="C145" s="587"/>
      <c r="D145" s="587"/>
      <c r="E145" s="587"/>
      <c r="F145" s="587"/>
      <c r="G145" s="587"/>
      <c r="H145" s="587"/>
      <c r="I145" s="587"/>
    </row>
    <row r="146" spans="1:9" ht="24">
      <c r="A146" s="588" t="s">
        <v>1230</v>
      </c>
      <c r="B146" s="588"/>
      <c r="C146" s="588"/>
      <c r="D146" s="589" t="s">
        <v>1191</v>
      </c>
      <c r="E146" s="589"/>
      <c r="F146" s="43" t="s">
        <v>1192</v>
      </c>
      <c r="G146" s="43" t="s">
        <v>1193</v>
      </c>
      <c r="H146" s="43" t="s">
        <v>8</v>
      </c>
      <c r="I146" s="43" t="s">
        <v>1194</v>
      </c>
    </row>
    <row r="147" spans="1:9" ht="40.5" customHeight="1">
      <c r="A147" s="44" t="s">
        <v>1332</v>
      </c>
      <c r="B147" s="584" t="s">
        <v>1333</v>
      </c>
      <c r="C147" s="584"/>
      <c r="D147" s="585" t="s">
        <v>29</v>
      </c>
      <c r="E147" s="585"/>
      <c r="F147" s="44" t="s">
        <v>1233</v>
      </c>
      <c r="G147" s="45">
        <v>5.0000000000000001E-3</v>
      </c>
      <c r="H147" s="46">
        <v>10.43</v>
      </c>
      <c r="I147" s="46">
        <v>5.2150000000000002E-2</v>
      </c>
    </row>
    <row r="148" spans="1:9">
      <c r="A148" s="42"/>
      <c r="B148" s="42"/>
      <c r="C148" s="42"/>
      <c r="D148" s="42"/>
      <c r="E148" s="42"/>
      <c r="F148" s="42"/>
      <c r="G148" s="590" t="s">
        <v>1236</v>
      </c>
      <c r="H148" s="590"/>
      <c r="I148" s="47">
        <v>0.05</v>
      </c>
    </row>
    <row r="149" spans="1:9" ht="24">
      <c r="A149" s="588" t="s">
        <v>1204</v>
      </c>
      <c r="B149" s="588"/>
      <c r="C149" s="588"/>
      <c r="D149" s="589" t="s">
        <v>1191</v>
      </c>
      <c r="E149" s="589"/>
      <c r="F149" s="43" t="s">
        <v>1192</v>
      </c>
      <c r="G149" s="43" t="s">
        <v>1193</v>
      </c>
      <c r="H149" s="43" t="s">
        <v>8</v>
      </c>
      <c r="I149" s="43" t="s">
        <v>1194</v>
      </c>
    </row>
    <row r="150" spans="1:9">
      <c r="A150" s="44" t="s">
        <v>1224</v>
      </c>
      <c r="B150" s="584" t="s">
        <v>1225</v>
      </c>
      <c r="C150" s="584"/>
      <c r="D150" s="585" t="s">
        <v>29</v>
      </c>
      <c r="E150" s="585"/>
      <c r="F150" s="44" t="s">
        <v>1207</v>
      </c>
      <c r="G150" s="45">
        <v>8.9999999999999993E-3</v>
      </c>
      <c r="H150" s="46">
        <v>24.66</v>
      </c>
      <c r="I150" s="46">
        <v>0.22194</v>
      </c>
    </row>
    <row r="151" spans="1:9">
      <c r="A151" s="44" t="s">
        <v>1208</v>
      </c>
      <c r="B151" s="584" t="s">
        <v>1209</v>
      </c>
      <c r="C151" s="584"/>
      <c r="D151" s="585" t="s">
        <v>29</v>
      </c>
      <c r="E151" s="585"/>
      <c r="F151" s="44" t="s">
        <v>1207</v>
      </c>
      <c r="G151" s="45">
        <v>1.9E-2</v>
      </c>
      <c r="H151" s="46">
        <v>19.8</v>
      </c>
      <c r="I151" s="46">
        <v>0.37619999999999998</v>
      </c>
    </row>
    <row r="152" spans="1:9">
      <c r="A152" s="42"/>
      <c r="B152" s="42"/>
      <c r="C152" s="42"/>
      <c r="D152" s="42"/>
      <c r="E152" s="42"/>
      <c r="F152" s="42"/>
      <c r="G152" s="590" t="s">
        <v>1210</v>
      </c>
      <c r="H152" s="590"/>
      <c r="I152" s="47">
        <v>0.6</v>
      </c>
    </row>
    <row r="153" spans="1:9">
      <c r="A153" s="591" t="s">
        <v>1334</v>
      </c>
      <c r="B153" s="591"/>
      <c r="C153" s="591"/>
      <c r="D153" s="42"/>
      <c r="E153" s="42"/>
      <c r="F153" s="42"/>
      <c r="G153" s="592" t="s">
        <v>1216</v>
      </c>
      <c r="H153" s="592"/>
      <c r="I153" s="38">
        <v>0.65</v>
      </c>
    </row>
    <row r="154" spans="1:9">
      <c r="A154" s="42"/>
      <c r="B154" s="42"/>
      <c r="C154" s="42"/>
      <c r="D154" s="586"/>
      <c r="E154" s="586"/>
      <c r="F154" s="586"/>
      <c r="G154" s="42"/>
      <c r="H154" s="42"/>
      <c r="I154" s="42"/>
    </row>
    <row r="155" spans="1:9">
      <c r="A155" s="587" t="s">
        <v>1335</v>
      </c>
      <c r="B155" s="587"/>
      <c r="C155" s="587"/>
      <c r="D155" s="587"/>
      <c r="E155" s="587"/>
      <c r="F155" s="587"/>
      <c r="G155" s="587"/>
      <c r="H155" s="587"/>
      <c r="I155" s="587"/>
    </row>
    <row r="156" spans="1:9" ht="24">
      <c r="A156" s="588" t="s">
        <v>1190</v>
      </c>
      <c r="B156" s="588"/>
      <c r="C156" s="588"/>
      <c r="D156" s="589" t="s">
        <v>1191</v>
      </c>
      <c r="E156" s="589"/>
      <c r="F156" s="43" t="s">
        <v>1192</v>
      </c>
      <c r="G156" s="43" t="s">
        <v>1193</v>
      </c>
      <c r="H156" s="43" t="s">
        <v>8</v>
      </c>
      <c r="I156" s="43" t="s">
        <v>1194</v>
      </c>
    </row>
    <row r="157" spans="1:9" ht="30" customHeight="1">
      <c r="A157" s="44" t="s">
        <v>1336</v>
      </c>
      <c r="B157" s="584" t="s">
        <v>1337</v>
      </c>
      <c r="C157" s="584"/>
      <c r="D157" s="585" t="s">
        <v>29</v>
      </c>
      <c r="E157" s="585"/>
      <c r="F157" s="44" t="s">
        <v>1338</v>
      </c>
      <c r="G157" s="45">
        <v>2.1299999999999999E-2</v>
      </c>
      <c r="H157" s="46">
        <v>9.09</v>
      </c>
      <c r="I157" s="46">
        <v>0.19361700000000001</v>
      </c>
    </row>
    <row r="158" spans="1:9" ht="30" customHeight="1">
      <c r="A158" s="44" t="s">
        <v>1339</v>
      </c>
      <c r="B158" s="584" t="s">
        <v>1340</v>
      </c>
      <c r="C158" s="584"/>
      <c r="D158" s="585" t="s">
        <v>29</v>
      </c>
      <c r="E158" s="585"/>
      <c r="F158" s="44" t="s">
        <v>138</v>
      </c>
      <c r="G158" s="45">
        <v>0.2994</v>
      </c>
      <c r="H158" s="46">
        <v>23.4</v>
      </c>
      <c r="I158" s="46">
        <v>7.00596</v>
      </c>
    </row>
    <row r="159" spans="1:9" ht="30" customHeight="1">
      <c r="A159" s="44" t="s">
        <v>1341</v>
      </c>
      <c r="B159" s="584" t="s">
        <v>1342</v>
      </c>
      <c r="C159" s="584"/>
      <c r="D159" s="585" t="s">
        <v>29</v>
      </c>
      <c r="E159" s="585"/>
      <c r="F159" s="44" t="s">
        <v>40</v>
      </c>
      <c r="G159" s="45">
        <v>3.125</v>
      </c>
      <c r="H159" s="46">
        <v>5.51</v>
      </c>
      <c r="I159" s="46">
        <v>17.21875</v>
      </c>
    </row>
    <row r="160" spans="1:9" ht="30" customHeight="1">
      <c r="A160" s="44" t="s">
        <v>1343</v>
      </c>
      <c r="B160" s="584" t="s">
        <v>1344</v>
      </c>
      <c r="C160" s="584"/>
      <c r="D160" s="585" t="s">
        <v>29</v>
      </c>
      <c r="E160" s="585"/>
      <c r="F160" s="44" t="s">
        <v>40</v>
      </c>
      <c r="G160" s="45">
        <v>2.5</v>
      </c>
      <c r="H160" s="46">
        <v>3.8</v>
      </c>
      <c r="I160" s="46">
        <v>9.5</v>
      </c>
    </row>
    <row r="161" spans="1:9">
      <c r="A161" s="42"/>
      <c r="B161" s="42"/>
      <c r="C161" s="42"/>
      <c r="D161" s="42"/>
      <c r="E161" s="42"/>
      <c r="F161" s="42"/>
      <c r="G161" s="590" t="s">
        <v>1203</v>
      </c>
      <c r="H161" s="590"/>
      <c r="I161" s="47">
        <v>33.92</v>
      </c>
    </row>
    <row r="162" spans="1:9" ht="24">
      <c r="A162" s="588" t="s">
        <v>1204</v>
      </c>
      <c r="B162" s="588"/>
      <c r="C162" s="588"/>
      <c r="D162" s="589" t="s">
        <v>1191</v>
      </c>
      <c r="E162" s="589"/>
      <c r="F162" s="43" t="s">
        <v>1192</v>
      </c>
      <c r="G162" s="43" t="s">
        <v>1193</v>
      </c>
      <c r="H162" s="43" t="s">
        <v>8</v>
      </c>
      <c r="I162" s="43" t="s">
        <v>1194</v>
      </c>
    </row>
    <row r="163" spans="1:9" ht="28.5" customHeight="1">
      <c r="A163" s="44" t="s">
        <v>1205</v>
      </c>
      <c r="B163" s="584" t="s">
        <v>1206</v>
      </c>
      <c r="C163" s="584"/>
      <c r="D163" s="585" t="s">
        <v>29</v>
      </c>
      <c r="E163" s="585"/>
      <c r="F163" s="44" t="s">
        <v>1207</v>
      </c>
      <c r="G163" s="45">
        <v>1.6268</v>
      </c>
      <c r="H163" s="46">
        <v>24.39</v>
      </c>
      <c r="I163" s="46">
        <v>39.677652000000002</v>
      </c>
    </row>
    <row r="164" spans="1:9">
      <c r="A164" s="44" t="s">
        <v>1224</v>
      </c>
      <c r="B164" s="584" t="s">
        <v>1225</v>
      </c>
      <c r="C164" s="584"/>
      <c r="D164" s="585" t="s">
        <v>29</v>
      </c>
      <c r="E164" s="585"/>
      <c r="F164" s="44" t="s">
        <v>1207</v>
      </c>
      <c r="G164" s="45">
        <v>0.156</v>
      </c>
      <c r="H164" s="46">
        <v>24.66</v>
      </c>
      <c r="I164" s="46">
        <v>3.8469600000000002</v>
      </c>
    </row>
    <row r="165" spans="1:9">
      <c r="A165" s="44" t="s">
        <v>1208</v>
      </c>
      <c r="B165" s="584" t="s">
        <v>1209</v>
      </c>
      <c r="C165" s="584"/>
      <c r="D165" s="585" t="s">
        <v>29</v>
      </c>
      <c r="E165" s="585"/>
      <c r="F165" s="44" t="s">
        <v>1207</v>
      </c>
      <c r="G165" s="45">
        <v>1.7827999999999999</v>
      </c>
      <c r="H165" s="46">
        <v>19.8</v>
      </c>
      <c r="I165" s="46">
        <v>35.299439999999997</v>
      </c>
    </row>
    <row r="166" spans="1:9">
      <c r="A166" s="42"/>
      <c r="B166" s="42"/>
      <c r="C166" s="42"/>
      <c r="D166" s="42"/>
      <c r="E166" s="42"/>
      <c r="F166" s="42"/>
      <c r="G166" s="590" t="s">
        <v>1210</v>
      </c>
      <c r="H166" s="590"/>
      <c r="I166" s="47">
        <v>78.83</v>
      </c>
    </row>
    <row r="167" spans="1:9">
      <c r="A167" s="591" t="s">
        <v>1345</v>
      </c>
      <c r="B167" s="591"/>
      <c r="C167" s="591"/>
      <c r="D167" s="42"/>
      <c r="E167" s="42"/>
      <c r="F167" s="42"/>
      <c r="G167" s="592" t="s">
        <v>1216</v>
      </c>
      <c r="H167" s="592"/>
      <c r="I167" s="38">
        <v>112.75</v>
      </c>
    </row>
    <row r="168" spans="1:9">
      <c r="A168" s="42"/>
      <c r="B168" s="42"/>
      <c r="C168" s="42"/>
      <c r="D168" s="586"/>
      <c r="E168" s="586"/>
      <c r="F168" s="586"/>
      <c r="G168" s="42"/>
      <c r="H168" s="42"/>
      <c r="I168" s="42"/>
    </row>
    <row r="169" spans="1:9">
      <c r="A169" s="587" t="s">
        <v>1346</v>
      </c>
      <c r="B169" s="587"/>
      <c r="C169" s="587"/>
      <c r="D169" s="587"/>
      <c r="E169" s="587"/>
      <c r="F169" s="587"/>
      <c r="G169" s="587"/>
      <c r="H169" s="587"/>
      <c r="I169" s="587"/>
    </row>
    <row r="170" spans="1:9" ht="24">
      <c r="A170" s="588" t="s">
        <v>1230</v>
      </c>
      <c r="B170" s="588"/>
      <c r="C170" s="588"/>
      <c r="D170" s="589" t="s">
        <v>1191</v>
      </c>
      <c r="E170" s="589"/>
      <c r="F170" s="43" t="s">
        <v>1192</v>
      </c>
      <c r="G170" s="43" t="s">
        <v>1193</v>
      </c>
      <c r="H170" s="43" t="s">
        <v>8</v>
      </c>
      <c r="I170" s="43" t="s">
        <v>1194</v>
      </c>
    </row>
    <row r="171" spans="1:9" ht="45" customHeight="1">
      <c r="A171" s="44" t="s">
        <v>1347</v>
      </c>
      <c r="B171" s="584" t="s">
        <v>1348</v>
      </c>
      <c r="C171" s="584"/>
      <c r="D171" s="585" t="s">
        <v>29</v>
      </c>
      <c r="E171" s="585"/>
      <c r="F171" s="44" t="s">
        <v>1275</v>
      </c>
      <c r="G171" s="45">
        <v>2.1999999999999999E-2</v>
      </c>
      <c r="H171" s="46">
        <v>32.46</v>
      </c>
      <c r="I171" s="46">
        <v>0.71411999999999998</v>
      </c>
    </row>
    <row r="172" spans="1:9" ht="45" customHeight="1">
      <c r="A172" s="44" t="s">
        <v>1349</v>
      </c>
      <c r="B172" s="584" t="s">
        <v>1350</v>
      </c>
      <c r="C172" s="584"/>
      <c r="D172" s="585" t="s">
        <v>29</v>
      </c>
      <c r="E172" s="585"/>
      <c r="F172" s="44" t="s">
        <v>1233</v>
      </c>
      <c r="G172" s="45">
        <v>5.0000000000000001E-3</v>
      </c>
      <c r="H172" s="46">
        <v>33.729999999999997</v>
      </c>
      <c r="I172" s="46">
        <v>0.16864999999999999</v>
      </c>
    </row>
    <row r="173" spans="1:9">
      <c r="A173" s="42"/>
      <c r="B173" s="42"/>
      <c r="C173" s="42"/>
      <c r="D173" s="42"/>
      <c r="E173" s="42"/>
      <c r="F173" s="42"/>
      <c r="G173" s="590" t="s">
        <v>1236</v>
      </c>
      <c r="H173" s="590"/>
      <c r="I173" s="47">
        <v>0.88</v>
      </c>
    </row>
    <row r="174" spans="1:9" ht="24">
      <c r="A174" s="588" t="s">
        <v>1204</v>
      </c>
      <c r="B174" s="588"/>
      <c r="C174" s="588"/>
      <c r="D174" s="589" t="s">
        <v>1191</v>
      </c>
      <c r="E174" s="589"/>
      <c r="F174" s="43" t="s">
        <v>1192</v>
      </c>
      <c r="G174" s="43" t="s">
        <v>1193</v>
      </c>
      <c r="H174" s="43" t="s">
        <v>8</v>
      </c>
      <c r="I174" s="43" t="s">
        <v>1194</v>
      </c>
    </row>
    <row r="175" spans="1:9" ht="34.5" customHeight="1">
      <c r="A175" s="44" t="s">
        <v>1351</v>
      </c>
      <c r="B175" s="599" t="s">
        <v>1352</v>
      </c>
      <c r="C175" s="599"/>
      <c r="D175" s="585" t="s">
        <v>29</v>
      </c>
      <c r="E175" s="585"/>
      <c r="F175" s="44" t="s">
        <v>1207</v>
      </c>
      <c r="G175" s="45">
        <v>5.0000000000000001E-3</v>
      </c>
      <c r="H175" s="46">
        <v>19.68</v>
      </c>
      <c r="I175" s="46">
        <v>9.8400000000000001E-2</v>
      </c>
    </row>
    <row r="176" spans="1:9" ht="34.5" customHeight="1">
      <c r="A176" s="44" t="s">
        <v>1205</v>
      </c>
      <c r="B176" s="584" t="s">
        <v>1206</v>
      </c>
      <c r="C176" s="584"/>
      <c r="D176" s="585" t="s">
        <v>29</v>
      </c>
      <c r="E176" s="585"/>
      <c r="F176" s="44" t="s">
        <v>1207</v>
      </c>
      <c r="G176" s="45">
        <v>5.0000000000000001E-3</v>
      </c>
      <c r="H176" s="46">
        <v>24.39</v>
      </c>
      <c r="I176" s="46">
        <v>0.12195</v>
      </c>
    </row>
    <row r="177" spans="1:9">
      <c r="A177" s="42"/>
      <c r="B177" s="42"/>
      <c r="C177" s="42"/>
      <c r="D177" s="42"/>
      <c r="E177" s="42"/>
      <c r="F177" s="42"/>
      <c r="G177" s="590" t="s">
        <v>1210</v>
      </c>
      <c r="H177" s="590"/>
      <c r="I177" s="47">
        <v>0.22</v>
      </c>
    </row>
    <row r="178" spans="1:9">
      <c r="A178" s="591" t="s">
        <v>1353</v>
      </c>
      <c r="B178" s="591"/>
      <c r="C178" s="591"/>
      <c r="D178" s="42"/>
      <c r="E178" s="42"/>
      <c r="F178" s="42"/>
      <c r="G178" s="592" t="s">
        <v>1216</v>
      </c>
      <c r="H178" s="592"/>
      <c r="I178" s="38">
        <v>1.1000000000000001</v>
      </c>
    </row>
    <row r="179" spans="1:9">
      <c r="A179" s="591"/>
      <c r="B179" s="591"/>
      <c r="C179" s="591"/>
      <c r="D179" s="42"/>
      <c r="E179" s="42"/>
      <c r="F179" s="42"/>
      <c r="G179" s="42"/>
      <c r="H179" s="42"/>
      <c r="I179" s="42"/>
    </row>
    <row r="180" spans="1:9">
      <c r="A180" s="42"/>
      <c r="B180" s="42"/>
      <c r="C180" s="42"/>
      <c r="D180" s="586"/>
      <c r="E180" s="586"/>
      <c r="F180" s="586"/>
      <c r="G180" s="42"/>
      <c r="H180" s="42"/>
      <c r="I180" s="42"/>
    </row>
    <row r="181" spans="1:9">
      <c r="A181" s="587" t="s">
        <v>1354</v>
      </c>
      <c r="B181" s="587"/>
      <c r="C181" s="587"/>
      <c r="D181" s="587"/>
      <c r="E181" s="587"/>
      <c r="F181" s="587"/>
      <c r="G181" s="587"/>
      <c r="H181" s="587"/>
      <c r="I181" s="587"/>
    </row>
    <row r="182" spans="1:9" ht="24">
      <c r="A182" s="588" t="s">
        <v>1204</v>
      </c>
      <c r="B182" s="588"/>
      <c r="C182" s="588"/>
      <c r="D182" s="589" t="s">
        <v>1191</v>
      </c>
      <c r="E182" s="589"/>
      <c r="F182" s="43" t="s">
        <v>1192</v>
      </c>
      <c r="G182" s="43" t="s">
        <v>1193</v>
      </c>
      <c r="H182" s="43" t="s">
        <v>8</v>
      </c>
      <c r="I182" s="43" t="s">
        <v>1194</v>
      </c>
    </row>
    <row r="183" spans="1:9">
      <c r="A183" s="44" t="s">
        <v>1224</v>
      </c>
      <c r="B183" s="584" t="s">
        <v>1225</v>
      </c>
      <c r="C183" s="584"/>
      <c r="D183" s="585" t="s">
        <v>29</v>
      </c>
      <c r="E183" s="585"/>
      <c r="F183" s="44" t="s">
        <v>1207</v>
      </c>
      <c r="G183" s="45">
        <v>1.65</v>
      </c>
      <c r="H183" s="46">
        <v>24.66</v>
      </c>
      <c r="I183" s="46">
        <v>40.689</v>
      </c>
    </row>
    <row r="184" spans="1:9">
      <c r="A184" s="44" t="s">
        <v>1208</v>
      </c>
      <c r="B184" s="584" t="s">
        <v>1209</v>
      </c>
      <c r="C184" s="584"/>
      <c r="D184" s="585" t="s">
        <v>29</v>
      </c>
      <c r="E184" s="585"/>
      <c r="F184" s="44" t="s">
        <v>1207</v>
      </c>
      <c r="G184" s="45">
        <v>4.5</v>
      </c>
      <c r="H184" s="46">
        <v>19.8</v>
      </c>
      <c r="I184" s="46">
        <v>89.1</v>
      </c>
    </row>
    <row r="185" spans="1:9">
      <c r="A185" s="42"/>
      <c r="B185" s="42"/>
      <c r="C185" s="42"/>
      <c r="D185" s="42"/>
      <c r="E185" s="42"/>
      <c r="F185" s="42"/>
      <c r="G185" s="590" t="s">
        <v>1210</v>
      </c>
      <c r="H185" s="590"/>
      <c r="I185" s="47">
        <v>129.79</v>
      </c>
    </row>
    <row r="186" spans="1:9">
      <c r="A186" s="591" t="s">
        <v>1355</v>
      </c>
      <c r="B186" s="591"/>
      <c r="C186" s="591"/>
      <c r="D186" s="42"/>
      <c r="E186" s="42"/>
      <c r="F186" s="42"/>
      <c r="G186" s="592" t="s">
        <v>1216</v>
      </c>
      <c r="H186" s="592"/>
      <c r="I186" s="38">
        <v>129.79</v>
      </c>
    </row>
    <row r="187" spans="1:9">
      <c r="A187" s="42"/>
      <c r="B187" s="42"/>
      <c r="C187" s="42"/>
      <c r="D187" s="586"/>
      <c r="E187" s="586"/>
      <c r="F187" s="586"/>
      <c r="G187" s="42"/>
      <c r="H187" s="42"/>
      <c r="I187" s="42"/>
    </row>
    <row r="188" spans="1:9">
      <c r="A188" s="587" t="s">
        <v>1356</v>
      </c>
      <c r="B188" s="587"/>
      <c r="C188" s="587"/>
      <c r="D188" s="587"/>
      <c r="E188" s="587"/>
      <c r="F188" s="587"/>
      <c r="G188" s="587"/>
      <c r="H188" s="587"/>
      <c r="I188" s="587"/>
    </row>
    <row r="189" spans="1:9" ht="24">
      <c r="A189" s="588" t="s">
        <v>1190</v>
      </c>
      <c r="B189" s="588"/>
      <c r="C189" s="588"/>
      <c r="D189" s="589" t="s">
        <v>1191</v>
      </c>
      <c r="E189" s="589"/>
      <c r="F189" s="43" t="s">
        <v>1192</v>
      </c>
      <c r="G189" s="43" t="s">
        <v>1193</v>
      </c>
      <c r="H189" s="43" t="s">
        <v>8</v>
      </c>
      <c r="I189" s="43" t="s">
        <v>1194</v>
      </c>
    </row>
    <row r="190" spans="1:9" ht="43.5" customHeight="1">
      <c r="A190" s="44" t="s">
        <v>1357</v>
      </c>
      <c r="B190" s="584" t="s">
        <v>1358</v>
      </c>
      <c r="C190" s="584"/>
      <c r="D190" s="585" t="s">
        <v>29</v>
      </c>
      <c r="E190" s="585"/>
      <c r="F190" s="44" t="s">
        <v>115</v>
      </c>
      <c r="G190" s="45">
        <v>4</v>
      </c>
      <c r="H190" s="46">
        <v>0.39</v>
      </c>
      <c r="I190" s="46">
        <v>1.56</v>
      </c>
    </row>
    <row r="191" spans="1:9" ht="43.5" customHeight="1">
      <c r="A191" s="44" t="s">
        <v>1359</v>
      </c>
      <c r="B191" s="584" t="s">
        <v>1360</v>
      </c>
      <c r="C191" s="584"/>
      <c r="D191" s="585" t="s">
        <v>29</v>
      </c>
      <c r="E191" s="585"/>
      <c r="F191" s="44" t="s">
        <v>115</v>
      </c>
      <c r="G191" s="45">
        <v>1</v>
      </c>
      <c r="H191" s="46">
        <v>146.85</v>
      </c>
      <c r="I191" s="46">
        <v>146.85</v>
      </c>
    </row>
    <row r="192" spans="1:9">
      <c r="A192" s="42"/>
      <c r="B192" s="42"/>
      <c r="C192" s="42"/>
      <c r="D192" s="42"/>
      <c r="E192" s="42"/>
      <c r="F192" s="42"/>
      <c r="G192" s="590" t="s">
        <v>1203</v>
      </c>
      <c r="H192" s="590"/>
      <c r="I192" s="47">
        <v>148.41</v>
      </c>
    </row>
    <row r="193" spans="1:9" ht="24">
      <c r="A193" s="588" t="s">
        <v>1204</v>
      </c>
      <c r="B193" s="588"/>
      <c r="C193" s="588"/>
      <c r="D193" s="589" t="s">
        <v>1191</v>
      </c>
      <c r="E193" s="589"/>
      <c r="F193" s="43" t="s">
        <v>1192</v>
      </c>
      <c r="G193" s="43" t="s">
        <v>1193</v>
      </c>
      <c r="H193" s="43" t="s">
        <v>8</v>
      </c>
      <c r="I193" s="43" t="s">
        <v>1194</v>
      </c>
    </row>
    <row r="194" spans="1:9">
      <c r="A194" s="44" t="s">
        <v>1208</v>
      </c>
      <c r="B194" s="584" t="s">
        <v>1209</v>
      </c>
      <c r="C194" s="584"/>
      <c r="D194" s="585" t="s">
        <v>29</v>
      </c>
      <c r="E194" s="585"/>
      <c r="F194" s="44" t="s">
        <v>1207</v>
      </c>
      <c r="G194" s="45">
        <v>0.4</v>
      </c>
      <c r="H194" s="46">
        <v>19.8</v>
      </c>
      <c r="I194" s="46">
        <v>7.92</v>
      </c>
    </row>
    <row r="195" spans="1:9">
      <c r="A195" s="42"/>
      <c r="B195" s="42"/>
      <c r="C195" s="42"/>
      <c r="D195" s="42"/>
      <c r="E195" s="42"/>
      <c r="F195" s="42"/>
      <c r="G195" s="590" t="s">
        <v>1210</v>
      </c>
      <c r="H195" s="590"/>
      <c r="I195" s="47">
        <v>7.92</v>
      </c>
    </row>
    <row r="196" spans="1:9">
      <c r="A196" s="591" t="s">
        <v>1361</v>
      </c>
      <c r="B196" s="591"/>
      <c r="C196" s="591"/>
      <c r="D196" s="42"/>
      <c r="E196" s="42"/>
      <c r="F196" s="42"/>
      <c r="G196" s="592" t="s">
        <v>1216</v>
      </c>
      <c r="H196" s="592"/>
      <c r="I196" s="38">
        <v>156.33000000000001</v>
      </c>
    </row>
    <row r="197" spans="1:9">
      <c r="A197" s="42"/>
      <c r="B197" s="42"/>
      <c r="C197" s="42"/>
      <c r="D197" s="586"/>
      <c r="E197" s="586"/>
      <c r="F197" s="586"/>
      <c r="G197" s="42"/>
      <c r="H197" s="42"/>
      <c r="I197" s="42"/>
    </row>
    <row r="198" spans="1:9">
      <c r="A198" s="587" t="s">
        <v>1362</v>
      </c>
      <c r="B198" s="587"/>
      <c r="C198" s="587"/>
      <c r="D198" s="587"/>
      <c r="E198" s="587"/>
      <c r="F198" s="587"/>
      <c r="G198" s="587"/>
      <c r="H198" s="587"/>
      <c r="I198" s="587"/>
    </row>
    <row r="199" spans="1:9" ht="24">
      <c r="A199" s="588" t="s">
        <v>1190</v>
      </c>
      <c r="B199" s="588"/>
      <c r="C199" s="588"/>
      <c r="D199" s="589" t="s">
        <v>1191</v>
      </c>
      <c r="E199" s="589"/>
      <c r="F199" s="43" t="s">
        <v>1192</v>
      </c>
      <c r="G199" s="43" t="s">
        <v>1193</v>
      </c>
      <c r="H199" s="43" t="s">
        <v>8</v>
      </c>
      <c r="I199" s="43" t="s">
        <v>1194</v>
      </c>
    </row>
    <row r="200" spans="1:9" ht="31.5" customHeight="1">
      <c r="A200" s="44" t="s">
        <v>1363</v>
      </c>
      <c r="B200" s="584" t="s">
        <v>1364</v>
      </c>
      <c r="C200" s="584"/>
      <c r="D200" s="585" t="s">
        <v>29</v>
      </c>
      <c r="E200" s="585"/>
      <c r="F200" s="44" t="s">
        <v>138</v>
      </c>
      <c r="G200" s="45">
        <v>4</v>
      </c>
      <c r="H200" s="46">
        <v>1.76</v>
      </c>
      <c r="I200" s="46">
        <v>7.04</v>
      </c>
    </row>
    <row r="201" spans="1:9" ht="31.5" customHeight="1">
      <c r="A201" s="44" t="s">
        <v>1365</v>
      </c>
      <c r="B201" s="584" t="s">
        <v>1366</v>
      </c>
      <c r="C201" s="584"/>
      <c r="D201" s="585" t="s">
        <v>29</v>
      </c>
      <c r="E201" s="585"/>
      <c r="F201" s="44" t="s">
        <v>115</v>
      </c>
      <c r="G201" s="45">
        <v>6.56</v>
      </c>
      <c r="H201" s="46">
        <v>10.27</v>
      </c>
      <c r="I201" s="46">
        <v>67.371200000000002</v>
      </c>
    </row>
    <row r="202" spans="1:9" ht="31.5" customHeight="1">
      <c r="A202" s="44" t="s">
        <v>1367</v>
      </c>
      <c r="B202" s="584" t="s">
        <v>1368</v>
      </c>
      <c r="C202" s="584"/>
      <c r="D202" s="585" t="s">
        <v>29</v>
      </c>
      <c r="E202" s="585"/>
      <c r="F202" s="44" t="s">
        <v>138</v>
      </c>
      <c r="G202" s="45">
        <v>0.33</v>
      </c>
      <c r="H202" s="46">
        <v>5.57</v>
      </c>
      <c r="I202" s="46">
        <v>1.8381000000000001</v>
      </c>
    </row>
    <row r="203" spans="1:9">
      <c r="A203" s="42"/>
      <c r="B203" s="42"/>
      <c r="C203" s="42"/>
      <c r="D203" s="42"/>
      <c r="E203" s="42"/>
      <c r="F203" s="42"/>
      <c r="G203" s="590" t="s">
        <v>1203</v>
      </c>
      <c r="H203" s="590"/>
      <c r="I203" s="47">
        <v>76.25</v>
      </c>
    </row>
    <row r="204" spans="1:9" ht="24">
      <c r="A204" s="588" t="s">
        <v>1204</v>
      </c>
      <c r="B204" s="588"/>
      <c r="C204" s="588"/>
      <c r="D204" s="589" t="s">
        <v>1191</v>
      </c>
      <c r="E204" s="589"/>
      <c r="F204" s="43" t="s">
        <v>1192</v>
      </c>
      <c r="G204" s="43" t="s">
        <v>1193</v>
      </c>
      <c r="H204" s="43" t="s">
        <v>8</v>
      </c>
      <c r="I204" s="43" t="s">
        <v>1194</v>
      </c>
    </row>
    <row r="205" spans="1:9">
      <c r="A205" s="44" t="s">
        <v>1224</v>
      </c>
      <c r="B205" s="584" t="s">
        <v>1225</v>
      </c>
      <c r="C205" s="584"/>
      <c r="D205" s="585" t="s">
        <v>29</v>
      </c>
      <c r="E205" s="585"/>
      <c r="F205" s="44" t="s">
        <v>1207</v>
      </c>
      <c r="G205" s="45">
        <v>0.5</v>
      </c>
      <c r="H205" s="46">
        <v>24.66</v>
      </c>
      <c r="I205" s="46">
        <v>12.33</v>
      </c>
    </row>
    <row r="206" spans="1:9">
      <c r="A206" s="44" t="s">
        <v>1208</v>
      </c>
      <c r="B206" s="584" t="s">
        <v>1209</v>
      </c>
      <c r="C206" s="584"/>
      <c r="D206" s="585" t="s">
        <v>29</v>
      </c>
      <c r="E206" s="585"/>
      <c r="F206" s="44" t="s">
        <v>1207</v>
      </c>
      <c r="G206" s="45">
        <v>1.2</v>
      </c>
      <c r="H206" s="46">
        <v>19.8</v>
      </c>
      <c r="I206" s="46">
        <v>23.76</v>
      </c>
    </row>
    <row r="207" spans="1:9">
      <c r="A207" s="42"/>
      <c r="B207" s="42"/>
      <c r="C207" s="42"/>
      <c r="D207" s="42"/>
      <c r="E207" s="42"/>
      <c r="F207" s="42"/>
      <c r="G207" s="590" t="s">
        <v>1210</v>
      </c>
      <c r="H207" s="590"/>
      <c r="I207" s="47">
        <v>36.090000000000003</v>
      </c>
    </row>
    <row r="208" spans="1:9">
      <c r="A208" s="591" t="s">
        <v>1369</v>
      </c>
      <c r="B208" s="591"/>
      <c r="C208" s="591"/>
      <c r="D208" s="42"/>
      <c r="E208" s="42"/>
      <c r="F208" s="42"/>
      <c r="G208" s="592" t="s">
        <v>1216</v>
      </c>
      <c r="H208" s="592"/>
      <c r="I208" s="38">
        <v>112.34</v>
      </c>
    </row>
    <row r="209" spans="1:9">
      <c r="A209" s="42"/>
      <c r="B209" s="42"/>
      <c r="C209" s="42"/>
      <c r="D209" s="586"/>
      <c r="E209" s="586"/>
      <c r="F209" s="586"/>
      <c r="G209" s="42"/>
      <c r="H209" s="42"/>
      <c r="I209" s="42"/>
    </row>
    <row r="210" spans="1:9">
      <c r="A210" s="587" t="s">
        <v>1370</v>
      </c>
      <c r="B210" s="587"/>
      <c r="C210" s="587"/>
      <c r="D210" s="587"/>
      <c r="E210" s="587"/>
      <c r="F210" s="587"/>
      <c r="G210" s="587"/>
      <c r="H210" s="587"/>
      <c r="I210" s="587"/>
    </row>
    <row r="211" spans="1:9" ht="24">
      <c r="A211" s="588" t="s">
        <v>1190</v>
      </c>
      <c r="B211" s="588"/>
      <c r="C211" s="588"/>
      <c r="D211" s="589" t="s">
        <v>1191</v>
      </c>
      <c r="E211" s="589"/>
      <c r="F211" s="43" t="s">
        <v>1192</v>
      </c>
      <c r="G211" s="43" t="s">
        <v>1193</v>
      </c>
      <c r="H211" s="43" t="s">
        <v>8</v>
      </c>
      <c r="I211" s="43" t="s">
        <v>1194</v>
      </c>
    </row>
    <row r="212" spans="1:9" ht="24">
      <c r="A212" s="44" t="s">
        <v>197</v>
      </c>
      <c r="B212" s="584" t="s">
        <v>1371</v>
      </c>
      <c r="C212" s="584"/>
      <c r="D212" s="585" t="s">
        <v>1220</v>
      </c>
      <c r="E212" s="585"/>
      <c r="F212" s="44" t="s">
        <v>44</v>
      </c>
      <c r="G212" s="45">
        <v>1</v>
      </c>
      <c r="H212" s="46">
        <v>56.1</v>
      </c>
      <c r="I212" s="46">
        <v>56.1</v>
      </c>
    </row>
    <row r="213" spans="1:9">
      <c r="A213" s="42"/>
      <c r="B213" s="42"/>
      <c r="C213" s="42"/>
      <c r="D213" s="42"/>
      <c r="E213" s="42"/>
      <c r="F213" s="42"/>
      <c r="G213" s="590" t="s">
        <v>1203</v>
      </c>
      <c r="H213" s="590"/>
      <c r="I213" s="47">
        <v>56.1</v>
      </c>
    </row>
    <row r="214" spans="1:9">
      <c r="A214" s="42"/>
      <c r="B214" s="42"/>
      <c r="C214" s="42"/>
      <c r="D214" s="42"/>
      <c r="E214" s="42"/>
      <c r="F214" s="42"/>
      <c r="G214" s="592" t="s">
        <v>1216</v>
      </c>
      <c r="H214" s="592"/>
      <c r="I214" s="38">
        <v>56.1</v>
      </c>
    </row>
    <row r="215" spans="1:9">
      <c r="A215" s="42"/>
      <c r="B215" s="42"/>
      <c r="C215" s="42"/>
      <c r="D215" s="586"/>
      <c r="E215" s="586"/>
      <c r="F215" s="586"/>
      <c r="G215" s="42"/>
      <c r="H215" s="42"/>
      <c r="I215" s="42"/>
    </row>
    <row r="216" spans="1:9">
      <c r="A216" s="587" t="s">
        <v>1372</v>
      </c>
      <c r="B216" s="587"/>
      <c r="C216" s="587"/>
      <c r="D216" s="587"/>
      <c r="E216" s="587"/>
      <c r="F216" s="587"/>
      <c r="G216" s="587"/>
      <c r="H216" s="587"/>
      <c r="I216" s="587"/>
    </row>
    <row r="217" spans="1:9" ht="24">
      <c r="A217" s="588" t="s">
        <v>1190</v>
      </c>
      <c r="B217" s="588"/>
      <c r="C217" s="588"/>
      <c r="D217" s="589" t="s">
        <v>1191</v>
      </c>
      <c r="E217" s="589"/>
      <c r="F217" s="43" t="s">
        <v>1192</v>
      </c>
      <c r="G217" s="43" t="s">
        <v>1193</v>
      </c>
      <c r="H217" s="43" t="s">
        <v>8</v>
      </c>
      <c r="I217" s="43" t="s">
        <v>1194</v>
      </c>
    </row>
    <row r="218" spans="1:9" ht="24">
      <c r="A218" s="44" t="s">
        <v>206</v>
      </c>
      <c r="B218" s="584" t="s">
        <v>1373</v>
      </c>
      <c r="C218" s="584"/>
      <c r="D218" s="585" t="s">
        <v>1220</v>
      </c>
      <c r="E218" s="585"/>
      <c r="F218" s="44" t="s">
        <v>138</v>
      </c>
      <c r="G218" s="45">
        <v>1</v>
      </c>
      <c r="H218" s="46">
        <v>5.32</v>
      </c>
      <c r="I218" s="46">
        <v>5.32</v>
      </c>
    </row>
    <row r="219" spans="1:9">
      <c r="A219" s="42"/>
      <c r="B219" s="42"/>
      <c r="C219" s="42"/>
      <c r="D219" s="42"/>
      <c r="E219" s="42"/>
      <c r="F219" s="42"/>
      <c r="G219" s="590" t="s">
        <v>1203</v>
      </c>
      <c r="H219" s="590"/>
      <c r="I219" s="47">
        <v>5.32</v>
      </c>
    </row>
    <row r="220" spans="1:9">
      <c r="A220" s="42"/>
      <c r="B220" s="42"/>
      <c r="C220" s="42"/>
      <c r="D220" s="42"/>
      <c r="E220" s="42"/>
      <c r="F220" s="42"/>
      <c r="G220" s="592" t="s">
        <v>1216</v>
      </c>
      <c r="H220" s="592"/>
      <c r="I220" s="38">
        <v>5.32</v>
      </c>
    </row>
    <row r="221" spans="1:9">
      <c r="A221" s="42"/>
      <c r="B221" s="42"/>
      <c r="C221" s="42"/>
      <c r="D221" s="586"/>
      <c r="E221" s="586"/>
      <c r="F221" s="586"/>
      <c r="G221" s="42"/>
      <c r="H221" s="42"/>
      <c r="I221" s="42"/>
    </row>
    <row r="222" spans="1:9">
      <c r="A222" s="587" t="s">
        <v>1374</v>
      </c>
      <c r="B222" s="587"/>
      <c r="C222" s="587"/>
      <c r="D222" s="587"/>
      <c r="E222" s="587"/>
      <c r="F222" s="587"/>
      <c r="G222" s="587"/>
      <c r="H222" s="587"/>
      <c r="I222" s="587"/>
    </row>
    <row r="223" spans="1:9" ht="24">
      <c r="A223" s="588" t="s">
        <v>1190</v>
      </c>
      <c r="B223" s="588"/>
      <c r="C223" s="588"/>
      <c r="D223" s="589" t="s">
        <v>1191</v>
      </c>
      <c r="E223" s="589"/>
      <c r="F223" s="43" t="s">
        <v>1192</v>
      </c>
      <c r="G223" s="43" t="s">
        <v>1193</v>
      </c>
      <c r="H223" s="43" t="s">
        <v>8</v>
      </c>
      <c r="I223" s="43" t="s">
        <v>1194</v>
      </c>
    </row>
    <row r="224" spans="1:9">
      <c r="A224" s="44" t="s">
        <v>1375</v>
      </c>
      <c r="B224" s="584" t="s">
        <v>1376</v>
      </c>
      <c r="C224" s="584"/>
      <c r="D224" s="585" t="s">
        <v>161</v>
      </c>
      <c r="E224" s="585"/>
      <c r="F224" s="44" t="s">
        <v>167</v>
      </c>
      <c r="G224" s="45">
        <v>1</v>
      </c>
      <c r="H224" s="46">
        <v>47.1265</v>
      </c>
      <c r="I224" s="46">
        <v>47.1265</v>
      </c>
    </row>
    <row r="225" spans="1:9">
      <c r="A225" s="42"/>
      <c r="B225" s="42"/>
      <c r="C225" s="42"/>
      <c r="D225" s="42"/>
      <c r="E225" s="42"/>
      <c r="F225" s="42"/>
      <c r="G225" s="590" t="s">
        <v>1203</v>
      </c>
      <c r="H225" s="590"/>
      <c r="I225" s="47">
        <v>47.13</v>
      </c>
    </row>
    <row r="226" spans="1:9" ht="24">
      <c r="A226" s="588" t="s">
        <v>1211</v>
      </c>
      <c r="B226" s="588"/>
      <c r="C226" s="588"/>
      <c r="D226" s="589" t="s">
        <v>1191</v>
      </c>
      <c r="E226" s="589"/>
      <c r="F226" s="43" t="s">
        <v>1192</v>
      </c>
      <c r="G226" s="43" t="s">
        <v>1193</v>
      </c>
      <c r="H226" s="43" t="s">
        <v>8</v>
      </c>
      <c r="I226" s="43" t="s">
        <v>1194</v>
      </c>
    </row>
    <row r="227" spans="1:9" ht="52.5" customHeight="1">
      <c r="A227" s="44" t="s">
        <v>143</v>
      </c>
      <c r="B227" s="584" t="s">
        <v>144</v>
      </c>
      <c r="C227" s="584"/>
      <c r="D227" s="585" t="s">
        <v>29</v>
      </c>
      <c r="E227" s="585"/>
      <c r="F227" s="44" t="s">
        <v>20</v>
      </c>
      <c r="G227" s="45">
        <v>3.81</v>
      </c>
      <c r="H227" s="46">
        <v>105.62</v>
      </c>
      <c r="I227" s="46">
        <v>402.41219999999998</v>
      </c>
    </row>
    <row r="228" spans="1:9" ht="52.5" customHeight="1">
      <c r="A228" s="44" t="s">
        <v>1377</v>
      </c>
      <c r="B228" s="584" t="s">
        <v>1378</v>
      </c>
      <c r="C228" s="584"/>
      <c r="D228" s="585" t="s">
        <v>29</v>
      </c>
      <c r="E228" s="585"/>
      <c r="F228" s="44" t="s">
        <v>138</v>
      </c>
      <c r="G228" s="45">
        <v>4.0999999999999996</v>
      </c>
      <c r="H228" s="46">
        <v>19.350000000000001</v>
      </c>
      <c r="I228" s="46">
        <v>79.334999999999994</v>
      </c>
    </row>
    <row r="229" spans="1:9" ht="52.5" customHeight="1">
      <c r="A229" s="44" t="s">
        <v>146</v>
      </c>
      <c r="B229" s="584" t="s">
        <v>1379</v>
      </c>
      <c r="C229" s="584"/>
      <c r="D229" s="585" t="s">
        <v>29</v>
      </c>
      <c r="E229" s="585"/>
      <c r="F229" s="44" t="s">
        <v>20</v>
      </c>
      <c r="G229" s="45">
        <v>7.62</v>
      </c>
      <c r="H229" s="46">
        <v>4.0999999999999996</v>
      </c>
      <c r="I229" s="46">
        <v>31.242000000000001</v>
      </c>
    </row>
    <row r="230" spans="1:9" ht="52.5" customHeight="1">
      <c r="A230" s="44" t="s">
        <v>1380</v>
      </c>
      <c r="B230" s="584" t="s">
        <v>1381</v>
      </c>
      <c r="C230" s="584"/>
      <c r="D230" s="585" t="s">
        <v>29</v>
      </c>
      <c r="E230" s="585"/>
      <c r="F230" s="44" t="s">
        <v>60</v>
      </c>
      <c r="G230" s="45">
        <v>0.25</v>
      </c>
      <c r="H230" s="46">
        <v>428.85</v>
      </c>
      <c r="I230" s="46">
        <v>107.21250000000001</v>
      </c>
    </row>
    <row r="231" spans="1:9" ht="52.5" customHeight="1">
      <c r="A231" s="44" t="s">
        <v>1382</v>
      </c>
      <c r="B231" s="584" t="s">
        <v>1383</v>
      </c>
      <c r="C231" s="584"/>
      <c r="D231" s="585" t="s">
        <v>29</v>
      </c>
      <c r="E231" s="585"/>
      <c r="F231" s="44" t="s">
        <v>60</v>
      </c>
      <c r="G231" s="45">
        <v>0.06</v>
      </c>
      <c r="H231" s="46">
        <v>480.01</v>
      </c>
      <c r="I231" s="46">
        <v>28.800599999999999</v>
      </c>
    </row>
    <row r="232" spans="1:9" ht="52.5" customHeight="1">
      <c r="A232" s="44" t="s">
        <v>1384</v>
      </c>
      <c r="B232" s="584" t="s">
        <v>1385</v>
      </c>
      <c r="C232" s="584"/>
      <c r="D232" s="585" t="s">
        <v>29</v>
      </c>
      <c r="E232" s="585"/>
      <c r="F232" s="44" t="s">
        <v>20</v>
      </c>
      <c r="G232" s="45">
        <v>3.1</v>
      </c>
      <c r="H232" s="46">
        <v>192.87</v>
      </c>
      <c r="I232" s="46">
        <v>597.89700000000005</v>
      </c>
    </row>
    <row r="233" spans="1:9" ht="52.5" customHeight="1">
      <c r="A233" s="44" t="s">
        <v>155</v>
      </c>
      <c r="B233" s="584" t="s">
        <v>1386</v>
      </c>
      <c r="C233" s="584"/>
      <c r="D233" s="585" t="s">
        <v>1220</v>
      </c>
      <c r="E233" s="585"/>
      <c r="F233" s="44" t="s">
        <v>60</v>
      </c>
      <c r="G233" s="45">
        <v>0.31</v>
      </c>
      <c r="H233" s="46">
        <v>129.79</v>
      </c>
      <c r="I233" s="46">
        <v>40.234900000000003</v>
      </c>
    </row>
    <row r="234" spans="1:9" ht="52.5" customHeight="1">
      <c r="A234" s="44" t="s">
        <v>1387</v>
      </c>
      <c r="B234" s="584" t="s">
        <v>1388</v>
      </c>
      <c r="C234" s="584"/>
      <c r="D234" s="585" t="s">
        <v>29</v>
      </c>
      <c r="E234" s="585"/>
      <c r="F234" s="44" t="s">
        <v>20</v>
      </c>
      <c r="G234" s="45">
        <v>3.81</v>
      </c>
      <c r="H234" s="46">
        <v>26.6</v>
      </c>
      <c r="I234" s="46">
        <v>101.346</v>
      </c>
    </row>
    <row r="235" spans="1:9" ht="52.5" customHeight="1">
      <c r="A235" s="44" t="s">
        <v>1389</v>
      </c>
      <c r="B235" s="584" t="s">
        <v>1390</v>
      </c>
      <c r="C235" s="584"/>
      <c r="D235" s="585" t="s">
        <v>29</v>
      </c>
      <c r="E235" s="585"/>
      <c r="F235" s="44" t="s">
        <v>1391</v>
      </c>
      <c r="G235" s="45">
        <v>1.05</v>
      </c>
      <c r="H235" s="46">
        <v>0.99</v>
      </c>
      <c r="I235" s="46">
        <v>1.0395000000000001</v>
      </c>
    </row>
    <row r="236" spans="1:9">
      <c r="A236" s="42"/>
      <c r="B236" s="42"/>
      <c r="C236" s="42"/>
      <c r="D236" s="42"/>
      <c r="E236" s="42"/>
      <c r="F236" s="42"/>
      <c r="G236" s="590" t="s">
        <v>1214</v>
      </c>
      <c r="H236" s="590"/>
      <c r="I236" s="47">
        <v>1389.52</v>
      </c>
    </row>
    <row r="237" spans="1:9">
      <c r="A237" s="591" t="s">
        <v>1392</v>
      </c>
      <c r="B237" s="591"/>
      <c r="C237" s="591"/>
      <c r="D237" s="42"/>
      <c r="E237" s="42"/>
      <c r="F237" s="42"/>
      <c r="G237" s="592" t="s">
        <v>1216</v>
      </c>
      <c r="H237" s="592"/>
      <c r="I237" s="38">
        <v>1436.65</v>
      </c>
    </row>
    <row r="238" spans="1:9">
      <c r="A238" s="42"/>
      <c r="B238" s="42"/>
      <c r="C238" s="42"/>
      <c r="D238" s="586"/>
      <c r="E238" s="586"/>
      <c r="F238" s="586"/>
      <c r="G238" s="42"/>
      <c r="H238" s="42"/>
      <c r="I238" s="42"/>
    </row>
    <row r="239" spans="1:9">
      <c r="A239" s="587" t="s">
        <v>1393</v>
      </c>
      <c r="B239" s="587"/>
      <c r="C239" s="587"/>
      <c r="D239" s="587"/>
      <c r="E239" s="587"/>
      <c r="F239" s="587"/>
      <c r="G239" s="587"/>
      <c r="H239" s="587"/>
      <c r="I239" s="587"/>
    </row>
    <row r="240" spans="1:9" ht="24">
      <c r="A240" s="588" t="s">
        <v>1230</v>
      </c>
      <c r="B240" s="588"/>
      <c r="C240" s="588"/>
      <c r="D240" s="589" t="s">
        <v>1191</v>
      </c>
      <c r="E240" s="589"/>
      <c r="F240" s="43" t="s">
        <v>1192</v>
      </c>
      <c r="G240" s="43" t="s">
        <v>1193</v>
      </c>
      <c r="H240" s="43" t="s">
        <v>8</v>
      </c>
      <c r="I240" s="43" t="s">
        <v>1194</v>
      </c>
    </row>
    <row r="241" spans="1:9" ht="70.5" customHeight="1">
      <c r="A241" s="44" t="s">
        <v>1394</v>
      </c>
      <c r="B241" s="584" t="s">
        <v>1395</v>
      </c>
      <c r="C241" s="584"/>
      <c r="D241" s="585" t="s">
        <v>29</v>
      </c>
      <c r="E241" s="585"/>
      <c r="F241" s="44" t="s">
        <v>1233</v>
      </c>
      <c r="G241" s="45">
        <v>0.08</v>
      </c>
      <c r="H241" s="46">
        <v>296.32</v>
      </c>
      <c r="I241" s="46">
        <v>23.7056</v>
      </c>
    </row>
    <row r="242" spans="1:9" ht="70.5" customHeight="1">
      <c r="A242" s="44" t="s">
        <v>1396</v>
      </c>
      <c r="B242" s="584" t="s">
        <v>1397</v>
      </c>
      <c r="C242" s="584"/>
      <c r="D242" s="585" t="s">
        <v>29</v>
      </c>
      <c r="E242" s="585"/>
      <c r="F242" s="44" t="s">
        <v>1233</v>
      </c>
      <c r="G242" s="45">
        <v>0.04</v>
      </c>
      <c r="H242" s="46">
        <v>163.69</v>
      </c>
      <c r="I242" s="46">
        <v>6.5476000000000001</v>
      </c>
    </row>
    <row r="243" spans="1:9">
      <c r="A243" s="42"/>
      <c r="B243" s="42"/>
      <c r="C243" s="42"/>
      <c r="D243" s="42"/>
      <c r="E243" s="42"/>
      <c r="F243" s="42"/>
      <c r="G243" s="590" t="s">
        <v>1236</v>
      </c>
      <c r="H243" s="590"/>
      <c r="I243" s="47">
        <v>30.26</v>
      </c>
    </row>
    <row r="244" spans="1:9" ht="24">
      <c r="A244" s="588" t="s">
        <v>1190</v>
      </c>
      <c r="B244" s="588"/>
      <c r="C244" s="588"/>
      <c r="D244" s="589" t="s">
        <v>1191</v>
      </c>
      <c r="E244" s="589"/>
      <c r="F244" s="43" t="s">
        <v>1192</v>
      </c>
      <c r="G244" s="43" t="s">
        <v>1193</v>
      </c>
      <c r="H244" s="43" t="s">
        <v>8</v>
      </c>
      <c r="I244" s="43" t="s">
        <v>1194</v>
      </c>
    </row>
    <row r="245" spans="1:9">
      <c r="A245" s="44" t="s">
        <v>1398</v>
      </c>
      <c r="B245" s="584" t="s">
        <v>1399</v>
      </c>
      <c r="C245" s="584"/>
      <c r="D245" s="585" t="s">
        <v>29</v>
      </c>
      <c r="E245" s="585"/>
      <c r="F245" s="44" t="s">
        <v>60</v>
      </c>
      <c r="G245" s="45">
        <v>1.05</v>
      </c>
      <c r="H245" s="46">
        <v>64.5</v>
      </c>
      <c r="I245" s="46">
        <v>67.724999999999994</v>
      </c>
    </row>
    <row r="246" spans="1:9">
      <c r="A246" s="42"/>
      <c r="B246" s="42"/>
      <c r="C246" s="42"/>
      <c r="D246" s="42"/>
      <c r="E246" s="42"/>
      <c r="F246" s="42"/>
      <c r="G246" s="590" t="s">
        <v>1203</v>
      </c>
      <c r="H246" s="590"/>
      <c r="I246" s="47">
        <v>67.73</v>
      </c>
    </row>
    <row r="247" spans="1:9" ht="24">
      <c r="A247" s="588" t="s">
        <v>1204</v>
      </c>
      <c r="B247" s="588"/>
      <c r="C247" s="588"/>
      <c r="D247" s="589" t="s">
        <v>1191</v>
      </c>
      <c r="E247" s="589"/>
      <c r="F247" s="43" t="s">
        <v>1192</v>
      </c>
      <c r="G247" s="43" t="s">
        <v>1193</v>
      </c>
      <c r="H247" s="43" t="s">
        <v>8</v>
      </c>
      <c r="I247" s="43" t="s">
        <v>1194</v>
      </c>
    </row>
    <row r="248" spans="1:9">
      <c r="A248" s="44" t="s">
        <v>1208</v>
      </c>
      <c r="B248" s="584" t="s">
        <v>1209</v>
      </c>
      <c r="C248" s="584"/>
      <c r="D248" s="585" t="s">
        <v>29</v>
      </c>
      <c r="E248" s="585"/>
      <c r="F248" s="44" t="s">
        <v>1207</v>
      </c>
      <c r="G248" s="45">
        <v>0.32</v>
      </c>
      <c r="H248" s="46">
        <v>19.8</v>
      </c>
      <c r="I248" s="46">
        <v>6.3360000000000003</v>
      </c>
    </row>
    <row r="249" spans="1:9">
      <c r="A249" s="42"/>
      <c r="B249" s="42"/>
      <c r="C249" s="42"/>
      <c r="D249" s="42"/>
      <c r="E249" s="42"/>
      <c r="F249" s="42"/>
      <c r="G249" s="590" t="s">
        <v>1210</v>
      </c>
      <c r="H249" s="590"/>
      <c r="I249" s="47">
        <v>6.34</v>
      </c>
    </row>
    <row r="250" spans="1:9">
      <c r="A250" s="591" t="s">
        <v>1400</v>
      </c>
      <c r="B250" s="591"/>
      <c r="C250" s="591"/>
      <c r="D250" s="42"/>
      <c r="E250" s="42"/>
      <c r="F250" s="42"/>
      <c r="G250" s="592" t="s">
        <v>1216</v>
      </c>
      <c r="H250" s="592"/>
      <c r="I250" s="38">
        <v>104.33</v>
      </c>
    </row>
    <row r="251" spans="1:9">
      <c r="A251" s="591"/>
      <c r="B251" s="591"/>
      <c r="C251" s="591"/>
      <c r="D251" s="42"/>
      <c r="E251" s="42"/>
      <c r="F251" s="42"/>
      <c r="G251" s="42"/>
      <c r="H251" s="42"/>
      <c r="I251" s="42"/>
    </row>
    <row r="252" spans="1:9">
      <c r="A252" s="42"/>
      <c r="B252" s="42"/>
      <c r="C252" s="42"/>
      <c r="D252" s="586"/>
      <c r="E252" s="586"/>
      <c r="F252" s="586"/>
      <c r="G252" s="42"/>
      <c r="H252" s="42"/>
      <c r="I252" s="42"/>
    </row>
    <row r="253" spans="1:9">
      <c r="A253" s="587" t="s">
        <v>1401</v>
      </c>
      <c r="B253" s="587"/>
      <c r="C253" s="587"/>
      <c r="D253" s="587"/>
      <c r="E253" s="587"/>
      <c r="F253" s="587"/>
      <c r="G253" s="587"/>
      <c r="H253" s="587"/>
      <c r="I253" s="587"/>
    </row>
    <row r="254" spans="1:9" ht="24">
      <c r="A254" s="588" t="s">
        <v>1230</v>
      </c>
      <c r="B254" s="588"/>
      <c r="C254" s="588"/>
      <c r="D254" s="589" t="s">
        <v>1191</v>
      </c>
      <c r="E254" s="589"/>
      <c r="F254" s="43" t="s">
        <v>1192</v>
      </c>
      <c r="G254" s="43" t="s">
        <v>1193</v>
      </c>
      <c r="H254" s="43" t="s">
        <v>8</v>
      </c>
      <c r="I254" s="43" t="s">
        <v>1194</v>
      </c>
    </row>
    <row r="255" spans="1:9" ht="61.5" customHeight="1">
      <c r="A255" s="44" t="s">
        <v>1402</v>
      </c>
      <c r="B255" s="584" t="s">
        <v>1403</v>
      </c>
      <c r="C255" s="584"/>
      <c r="D255" s="585" t="s">
        <v>29</v>
      </c>
      <c r="E255" s="585"/>
      <c r="F255" s="44" t="s">
        <v>1275</v>
      </c>
      <c r="G255" s="45">
        <v>0.1217</v>
      </c>
      <c r="H255" s="46">
        <v>0.76</v>
      </c>
      <c r="I255" s="46">
        <v>9.2492000000000005E-2</v>
      </c>
    </row>
    <row r="256" spans="1:9" ht="61.5" customHeight="1">
      <c r="A256" s="44" t="s">
        <v>1404</v>
      </c>
      <c r="B256" s="584" t="s">
        <v>1405</v>
      </c>
      <c r="C256" s="584"/>
      <c r="D256" s="585" t="s">
        <v>29</v>
      </c>
      <c r="E256" s="585"/>
      <c r="F256" s="44" t="s">
        <v>1233</v>
      </c>
      <c r="G256" s="45">
        <v>1.35E-2</v>
      </c>
      <c r="H256" s="46">
        <v>10.9</v>
      </c>
      <c r="I256" s="46">
        <v>0.14715</v>
      </c>
    </row>
    <row r="257" spans="1:9" ht="61.5" customHeight="1">
      <c r="A257" s="44" t="s">
        <v>1406</v>
      </c>
      <c r="B257" s="584" t="s">
        <v>1407</v>
      </c>
      <c r="C257" s="584"/>
      <c r="D257" s="585" t="s">
        <v>29</v>
      </c>
      <c r="E257" s="585"/>
      <c r="F257" s="44" t="s">
        <v>1275</v>
      </c>
      <c r="G257" s="45">
        <v>0.12970000000000001</v>
      </c>
      <c r="H257" s="46">
        <v>0.57999999999999996</v>
      </c>
      <c r="I257" s="46">
        <v>7.5226000000000001E-2</v>
      </c>
    </row>
    <row r="258" spans="1:9" ht="61.5" customHeight="1">
      <c r="A258" s="44" t="s">
        <v>1332</v>
      </c>
      <c r="B258" s="584" t="s">
        <v>1333</v>
      </c>
      <c r="C258" s="584"/>
      <c r="D258" s="585" t="s">
        <v>29</v>
      </c>
      <c r="E258" s="585"/>
      <c r="F258" s="44" t="s">
        <v>1233</v>
      </c>
      <c r="G258" s="45">
        <v>5.4999999999999997E-3</v>
      </c>
      <c r="H258" s="46">
        <v>10.43</v>
      </c>
      <c r="I258" s="46">
        <v>5.7364999999999999E-2</v>
      </c>
    </row>
    <row r="259" spans="1:9">
      <c r="A259" s="42"/>
      <c r="B259" s="42"/>
      <c r="C259" s="42"/>
      <c r="D259" s="42"/>
      <c r="E259" s="42"/>
      <c r="F259" s="42"/>
      <c r="G259" s="590" t="s">
        <v>1236</v>
      </c>
      <c r="H259" s="590"/>
      <c r="I259" s="47">
        <v>0.38</v>
      </c>
    </row>
    <row r="260" spans="1:9" ht="24">
      <c r="A260" s="588" t="s">
        <v>1190</v>
      </c>
      <c r="B260" s="588"/>
      <c r="C260" s="588"/>
      <c r="D260" s="589" t="s">
        <v>1191</v>
      </c>
      <c r="E260" s="589"/>
      <c r="F260" s="43" t="s">
        <v>1192</v>
      </c>
      <c r="G260" s="43" t="s">
        <v>1193</v>
      </c>
      <c r="H260" s="43" t="s">
        <v>8</v>
      </c>
      <c r="I260" s="43" t="s">
        <v>1194</v>
      </c>
    </row>
    <row r="261" spans="1:9" ht="34.5" customHeight="1">
      <c r="A261" s="44" t="s">
        <v>1408</v>
      </c>
      <c r="B261" s="584" t="s">
        <v>1409</v>
      </c>
      <c r="C261" s="584"/>
      <c r="D261" s="585" t="s">
        <v>29</v>
      </c>
      <c r="E261" s="585"/>
      <c r="F261" s="44" t="s">
        <v>60</v>
      </c>
      <c r="G261" s="45">
        <v>5.6800000000000003E-2</v>
      </c>
      <c r="H261" s="46">
        <v>129</v>
      </c>
      <c r="I261" s="46">
        <v>7.3272000000000004</v>
      </c>
    </row>
    <row r="262" spans="1:9" ht="34.5" customHeight="1">
      <c r="A262" s="44" t="s">
        <v>1410</v>
      </c>
      <c r="B262" s="584" t="s">
        <v>1411</v>
      </c>
      <c r="C262" s="584"/>
      <c r="D262" s="585" t="s">
        <v>29</v>
      </c>
      <c r="E262" s="585"/>
      <c r="F262" s="44" t="s">
        <v>60</v>
      </c>
      <c r="G262" s="45">
        <v>8.6999999999999994E-3</v>
      </c>
      <c r="H262" s="46">
        <v>83.33</v>
      </c>
      <c r="I262" s="46">
        <v>0.72497100000000003</v>
      </c>
    </row>
    <row r="263" spans="1:9">
      <c r="A263" s="42"/>
      <c r="B263" s="42"/>
      <c r="C263" s="42"/>
      <c r="D263" s="42"/>
      <c r="E263" s="42"/>
      <c r="F263" s="42"/>
      <c r="G263" s="590" t="s">
        <v>1203</v>
      </c>
      <c r="H263" s="590"/>
      <c r="I263" s="47">
        <v>8.0500000000000007</v>
      </c>
    </row>
    <row r="264" spans="1:9" ht="24">
      <c r="A264" s="588" t="s">
        <v>1204</v>
      </c>
      <c r="B264" s="588"/>
      <c r="C264" s="588"/>
      <c r="D264" s="589" t="s">
        <v>1191</v>
      </c>
      <c r="E264" s="589"/>
      <c r="F264" s="43" t="s">
        <v>1192</v>
      </c>
      <c r="G264" s="43" t="s">
        <v>1193</v>
      </c>
      <c r="H264" s="43" t="s">
        <v>8</v>
      </c>
      <c r="I264" s="43" t="s">
        <v>1194</v>
      </c>
    </row>
    <row r="265" spans="1:9">
      <c r="A265" s="44" t="s">
        <v>1412</v>
      </c>
      <c r="B265" s="584" t="s">
        <v>1413</v>
      </c>
      <c r="C265" s="584"/>
      <c r="D265" s="585" t="s">
        <v>29</v>
      </c>
      <c r="E265" s="585"/>
      <c r="F265" s="44" t="s">
        <v>1207</v>
      </c>
      <c r="G265" s="45">
        <v>0.27029999999999998</v>
      </c>
      <c r="H265" s="46">
        <v>24.51</v>
      </c>
      <c r="I265" s="46">
        <v>6.6250530000000003</v>
      </c>
    </row>
    <row r="266" spans="1:9">
      <c r="A266" s="44" t="s">
        <v>1208</v>
      </c>
      <c r="B266" s="584" t="s">
        <v>1209</v>
      </c>
      <c r="C266" s="584"/>
      <c r="D266" s="585" t="s">
        <v>29</v>
      </c>
      <c r="E266" s="585"/>
      <c r="F266" s="44" t="s">
        <v>1207</v>
      </c>
      <c r="G266" s="45">
        <v>0.27029999999999998</v>
      </c>
      <c r="H266" s="46">
        <v>19.8</v>
      </c>
      <c r="I266" s="46">
        <v>5.3519399999999999</v>
      </c>
    </row>
    <row r="267" spans="1:9">
      <c r="A267" s="42"/>
      <c r="B267" s="42"/>
      <c r="C267" s="42"/>
      <c r="D267" s="42"/>
      <c r="E267" s="42"/>
      <c r="F267" s="42"/>
      <c r="G267" s="590" t="s">
        <v>1210</v>
      </c>
      <c r="H267" s="590"/>
      <c r="I267" s="47">
        <v>11.98</v>
      </c>
    </row>
    <row r="268" spans="1:9">
      <c r="A268" s="591" t="s">
        <v>1414</v>
      </c>
      <c r="B268" s="591"/>
      <c r="C268" s="591"/>
      <c r="D268" s="42"/>
      <c r="E268" s="42"/>
      <c r="F268" s="42"/>
      <c r="G268" s="592" t="s">
        <v>1216</v>
      </c>
      <c r="H268" s="592"/>
      <c r="I268" s="38">
        <v>20.41</v>
      </c>
    </row>
    <row r="269" spans="1:9">
      <c r="A269" s="42"/>
      <c r="B269" s="42"/>
      <c r="C269" s="42"/>
      <c r="D269" s="586"/>
      <c r="E269" s="586"/>
      <c r="F269" s="586"/>
      <c r="G269" s="42"/>
      <c r="H269" s="42"/>
      <c r="I269" s="42"/>
    </row>
    <row r="270" spans="1:9">
      <c r="A270" s="587" t="s">
        <v>1415</v>
      </c>
      <c r="B270" s="587"/>
      <c r="C270" s="587"/>
      <c r="D270" s="587"/>
      <c r="E270" s="587"/>
      <c r="F270" s="587"/>
      <c r="G270" s="587"/>
      <c r="H270" s="587"/>
      <c r="I270" s="587"/>
    </row>
    <row r="271" spans="1:9" ht="24">
      <c r="A271" s="588" t="s">
        <v>1190</v>
      </c>
      <c r="B271" s="588"/>
      <c r="C271" s="588"/>
      <c r="D271" s="589" t="s">
        <v>1191</v>
      </c>
      <c r="E271" s="589"/>
      <c r="F271" s="43" t="s">
        <v>1192</v>
      </c>
      <c r="G271" s="43" t="s">
        <v>1193</v>
      </c>
      <c r="H271" s="43" t="s">
        <v>8</v>
      </c>
      <c r="I271" s="43" t="s">
        <v>1194</v>
      </c>
    </row>
    <row r="272" spans="1:9" ht="53.25" customHeight="1">
      <c r="A272" s="44" t="s">
        <v>1416</v>
      </c>
      <c r="B272" s="584" t="s">
        <v>1417</v>
      </c>
      <c r="C272" s="584"/>
      <c r="D272" s="585" t="s">
        <v>29</v>
      </c>
      <c r="E272" s="585"/>
      <c r="F272" s="44" t="s">
        <v>20</v>
      </c>
      <c r="G272" s="45">
        <v>1</v>
      </c>
      <c r="H272" s="46">
        <v>52.99</v>
      </c>
      <c r="I272" s="46">
        <v>52.99</v>
      </c>
    </row>
    <row r="273" spans="1:9">
      <c r="A273" s="42"/>
      <c r="B273" s="42"/>
      <c r="C273" s="42"/>
      <c r="D273" s="42"/>
      <c r="E273" s="42"/>
      <c r="F273" s="42"/>
      <c r="G273" s="590" t="s">
        <v>1203</v>
      </c>
      <c r="H273" s="590"/>
      <c r="I273" s="47">
        <v>52.99</v>
      </c>
    </row>
    <row r="274" spans="1:9" ht="24">
      <c r="A274" s="588" t="s">
        <v>1204</v>
      </c>
      <c r="B274" s="588"/>
      <c r="C274" s="588"/>
      <c r="D274" s="589" t="s">
        <v>1191</v>
      </c>
      <c r="E274" s="589"/>
      <c r="F274" s="43" t="s">
        <v>1192</v>
      </c>
      <c r="G274" s="43" t="s">
        <v>1193</v>
      </c>
      <c r="H274" s="43" t="s">
        <v>8</v>
      </c>
      <c r="I274" s="43" t="s">
        <v>1194</v>
      </c>
    </row>
    <row r="275" spans="1:9">
      <c r="A275" s="44" t="s">
        <v>1418</v>
      </c>
      <c r="B275" s="584" t="s">
        <v>1419</v>
      </c>
      <c r="C275" s="584"/>
      <c r="D275" s="585" t="s">
        <v>29</v>
      </c>
      <c r="E275" s="585"/>
      <c r="F275" s="44" t="s">
        <v>1207</v>
      </c>
      <c r="G275" s="45">
        <v>0.5</v>
      </c>
      <c r="H275" s="46">
        <v>24.51</v>
      </c>
      <c r="I275" s="46">
        <v>12.255000000000001</v>
      </c>
    </row>
    <row r="276" spans="1:9">
      <c r="A276" s="42"/>
      <c r="B276" s="42"/>
      <c r="C276" s="42"/>
      <c r="D276" s="42"/>
      <c r="E276" s="42"/>
      <c r="F276" s="42"/>
      <c r="G276" s="590" t="s">
        <v>1210</v>
      </c>
      <c r="H276" s="590"/>
      <c r="I276" s="47">
        <v>12.26</v>
      </c>
    </row>
    <row r="277" spans="1:9">
      <c r="A277" s="591" t="s">
        <v>1420</v>
      </c>
      <c r="B277" s="591"/>
      <c r="C277" s="591"/>
      <c r="D277" s="42"/>
      <c r="E277" s="42"/>
      <c r="F277" s="42"/>
      <c r="G277" s="592" t="s">
        <v>1216</v>
      </c>
      <c r="H277" s="592"/>
      <c r="I277" s="38">
        <v>65.25</v>
      </c>
    </row>
    <row r="278" spans="1:9">
      <c r="A278" s="42"/>
      <c r="B278" s="42"/>
      <c r="C278" s="42"/>
      <c r="D278" s="586"/>
      <c r="E278" s="586"/>
      <c r="F278" s="586"/>
      <c r="G278" s="42"/>
      <c r="H278" s="42"/>
      <c r="I278" s="42"/>
    </row>
    <row r="279" spans="1:9">
      <c r="A279" s="587" t="s">
        <v>1421</v>
      </c>
      <c r="B279" s="587"/>
      <c r="C279" s="587"/>
      <c r="D279" s="587"/>
      <c r="E279" s="587"/>
      <c r="F279" s="587"/>
      <c r="G279" s="587"/>
      <c r="H279" s="587"/>
      <c r="I279" s="587"/>
    </row>
    <row r="280" spans="1:9" ht="24">
      <c r="A280" s="588" t="s">
        <v>1230</v>
      </c>
      <c r="B280" s="588"/>
      <c r="C280" s="588"/>
      <c r="D280" s="589" t="s">
        <v>1191</v>
      </c>
      <c r="E280" s="589"/>
      <c r="F280" s="43" t="s">
        <v>1192</v>
      </c>
      <c r="G280" s="43" t="s">
        <v>1193</v>
      </c>
      <c r="H280" s="43" t="s">
        <v>8</v>
      </c>
      <c r="I280" s="43" t="s">
        <v>1194</v>
      </c>
    </row>
    <row r="281" spans="1:9" ht="63" customHeight="1">
      <c r="A281" s="44" t="s">
        <v>1422</v>
      </c>
      <c r="B281" s="584" t="s">
        <v>1423</v>
      </c>
      <c r="C281" s="584"/>
      <c r="D281" s="585" t="s">
        <v>29</v>
      </c>
      <c r="E281" s="585"/>
      <c r="F281" s="44" t="s">
        <v>1233</v>
      </c>
      <c r="G281" s="45">
        <v>3.333E-3</v>
      </c>
      <c r="H281" s="46">
        <v>244.65</v>
      </c>
      <c r="I281" s="46">
        <v>0.81541845000000002</v>
      </c>
    </row>
    <row r="282" spans="1:9" ht="63" customHeight="1">
      <c r="A282" s="44" t="s">
        <v>1424</v>
      </c>
      <c r="B282" s="584" t="s">
        <v>1425</v>
      </c>
      <c r="C282" s="584"/>
      <c r="D282" s="585" t="s">
        <v>29</v>
      </c>
      <c r="E282" s="585"/>
      <c r="F282" s="44" t="s">
        <v>1233</v>
      </c>
      <c r="G282" s="45">
        <v>3.333E-3</v>
      </c>
      <c r="H282" s="46">
        <v>195.11</v>
      </c>
      <c r="I282" s="46">
        <v>0.65030162999999996</v>
      </c>
    </row>
    <row r="283" spans="1:9">
      <c r="A283" s="42"/>
      <c r="B283" s="42"/>
      <c r="C283" s="42"/>
      <c r="D283" s="42"/>
      <c r="E283" s="42"/>
      <c r="F283" s="42"/>
      <c r="G283" s="590" t="s">
        <v>1236</v>
      </c>
      <c r="H283" s="590"/>
      <c r="I283" s="47">
        <v>1.47</v>
      </c>
    </row>
    <row r="284" spans="1:9" ht="24">
      <c r="A284" s="588" t="s">
        <v>1190</v>
      </c>
      <c r="B284" s="588"/>
      <c r="C284" s="588"/>
      <c r="D284" s="589" t="s">
        <v>1191</v>
      </c>
      <c r="E284" s="589"/>
      <c r="F284" s="43" t="s">
        <v>1192</v>
      </c>
      <c r="G284" s="43" t="s">
        <v>1193</v>
      </c>
      <c r="H284" s="43" t="s">
        <v>8</v>
      </c>
      <c r="I284" s="43" t="s">
        <v>1194</v>
      </c>
    </row>
    <row r="285" spans="1:9" ht="32.25" customHeight="1">
      <c r="A285" s="44" t="s">
        <v>1426</v>
      </c>
      <c r="B285" s="584" t="s">
        <v>1427</v>
      </c>
      <c r="C285" s="584"/>
      <c r="D285" s="585" t="s">
        <v>29</v>
      </c>
      <c r="E285" s="585"/>
      <c r="F285" s="44" t="s">
        <v>1338</v>
      </c>
      <c r="G285" s="45">
        <v>0.13</v>
      </c>
      <c r="H285" s="46">
        <v>23.73</v>
      </c>
      <c r="I285" s="46">
        <v>3.0849000000000002</v>
      </c>
    </row>
    <row r="286" spans="1:9" ht="32.25" customHeight="1">
      <c r="A286" s="44" t="s">
        <v>1428</v>
      </c>
      <c r="B286" s="584" t="s">
        <v>1429</v>
      </c>
      <c r="C286" s="584"/>
      <c r="D286" s="585" t="s">
        <v>29</v>
      </c>
      <c r="E286" s="585"/>
      <c r="F286" s="44" t="s">
        <v>138</v>
      </c>
      <c r="G286" s="45">
        <v>0.4</v>
      </c>
      <c r="H286" s="46">
        <v>11.94</v>
      </c>
      <c r="I286" s="46">
        <v>4.7759999999999998</v>
      </c>
    </row>
    <row r="287" spans="1:9" ht="32.25" customHeight="1">
      <c r="A287" s="44" t="s">
        <v>1430</v>
      </c>
      <c r="B287" s="584" t="s">
        <v>1431</v>
      </c>
      <c r="C287" s="584"/>
      <c r="D287" s="585" t="s">
        <v>29</v>
      </c>
      <c r="E287" s="585"/>
      <c r="F287" s="44" t="s">
        <v>1338</v>
      </c>
      <c r="G287" s="45">
        <v>0.6</v>
      </c>
      <c r="H287" s="46">
        <v>16.25</v>
      </c>
      <c r="I287" s="46">
        <v>9.75</v>
      </c>
    </row>
    <row r="288" spans="1:9" ht="32.25" customHeight="1">
      <c r="A288" s="44" t="s">
        <v>1432</v>
      </c>
      <c r="B288" s="584" t="s">
        <v>1433</v>
      </c>
      <c r="C288" s="584"/>
      <c r="D288" s="585" t="s">
        <v>29</v>
      </c>
      <c r="E288" s="585"/>
      <c r="F288" s="44" t="s">
        <v>1338</v>
      </c>
      <c r="G288" s="45">
        <v>0.03</v>
      </c>
      <c r="H288" s="46">
        <v>18.739999999999998</v>
      </c>
      <c r="I288" s="46">
        <v>0.56220000000000003</v>
      </c>
    </row>
    <row r="289" spans="1:9">
      <c r="A289" s="42"/>
      <c r="B289" s="42"/>
      <c r="C289" s="42"/>
      <c r="D289" s="42"/>
      <c r="E289" s="42"/>
      <c r="F289" s="42"/>
      <c r="G289" s="590" t="s">
        <v>1203</v>
      </c>
      <c r="H289" s="590"/>
      <c r="I289" s="47">
        <v>18.170000000000002</v>
      </c>
    </row>
    <row r="290" spans="1:9" ht="24">
      <c r="A290" s="588" t="s">
        <v>1204</v>
      </c>
      <c r="B290" s="588"/>
      <c r="C290" s="588"/>
      <c r="D290" s="589" t="s">
        <v>1191</v>
      </c>
      <c r="E290" s="589"/>
      <c r="F290" s="43" t="s">
        <v>1192</v>
      </c>
      <c r="G290" s="43" t="s">
        <v>1193</v>
      </c>
      <c r="H290" s="43" t="s">
        <v>8</v>
      </c>
      <c r="I290" s="43" t="s">
        <v>1194</v>
      </c>
    </row>
    <row r="291" spans="1:9">
      <c r="A291" s="44" t="s">
        <v>1208</v>
      </c>
      <c r="B291" s="584" t="s">
        <v>1209</v>
      </c>
      <c r="C291" s="584"/>
      <c r="D291" s="585" t="s">
        <v>29</v>
      </c>
      <c r="E291" s="585"/>
      <c r="F291" s="44" t="s">
        <v>1207</v>
      </c>
      <c r="G291" s="45">
        <v>3.3329999999999999E-2</v>
      </c>
      <c r="H291" s="46">
        <v>19.8</v>
      </c>
      <c r="I291" s="46">
        <v>0.65993400000000002</v>
      </c>
    </row>
    <row r="292" spans="1:9">
      <c r="A292" s="42"/>
      <c r="B292" s="42"/>
      <c r="C292" s="42"/>
      <c r="D292" s="42"/>
      <c r="E292" s="42"/>
      <c r="F292" s="42"/>
      <c r="G292" s="590" t="s">
        <v>1210</v>
      </c>
      <c r="H292" s="590"/>
      <c r="I292" s="47">
        <v>0.66</v>
      </c>
    </row>
    <row r="293" spans="1:9">
      <c r="A293" s="591" t="s">
        <v>1434</v>
      </c>
      <c r="B293" s="591"/>
      <c r="C293" s="591"/>
      <c r="D293" s="42"/>
      <c r="E293" s="42"/>
      <c r="F293" s="42"/>
      <c r="G293" s="592" t="s">
        <v>1216</v>
      </c>
      <c r="H293" s="592"/>
      <c r="I293" s="38">
        <v>20.3</v>
      </c>
    </row>
    <row r="294" spans="1:9">
      <c r="A294" s="42"/>
      <c r="B294" s="42"/>
      <c r="C294" s="42"/>
      <c r="D294" s="586"/>
      <c r="E294" s="586"/>
      <c r="F294" s="586"/>
      <c r="G294" s="42"/>
      <c r="H294" s="42"/>
      <c r="I294" s="42"/>
    </row>
    <row r="295" spans="1:9">
      <c r="A295" s="587" t="s">
        <v>1435</v>
      </c>
      <c r="B295" s="587"/>
      <c r="C295" s="587"/>
      <c r="D295" s="587"/>
      <c r="E295" s="587"/>
      <c r="F295" s="587"/>
      <c r="G295" s="587"/>
      <c r="H295" s="587"/>
      <c r="I295" s="587"/>
    </row>
    <row r="296" spans="1:9" ht="24">
      <c r="A296" s="588" t="s">
        <v>1190</v>
      </c>
      <c r="B296" s="588"/>
      <c r="C296" s="588"/>
      <c r="D296" s="589" t="s">
        <v>1191</v>
      </c>
      <c r="E296" s="589"/>
      <c r="F296" s="43" t="s">
        <v>1192</v>
      </c>
      <c r="G296" s="43" t="s">
        <v>1193</v>
      </c>
      <c r="H296" s="43" t="s">
        <v>8</v>
      </c>
      <c r="I296" s="43" t="s">
        <v>1194</v>
      </c>
    </row>
    <row r="297" spans="1:9">
      <c r="A297" s="44" t="s">
        <v>1436</v>
      </c>
      <c r="B297" s="584" t="s">
        <v>1437</v>
      </c>
      <c r="C297" s="584"/>
      <c r="D297" s="585" t="s">
        <v>29</v>
      </c>
      <c r="E297" s="585"/>
      <c r="F297" s="44" t="s">
        <v>60</v>
      </c>
      <c r="G297" s="45">
        <v>1.1000000000000001</v>
      </c>
      <c r="H297" s="46">
        <v>82.92</v>
      </c>
      <c r="I297" s="46">
        <v>91.212000000000003</v>
      </c>
    </row>
    <row r="298" spans="1:9">
      <c r="A298" s="42"/>
      <c r="B298" s="42"/>
      <c r="C298" s="42"/>
      <c r="D298" s="42"/>
      <c r="E298" s="42"/>
      <c r="F298" s="42"/>
      <c r="G298" s="590" t="s">
        <v>1203</v>
      </c>
      <c r="H298" s="590"/>
      <c r="I298" s="47">
        <v>91.21</v>
      </c>
    </row>
    <row r="299" spans="1:9" ht="24">
      <c r="A299" s="588" t="s">
        <v>1204</v>
      </c>
      <c r="B299" s="588"/>
      <c r="C299" s="588"/>
      <c r="D299" s="589" t="s">
        <v>1191</v>
      </c>
      <c r="E299" s="589"/>
      <c r="F299" s="43" t="s">
        <v>1192</v>
      </c>
      <c r="G299" s="43" t="s">
        <v>1193</v>
      </c>
      <c r="H299" s="43" t="s">
        <v>8</v>
      </c>
      <c r="I299" s="43" t="s">
        <v>1194</v>
      </c>
    </row>
    <row r="300" spans="1:9">
      <c r="A300" s="44" t="s">
        <v>1224</v>
      </c>
      <c r="B300" s="584" t="s">
        <v>1225</v>
      </c>
      <c r="C300" s="584"/>
      <c r="D300" s="585" t="s">
        <v>29</v>
      </c>
      <c r="E300" s="585"/>
      <c r="F300" s="44" t="s">
        <v>1207</v>
      </c>
      <c r="G300" s="45">
        <v>6</v>
      </c>
      <c r="H300" s="46">
        <v>24.66</v>
      </c>
      <c r="I300" s="46">
        <v>147.96</v>
      </c>
    </row>
    <row r="301" spans="1:9">
      <c r="A301" s="44" t="s">
        <v>1208</v>
      </c>
      <c r="B301" s="584" t="s">
        <v>1209</v>
      </c>
      <c r="C301" s="584"/>
      <c r="D301" s="585" t="s">
        <v>29</v>
      </c>
      <c r="E301" s="585"/>
      <c r="F301" s="44" t="s">
        <v>1207</v>
      </c>
      <c r="G301" s="45">
        <v>6</v>
      </c>
      <c r="H301" s="46">
        <v>19.8</v>
      </c>
      <c r="I301" s="46">
        <v>118.8</v>
      </c>
    </row>
    <row r="302" spans="1:9">
      <c r="A302" s="42"/>
      <c r="B302" s="42"/>
      <c r="C302" s="42"/>
      <c r="D302" s="42"/>
      <c r="E302" s="42"/>
      <c r="F302" s="42"/>
      <c r="G302" s="590" t="s">
        <v>1210</v>
      </c>
      <c r="H302" s="590"/>
      <c r="I302" s="47">
        <v>266.76</v>
      </c>
    </row>
    <row r="303" spans="1:9" ht="24">
      <c r="A303" s="588" t="s">
        <v>1211</v>
      </c>
      <c r="B303" s="588"/>
      <c r="C303" s="588"/>
      <c r="D303" s="589" t="s">
        <v>1191</v>
      </c>
      <c r="E303" s="589"/>
      <c r="F303" s="43" t="s">
        <v>1192</v>
      </c>
      <c r="G303" s="43" t="s">
        <v>1193</v>
      </c>
      <c r="H303" s="43" t="s">
        <v>8</v>
      </c>
      <c r="I303" s="43" t="s">
        <v>1194</v>
      </c>
    </row>
    <row r="304" spans="1:9">
      <c r="A304" s="44" t="s">
        <v>1438</v>
      </c>
      <c r="B304" s="584" t="s">
        <v>1439</v>
      </c>
      <c r="C304" s="584"/>
      <c r="D304" s="585" t="s">
        <v>29</v>
      </c>
      <c r="E304" s="585"/>
      <c r="F304" s="44" t="s">
        <v>60</v>
      </c>
      <c r="G304" s="45">
        <v>0.3</v>
      </c>
      <c r="H304" s="46">
        <v>498.27</v>
      </c>
      <c r="I304" s="46">
        <v>149.48099999999999</v>
      </c>
    </row>
    <row r="305" spans="1:9">
      <c r="A305" s="42"/>
      <c r="B305" s="42"/>
      <c r="C305" s="42"/>
      <c r="D305" s="42"/>
      <c r="E305" s="42"/>
      <c r="F305" s="42"/>
      <c r="G305" s="590" t="s">
        <v>1214</v>
      </c>
      <c r="H305" s="590"/>
      <c r="I305" s="47">
        <v>149.47999999999999</v>
      </c>
    </row>
    <row r="306" spans="1:9">
      <c r="A306" s="591" t="s">
        <v>1440</v>
      </c>
      <c r="B306" s="591"/>
      <c r="C306" s="591"/>
      <c r="D306" s="42"/>
      <c r="E306" s="42"/>
      <c r="F306" s="42"/>
      <c r="G306" s="592" t="s">
        <v>1216</v>
      </c>
      <c r="H306" s="592"/>
      <c r="I306" s="38">
        <v>507.45</v>
      </c>
    </row>
    <row r="307" spans="1:9">
      <c r="A307" s="42"/>
      <c r="B307" s="42"/>
      <c r="C307" s="42"/>
      <c r="D307" s="586"/>
      <c r="E307" s="586"/>
      <c r="F307" s="586"/>
      <c r="G307" s="42"/>
      <c r="H307" s="42"/>
      <c r="I307" s="42"/>
    </row>
    <row r="308" spans="1:9">
      <c r="A308" s="587" t="s">
        <v>1441</v>
      </c>
      <c r="B308" s="587"/>
      <c r="C308" s="587"/>
      <c r="D308" s="587"/>
      <c r="E308" s="587"/>
      <c r="F308" s="587"/>
      <c r="G308" s="587"/>
      <c r="H308" s="587"/>
      <c r="I308" s="587"/>
    </row>
    <row r="309" spans="1:9" ht="24">
      <c r="A309" s="588" t="s">
        <v>1190</v>
      </c>
      <c r="B309" s="588"/>
      <c r="C309" s="588"/>
      <c r="D309" s="589" t="s">
        <v>1191</v>
      </c>
      <c r="E309" s="589"/>
      <c r="F309" s="43" t="s">
        <v>1192</v>
      </c>
      <c r="G309" s="43" t="s">
        <v>1193</v>
      </c>
      <c r="H309" s="43" t="s">
        <v>8</v>
      </c>
      <c r="I309" s="43" t="s">
        <v>1194</v>
      </c>
    </row>
    <row r="310" spans="1:9">
      <c r="A310" s="44" t="s">
        <v>1375</v>
      </c>
      <c r="B310" s="584" t="s">
        <v>1376</v>
      </c>
      <c r="C310" s="584"/>
      <c r="D310" s="585" t="s">
        <v>161</v>
      </c>
      <c r="E310" s="585"/>
      <c r="F310" s="44" t="s">
        <v>167</v>
      </c>
      <c r="G310" s="45">
        <v>1</v>
      </c>
      <c r="H310" s="46">
        <v>47.1265</v>
      </c>
      <c r="I310" s="46">
        <v>47.1265</v>
      </c>
    </row>
    <row r="311" spans="1:9">
      <c r="A311" s="42"/>
      <c r="B311" s="42"/>
      <c r="C311" s="42"/>
      <c r="D311" s="42"/>
      <c r="E311" s="42"/>
      <c r="F311" s="42"/>
      <c r="G311" s="590" t="s">
        <v>1203</v>
      </c>
      <c r="H311" s="590"/>
      <c r="I311" s="47">
        <v>47.13</v>
      </c>
    </row>
    <row r="312" spans="1:9" ht="24">
      <c r="A312" s="588" t="s">
        <v>1211</v>
      </c>
      <c r="B312" s="588"/>
      <c r="C312" s="588"/>
      <c r="D312" s="589" t="s">
        <v>1191</v>
      </c>
      <c r="E312" s="589"/>
      <c r="F312" s="43" t="s">
        <v>1192</v>
      </c>
      <c r="G312" s="43" t="s">
        <v>1193</v>
      </c>
      <c r="H312" s="43" t="s">
        <v>8</v>
      </c>
      <c r="I312" s="43" t="s">
        <v>1194</v>
      </c>
    </row>
    <row r="313" spans="1:9" ht="47.25" customHeight="1">
      <c r="A313" s="44" t="s">
        <v>143</v>
      </c>
      <c r="B313" s="599" t="s">
        <v>144</v>
      </c>
      <c r="C313" s="599"/>
      <c r="D313" s="585" t="s">
        <v>29</v>
      </c>
      <c r="E313" s="585"/>
      <c r="F313" s="44" t="s">
        <v>20</v>
      </c>
      <c r="G313" s="45">
        <v>0.33</v>
      </c>
      <c r="H313" s="46">
        <v>105.62</v>
      </c>
      <c r="I313" s="46">
        <v>34.854599999999998</v>
      </c>
    </row>
    <row r="314" spans="1:9" ht="47.25" customHeight="1">
      <c r="A314" s="44" t="s">
        <v>136</v>
      </c>
      <c r="B314" s="599" t="s">
        <v>137</v>
      </c>
      <c r="C314" s="599"/>
      <c r="D314" s="585" t="s">
        <v>29</v>
      </c>
      <c r="E314" s="585"/>
      <c r="F314" s="44" t="s">
        <v>138</v>
      </c>
      <c r="G314" s="45">
        <v>19.13</v>
      </c>
      <c r="H314" s="46">
        <v>15.14</v>
      </c>
      <c r="I314" s="46">
        <v>289.62819999999999</v>
      </c>
    </row>
    <row r="315" spans="1:9" ht="47.25" customHeight="1">
      <c r="A315" s="44" t="s">
        <v>152</v>
      </c>
      <c r="B315" s="599" t="s">
        <v>153</v>
      </c>
      <c r="C315" s="599"/>
      <c r="D315" s="585" t="s">
        <v>29</v>
      </c>
      <c r="E315" s="585"/>
      <c r="F315" s="44" t="s">
        <v>60</v>
      </c>
      <c r="G315" s="45">
        <v>0.11210000000000001</v>
      </c>
      <c r="H315" s="46">
        <v>469.42</v>
      </c>
      <c r="I315" s="46">
        <v>52.621982000000003</v>
      </c>
    </row>
    <row r="316" spans="1:9" ht="47.25" customHeight="1">
      <c r="A316" s="44" t="s">
        <v>130</v>
      </c>
      <c r="B316" s="599" t="s">
        <v>131</v>
      </c>
      <c r="C316" s="599"/>
      <c r="D316" s="585" t="s">
        <v>29</v>
      </c>
      <c r="E316" s="585"/>
      <c r="F316" s="44" t="s">
        <v>60</v>
      </c>
      <c r="G316" s="45">
        <v>0.29399999999999998</v>
      </c>
      <c r="H316" s="46">
        <v>472.74</v>
      </c>
      <c r="I316" s="46">
        <v>138.98555999999999</v>
      </c>
    </row>
    <row r="317" spans="1:9" ht="47.25" customHeight="1">
      <c r="A317" s="44" t="s">
        <v>404</v>
      </c>
      <c r="B317" s="599" t="s">
        <v>405</v>
      </c>
      <c r="C317" s="599"/>
      <c r="D317" s="585" t="s">
        <v>29</v>
      </c>
      <c r="E317" s="585"/>
      <c r="F317" s="44" t="s">
        <v>20</v>
      </c>
      <c r="G317" s="45">
        <v>0.84</v>
      </c>
      <c r="H317" s="46">
        <v>100.2</v>
      </c>
      <c r="I317" s="46">
        <v>84.168000000000006</v>
      </c>
    </row>
    <row r="318" spans="1:9" ht="47.25" customHeight="1">
      <c r="A318" s="44" t="s">
        <v>155</v>
      </c>
      <c r="B318" s="599" t="s">
        <v>1386</v>
      </c>
      <c r="C318" s="599"/>
      <c r="D318" s="585" t="s">
        <v>1220</v>
      </c>
      <c r="E318" s="585"/>
      <c r="F318" s="44" t="s">
        <v>60</v>
      </c>
      <c r="G318" s="45">
        <v>0.40610000000000002</v>
      </c>
      <c r="H318" s="46">
        <v>129.79</v>
      </c>
      <c r="I318" s="46">
        <v>52.707718999999997</v>
      </c>
    </row>
    <row r="319" spans="1:9">
      <c r="A319" s="42"/>
      <c r="B319" s="42"/>
      <c r="C319" s="42"/>
      <c r="D319" s="42"/>
      <c r="E319" s="42"/>
      <c r="F319" s="42"/>
      <c r="G319" s="590" t="s">
        <v>1214</v>
      </c>
      <c r="H319" s="590"/>
      <c r="I319" s="47">
        <v>652.97</v>
      </c>
    </row>
    <row r="320" spans="1:9">
      <c r="A320" s="591" t="s">
        <v>1442</v>
      </c>
      <c r="B320" s="591"/>
      <c r="C320" s="591"/>
      <c r="D320" s="42"/>
      <c r="E320" s="42"/>
      <c r="F320" s="42"/>
      <c r="G320" s="592" t="s">
        <v>1216</v>
      </c>
      <c r="H320" s="592"/>
      <c r="I320" s="38">
        <v>700.1</v>
      </c>
    </row>
  </sheetData>
  <mergeCells count="507">
    <mergeCell ref="G319:H319"/>
    <mergeCell ref="A320:C320"/>
    <mergeCell ref="G320:H320"/>
    <mergeCell ref="B316:C316"/>
    <mergeCell ref="D316:E316"/>
    <mergeCell ref="B317:C317"/>
    <mergeCell ref="D317:E317"/>
    <mergeCell ref="B318:C318"/>
    <mergeCell ref="D318:E318"/>
    <mergeCell ref="B313:C313"/>
    <mergeCell ref="D313:E313"/>
    <mergeCell ref="B314:C314"/>
    <mergeCell ref="D314:E314"/>
    <mergeCell ref="B315:C315"/>
    <mergeCell ref="D315:E315"/>
    <mergeCell ref="B310:C310"/>
    <mergeCell ref="D310:E310"/>
    <mergeCell ref="G311:H311"/>
    <mergeCell ref="A312:C312"/>
    <mergeCell ref="D312:E312"/>
    <mergeCell ref="A306:C306"/>
    <mergeCell ref="G306:H306"/>
    <mergeCell ref="D307:F307"/>
    <mergeCell ref="A308:I308"/>
    <mergeCell ref="A309:C309"/>
    <mergeCell ref="D309:E309"/>
    <mergeCell ref="A303:C303"/>
    <mergeCell ref="D303:E303"/>
    <mergeCell ref="B304:C304"/>
    <mergeCell ref="D304:E304"/>
    <mergeCell ref="G305:H305"/>
    <mergeCell ref="B300:C300"/>
    <mergeCell ref="D300:E300"/>
    <mergeCell ref="B301:C301"/>
    <mergeCell ref="D301:E301"/>
    <mergeCell ref="G302:H302"/>
    <mergeCell ref="B297:C297"/>
    <mergeCell ref="D297:E297"/>
    <mergeCell ref="G298:H298"/>
    <mergeCell ref="A299:C299"/>
    <mergeCell ref="D299:E299"/>
    <mergeCell ref="A293:C293"/>
    <mergeCell ref="G293:H293"/>
    <mergeCell ref="D294:F294"/>
    <mergeCell ref="A295:I295"/>
    <mergeCell ref="A296:C296"/>
    <mergeCell ref="D296:E296"/>
    <mergeCell ref="A290:C290"/>
    <mergeCell ref="D290:E290"/>
    <mergeCell ref="B291:C291"/>
    <mergeCell ref="D291:E291"/>
    <mergeCell ref="G292:H292"/>
    <mergeCell ref="B287:C287"/>
    <mergeCell ref="D287:E287"/>
    <mergeCell ref="B288:C288"/>
    <mergeCell ref="D288:E288"/>
    <mergeCell ref="G289:H289"/>
    <mergeCell ref="A284:C284"/>
    <mergeCell ref="D284:E284"/>
    <mergeCell ref="B285:C285"/>
    <mergeCell ref="D285:E285"/>
    <mergeCell ref="B286:C286"/>
    <mergeCell ref="D286:E286"/>
    <mergeCell ref="B281:C281"/>
    <mergeCell ref="D281:E281"/>
    <mergeCell ref="B282:C282"/>
    <mergeCell ref="D282:E282"/>
    <mergeCell ref="G283:H283"/>
    <mergeCell ref="A277:C277"/>
    <mergeCell ref="G277:H277"/>
    <mergeCell ref="D278:F278"/>
    <mergeCell ref="A279:I279"/>
    <mergeCell ref="A280:C280"/>
    <mergeCell ref="D280:E280"/>
    <mergeCell ref="A274:C274"/>
    <mergeCell ref="D274:E274"/>
    <mergeCell ref="B275:C275"/>
    <mergeCell ref="D275:E275"/>
    <mergeCell ref="G276:H276"/>
    <mergeCell ref="A271:C271"/>
    <mergeCell ref="D271:E271"/>
    <mergeCell ref="B272:C272"/>
    <mergeCell ref="D272:E272"/>
    <mergeCell ref="G273:H273"/>
    <mergeCell ref="G267:H267"/>
    <mergeCell ref="A268:C268"/>
    <mergeCell ref="G268:H268"/>
    <mergeCell ref="D269:F269"/>
    <mergeCell ref="A270:I270"/>
    <mergeCell ref="A264:C264"/>
    <mergeCell ref="D264:E264"/>
    <mergeCell ref="B265:C265"/>
    <mergeCell ref="D265:E265"/>
    <mergeCell ref="B266:C266"/>
    <mergeCell ref="D266:E266"/>
    <mergeCell ref="B261:C261"/>
    <mergeCell ref="D261:E261"/>
    <mergeCell ref="B262:C262"/>
    <mergeCell ref="D262:E262"/>
    <mergeCell ref="G263:H263"/>
    <mergeCell ref="B258:C258"/>
    <mergeCell ref="D258:E258"/>
    <mergeCell ref="G259:H259"/>
    <mergeCell ref="A260:C260"/>
    <mergeCell ref="D260:E260"/>
    <mergeCell ref="B255:C255"/>
    <mergeCell ref="D255:E255"/>
    <mergeCell ref="B256:C256"/>
    <mergeCell ref="D256:E256"/>
    <mergeCell ref="B257:C257"/>
    <mergeCell ref="D257:E257"/>
    <mergeCell ref="A250:C251"/>
    <mergeCell ref="G250:H250"/>
    <mergeCell ref="D252:F252"/>
    <mergeCell ref="A253:I253"/>
    <mergeCell ref="A254:C254"/>
    <mergeCell ref="D254:E254"/>
    <mergeCell ref="A247:C247"/>
    <mergeCell ref="D247:E247"/>
    <mergeCell ref="B248:C248"/>
    <mergeCell ref="D248:E248"/>
    <mergeCell ref="G249:H249"/>
    <mergeCell ref="A244:C244"/>
    <mergeCell ref="D244:E244"/>
    <mergeCell ref="B245:C245"/>
    <mergeCell ref="D245:E245"/>
    <mergeCell ref="G246:H246"/>
    <mergeCell ref="B241:C241"/>
    <mergeCell ref="D241:E241"/>
    <mergeCell ref="B242:C242"/>
    <mergeCell ref="D242:E242"/>
    <mergeCell ref="G243:H243"/>
    <mergeCell ref="A237:C237"/>
    <mergeCell ref="G237:H237"/>
    <mergeCell ref="D238:F238"/>
    <mergeCell ref="A239:I239"/>
    <mergeCell ref="A240:C240"/>
    <mergeCell ref="D240:E240"/>
    <mergeCell ref="B234:C234"/>
    <mergeCell ref="D234:E234"/>
    <mergeCell ref="B235:C235"/>
    <mergeCell ref="D235:E235"/>
    <mergeCell ref="G236:H236"/>
    <mergeCell ref="B231:C231"/>
    <mergeCell ref="D231:E231"/>
    <mergeCell ref="B232:C232"/>
    <mergeCell ref="D232:E232"/>
    <mergeCell ref="B233:C233"/>
    <mergeCell ref="D233:E233"/>
    <mergeCell ref="B228:C228"/>
    <mergeCell ref="D228:E228"/>
    <mergeCell ref="B229:C229"/>
    <mergeCell ref="D229:E229"/>
    <mergeCell ref="B230:C230"/>
    <mergeCell ref="D230:E230"/>
    <mergeCell ref="G225:H225"/>
    <mergeCell ref="A226:C226"/>
    <mergeCell ref="D226:E226"/>
    <mergeCell ref="B227:C227"/>
    <mergeCell ref="D227:E227"/>
    <mergeCell ref="A222:I222"/>
    <mergeCell ref="A223:C223"/>
    <mergeCell ref="D223:E223"/>
    <mergeCell ref="B224:C224"/>
    <mergeCell ref="D224:E224"/>
    <mergeCell ref="B218:C218"/>
    <mergeCell ref="D218:E218"/>
    <mergeCell ref="G219:H219"/>
    <mergeCell ref="G220:H220"/>
    <mergeCell ref="D221:F221"/>
    <mergeCell ref="G213:H213"/>
    <mergeCell ref="G214:H214"/>
    <mergeCell ref="D215:F215"/>
    <mergeCell ref="A216:I216"/>
    <mergeCell ref="A217:C217"/>
    <mergeCell ref="D217:E217"/>
    <mergeCell ref="D209:F209"/>
    <mergeCell ref="A210:I210"/>
    <mergeCell ref="A211:C211"/>
    <mergeCell ref="D211:E211"/>
    <mergeCell ref="B212:C212"/>
    <mergeCell ref="D212:E212"/>
    <mergeCell ref="B206:C206"/>
    <mergeCell ref="D206:E206"/>
    <mergeCell ref="G207:H207"/>
    <mergeCell ref="A208:C208"/>
    <mergeCell ref="G208:H208"/>
    <mergeCell ref="G203:H203"/>
    <mergeCell ref="A204:C204"/>
    <mergeCell ref="D204:E204"/>
    <mergeCell ref="B205:C205"/>
    <mergeCell ref="D205:E205"/>
    <mergeCell ref="B200:C200"/>
    <mergeCell ref="D200:E200"/>
    <mergeCell ref="B201:C201"/>
    <mergeCell ref="D201:E201"/>
    <mergeCell ref="B202:C202"/>
    <mergeCell ref="D202:E202"/>
    <mergeCell ref="A196:C196"/>
    <mergeCell ref="G196:H196"/>
    <mergeCell ref="D197:F197"/>
    <mergeCell ref="A198:I198"/>
    <mergeCell ref="A199:C199"/>
    <mergeCell ref="D199:E199"/>
    <mergeCell ref="A193:C193"/>
    <mergeCell ref="D193:E193"/>
    <mergeCell ref="B194:C194"/>
    <mergeCell ref="D194:E194"/>
    <mergeCell ref="G195:H195"/>
    <mergeCell ref="B190:C190"/>
    <mergeCell ref="D190:E190"/>
    <mergeCell ref="B191:C191"/>
    <mergeCell ref="D191:E191"/>
    <mergeCell ref="G192:H192"/>
    <mergeCell ref="A186:C186"/>
    <mergeCell ref="G186:H186"/>
    <mergeCell ref="D187:F187"/>
    <mergeCell ref="A188:I188"/>
    <mergeCell ref="A189:C189"/>
    <mergeCell ref="D189:E189"/>
    <mergeCell ref="B183:C183"/>
    <mergeCell ref="D183:E183"/>
    <mergeCell ref="B184:C184"/>
    <mergeCell ref="D184:E184"/>
    <mergeCell ref="G185:H185"/>
    <mergeCell ref="A178:C179"/>
    <mergeCell ref="G178:H178"/>
    <mergeCell ref="D180:F180"/>
    <mergeCell ref="A181:I181"/>
    <mergeCell ref="A182:C182"/>
    <mergeCell ref="D182:E182"/>
    <mergeCell ref="B175:C175"/>
    <mergeCell ref="D175:E175"/>
    <mergeCell ref="B176:C176"/>
    <mergeCell ref="D176:E176"/>
    <mergeCell ref="G177:H177"/>
    <mergeCell ref="B172:C172"/>
    <mergeCell ref="D172:E172"/>
    <mergeCell ref="G173:H173"/>
    <mergeCell ref="A174:C174"/>
    <mergeCell ref="D174:E174"/>
    <mergeCell ref="D168:F168"/>
    <mergeCell ref="A169:I169"/>
    <mergeCell ref="A170:C170"/>
    <mergeCell ref="D170:E170"/>
    <mergeCell ref="B171:C171"/>
    <mergeCell ref="D171:E171"/>
    <mergeCell ref="B165:C165"/>
    <mergeCell ref="D165:E165"/>
    <mergeCell ref="G166:H166"/>
    <mergeCell ref="A167:C167"/>
    <mergeCell ref="G167:H167"/>
    <mergeCell ref="A162:C162"/>
    <mergeCell ref="D162:E162"/>
    <mergeCell ref="B163:C163"/>
    <mergeCell ref="D163:E163"/>
    <mergeCell ref="B164:C164"/>
    <mergeCell ref="D164:E164"/>
    <mergeCell ref="B159:C159"/>
    <mergeCell ref="D159:E159"/>
    <mergeCell ref="B160:C160"/>
    <mergeCell ref="D160:E160"/>
    <mergeCell ref="G161:H161"/>
    <mergeCell ref="A156:C156"/>
    <mergeCell ref="D156:E156"/>
    <mergeCell ref="B157:C157"/>
    <mergeCell ref="D157:E157"/>
    <mergeCell ref="B158:C158"/>
    <mergeCell ref="D158:E158"/>
    <mergeCell ref="G152:H152"/>
    <mergeCell ref="A153:C153"/>
    <mergeCell ref="G153:H153"/>
    <mergeCell ref="D154:F154"/>
    <mergeCell ref="A155:I155"/>
    <mergeCell ref="A149:C149"/>
    <mergeCell ref="D149:E149"/>
    <mergeCell ref="B150:C150"/>
    <mergeCell ref="D150:E150"/>
    <mergeCell ref="B151:C151"/>
    <mergeCell ref="D151:E151"/>
    <mergeCell ref="A146:C146"/>
    <mergeCell ref="D146:E146"/>
    <mergeCell ref="B147:C147"/>
    <mergeCell ref="D147:E147"/>
    <mergeCell ref="G148:H148"/>
    <mergeCell ref="G142:H142"/>
    <mergeCell ref="A143:C143"/>
    <mergeCell ref="G143:H143"/>
    <mergeCell ref="D144:F144"/>
    <mergeCell ref="A145:I145"/>
    <mergeCell ref="D138:F138"/>
    <mergeCell ref="A139:I139"/>
    <mergeCell ref="A140:C140"/>
    <mergeCell ref="D140:E140"/>
    <mergeCell ref="B141:C141"/>
    <mergeCell ref="D141:E141"/>
    <mergeCell ref="B135:C135"/>
    <mergeCell ref="D135:E135"/>
    <mergeCell ref="G136:H136"/>
    <mergeCell ref="A137:C137"/>
    <mergeCell ref="G137:H137"/>
    <mergeCell ref="A130:C131"/>
    <mergeCell ref="G130:H130"/>
    <mergeCell ref="D132:F132"/>
    <mergeCell ref="A133:I133"/>
    <mergeCell ref="A134:C134"/>
    <mergeCell ref="D134:E134"/>
    <mergeCell ref="A127:C127"/>
    <mergeCell ref="D127:E127"/>
    <mergeCell ref="B128:C128"/>
    <mergeCell ref="D128:E128"/>
    <mergeCell ref="G129:H129"/>
    <mergeCell ref="B124:C124"/>
    <mergeCell ref="D124:E124"/>
    <mergeCell ref="B125:C125"/>
    <mergeCell ref="D125:E125"/>
    <mergeCell ref="G126:H126"/>
    <mergeCell ref="B121:C121"/>
    <mergeCell ref="D121:E121"/>
    <mergeCell ref="B122:C122"/>
    <mergeCell ref="D122:E122"/>
    <mergeCell ref="B123:C123"/>
    <mergeCell ref="D123:E123"/>
    <mergeCell ref="B118:C118"/>
    <mergeCell ref="D118:E118"/>
    <mergeCell ref="B119:C119"/>
    <mergeCell ref="D119:E119"/>
    <mergeCell ref="B120:C120"/>
    <mergeCell ref="D120:E120"/>
    <mergeCell ref="D114:F114"/>
    <mergeCell ref="A115:I115"/>
    <mergeCell ref="A116:C116"/>
    <mergeCell ref="D116:E116"/>
    <mergeCell ref="B117:C117"/>
    <mergeCell ref="D117:E117"/>
    <mergeCell ref="B110:C110"/>
    <mergeCell ref="D110:E110"/>
    <mergeCell ref="G111:H111"/>
    <mergeCell ref="A112:C113"/>
    <mergeCell ref="G112:H112"/>
    <mergeCell ref="B107:C107"/>
    <mergeCell ref="D107:E107"/>
    <mergeCell ref="G108:H108"/>
    <mergeCell ref="A109:C109"/>
    <mergeCell ref="D109:E109"/>
    <mergeCell ref="B104:C104"/>
    <mergeCell ref="D104:E104"/>
    <mergeCell ref="B105:C105"/>
    <mergeCell ref="D105:E105"/>
    <mergeCell ref="B106:C106"/>
    <mergeCell ref="D106:E106"/>
    <mergeCell ref="A101:C101"/>
    <mergeCell ref="D101:E101"/>
    <mergeCell ref="B102:C102"/>
    <mergeCell ref="D102:E102"/>
    <mergeCell ref="B103:C103"/>
    <mergeCell ref="D103:E103"/>
    <mergeCell ref="G97:H97"/>
    <mergeCell ref="A98:C98"/>
    <mergeCell ref="G98:H98"/>
    <mergeCell ref="D99:F99"/>
    <mergeCell ref="A100:I100"/>
    <mergeCell ref="D93:F93"/>
    <mergeCell ref="A94:I94"/>
    <mergeCell ref="A95:C95"/>
    <mergeCell ref="D95:E95"/>
    <mergeCell ref="B96:C96"/>
    <mergeCell ref="D96:E96"/>
    <mergeCell ref="B90:C90"/>
    <mergeCell ref="D90:E90"/>
    <mergeCell ref="G91:H91"/>
    <mergeCell ref="A92:C92"/>
    <mergeCell ref="G92:H92"/>
    <mergeCell ref="B87:C87"/>
    <mergeCell ref="D87:E87"/>
    <mergeCell ref="G88:H88"/>
    <mergeCell ref="A89:C89"/>
    <mergeCell ref="D89:E89"/>
    <mergeCell ref="B84:C84"/>
    <mergeCell ref="D84:E84"/>
    <mergeCell ref="B85:C85"/>
    <mergeCell ref="D85:E85"/>
    <mergeCell ref="B86:C86"/>
    <mergeCell ref="D86:E86"/>
    <mergeCell ref="B81:C81"/>
    <mergeCell ref="D81:E81"/>
    <mergeCell ref="B82:C82"/>
    <mergeCell ref="D82:E82"/>
    <mergeCell ref="B83:C83"/>
    <mergeCell ref="D83:E83"/>
    <mergeCell ref="D77:F77"/>
    <mergeCell ref="A78:I78"/>
    <mergeCell ref="A79:C79"/>
    <mergeCell ref="D79:E79"/>
    <mergeCell ref="B80:C80"/>
    <mergeCell ref="D80:E80"/>
    <mergeCell ref="G72:H72"/>
    <mergeCell ref="G73:H73"/>
    <mergeCell ref="G74:H74"/>
    <mergeCell ref="A75:C76"/>
    <mergeCell ref="G75:H75"/>
    <mergeCell ref="A67:E67"/>
    <mergeCell ref="B68:E68"/>
    <mergeCell ref="G69:H69"/>
    <mergeCell ref="G70:H70"/>
    <mergeCell ref="G71:H71"/>
    <mergeCell ref="C62:D62"/>
    <mergeCell ref="C63:D63"/>
    <mergeCell ref="C64:D64"/>
    <mergeCell ref="C65:D65"/>
    <mergeCell ref="G66:H66"/>
    <mergeCell ref="A60:B61"/>
    <mergeCell ref="C60:D61"/>
    <mergeCell ref="E60:F60"/>
    <mergeCell ref="G60:H60"/>
    <mergeCell ref="I60:I61"/>
    <mergeCell ref="G56:H56"/>
    <mergeCell ref="A57:C57"/>
    <mergeCell ref="G57:H57"/>
    <mergeCell ref="D58:F58"/>
    <mergeCell ref="A59:I59"/>
    <mergeCell ref="G53:H53"/>
    <mergeCell ref="A54:C54"/>
    <mergeCell ref="D54:E54"/>
    <mergeCell ref="B55:C55"/>
    <mergeCell ref="D55:E55"/>
    <mergeCell ref="D49:F49"/>
    <mergeCell ref="A50:I50"/>
    <mergeCell ref="A51:C51"/>
    <mergeCell ref="D51:E51"/>
    <mergeCell ref="B52:C52"/>
    <mergeCell ref="D52:E52"/>
    <mergeCell ref="B46:C46"/>
    <mergeCell ref="D46:E46"/>
    <mergeCell ref="G47:H47"/>
    <mergeCell ref="A48:C48"/>
    <mergeCell ref="G48:H48"/>
    <mergeCell ref="B43:C43"/>
    <mergeCell ref="D43:E43"/>
    <mergeCell ref="G44:H44"/>
    <mergeCell ref="A45:C45"/>
    <mergeCell ref="D45:E45"/>
    <mergeCell ref="D39:F39"/>
    <mergeCell ref="A40:I40"/>
    <mergeCell ref="A41:C41"/>
    <mergeCell ref="D41:E41"/>
    <mergeCell ref="B42:C42"/>
    <mergeCell ref="D42:E42"/>
    <mergeCell ref="B36:C36"/>
    <mergeCell ref="D36:E36"/>
    <mergeCell ref="G37:H37"/>
    <mergeCell ref="A38:C38"/>
    <mergeCell ref="G38:H38"/>
    <mergeCell ref="D32:F32"/>
    <mergeCell ref="A33:I33"/>
    <mergeCell ref="A34:C34"/>
    <mergeCell ref="D34:E34"/>
    <mergeCell ref="B35:C35"/>
    <mergeCell ref="D35:E35"/>
    <mergeCell ref="B29:C29"/>
    <mergeCell ref="D29:E29"/>
    <mergeCell ref="G30:H30"/>
    <mergeCell ref="A31:C31"/>
    <mergeCell ref="G31:H31"/>
    <mergeCell ref="D25:F25"/>
    <mergeCell ref="A26:I26"/>
    <mergeCell ref="A27:C27"/>
    <mergeCell ref="D27:E27"/>
    <mergeCell ref="B28:C28"/>
    <mergeCell ref="D28:E28"/>
    <mergeCell ref="B21:C21"/>
    <mergeCell ref="D21:E21"/>
    <mergeCell ref="G22:H22"/>
    <mergeCell ref="A23:C24"/>
    <mergeCell ref="G23:H23"/>
    <mergeCell ref="A17:C17"/>
    <mergeCell ref="G17:H17"/>
    <mergeCell ref="D18:F18"/>
    <mergeCell ref="A19:I19"/>
    <mergeCell ref="A20:C20"/>
    <mergeCell ref="D20:E20"/>
    <mergeCell ref="A14:C14"/>
    <mergeCell ref="D14:E14"/>
    <mergeCell ref="B15:C15"/>
    <mergeCell ref="D15:E15"/>
    <mergeCell ref="G16:H16"/>
    <mergeCell ref="B11:C11"/>
    <mergeCell ref="D11:E11"/>
    <mergeCell ref="B12:C12"/>
    <mergeCell ref="D12:E12"/>
    <mergeCell ref="G13:H13"/>
    <mergeCell ref="B8:C8"/>
    <mergeCell ref="D8:E8"/>
    <mergeCell ref="G9:H9"/>
    <mergeCell ref="A10:C10"/>
    <mergeCell ref="D10:E10"/>
    <mergeCell ref="B5:C5"/>
    <mergeCell ref="D5:E5"/>
    <mergeCell ref="B6:C6"/>
    <mergeCell ref="D6:E6"/>
    <mergeCell ref="B7:C7"/>
    <mergeCell ref="D7:E7"/>
    <mergeCell ref="A1:I1"/>
    <mergeCell ref="D2:F2"/>
    <mergeCell ref="A3:I3"/>
    <mergeCell ref="A4:C4"/>
    <mergeCell ref="D4:E4"/>
  </mergeCells>
  <printOptions horizontalCentered="1"/>
  <pageMargins left="0" right="0" top="0.39370078740157483" bottom="0.78740157480314965" header="0" footer="0"/>
  <pageSetup paperSize="9" scale="85" orientation="portrait" r:id="rId1"/>
  <headerFooter>
    <oddFooter>&amp;C&amp;P/&amp;N&amp;R&amp;G</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0F195-51B2-4A92-B19B-687F8730471D}">
  <sheetPr>
    <outlinePr summaryBelow="0"/>
  </sheetPr>
  <dimension ref="A1:K77"/>
  <sheetViews>
    <sheetView view="pageBreakPreview" zoomScale="110" zoomScaleNormal="100" zoomScaleSheetLayoutView="110" workbookViewId="0">
      <selection activeCell="G81" sqref="G81"/>
    </sheetView>
  </sheetViews>
  <sheetFormatPr defaultRowHeight="15"/>
  <cols>
    <col min="1" max="1" width="7.42578125" style="11" customWidth="1"/>
    <col min="2" max="2" width="55" style="11" customWidth="1"/>
    <col min="3" max="3" width="7.42578125" style="11" customWidth="1"/>
    <col min="4" max="4" width="8.28515625" style="11" customWidth="1"/>
    <col min="5" max="5" width="7.42578125" style="11" customWidth="1"/>
    <col min="6" max="8" width="10" style="11" customWidth="1"/>
    <col min="9" max="10" width="7" style="11" customWidth="1"/>
    <col min="11" max="11" width="3.85546875" style="11" customWidth="1"/>
    <col min="12" max="16384" width="9.140625" style="11"/>
  </cols>
  <sheetData>
    <row r="1" spans="1:11" ht="99" customHeight="1">
      <c r="A1" s="602"/>
      <c r="B1" s="602"/>
      <c r="C1" s="602"/>
      <c r="D1" s="602"/>
      <c r="E1" s="602"/>
      <c r="F1" s="602"/>
      <c r="G1" s="602"/>
      <c r="H1" s="602"/>
      <c r="I1" s="602"/>
      <c r="J1" s="602"/>
      <c r="K1" s="602"/>
    </row>
    <row r="2" spans="1:11" ht="9.9499999999999993" customHeight="1">
      <c r="A2" s="10"/>
      <c r="B2" s="600" t="s">
        <v>1443</v>
      </c>
      <c r="C2" s="600"/>
      <c r="D2" s="10"/>
      <c r="E2" s="10"/>
      <c r="F2" s="10"/>
      <c r="G2" s="10"/>
      <c r="H2" s="10"/>
      <c r="I2" s="10"/>
      <c r="J2" s="10"/>
      <c r="K2" s="10"/>
    </row>
    <row r="3" spans="1:11" ht="21.95" customHeight="1">
      <c r="A3" s="22" t="s">
        <v>1</v>
      </c>
      <c r="B3" s="23" t="s">
        <v>3</v>
      </c>
      <c r="C3" s="22" t="s">
        <v>1191</v>
      </c>
      <c r="D3" s="22" t="s">
        <v>1444</v>
      </c>
      <c r="E3" s="22" t="s">
        <v>1445</v>
      </c>
      <c r="F3" s="22" t="s">
        <v>1446</v>
      </c>
      <c r="G3" s="22" t="s">
        <v>8</v>
      </c>
      <c r="H3" s="22" t="s">
        <v>1447</v>
      </c>
      <c r="I3" s="22" t="s">
        <v>1448</v>
      </c>
      <c r="J3" s="22" t="s">
        <v>1449</v>
      </c>
      <c r="K3" s="22" t="s">
        <v>1450</v>
      </c>
    </row>
    <row r="4" spans="1:11" ht="27.95" customHeight="1">
      <c r="A4" s="24" t="s">
        <v>98</v>
      </c>
      <c r="B4" s="25" t="s">
        <v>99</v>
      </c>
      <c r="C4" s="24" t="s">
        <v>29</v>
      </c>
      <c r="D4" s="24" t="s">
        <v>1211</v>
      </c>
      <c r="E4" s="24" t="s">
        <v>40</v>
      </c>
      <c r="F4" s="26">
        <v>12702.35</v>
      </c>
      <c r="G4" s="26">
        <v>66.39</v>
      </c>
      <c r="H4" s="26">
        <v>843309.01650000003</v>
      </c>
      <c r="I4" s="27">
        <f>H4/$I$77</f>
        <v>0.11348652600391849</v>
      </c>
      <c r="J4" s="27">
        <f>I4</f>
        <v>0.11348652600391849</v>
      </c>
      <c r="K4" s="24" t="s">
        <v>1452</v>
      </c>
    </row>
    <row r="5" spans="1:11" ht="20.100000000000001" customHeight="1">
      <c r="A5" s="24" t="s">
        <v>52</v>
      </c>
      <c r="B5" s="25" t="s">
        <v>53</v>
      </c>
      <c r="C5" s="24" t="s">
        <v>29</v>
      </c>
      <c r="D5" s="24" t="s">
        <v>1211</v>
      </c>
      <c r="E5" s="24" t="s">
        <v>54</v>
      </c>
      <c r="F5" s="26">
        <v>273834.23</v>
      </c>
      <c r="G5" s="26">
        <v>2.67</v>
      </c>
      <c r="H5" s="26">
        <v>731137.39410000003</v>
      </c>
      <c r="I5" s="27">
        <f t="shared" ref="I5:I68" si="0">H5/$I$77</f>
        <v>9.8391267334406424E-2</v>
      </c>
      <c r="J5" s="27">
        <f>I5+J4</f>
        <v>0.2118777933383249</v>
      </c>
      <c r="K5" s="24" t="s">
        <v>1452</v>
      </c>
    </row>
    <row r="6" spans="1:11" ht="20.100000000000001" customHeight="1">
      <c r="A6" s="24" t="s">
        <v>136</v>
      </c>
      <c r="B6" s="25" t="s">
        <v>137</v>
      </c>
      <c r="C6" s="24" t="s">
        <v>29</v>
      </c>
      <c r="D6" s="24" t="s">
        <v>1211</v>
      </c>
      <c r="E6" s="24" t="s">
        <v>138</v>
      </c>
      <c r="F6" s="26">
        <v>34349.39</v>
      </c>
      <c r="G6" s="26">
        <v>17.8</v>
      </c>
      <c r="H6" s="26">
        <v>611419.14199999999</v>
      </c>
      <c r="I6" s="27">
        <f t="shared" si="0"/>
        <v>8.2280436945709481E-2</v>
      </c>
      <c r="J6" s="27">
        <f>I6+J5</f>
        <v>0.29415823028403437</v>
      </c>
      <c r="K6" s="24" t="s">
        <v>1452</v>
      </c>
    </row>
    <row r="7" spans="1:11" ht="20.100000000000001" customHeight="1">
      <c r="A7" s="24" t="s">
        <v>143</v>
      </c>
      <c r="B7" s="25" t="s">
        <v>144</v>
      </c>
      <c r="C7" s="24" t="s">
        <v>29</v>
      </c>
      <c r="D7" s="24" t="s">
        <v>1211</v>
      </c>
      <c r="E7" s="24" t="s">
        <v>20</v>
      </c>
      <c r="F7" s="26">
        <v>4564.0600000000004</v>
      </c>
      <c r="G7" s="26">
        <v>124.18</v>
      </c>
      <c r="H7" s="26">
        <v>566764.97080000001</v>
      </c>
      <c r="I7" s="27">
        <f t="shared" si="0"/>
        <v>7.6271196368507349E-2</v>
      </c>
      <c r="J7" s="27">
        <f t="shared" ref="J7:J70" si="1">I7+J6</f>
        <v>0.37042942665254175</v>
      </c>
      <c r="K7" s="24" t="s">
        <v>1452</v>
      </c>
    </row>
    <row r="8" spans="1:11" ht="20.100000000000001" customHeight="1">
      <c r="A8" s="24" t="s">
        <v>385</v>
      </c>
      <c r="B8" s="25" t="s">
        <v>386</v>
      </c>
      <c r="C8" s="24" t="s">
        <v>1457</v>
      </c>
      <c r="D8" s="24" t="s">
        <v>1211</v>
      </c>
      <c r="E8" s="24" t="s">
        <v>44</v>
      </c>
      <c r="F8" s="26">
        <v>4364.59</v>
      </c>
      <c r="G8" s="26">
        <v>122.66</v>
      </c>
      <c r="H8" s="26">
        <v>535360.60939999996</v>
      </c>
      <c r="I8" s="27">
        <f t="shared" si="0"/>
        <v>7.2045020901477269E-2</v>
      </c>
      <c r="J8" s="27">
        <f t="shared" si="1"/>
        <v>0.44247444755401899</v>
      </c>
      <c r="K8" s="24" t="s">
        <v>1452</v>
      </c>
    </row>
    <row r="9" spans="1:11" ht="20.100000000000001" customHeight="1">
      <c r="A9" s="24" t="s">
        <v>76</v>
      </c>
      <c r="B9" s="25" t="s">
        <v>77</v>
      </c>
      <c r="C9" s="24" t="s">
        <v>1457</v>
      </c>
      <c r="D9" s="24" t="s">
        <v>1211</v>
      </c>
      <c r="E9" s="24" t="s">
        <v>78</v>
      </c>
      <c r="F9" s="26">
        <v>181922.96</v>
      </c>
      <c r="G9" s="26">
        <v>1.61</v>
      </c>
      <c r="H9" s="26">
        <v>292895.9656</v>
      </c>
      <c r="I9" s="27">
        <f t="shared" si="0"/>
        <v>3.941585464657156E-2</v>
      </c>
      <c r="J9" s="27">
        <f t="shared" si="1"/>
        <v>0.48189030220059054</v>
      </c>
      <c r="K9" s="24" t="s">
        <v>1452</v>
      </c>
    </row>
    <row r="10" spans="1:11" ht="20.100000000000001" customHeight="1">
      <c r="A10" s="24" t="s">
        <v>83</v>
      </c>
      <c r="B10" s="25" t="s">
        <v>84</v>
      </c>
      <c r="C10" s="24" t="s">
        <v>1457</v>
      </c>
      <c r="D10" s="24" t="s">
        <v>1211</v>
      </c>
      <c r="E10" s="24" t="s">
        <v>60</v>
      </c>
      <c r="F10" s="26">
        <v>1739.09</v>
      </c>
      <c r="G10" s="26">
        <v>156.80000000000001</v>
      </c>
      <c r="H10" s="26">
        <v>272689.31199999998</v>
      </c>
      <c r="I10" s="27">
        <f t="shared" si="0"/>
        <v>3.6696587006405663E-2</v>
      </c>
      <c r="J10" s="27">
        <f t="shared" si="1"/>
        <v>0.51858688920699625</v>
      </c>
      <c r="K10" s="24" t="s">
        <v>1452</v>
      </c>
    </row>
    <row r="11" spans="1:11" ht="20.100000000000001" customHeight="1">
      <c r="A11" s="24" t="s">
        <v>152</v>
      </c>
      <c r="B11" s="25" t="s">
        <v>153</v>
      </c>
      <c r="C11" s="24" t="s">
        <v>29</v>
      </c>
      <c r="D11" s="24" t="s">
        <v>1211</v>
      </c>
      <c r="E11" s="24" t="s">
        <v>60</v>
      </c>
      <c r="F11" s="26">
        <v>485.43</v>
      </c>
      <c r="G11" s="26">
        <v>551.9</v>
      </c>
      <c r="H11" s="26">
        <v>267908.81699999998</v>
      </c>
      <c r="I11" s="27">
        <f t="shared" si="0"/>
        <v>3.6053262009857256E-2</v>
      </c>
      <c r="J11" s="27">
        <f t="shared" si="1"/>
        <v>0.55464015121685351</v>
      </c>
      <c r="K11" s="24" t="s">
        <v>1452</v>
      </c>
    </row>
    <row r="12" spans="1:11" ht="20.100000000000001" customHeight="1">
      <c r="A12" s="24" t="s">
        <v>130</v>
      </c>
      <c r="B12" s="25" t="s">
        <v>131</v>
      </c>
      <c r="C12" s="24" t="s">
        <v>29</v>
      </c>
      <c r="D12" s="24" t="s">
        <v>1211</v>
      </c>
      <c r="E12" s="24" t="s">
        <v>60</v>
      </c>
      <c r="F12" s="26">
        <v>471.91</v>
      </c>
      <c r="G12" s="26">
        <v>555.79999999999995</v>
      </c>
      <c r="H12" s="26">
        <v>262287.57799999998</v>
      </c>
      <c r="I12" s="27">
        <f t="shared" si="0"/>
        <v>3.5296795668971481E-2</v>
      </c>
      <c r="J12" s="27">
        <f t="shared" si="1"/>
        <v>0.58993694688582499</v>
      </c>
      <c r="K12" s="24" t="s">
        <v>1452</v>
      </c>
    </row>
    <row r="13" spans="1:11" ht="27.95" customHeight="1">
      <c r="A13" s="24" t="s">
        <v>95</v>
      </c>
      <c r="B13" s="25" t="s">
        <v>96</v>
      </c>
      <c r="C13" s="24" t="s">
        <v>1457</v>
      </c>
      <c r="D13" s="24" t="s">
        <v>1211</v>
      </c>
      <c r="E13" s="24" t="s">
        <v>60</v>
      </c>
      <c r="F13" s="26">
        <v>1529.79</v>
      </c>
      <c r="G13" s="26">
        <v>132.56</v>
      </c>
      <c r="H13" s="26">
        <v>202788.96239999999</v>
      </c>
      <c r="I13" s="27">
        <f t="shared" si="0"/>
        <v>2.7289895405399413E-2</v>
      </c>
      <c r="J13" s="27">
        <f t="shared" si="1"/>
        <v>0.61722684229122438</v>
      </c>
      <c r="K13" s="24" t="s">
        <v>1452</v>
      </c>
    </row>
    <row r="14" spans="1:11" ht="27.95" customHeight="1">
      <c r="A14" s="24" t="s">
        <v>155</v>
      </c>
      <c r="B14" s="25" t="s">
        <v>156</v>
      </c>
      <c r="C14" s="24" t="s">
        <v>1457</v>
      </c>
      <c r="D14" s="24" t="s">
        <v>1211</v>
      </c>
      <c r="E14" s="24" t="s">
        <v>60</v>
      </c>
      <c r="F14" s="26">
        <v>1278.3900000000001</v>
      </c>
      <c r="G14" s="26">
        <v>152.59</v>
      </c>
      <c r="H14" s="26">
        <v>195069.5301</v>
      </c>
      <c r="I14" s="27">
        <f t="shared" si="0"/>
        <v>2.625106914206201E-2</v>
      </c>
      <c r="J14" s="27">
        <f t="shared" si="1"/>
        <v>0.64347791143328636</v>
      </c>
      <c r="K14" s="24" t="s">
        <v>1452</v>
      </c>
    </row>
    <row r="15" spans="1:11" ht="20.100000000000001" customHeight="1">
      <c r="A15" s="24" t="s">
        <v>133</v>
      </c>
      <c r="B15" s="25" t="s">
        <v>134</v>
      </c>
      <c r="C15" s="24" t="s">
        <v>29</v>
      </c>
      <c r="D15" s="24" t="s">
        <v>1211</v>
      </c>
      <c r="E15" s="24" t="s">
        <v>60</v>
      </c>
      <c r="F15" s="26">
        <v>380.1</v>
      </c>
      <c r="G15" s="26">
        <v>512.76</v>
      </c>
      <c r="H15" s="26">
        <v>194900.076</v>
      </c>
      <c r="I15" s="27">
        <f t="shared" si="0"/>
        <v>2.6228265215209743E-2</v>
      </c>
      <c r="J15" s="27">
        <f t="shared" si="1"/>
        <v>0.66970617664849608</v>
      </c>
      <c r="K15" s="24" t="s">
        <v>1452</v>
      </c>
    </row>
    <row r="16" spans="1:11" ht="20.100000000000001" customHeight="1">
      <c r="A16" s="24" t="s">
        <v>107</v>
      </c>
      <c r="B16" s="25" t="s">
        <v>108</v>
      </c>
      <c r="C16" s="24" t="s">
        <v>29</v>
      </c>
      <c r="D16" s="24" t="s">
        <v>1211</v>
      </c>
      <c r="E16" s="24" t="s">
        <v>40</v>
      </c>
      <c r="F16" s="26">
        <v>3978.83</v>
      </c>
      <c r="G16" s="26">
        <v>46.76</v>
      </c>
      <c r="H16" s="26">
        <v>186050.09080000001</v>
      </c>
      <c r="I16" s="27">
        <f t="shared" si="0"/>
        <v>2.5037297188207637E-2</v>
      </c>
      <c r="J16" s="27">
        <f t="shared" si="1"/>
        <v>0.69474347383670376</v>
      </c>
      <c r="K16" s="24" t="s">
        <v>1452</v>
      </c>
    </row>
    <row r="17" spans="1:11" ht="27.95" customHeight="1">
      <c r="A17" s="24" t="s">
        <v>49</v>
      </c>
      <c r="B17" s="25" t="s">
        <v>50</v>
      </c>
      <c r="C17" s="24" t="s">
        <v>1457</v>
      </c>
      <c r="D17" s="24" t="s">
        <v>1211</v>
      </c>
      <c r="E17" s="24" t="s">
        <v>44</v>
      </c>
      <c r="F17" s="26">
        <v>49057.11</v>
      </c>
      <c r="G17" s="26">
        <v>3.41</v>
      </c>
      <c r="H17" s="26">
        <v>167284.7451</v>
      </c>
      <c r="I17" s="27">
        <f t="shared" si="0"/>
        <v>2.2511990508108159E-2</v>
      </c>
      <c r="J17" s="27">
        <f t="shared" si="1"/>
        <v>0.71725546434481191</v>
      </c>
      <c r="K17" s="24" t="s">
        <v>1452</v>
      </c>
    </row>
    <row r="18" spans="1:11" ht="27.95" customHeight="1">
      <c r="A18" s="24" t="s">
        <v>1123</v>
      </c>
      <c r="B18" s="25" t="s">
        <v>1124</v>
      </c>
      <c r="C18" s="24" t="s">
        <v>29</v>
      </c>
      <c r="D18" s="24" t="s">
        <v>1211</v>
      </c>
      <c r="E18" s="24" t="s">
        <v>40</v>
      </c>
      <c r="F18" s="26">
        <v>250.4</v>
      </c>
      <c r="G18" s="26">
        <v>595.67999999999995</v>
      </c>
      <c r="H18" s="26">
        <v>149158.272</v>
      </c>
      <c r="I18" s="27">
        <f t="shared" si="0"/>
        <v>2.0072658755958584E-2</v>
      </c>
      <c r="J18" s="27">
        <f t="shared" si="1"/>
        <v>0.73732812310077045</v>
      </c>
      <c r="K18" s="24" t="s">
        <v>1452</v>
      </c>
    </row>
    <row r="19" spans="1:11" ht="20.100000000000001" customHeight="1">
      <c r="A19" s="24" t="s">
        <v>65</v>
      </c>
      <c r="B19" s="25" t="s">
        <v>66</v>
      </c>
      <c r="C19" s="24" t="s">
        <v>29</v>
      </c>
      <c r="D19" s="24" t="s">
        <v>1211</v>
      </c>
      <c r="E19" s="24" t="s">
        <v>20</v>
      </c>
      <c r="F19" s="26">
        <v>44165.63</v>
      </c>
      <c r="G19" s="26">
        <v>3.28</v>
      </c>
      <c r="H19" s="26">
        <v>144863.26639999999</v>
      </c>
      <c r="I19" s="27">
        <f t="shared" si="0"/>
        <v>1.9494667467860723E-2</v>
      </c>
      <c r="J19" s="27">
        <f t="shared" si="1"/>
        <v>0.75682279056863122</v>
      </c>
      <c r="K19" s="24" t="s">
        <v>1452</v>
      </c>
    </row>
    <row r="20" spans="1:11" ht="20.100000000000001" customHeight="1">
      <c r="A20" s="24" t="s">
        <v>42</v>
      </c>
      <c r="B20" s="25" t="s">
        <v>43</v>
      </c>
      <c r="C20" s="24" t="s">
        <v>1457</v>
      </c>
      <c r="D20" s="24" t="s">
        <v>1211</v>
      </c>
      <c r="E20" s="24" t="s">
        <v>44</v>
      </c>
      <c r="F20" s="26">
        <v>536.70000000000005</v>
      </c>
      <c r="G20" s="26">
        <v>249.53</v>
      </c>
      <c r="H20" s="26">
        <v>133922.75099999999</v>
      </c>
      <c r="I20" s="27">
        <f t="shared" si="0"/>
        <v>1.8022370763870279E-2</v>
      </c>
      <c r="J20" s="27">
        <f t="shared" si="1"/>
        <v>0.77484516133250148</v>
      </c>
      <c r="K20" s="24" t="s">
        <v>1452</v>
      </c>
    </row>
    <row r="21" spans="1:11" ht="27.95" customHeight="1">
      <c r="A21" s="24" t="s">
        <v>149</v>
      </c>
      <c r="B21" s="25" t="s">
        <v>150</v>
      </c>
      <c r="C21" s="24" t="s">
        <v>29</v>
      </c>
      <c r="D21" s="24" t="s">
        <v>1211</v>
      </c>
      <c r="E21" s="24" t="s">
        <v>20</v>
      </c>
      <c r="F21" s="26">
        <v>4564.0600000000004</v>
      </c>
      <c r="G21" s="26">
        <v>29.19</v>
      </c>
      <c r="H21" s="26">
        <v>133224.91140000001</v>
      </c>
      <c r="I21" s="27">
        <f t="shared" si="0"/>
        <v>1.7928460476700995E-2</v>
      </c>
      <c r="J21" s="27">
        <f t="shared" si="1"/>
        <v>0.79277362180920252</v>
      </c>
      <c r="K21" s="24" t="s">
        <v>1452</v>
      </c>
    </row>
    <row r="22" spans="1:11" ht="20.100000000000001" customHeight="1">
      <c r="A22" s="24" t="s">
        <v>385</v>
      </c>
      <c r="B22" s="25" t="s">
        <v>1096</v>
      </c>
      <c r="C22" s="24" t="s">
        <v>1457</v>
      </c>
      <c r="D22" s="24" t="s">
        <v>1211</v>
      </c>
      <c r="E22" s="24" t="s">
        <v>44</v>
      </c>
      <c r="F22" s="26">
        <v>1076.1400000000001</v>
      </c>
      <c r="G22" s="26">
        <v>122.66</v>
      </c>
      <c r="H22" s="26">
        <v>131999.33240000001</v>
      </c>
      <c r="I22" s="27">
        <f t="shared" si="0"/>
        <v>1.7763530776754695E-2</v>
      </c>
      <c r="J22" s="27">
        <f t="shared" si="1"/>
        <v>0.81053715258595727</v>
      </c>
      <c r="K22" s="24" t="s">
        <v>1452</v>
      </c>
    </row>
    <row r="23" spans="1:11" ht="20.100000000000001" customHeight="1">
      <c r="A23" s="24" t="s">
        <v>72</v>
      </c>
      <c r="B23" s="25" t="s">
        <v>73</v>
      </c>
      <c r="C23" s="24" t="s">
        <v>1457</v>
      </c>
      <c r="D23" s="24" t="s">
        <v>1211</v>
      </c>
      <c r="E23" s="24" t="s">
        <v>60</v>
      </c>
      <c r="F23" s="26">
        <v>6680.46</v>
      </c>
      <c r="G23" s="26">
        <v>16.98</v>
      </c>
      <c r="H23" s="26">
        <v>113434.2108</v>
      </c>
      <c r="I23" s="27">
        <f t="shared" si="0"/>
        <v>1.5265168831131751E-2</v>
      </c>
      <c r="J23" s="27">
        <f t="shared" si="1"/>
        <v>0.82580232141708898</v>
      </c>
      <c r="K23" s="24" t="s">
        <v>1452</v>
      </c>
    </row>
    <row r="24" spans="1:11" ht="27.95" customHeight="1">
      <c r="A24" s="24" t="s">
        <v>173</v>
      </c>
      <c r="B24" s="25" t="s">
        <v>174</v>
      </c>
      <c r="C24" s="24" t="s">
        <v>29</v>
      </c>
      <c r="D24" s="24" t="s">
        <v>1211</v>
      </c>
      <c r="E24" s="24" t="s">
        <v>40</v>
      </c>
      <c r="F24" s="26">
        <v>15954.35</v>
      </c>
      <c r="G24" s="26">
        <v>6.44</v>
      </c>
      <c r="H24" s="26">
        <v>102746.014</v>
      </c>
      <c r="I24" s="27">
        <f t="shared" si="0"/>
        <v>1.3826827368695603E-2</v>
      </c>
      <c r="J24" s="27">
        <f t="shared" si="1"/>
        <v>0.83962914878578454</v>
      </c>
      <c r="K24" s="24" t="s">
        <v>1456</v>
      </c>
    </row>
    <row r="25" spans="1:11" ht="20.100000000000001" customHeight="1">
      <c r="A25" s="24" t="s">
        <v>181</v>
      </c>
      <c r="B25" s="25" t="s">
        <v>182</v>
      </c>
      <c r="C25" s="24" t="s">
        <v>1457</v>
      </c>
      <c r="D25" s="24" t="s">
        <v>1211</v>
      </c>
      <c r="E25" s="24" t="s">
        <v>183</v>
      </c>
      <c r="F25" s="26">
        <v>692.76</v>
      </c>
      <c r="G25" s="26">
        <v>132.08000000000001</v>
      </c>
      <c r="H25" s="26">
        <v>91499.7408</v>
      </c>
      <c r="I25" s="27">
        <f t="shared" si="0"/>
        <v>1.2313383955916711E-2</v>
      </c>
      <c r="J25" s="27">
        <f t="shared" si="1"/>
        <v>0.85194253274170129</v>
      </c>
      <c r="K25" s="24" t="s">
        <v>1456</v>
      </c>
    </row>
    <row r="26" spans="1:11" ht="27.95" customHeight="1">
      <c r="A26" s="24" t="s">
        <v>17</v>
      </c>
      <c r="B26" s="25" t="s">
        <v>19</v>
      </c>
      <c r="C26" s="24" t="s">
        <v>1457</v>
      </c>
      <c r="D26" s="24" t="s">
        <v>1211</v>
      </c>
      <c r="E26" s="24" t="s">
        <v>20</v>
      </c>
      <c r="F26" s="26">
        <v>122.88</v>
      </c>
      <c r="G26" s="26">
        <v>664.26</v>
      </c>
      <c r="H26" s="26">
        <v>81624.268800000005</v>
      </c>
      <c r="I26" s="27">
        <f t="shared" si="0"/>
        <v>1.0984413213281507E-2</v>
      </c>
      <c r="J26" s="27">
        <f t="shared" si="1"/>
        <v>0.86292694595498276</v>
      </c>
      <c r="K26" s="24" t="s">
        <v>1456</v>
      </c>
    </row>
    <row r="27" spans="1:11" ht="20.100000000000001" customHeight="1">
      <c r="A27" s="24" t="s">
        <v>68</v>
      </c>
      <c r="B27" s="25" t="s">
        <v>69</v>
      </c>
      <c r="C27" s="24" t="s">
        <v>1457</v>
      </c>
      <c r="D27" s="24" t="s">
        <v>1211</v>
      </c>
      <c r="E27" s="24" t="s">
        <v>70</v>
      </c>
      <c r="F27" s="26">
        <v>5880.2</v>
      </c>
      <c r="G27" s="26">
        <v>13.4</v>
      </c>
      <c r="H27" s="26">
        <v>78794.679999999993</v>
      </c>
      <c r="I27" s="27">
        <f t="shared" si="0"/>
        <v>1.0603627289440271E-2</v>
      </c>
      <c r="J27" s="27">
        <f t="shared" si="1"/>
        <v>0.87353057324442307</v>
      </c>
      <c r="K27" s="24" t="s">
        <v>1456</v>
      </c>
    </row>
    <row r="28" spans="1:11" ht="27.95" customHeight="1">
      <c r="A28" s="24" t="s">
        <v>58</v>
      </c>
      <c r="B28" s="25" t="s">
        <v>59</v>
      </c>
      <c r="C28" s="24" t="s">
        <v>1457</v>
      </c>
      <c r="D28" s="24" t="s">
        <v>1211</v>
      </c>
      <c r="E28" s="24" t="s">
        <v>60</v>
      </c>
      <c r="F28" s="26">
        <v>24976.06</v>
      </c>
      <c r="G28" s="26">
        <v>3.05</v>
      </c>
      <c r="H28" s="26">
        <v>76176.982999999993</v>
      </c>
      <c r="I28" s="27">
        <f t="shared" si="0"/>
        <v>1.0251356256107996E-2</v>
      </c>
      <c r="J28" s="27">
        <f t="shared" si="1"/>
        <v>0.88378192950053103</v>
      </c>
      <c r="K28" s="24" t="s">
        <v>1456</v>
      </c>
    </row>
    <row r="29" spans="1:11" ht="27.95" customHeight="1">
      <c r="A29" s="24" t="s">
        <v>509</v>
      </c>
      <c r="B29" s="25" t="s">
        <v>510</v>
      </c>
      <c r="C29" s="24" t="s">
        <v>1457</v>
      </c>
      <c r="D29" s="24" t="s">
        <v>1211</v>
      </c>
      <c r="E29" s="24" t="s">
        <v>20</v>
      </c>
      <c r="F29" s="26">
        <v>3007.59</v>
      </c>
      <c r="G29" s="26">
        <v>24</v>
      </c>
      <c r="H29" s="26">
        <v>72182.16</v>
      </c>
      <c r="I29" s="27">
        <f t="shared" si="0"/>
        <v>9.7137614060586828E-3</v>
      </c>
      <c r="J29" s="27">
        <f t="shared" si="1"/>
        <v>0.89349569090658976</v>
      </c>
      <c r="K29" s="24" t="s">
        <v>1456</v>
      </c>
    </row>
    <row r="30" spans="1:11" ht="20.100000000000001" customHeight="1">
      <c r="A30" s="24" t="s">
        <v>89</v>
      </c>
      <c r="B30" s="25" t="s">
        <v>90</v>
      </c>
      <c r="C30" s="24" t="s">
        <v>1457</v>
      </c>
      <c r="D30" s="24" t="s">
        <v>1211</v>
      </c>
      <c r="E30" s="24" t="s">
        <v>54</v>
      </c>
      <c r="F30" s="26">
        <v>32580.28</v>
      </c>
      <c r="G30" s="26">
        <v>2.08</v>
      </c>
      <c r="H30" s="26">
        <v>67766.982399999994</v>
      </c>
      <c r="I30" s="27">
        <f t="shared" si="0"/>
        <v>9.1195982254088544E-3</v>
      </c>
      <c r="J30" s="27">
        <f t="shared" si="1"/>
        <v>0.90261528913199862</v>
      </c>
      <c r="K30" s="24" t="s">
        <v>1456</v>
      </c>
    </row>
    <row r="31" spans="1:11" ht="20.100000000000001" customHeight="1">
      <c r="A31" s="24" t="s">
        <v>325</v>
      </c>
      <c r="B31" s="25" t="s">
        <v>326</v>
      </c>
      <c r="C31" s="24" t="s">
        <v>1457</v>
      </c>
      <c r="D31" s="24" t="s">
        <v>1463</v>
      </c>
      <c r="E31" s="24" t="s">
        <v>171</v>
      </c>
      <c r="F31" s="26">
        <v>36</v>
      </c>
      <c r="G31" s="26">
        <v>1689.07</v>
      </c>
      <c r="H31" s="26">
        <v>60806.52</v>
      </c>
      <c r="I31" s="27">
        <f t="shared" si="0"/>
        <v>8.1829087299789219E-3</v>
      </c>
      <c r="J31" s="27">
        <f t="shared" si="1"/>
        <v>0.91079819786197758</v>
      </c>
      <c r="K31" s="24" t="s">
        <v>1456</v>
      </c>
    </row>
    <row r="32" spans="1:11" ht="20.100000000000001" customHeight="1">
      <c r="A32" s="24" t="s">
        <v>22</v>
      </c>
      <c r="B32" s="25" t="s">
        <v>23</v>
      </c>
      <c r="C32" s="24" t="s">
        <v>1457</v>
      </c>
      <c r="D32" s="24" t="s">
        <v>1211</v>
      </c>
      <c r="E32" s="24" t="s">
        <v>24</v>
      </c>
      <c r="F32" s="26">
        <v>68</v>
      </c>
      <c r="G32" s="26">
        <v>822.99</v>
      </c>
      <c r="H32" s="26">
        <v>55963.32</v>
      </c>
      <c r="I32" s="27">
        <f t="shared" si="0"/>
        <v>7.5311453407727342E-3</v>
      </c>
      <c r="J32" s="27">
        <f t="shared" si="1"/>
        <v>0.91832934320275028</v>
      </c>
      <c r="K32" s="24" t="s">
        <v>1456</v>
      </c>
    </row>
    <row r="33" spans="1:11" ht="20.100000000000001" customHeight="1">
      <c r="A33" s="24" t="s">
        <v>1117</v>
      </c>
      <c r="B33" s="25" t="s">
        <v>1118</v>
      </c>
      <c r="C33" s="24" t="s">
        <v>1457</v>
      </c>
      <c r="D33" s="24" t="s">
        <v>1211</v>
      </c>
      <c r="E33" s="24" t="s">
        <v>60</v>
      </c>
      <c r="F33" s="26">
        <v>86.59</v>
      </c>
      <c r="G33" s="26">
        <v>596.61</v>
      </c>
      <c r="H33" s="26">
        <v>51660.459900000002</v>
      </c>
      <c r="I33" s="27">
        <f t="shared" si="0"/>
        <v>6.9520970499616832E-3</v>
      </c>
      <c r="J33" s="27">
        <f t="shared" si="1"/>
        <v>0.92528144025271197</v>
      </c>
      <c r="K33" s="24" t="s">
        <v>1456</v>
      </c>
    </row>
    <row r="34" spans="1:11" ht="20.100000000000001" customHeight="1">
      <c r="A34" s="24" t="s">
        <v>1114</v>
      </c>
      <c r="B34" s="25" t="s">
        <v>1115</v>
      </c>
      <c r="C34" s="24" t="s">
        <v>29</v>
      </c>
      <c r="D34" s="24" t="s">
        <v>1211</v>
      </c>
      <c r="E34" s="24" t="s">
        <v>54</v>
      </c>
      <c r="F34" s="26">
        <v>39.450000000000003</v>
      </c>
      <c r="G34" s="26">
        <v>1149.3599999999999</v>
      </c>
      <c r="H34" s="26">
        <v>45342.252</v>
      </c>
      <c r="I34" s="27">
        <f t="shared" si="0"/>
        <v>6.101837594516251E-3</v>
      </c>
      <c r="J34" s="27">
        <f t="shared" si="1"/>
        <v>0.93138327784722819</v>
      </c>
      <c r="K34" s="24" t="s">
        <v>1456</v>
      </c>
    </row>
    <row r="35" spans="1:11" ht="20.100000000000001" customHeight="1">
      <c r="A35" s="24" t="s">
        <v>80</v>
      </c>
      <c r="B35" s="25" t="s">
        <v>81</v>
      </c>
      <c r="C35" s="24" t="s">
        <v>1457</v>
      </c>
      <c r="D35" s="24" t="s">
        <v>1211</v>
      </c>
      <c r="E35" s="24" t="s">
        <v>20</v>
      </c>
      <c r="F35" s="26">
        <v>28943.26</v>
      </c>
      <c r="G35" s="26">
        <v>1.46</v>
      </c>
      <c r="H35" s="26">
        <v>42257.159599999999</v>
      </c>
      <c r="I35" s="27">
        <f t="shared" si="0"/>
        <v>5.6866678144868784E-3</v>
      </c>
      <c r="J35" s="27">
        <f t="shared" si="1"/>
        <v>0.93706994566171509</v>
      </c>
      <c r="K35" s="24" t="s">
        <v>1456</v>
      </c>
    </row>
    <row r="36" spans="1:11" ht="27.95" customHeight="1">
      <c r="A36" s="24" t="s">
        <v>101</v>
      </c>
      <c r="B36" s="25" t="s">
        <v>102</v>
      </c>
      <c r="C36" s="24" t="s">
        <v>29</v>
      </c>
      <c r="D36" s="24" t="s">
        <v>1211</v>
      </c>
      <c r="E36" s="24" t="s">
        <v>40</v>
      </c>
      <c r="F36" s="26">
        <v>575.58000000000004</v>
      </c>
      <c r="G36" s="26">
        <v>71.05</v>
      </c>
      <c r="H36" s="26">
        <v>40894.959000000003</v>
      </c>
      <c r="I36" s="27">
        <f t="shared" si="0"/>
        <v>5.5033525518847345E-3</v>
      </c>
      <c r="J36" s="27">
        <f t="shared" si="1"/>
        <v>0.94257329821359981</v>
      </c>
      <c r="K36" s="24" t="s">
        <v>1456</v>
      </c>
    </row>
    <row r="37" spans="1:11" ht="20.100000000000001" customHeight="1">
      <c r="A37" s="24" t="s">
        <v>165</v>
      </c>
      <c r="B37" s="25" t="s">
        <v>166</v>
      </c>
      <c r="C37" s="24" t="s">
        <v>1455</v>
      </c>
      <c r="D37" s="24" t="s">
        <v>1211</v>
      </c>
      <c r="E37" s="24" t="s">
        <v>167</v>
      </c>
      <c r="F37" s="26">
        <v>259</v>
      </c>
      <c r="G37" s="26">
        <v>142.82</v>
      </c>
      <c r="H37" s="26">
        <v>36990.379999999997</v>
      </c>
      <c r="I37" s="27">
        <f t="shared" si="0"/>
        <v>4.9779020971309944E-3</v>
      </c>
      <c r="J37" s="27">
        <f t="shared" si="1"/>
        <v>0.94755120031073081</v>
      </c>
      <c r="K37" s="24" t="s">
        <v>1456</v>
      </c>
    </row>
    <row r="38" spans="1:11" ht="15" customHeight="1">
      <c r="A38" s="24" t="s">
        <v>160</v>
      </c>
      <c r="B38" s="25" t="s">
        <v>162</v>
      </c>
      <c r="C38" s="24" t="s">
        <v>1455</v>
      </c>
      <c r="D38" s="24" t="s">
        <v>1211</v>
      </c>
      <c r="E38" s="24" t="s">
        <v>163</v>
      </c>
      <c r="F38" s="26">
        <v>77.510000000000005</v>
      </c>
      <c r="G38" s="26">
        <v>408.26</v>
      </c>
      <c r="H38" s="26">
        <v>31644.232599999999</v>
      </c>
      <c r="I38" s="27">
        <f t="shared" si="0"/>
        <v>4.2584556260746977E-3</v>
      </c>
      <c r="J38" s="27">
        <f t="shared" si="1"/>
        <v>0.95180965593680555</v>
      </c>
      <c r="K38" s="24" t="s">
        <v>1456</v>
      </c>
    </row>
    <row r="39" spans="1:11" ht="20.100000000000001" customHeight="1">
      <c r="A39" s="24" t="s">
        <v>1120</v>
      </c>
      <c r="B39" s="25" t="s">
        <v>1121</v>
      </c>
      <c r="C39" s="24" t="s">
        <v>29</v>
      </c>
      <c r="D39" s="24" t="s">
        <v>1211</v>
      </c>
      <c r="E39" s="24" t="s">
        <v>60</v>
      </c>
      <c r="F39" s="26">
        <v>44.61</v>
      </c>
      <c r="G39" s="26">
        <v>706.29</v>
      </c>
      <c r="H39" s="26">
        <v>31507.5969</v>
      </c>
      <c r="I39" s="27">
        <f t="shared" si="0"/>
        <v>4.2400681659411996E-3</v>
      </c>
      <c r="J39" s="27">
        <f t="shared" si="1"/>
        <v>0.9560497241027468</v>
      </c>
      <c r="K39" s="24" t="s">
        <v>1456</v>
      </c>
    </row>
    <row r="40" spans="1:11" ht="20.100000000000001" customHeight="1">
      <c r="A40" s="24" t="s">
        <v>176</v>
      </c>
      <c r="B40" s="25" t="s">
        <v>177</v>
      </c>
      <c r="C40" s="24" t="s">
        <v>29</v>
      </c>
      <c r="D40" s="24" t="s">
        <v>1211</v>
      </c>
      <c r="E40" s="24" t="s">
        <v>20</v>
      </c>
      <c r="F40" s="26">
        <v>897.97</v>
      </c>
      <c r="G40" s="26">
        <v>28.39</v>
      </c>
      <c r="H40" s="26">
        <v>25493.368299999998</v>
      </c>
      <c r="I40" s="27">
        <f t="shared" si="0"/>
        <v>3.4307160814109725E-3</v>
      </c>
      <c r="J40" s="27">
        <f t="shared" si="1"/>
        <v>0.95948044018415779</v>
      </c>
      <c r="K40" s="24" t="s">
        <v>1456</v>
      </c>
    </row>
    <row r="41" spans="1:11" ht="20.100000000000001" customHeight="1">
      <c r="A41" s="24" t="s">
        <v>46</v>
      </c>
      <c r="B41" s="25" t="s">
        <v>47</v>
      </c>
      <c r="C41" s="24" t="s">
        <v>1457</v>
      </c>
      <c r="D41" s="24" t="s">
        <v>1463</v>
      </c>
      <c r="E41" s="24" t="s">
        <v>40</v>
      </c>
      <c r="F41" s="26">
        <v>1740.48</v>
      </c>
      <c r="G41" s="26">
        <v>13.09</v>
      </c>
      <c r="H41" s="26">
        <v>22782.8832</v>
      </c>
      <c r="I41" s="27">
        <f t="shared" si="0"/>
        <v>3.0659582859102964E-3</v>
      </c>
      <c r="J41" s="27">
        <f t="shared" si="1"/>
        <v>0.96254639847006807</v>
      </c>
      <c r="K41" s="24" t="s">
        <v>1456</v>
      </c>
    </row>
    <row r="42" spans="1:11" ht="20.100000000000001" customHeight="1">
      <c r="A42" s="24" t="s">
        <v>110</v>
      </c>
      <c r="B42" s="25" t="s">
        <v>111</v>
      </c>
      <c r="C42" s="24" t="s">
        <v>29</v>
      </c>
      <c r="D42" s="24" t="s">
        <v>1211</v>
      </c>
      <c r="E42" s="24" t="s">
        <v>40</v>
      </c>
      <c r="F42" s="26">
        <v>376.94</v>
      </c>
      <c r="G42" s="26">
        <v>59.16</v>
      </c>
      <c r="H42" s="26">
        <v>22299.770400000001</v>
      </c>
      <c r="I42" s="27">
        <f t="shared" si="0"/>
        <v>3.0009444033745987E-3</v>
      </c>
      <c r="J42" s="27">
        <f t="shared" si="1"/>
        <v>0.96554734287344268</v>
      </c>
      <c r="K42" s="24" t="s">
        <v>1456</v>
      </c>
    </row>
    <row r="43" spans="1:11" ht="27.95" customHeight="1">
      <c r="A43" s="24" t="s">
        <v>146</v>
      </c>
      <c r="B43" s="25" t="s">
        <v>147</v>
      </c>
      <c r="C43" s="24" t="s">
        <v>29</v>
      </c>
      <c r="D43" s="24" t="s">
        <v>1211</v>
      </c>
      <c r="E43" s="24" t="s">
        <v>20</v>
      </c>
      <c r="F43" s="26">
        <v>4564.0600000000004</v>
      </c>
      <c r="G43" s="26">
        <v>4.82</v>
      </c>
      <c r="H43" s="26">
        <v>21998.769199999999</v>
      </c>
      <c r="I43" s="27">
        <f t="shared" si="0"/>
        <v>2.9604378039636446E-3</v>
      </c>
      <c r="J43" s="27">
        <f t="shared" si="1"/>
        <v>0.96850778067740628</v>
      </c>
      <c r="K43" s="24" t="s">
        <v>1456</v>
      </c>
    </row>
    <row r="44" spans="1:11" ht="15" customHeight="1">
      <c r="A44" s="24" t="s">
        <v>963</v>
      </c>
      <c r="B44" s="25" t="s">
        <v>964</v>
      </c>
      <c r="C44" s="24" t="s">
        <v>29</v>
      </c>
      <c r="D44" s="24" t="s">
        <v>1211</v>
      </c>
      <c r="E44" s="24" t="s">
        <v>20</v>
      </c>
      <c r="F44" s="26">
        <v>5838.18</v>
      </c>
      <c r="G44" s="26">
        <v>3.44</v>
      </c>
      <c r="H44" s="26">
        <v>20083.339199999999</v>
      </c>
      <c r="I44" s="27">
        <f t="shared" si="0"/>
        <v>2.7026728657849179E-3</v>
      </c>
      <c r="J44" s="27">
        <f t="shared" si="1"/>
        <v>0.97121045354319124</v>
      </c>
      <c r="K44" s="24" t="s">
        <v>1456</v>
      </c>
    </row>
    <row r="45" spans="1:11" ht="15" customHeight="1">
      <c r="A45" s="24" t="s">
        <v>1183</v>
      </c>
      <c r="B45" s="25" t="s">
        <v>1184</v>
      </c>
      <c r="C45" s="24" t="s">
        <v>1455</v>
      </c>
      <c r="D45" s="24" t="s">
        <v>1211</v>
      </c>
      <c r="E45" s="24" t="s">
        <v>167</v>
      </c>
      <c r="F45" s="26">
        <v>455</v>
      </c>
      <c r="G45" s="26">
        <v>41.88</v>
      </c>
      <c r="H45" s="26">
        <v>19055.400000000001</v>
      </c>
      <c r="I45" s="27">
        <f t="shared" si="0"/>
        <v>2.5643401236124085E-3</v>
      </c>
      <c r="J45" s="27">
        <f t="shared" si="1"/>
        <v>0.97377479366680364</v>
      </c>
      <c r="K45" s="24" t="s">
        <v>1456</v>
      </c>
    </row>
    <row r="46" spans="1:11" ht="20.100000000000001" customHeight="1">
      <c r="A46" s="24" t="s">
        <v>956</v>
      </c>
      <c r="B46" s="25" t="s">
        <v>957</v>
      </c>
      <c r="C46" s="24" t="s">
        <v>29</v>
      </c>
      <c r="D46" s="24" t="s">
        <v>1211</v>
      </c>
      <c r="E46" s="24" t="s">
        <v>20</v>
      </c>
      <c r="F46" s="26">
        <v>1933.32</v>
      </c>
      <c r="G46" s="26">
        <v>9.75</v>
      </c>
      <c r="H46" s="26">
        <v>18849.87</v>
      </c>
      <c r="I46" s="27">
        <f t="shared" si="0"/>
        <v>2.5366813588734859E-3</v>
      </c>
      <c r="J46" s="27">
        <f t="shared" si="1"/>
        <v>0.97631147502567717</v>
      </c>
      <c r="K46" s="24" t="s">
        <v>1456</v>
      </c>
    </row>
    <row r="47" spans="1:11" ht="20.100000000000001" customHeight="1">
      <c r="A47" s="24" t="s">
        <v>92</v>
      </c>
      <c r="B47" s="25" t="s">
        <v>93</v>
      </c>
      <c r="C47" s="24" t="s">
        <v>1457</v>
      </c>
      <c r="D47" s="24" t="s">
        <v>1211</v>
      </c>
      <c r="E47" s="24" t="s">
        <v>20</v>
      </c>
      <c r="F47" s="26">
        <v>22562.26</v>
      </c>
      <c r="G47" s="26">
        <v>0.76</v>
      </c>
      <c r="H47" s="26">
        <v>17147.317599999998</v>
      </c>
      <c r="I47" s="27">
        <f t="shared" si="0"/>
        <v>2.3075639731522414E-3</v>
      </c>
      <c r="J47" s="27">
        <f t="shared" si="1"/>
        <v>0.9786190389988294</v>
      </c>
      <c r="K47" s="24" t="s">
        <v>1456</v>
      </c>
    </row>
    <row r="48" spans="1:11" ht="20.100000000000001" customHeight="1">
      <c r="A48" s="24" t="s">
        <v>86</v>
      </c>
      <c r="B48" s="25" t="s">
        <v>87</v>
      </c>
      <c r="C48" s="24" t="s">
        <v>1457</v>
      </c>
      <c r="D48" s="24" t="s">
        <v>1211</v>
      </c>
      <c r="E48" s="24" t="s">
        <v>44</v>
      </c>
      <c r="F48" s="26">
        <v>1739.09</v>
      </c>
      <c r="G48" s="26">
        <v>9.24</v>
      </c>
      <c r="H48" s="26">
        <v>16069.1916</v>
      </c>
      <c r="I48" s="27">
        <f t="shared" si="0"/>
        <v>2.1624774485917626E-3</v>
      </c>
      <c r="J48" s="27">
        <f t="shared" si="1"/>
        <v>0.98078151644742118</v>
      </c>
      <c r="K48" s="24" t="s">
        <v>1456</v>
      </c>
    </row>
    <row r="49" spans="1:11" ht="20.100000000000001" customHeight="1">
      <c r="A49" s="24" t="s">
        <v>169</v>
      </c>
      <c r="B49" s="25" t="s">
        <v>170</v>
      </c>
      <c r="C49" s="24" t="s">
        <v>1457</v>
      </c>
      <c r="D49" s="24" t="s">
        <v>1211</v>
      </c>
      <c r="E49" s="24" t="s">
        <v>171</v>
      </c>
      <c r="F49" s="26">
        <v>83</v>
      </c>
      <c r="G49" s="26">
        <v>183.8</v>
      </c>
      <c r="H49" s="26">
        <v>15255.4</v>
      </c>
      <c r="I49" s="27">
        <f t="shared" si="0"/>
        <v>2.0529631664387383E-3</v>
      </c>
      <c r="J49" s="27">
        <f t="shared" si="1"/>
        <v>0.98283447961385995</v>
      </c>
      <c r="K49" s="24" t="s">
        <v>1456</v>
      </c>
    </row>
    <row r="50" spans="1:11" ht="27.95" customHeight="1">
      <c r="A50" s="24" t="s">
        <v>125</v>
      </c>
      <c r="B50" s="25" t="s">
        <v>126</v>
      </c>
      <c r="C50" s="24" t="s">
        <v>29</v>
      </c>
      <c r="D50" s="24" t="s">
        <v>1211</v>
      </c>
      <c r="E50" s="24" t="s">
        <v>60</v>
      </c>
      <c r="F50" s="26">
        <v>541.22</v>
      </c>
      <c r="G50" s="26">
        <v>27.92</v>
      </c>
      <c r="H50" s="26">
        <v>15110.8624</v>
      </c>
      <c r="I50" s="27">
        <f t="shared" si="0"/>
        <v>2.0335123248373739E-3</v>
      </c>
      <c r="J50" s="27">
        <f t="shared" si="1"/>
        <v>0.98486799193869734</v>
      </c>
      <c r="K50" s="24" t="s">
        <v>1456</v>
      </c>
    </row>
    <row r="51" spans="1:11" ht="27.95" customHeight="1">
      <c r="A51" s="24" t="s">
        <v>104</v>
      </c>
      <c r="B51" s="25" t="s">
        <v>105</v>
      </c>
      <c r="C51" s="24" t="s">
        <v>29</v>
      </c>
      <c r="D51" s="24" t="s">
        <v>1211</v>
      </c>
      <c r="E51" s="24" t="s">
        <v>40</v>
      </c>
      <c r="F51" s="26">
        <v>212.8</v>
      </c>
      <c r="G51" s="26">
        <v>63.85</v>
      </c>
      <c r="H51" s="26">
        <v>13587.28</v>
      </c>
      <c r="I51" s="27">
        <f t="shared" si="0"/>
        <v>1.8284794480701745E-3</v>
      </c>
      <c r="J51" s="27">
        <f t="shared" si="1"/>
        <v>0.98669647138676753</v>
      </c>
      <c r="K51" s="24" t="s">
        <v>1456</v>
      </c>
    </row>
    <row r="52" spans="1:11" ht="20.100000000000001" customHeight="1">
      <c r="A52" s="24" t="s">
        <v>522</v>
      </c>
      <c r="B52" s="25" t="s">
        <v>523</v>
      </c>
      <c r="C52" s="24" t="s">
        <v>1457</v>
      </c>
      <c r="D52" s="24" t="s">
        <v>1211</v>
      </c>
      <c r="E52" s="24" t="s">
        <v>183</v>
      </c>
      <c r="F52" s="26">
        <v>162.16</v>
      </c>
      <c r="G52" s="26">
        <v>76.709999999999994</v>
      </c>
      <c r="H52" s="26">
        <v>12439.293600000001</v>
      </c>
      <c r="I52" s="27">
        <f t="shared" si="0"/>
        <v>1.6739916080415547E-3</v>
      </c>
      <c r="J52" s="27">
        <f t="shared" si="1"/>
        <v>0.98837046299480913</v>
      </c>
      <c r="K52" s="24" t="s">
        <v>1456</v>
      </c>
    </row>
    <row r="53" spans="1:11" ht="27.95" customHeight="1">
      <c r="A53" s="24" t="s">
        <v>328</v>
      </c>
      <c r="B53" s="25" t="s">
        <v>329</v>
      </c>
      <c r="C53" s="24" t="s">
        <v>29</v>
      </c>
      <c r="D53" s="24" t="s">
        <v>1211</v>
      </c>
      <c r="E53" s="24" t="s">
        <v>115</v>
      </c>
      <c r="F53" s="26">
        <v>4</v>
      </c>
      <c r="G53" s="26">
        <v>3028.11</v>
      </c>
      <c r="H53" s="26">
        <v>12112.44</v>
      </c>
      <c r="I53" s="27">
        <f t="shared" si="0"/>
        <v>1.6300059766180652E-3</v>
      </c>
      <c r="J53" s="27">
        <f t="shared" si="1"/>
        <v>0.99000046897142724</v>
      </c>
      <c r="K53" s="24" t="s">
        <v>1456</v>
      </c>
    </row>
    <row r="54" spans="1:11" ht="27.95" customHeight="1">
      <c r="A54" s="24" t="s">
        <v>122</v>
      </c>
      <c r="B54" s="25" t="s">
        <v>123</v>
      </c>
      <c r="C54" s="24" t="s">
        <v>29</v>
      </c>
      <c r="D54" s="24" t="s">
        <v>1211</v>
      </c>
      <c r="E54" s="24" t="s">
        <v>60</v>
      </c>
      <c r="F54" s="26">
        <v>1455.87</v>
      </c>
      <c r="G54" s="26">
        <v>7.62</v>
      </c>
      <c r="H54" s="26">
        <v>11093.7294</v>
      </c>
      <c r="I54" s="27">
        <f t="shared" si="0"/>
        <v>1.4929151537579168E-3</v>
      </c>
      <c r="J54" s="27">
        <f t="shared" si="1"/>
        <v>0.99149338412518517</v>
      </c>
      <c r="K54" s="24" t="s">
        <v>1456</v>
      </c>
    </row>
    <row r="55" spans="1:11" ht="15" customHeight="1">
      <c r="A55" s="24" t="s">
        <v>534</v>
      </c>
      <c r="B55" s="25" t="s">
        <v>535</v>
      </c>
      <c r="C55" s="24" t="s">
        <v>1455</v>
      </c>
      <c r="D55" s="24" t="s">
        <v>1211</v>
      </c>
      <c r="E55" s="24" t="s">
        <v>163</v>
      </c>
      <c r="F55" s="26">
        <v>22.2</v>
      </c>
      <c r="G55" s="26">
        <v>417.78</v>
      </c>
      <c r="H55" s="26">
        <v>9274.7160000000003</v>
      </c>
      <c r="I55" s="27">
        <f t="shared" si="0"/>
        <v>1.2481252754552505E-3</v>
      </c>
      <c r="J55" s="27">
        <f t="shared" si="1"/>
        <v>0.99274150940064043</v>
      </c>
      <c r="K55" s="24" t="s">
        <v>1456</v>
      </c>
    </row>
    <row r="56" spans="1:11" ht="20.100000000000001" customHeight="1">
      <c r="A56" s="24" t="s">
        <v>1143</v>
      </c>
      <c r="B56" s="25" t="s">
        <v>1144</v>
      </c>
      <c r="C56" s="24" t="s">
        <v>1457</v>
      </c>
      <c r="D56" s="24" t="s">
        <v>1211</v>
      </c>
      <c r="E56" s="24" t="s">
        <v>171</v>
      </c>
      <c r="F56" s="26">
        <v>10</v>
      </c>
      <c r="G56" s="26">
        <v>823.11</v>
      </c>
      <c r="H56" s="26">
        <v>8231.1</v>
      </c>
      <c r="I56" s="27">
        <f t="shared" si="0"/>
        <v>1.1076828611032094E-3</v>
      </c>
      <c r="J56" s="27">
        <f t="shared" si="1"/>
        <v>0.99384919226174362</v>
      </c>
      <c r="K56" s="24" t="s">
        <v>1456</v>
      </c>
    </row>
    <row r="57" spans="1:11" ht="20.100000000000001" customHeight="1">
      <c r="A57" s="24" t="s">
        <v>113</v>
      </c>
      <c r="B57" s="25" t="s">
        <v>114</v>
      </c>
      <c r="C57" s="24" t="s">
        <v>29</v>
      </c>
      <c r="D57" s="24" t="s">
        <v>1211</v>
      </c>
      <c r="E57" s="24" t="s">
        <v>115</v>
      </c>
      <c r="F57" s="26">
        <v>27</v>
      </c>
      <c r="G57" s="26">
        <v>236.37</v>
      </c>
      <c r="H57" s="26">
        <v>6381.99</v>
      </c>
      <c r="I57" s="27">
        <f t="shared" si="0"/>
        <v>8.5884279655599734E-4</v>
      </c>
      <c r="J57" s="27">
        <f t="shared" si="1"/>
        <v>0.99470803505829963</v>
      </c>
      <c r="K57" s="24" t="s">
        <v>1456</v>
      </c>
    </row>
    <row r="58" spans="1:11" ht="20.100000000000001" customHeight="1">
      <c r="A58" s="24" t="s">
        <v>540</v>
      </c>
      <c r="B58" s="25" t="s">
        <v>541</v>
      </c>
      <c r="C58" s="24" t="s">
        <v>1457</v>
      </c>
      <c r="D58" s="24" t="s">
        <v>1211</v>
      </c>
      <c r="E58" s="24" t="s">
        <v>20</v>
      </c>
      <c r="F58" s="26">
        <v>234.87</v>
      </c>
      <c r="G58" s="26">
        <v>23.87</v>
      </c>
      <c r="H58" s="26">
        <v>5606.3468999999996</v>
      </c>
      <c r="I58" s="27">
        <f t="shared" si="0"/>
        <v>7.5446226804790453E-4</v>
      </c>
      <c r="J58" s="27">
        <f t="shared" si="1"/>
        <v>0.99546249732634751</v>
      </c>
      <c r="K58" s="24" t="s">
        <v>1456</v>
      </c>
    </row>
    <row r="59" spans="1:11" ht="27.95" customHeight="1">
      <c r="A59" s="24" t="s">
        <v>338</v>
      </c>
      <c r="B59" s="25" t="s">
        <v>339</v>
      </c>
      <c r="C59" s="24" t="s">
        <v>29</v>
      </c>
      <c r="D59" s="24" t="s">
        <v>1211</v>
      </c>
      <c r="E59" s="24" t="s">
        <v>40</v>
      </c>
      <c r="F59" s="26">
        <v>236.13</v>
      </c>
      <c r="G59" s="26">
        <v>21.81</v>
      </c>
      <c r="H59" s="26">
        <v>5149.9952999999996</v>
      </c>
      <c r="I59" s="27">
        <f t="shared" si="0"/>
        <v>6.930497173612372E-4</v>
      </c>
      <c r="J59" s="27">
        <f t="shared" si="1"/>
        <v>0.99615554704370879</v>
      </c>
      <c r="K59" s="24" t="s">
        <v>1456</v>
      </c>
    </row>
    <row r="60" spans="1:11" ht="27.95" customHeight="1">
      <c r="A60" s="24" t="s">
        <v>319</v>
      </c>
      <c r="B60" s="25" t="s">
        <v>320</v>
      </c>
      <c r="C60" s="24" t="s">
        <v>29</v>
      </c>
      <c r="D60" s="24" t="s">
        <v>1211</v>
      </c>
      <c r="E60" s="24" t="s">
        <v>60</v>
      </c>
      <c r="F60" s="26">
        <v>172.88</v>
      </c>
      <c r="G60" s="26">
        <v>26.59</v>
      </c>
      <c r="H60" s="26">
        <v>4596.8792000000003</v>
      </c>
      <c r="I60" s="27">
        <f t="shared" si="0"/>
        <v>6.1861528889235122E-4</v>
      </c>
      <c r="J60" s="27">
        <f t="shared" si="1"/>
        <v>0.99677416233260119</v>
      </c>
      <c r="K60" s="24" t="s">
        <v>1456</v>
      </c>
    </row>
    <row r="61" spans="1:11" ht="20.100000000000001" customHeight="1">
      <c r="A61" s="24" t="s">
        <v>404</v>
      </c>
      <c r="B61" s="25" t="s">
        <v>405</v>
      </c>
      <c r="C61" s="24" t="s">
        <v>29</v>
      </c>
      <c r="D61" s="24" t="s">
        <v>1211</v>
      </c>
      <c r="E61" s="24" t="s">
        <v>20</v>
      </c>
      <c r="F61" s="26">
        <v>32.29</v>
      </c>
      <c r="G61" s="26">
        <v>117.81</v>
      </c>
      <c r="H61" s="26">
        <v>3804.0848999999998</v>
      </c>
      <c r="I61" s="27">
        <f t="shared" si="0"/>
        <v>5.1192667394534333E-4</v>
      </c>
      <c r="J61" s="27">
        <f t="shared" si="1"/>
        <v>0.99728608900654658</v>
      </c>
      <c r="K61" s="24" t="s">
        <v>1456</v>
      </c>
    </row>
    <row r="62" spans="1:11" ht="15" customHeight="1">
      <c r="A62" s="24" t="s">
        <v>38</v>
      </c>
      <c r="B62" s="25" t="s">
        <v>39</v>
      </c>
      <c r="C62" s="24" t="s">
        <v>29</v>
      </c>
      <c r="D62" s="24" t="s">
        <v>1211</v>
      </c>
      <c r="E62" s="24" t="s">
        <v>40</v>
      </c>
      <c r="F62" s="26">
        <v>6534.92</v>
      </c>
      <c r="G62" s="26">
        <v>0.57999999999999996</v>
      </c>
      <c r="H62" s="26">
        <v>3790.2536</v>
      </c>
      <c r="I62" s="27">
        <f t="shared" si="0"/>
        <v>5.1006535602224963E-4</v>
      </c>
      <c r="J62" s="27">
        <f t="shared" si="1"/>
        <v>0.99779615436256885</v>
      </c>
      <c r="K62" s="24" t="s">
        <v>1456</v>
      </c>
    </row>
    <row r="63" spans="1:11" ht="27.95" customHeight="1">
      <c r="A63" s="24" t="s">
        <v>310</v>
      </c>
      <c r="B63" s="25" t="s">
        <v>311</v>
      </c>
      <c r="C63" s="24" t="s">
        <v>29</v>
      </c>
      <c r="D63" s="24" t="s">
        <v>1211</v>
      </c>
      <c r="E63" s="24" t="s">
        <v>60</v>
      </c>
      <c r="F63" s="26">
        <v>342.93</v>
      </c>
      <c r="G63" s="26">
        <v>10.039999999999999</v>
      </c>
      <c r="H63" s="26">
        <v>3443.0171999999998</v>
      </c>
      <c r="I63" s="27">
        <f t="shared" si="0"/>
        <v>4.6333675242963396E-4</v>
      </c>
      <c r="J63" s="27">
        <f t="shared" si="1"/>
        <v>0.99825949111499845</v>
      </c>
      <c r="K63" s="24" t="s">
        <v>1456</v>
      </c>
    </row>
    <row r="64" spans="1:11" ht="27.95" customHeight="1">
      <c r="A64" s="24" t="s">
        <v>140</v>
      </c>
      <c r="B64" s="25" t="s">
        <v>141</v>
      </c>
      <c r="C64" s="24" t="s">
        <v>1457</v>
      </c>
      <c r="D64" s="24" t="s">
        <v>1211</v>
      </c>
      <c r="E64" s="24" t="s">
        <v>20</v>
      </c>
      <c r="F64" s="26">
        <v>2163.66</v>
      </c>
      <c r="G64" s="26">
        <v>1.29</v>
      </c>
      <c r="H64" s="26">
        <v>2791.1214</v>
      </c>
      <c r="I64" s="27">
        <f t="shared" si="0"/>
        <v>3.7560925490376682E-4</v>
      </c>
      <c r="J64" s="27">
        <f t="shared" si="1"/>
        <v>0.99863510036990222</v>
      </c>
      <c r="K64" s="24" t="s">
        <v>1456</v>
      </c>
    </row>
    <row r="65" spans="1:11" ht="15" customHeight="1">
      <c r="A65" s="24" t="s">
        <v>117</v>
      </c>
      <c r="B65" s="25" t="s">
        <v>118</v>
      </c>
      <c r="C65" s="24" t="s">
        <v>29</v>
      </c>
      <c r="D65" s="24" t="s">
        <v>1211</v>
      </c>
      <c r="E65" s="24" t="s">
        <v>20</v>
      </c>
      <c r="F65" s="26">
        <v>139.85</v>
      </c>
      <c r="G65" s="26">
        <v>16.22</v>
      </c>
      <c r="H65" s="26">
        <v>2268.3670000000002</v>
      </c>
      <c r="I65" s="27">
        <f t="shared" si="0"/>
        <v>3.0526068795083325E-4</v>
      </c>
      <c r="J65" s="27">
        <f t="shared" si="1"/>
        <v>0.998940361057853</v>
      </c>
      <c r="K65" s="24" t="s">
        <v>1456</v>
      </c>
    </row>
    <row r="66" spans="1:11" ht="27.95" customHeight="1">
      <c r="A66" s="24" t="s">
        <v>316</v>
      </c>
      <c r="B66" s="25" t="s">
        <v>317</v>
      </c>
      <c r="C66" s="24" t="s">
        <v>29</v>
      </c>
      <c r="D66" s="24" t="s">
        <v>1211</v>
      </c>
      <c r="E66" s="24" t="s">
        <v>60</v>
      </c>
      <c r="F66" s="26">
        <v>44.42</v>
      </c>
      <c r="G66" s="26">
        <v>34.44</v>
      </c>
      <c r="H66" s="26">
        <v>1529.8248000000001</v>
      </c>
      <c r="I66" s="27">
        <f t="shared" si="0"/>
        <v>2.058729345349522E-4</v>
      </c>
      <c r="J66" s="27">
        <f t="shared" si="1"/>
        <v>0.999146233992388</v>
      </c>
      <c r="K66" s="24" t="s">
        <v>1456</v>
      </c>
    </row>
    <row r="67" spans="1:11" ht="15" customHeight="1">
      <c r="A67" s="24" t="s">
        <v>514</v>
      </c>
      <c r="B67" s="25" t="s">
        <v>515</v>
      </c>
      <c r="C67" s="24" t="s">
        <v>29</v>
      </c>
      <c r="D67" s="24" t="s">
        <v>1211</v>
      </c>
      <c r="E67" s="24" t="s">
        <v>60</v>
      </c>
      <c r="F67" s="26">
        <v>12.97</v>
      </c>
      <c r="G67" s="26">
        <v>92.08</v>
      </c>
      <c r="H67" s="26">
        <v>1194.2775999999999</v>
      </c>
      <c r="I67" s="27">
        <f t="shared" si="0"/>
        <v>1.6071738029175615E-4</v>
      </c>
      <c r="J67" s="27">
        <f t="shared" si="1"/>
        <v>0.99930695137267977</v>
      </c>
      <c r="K67" s="24" t="s">
        <v>1456</v>
      </c>
    </row>
    <row r="68" spans="1:11" ht="20.100000000000001" customHeight="1">
      <c r="A68" s="24" t="s">
        <v>1180</v>
      </c>
      <c r="B68" s="25" t="s">
        <v>1181</v>
      </c>
      <c r="C68" s="24" t="s">
        <v>29</v>
      </c>
      <c r="D68" s="24" t="s">
        <v>1211</v>
      </c>
      <c r="E68" s="24" t="s">
        <v>20</v>
      </c>
      <c r="F68" s="26">
        <v>23.6</v>
      </c>
      <c r="G68" s="26">
        <v>50.31</v>
      </c>
      <c r="H68" s="26">
        <v>1187.316</v>
      </c>
      <c r="I68" s="27">
        <f t="shared" si="0"/>
        <v>1.5978053770621399E-4</v>
      </c>
      <c r="J68" s="27">
        <f t="shared" si="1"/>
        <v>0.99946673191038604</v>
      </c>
      <c r="K68" s="24" t="s">
        <v>1456</v>
      </c>
    </row>
    <row r="69" spans="1:11" ht="27.95" customHeight="1">
      <c r="A69" s="24" t="s">
        <v>959</v>
      </c>
      <c r="B69" s="25" t="s">
        <v>960</v>
      </c>
      <c r="C69" s="24" t="s">
        <v>29</v>
      </c>
      <c r="D69" s="24" t="s">
        <v>1211</v>
      </c>
      <c r="E69" s="24" t="s">
        <v>60</v>
      </c>
      <c r="F69" s="26">
        <v>96.67</v>
      </c>
      <c r="G69" s="26">
        <v>11.16</v>
      </c>
      <c r="H69" s="26">
        <v>1078.8371999999999</v>
      </c>
      <c r="I69" s="27">
        <f t="shared" ref="I69:I75" si="2">H69/$I$77</f>
        <v>1.4518223279520054E-4</v>
      </c>
      <c r="J69" s="27">
        <f t="shared" si="1"/>
        <v>0.99961191414318129</v>
      </c>
      <c r="K69" s="24" t="s">
        <v>1456</v>
      </c>
    </row>
    <row r="70" spans="1:11" ht="27.95" customHeight="1">
      <c r="A70" s="24" t="s">
        <v>313</v>
      </c>
      <c r="B70" s="25" t="s">
        <v>314</v>
      </c>
      <c r="C70" s="24" t="s">
        <v>29</v>
      </c>
      <c r="D70" s="24" t="s">
        <v>1211</v>
      </c>
      <c r="E70" s="24" t="s">
        <v>60</v>
      </c>
      <c r="F70" s="26">
        <v>66.42</v>
      </c>
      <c r="G70" s="26">
        <v>11.8</v>
      </c>
      <c r="H70" s="26">
        <v>783.75599999999997</v>
      </c>
      <c r="I70" s="27">
        <f t="shared" si="2"/>
        <v>1.0547230485437023E-4</v>
      </c>
      <c r="J70" s="27">
        <f t="shared" si="1"/>
        <v>0.99971738644803565</v>
      </c>
      <c r="K70" s="24" t="s">
        <v>1456</v>
      </c>
    </row>
    <row r="71" spans="1:11" ht="27.95" customHeight="1">
      <c r="A71" s="24" t="s">
        <v>335</v>
      </c>
      <c r="B71" s="25" t="s">
        <v>336</v>
      </c>
      <c r="C71" s="24" t="s">
        <v>29</v>
      </c>
      <c r="D71" s="24" t="s">
        <v>1211</v>
      </c>
      <c r="E71" s="24" t="s">
        <v>40</v>
      </c>
      <c r="F71" s="26">
        <v>138.35</v>
      </c>
      <c r="G71" s="26">
        <v>4.67</v>
      </c>
      <c r="H71" s="26">
        <v>646.09450000000004</v>
      </c>
      <c r="I71" s="27">
        <f t="shared" si="2"/>
        <v>8.6946799857011507E-5</v>
      </c>
      <c r="J71" s="27">
        <f t="shared" ref="J71:J75" si="3">I71+J70</f>
        <v>0.99980433324789264</v>
      </c>
      <c r="K71" s="24" t="s">
        <v>1456</v>
      </c>
    </row>
    <row r="72" spans="1:11" ht="20.100000000000001" customHeight="1">
      <c r="A72" s="24" t="s">
        <v>331</v>
      </c>
      <c r="B72" s="25" t="s">
        <v>332</v>
      </c>
      <c r="C72" s="24" t="s">
        <v>29</v>
      </c>
      <c r="D72" s="24" t="s">
        <v>1211</v>
      </c>
      <c r="E72" s="24" t="s">
        <v>115</v>
      </c>
      <c r="F72" s="26">
        <v>4</v>
      </c>
      <c r="G72" s="26">
        <v>112.88</v>
      </c>
      <c r="H72" s="26">
        <v>451.52</v>
      </c>
      <c r="I72" s="27">
        <f t="shared" si="2"/>
        <v>6.0762348342909333E-5</v>
      </c>
      <c r="J72" s="27">
        <f t="shared" si="3"/>
        <v>0.9998650955962356</v>
      </c>
      <c r="K72" s="24" t="s">
        <v>1456</v>
      </c>
    </row>
    <row r="73" spans="1:11" ht="15" customHeight="1">
      <c r="A73" s="24" t="s">
        <v>719</v>
      </c>
      <c r="B73" s="25" t="s">
        <v>720</v>
      </c>
      <c r="C73" s="24" t="s">
        <v>1455</v>
      </c>
      <c r="D73" s="24" t="s">
        <v>1211</v>
      </c>
      <c r="E73" s="24" t="s">
        <v>167</v>
      </c>
      <c r="F73" s="26">
        <v>1</v>
      </c>
      <c r="G73" s="26">
        <v>409.92</v>
      </c>
      <c r="H73" s="26">
        <v>409.92</v>
      </c>
      <c r="I73" s="27">
        <f t="shared" si="2"/>
        <v>5.516411639069232E-5</v>
      </c>
      <c r="J73" s="27">
        <f t="shared" si="3"/>
        <v>0.99992025971262632</v>
      </c>
      <c r="K73" s="24" t="s">
        <v>1456</v>
      </c>
    </row>
    <row r="74" spans="1:11" ht="20.100000000000001" customHeight="1">
      <c r="A74" s="24" t="s">
        <v>814</v>
      </c>
      <c r="B74" s="25" t="s">
        <v>815</v>
      </c>
      <c r="C74" s="24" t="s">
        <v>29</v>
      </c>
      <c r="D74" s="24" t="s">
        <v>1211</v>
      </c>
      <c r="E74" s="24" t="s">
        <v>115</v>
      </c>
      <c r="F74" s="26">
        <v>5</v>
      </c>
      <c r="G74" s="26">
        <v>76.099999999999994</v>
      </c>
      <c r="H74" s="26">
        <v>380.5</v>
      </c>
      <c r="I74" s="27">
        <f t="shared" si="2"/>
        <v>5.120498215910038E-5</v>
      </c>
      <c r="J74" s="27">
        <f t="shared" si="3"/>
        <v>0.99997146469478537</v>
      </c>
      <c r="K74" s="24" t="s">
        <v>1456</v>
      </c>
    </row>
    <row r="75" spans="1:11" ht="20.100000000000001" customHeight="1">
      <c r="A75" s="24" t="s">
        <v>501</v>
      </c>
      <c r="B75" s="25" t="s">
        <v>502</v>
      </c>
      <c r="C75" s="24" t="s">
        <v>29</v>
      </c>
      <c r="D75" s="24" t="s">
        <v>1211</v>
      </c>
      <c r="E75" s="24" t="s">
        <v>60</v>
      </c>
      <c r="F75" s="26">
        <v>13.85</v>
      </c>
      <c r="G75" s="26">
        <v>15.31</v>
      </c>
      <c r="H75" s="26">
        <v>212.04349999999999</v>
      </c>
      <c r="I75" s="27">
        <f t="shared" si="2"/>
        <v>2.8535305215382919E-5</v>
      </c>
      <c r="J75" s="27">
        <f t="shared" si="3"/>
        <v>1.0000000000000007</v>
      </c>
      <c r="K75" s="24" t="s">
        <v>1456</v>
      </c>
    </row>
    <row r="76" spans="1:11" ht="20.100000000000001" customHeight="1">
      <c r="A76" s="10"/>
      <c r="B76" s="10"/>
      <c r="C76" s="600" t="s">
        <v>1468</v>
      </c>
      <c r="D76" s="600"/>
      <c r="E76" s="600"/>
      <c r="F76" s="600"/>
      <c r="G76" s="10"/>
      <c r="H76" s="10"/>
      <c r="I76" s="10"/>
      <c r="J76" s="10"/>
      <c r="K76" s="10"/>
    </row>
    <row r="77" spans="1:11" ht="18" customHeight="1">
      <c r="A77" s="10"/>
      <c r="B77" s="10"/>
      <c r="C77" s="10"/>
      <c r="D77" s="10"/>
      <c r="E77" s="10"/>
      <c r="F77" s="10"/>
      <c r="G77" s="600" t="s">
        <v>1470</v>
      </c>
      <c r="H77" s="600"/>
      <c r="I77" s="601">
        <f>SUM(H4:H76)</f>
        <v>7430917.5387999984</v>
      </c>
      <c r="J77" s="601"/>
      <c r="K77" s="601"/>
    </row>
  </sheetData>
  <mergeCells count="5">
    <mergeCell ref="G77:H77"/>
    <mergeCell ref="I77:K77"/>
    <mergeCell ref="A1:K1"/>
    <mergeCell ref="B2:C2"/>
    <mergeCell ref="C76:F76"/>
  </mergeCells>
  <pageMargins left="0" right="0" top="0.39370078740157483" bottom="0.78740157480314965" header="0" footer="0"/>
  <pageSetup scale="77" orientation="portrait" r:id="rId1"/>
  <headerFooter>
    <oddFooter>&amp;C&amp;P/&amp;N&amp;R&amp;G</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ED46C-BCEB-40DA-8924-7251A3A9E98B}">
  <dimension ref="A1:K13"/>
  <sheetViews>
    <sheetView view="pageBreakPreview" zoomScale="60" zoomScaleNormal="100" workbookViewId="0">
      <selection activeCell="I14" sqref="I14"/>
    </sheetView>
  </sheetViews>
  <sheetFormatPr defaultRowHeight="15"/>
  <cols>
    <col min="2" max="2" width="27.42578125" customWidth="1"/>
    <col min="8" max="8" width="9.85546875" bestFit="1" customWidth="1"/>
  </cols>
  <sheetData>
    <row r="1" spans="1:11">
      <c r="A1" s="608" t="s">
        <v>1955</v>
      </c>
      <c r="B1" s="609"/>
      <c r="C1" s="609"/>
      <c r="D1" s="609"/>
      <c r="E1" s="609"/>
      <c r="F1" s="609"/>
      <c r="G1" s="609"/>
      <c r="H1" s="609"/>
      <c r="I1" s="609"/>
      <c r="J1" s="609"/>
      <c r="K1" s="609"/>
    </row>
    <row r="2" spans="1:11">
      <c r="A2" s="608" t="s">
        <v>1956</v>
      </c>
      <c r="B2" s="609"/>
      <c r="C2" s="609"/>
      <c r="D2" s="609"/>
      <c r="E2" s="609"/>
      <c r="F2" s="609"/>
      <c r="G2" s="609"/>
      <c r="H2" s="609"/>
      <c r="I2" s="609"/>
      <c r="J2" s="609"/>
      <c r="K2" s="609"/>
    </row>
    <row r="3" spans="1:11">
      <c r="A3" s="608" t="s">
        <v>1957</v>
      </c>
      <c r="B3" s="609"/>
      <c r="C3" s="609"/>
      <c r="D3" s="609"/>
      <c r="E3" s="609"/>
      <c r="F3" s="609"/>
      <c r="G3" s="609"/>
      <c r="H3" s="609"/>
      <c r="I3" s="609"/>
      <c r="J3" s="609"/>
      <c r="K3" s="609"/>
    </row>
    <row r="4" spans="1:11">
      <c r="A4" s="608" t="s">
        <v>1958</v>
      </c>
      <c r="B4" s="609"/>
      <c r="C4" s="609"/>
      <c r="D4" s="609"/>
      <c r="E4" s="609"/>
      <c r="F4" s="609"/>
      <c r="G4" s="609"/>
      <c r="H4" s="609"/>
      <c r="I4" s="609"/>
      <c r="J4" s="609"/>
      <c r="K4" s="609"/>
    </row>
    <row r="5" spans="1:11" ht="39.75" customHeight="1">
      <c r="A5" s="610" t="s">
        <v>1973</v>
      </c>
      <c r="B5" s="611"/>
      <c r="C5" s="611"/>
      <c r="D5" s="611"/>
      <c r="E5" s="611"/>
      <c r="F5" s="611"/>
      <c r="G5" s="611"/>
      <c r="H5" s="611"/>
      <c r="I5" s="611"/>
      <c r="J5" s="611"/>
      <c r="K5" s="611"/>
    </row>
    <row r="6" spans="1:11">
      <c r="A6" s="12" t="s">
        <v>1959</v>
      </c>
      <c r="B6" s="12"/>
      <c r="C6" s="13"/>
      <c r="D6" s="12"/>
      <c r="E6" s="612"/>
      <c r="F6" s="613"/>
      <c r="G6" s="613"/>
      <c r="H6" s="613"/>
      <c r="I6" s="613"/>
      <c r="J6" s="613"/>
      <c r="K6" s="614"/>
    </row>
    <row r="7" spans="1:11">
      <c r="A7" s="603" t="s">
        <v>1960</v>
      </c>
      <c r="B7" s="603"/>
      <c r="C7" s="603"/>
      <c r="D7" s="603"/>
      <c r="E7" s="603"/>
      <c r="F7" s="603"/>
      <c r="G7" s="603"/>
      <c r="H7" s="603"/>
      <c r="I7" s="603"/>
      <c r="J7" s="603"/>
      <c r="K7" s="603"/>
    </row>
    <row r="8" spans="1:11" ht="45">
      <c r="A8" s="14" t="s">
        <v>1961</v>
      </c>
      <c r="B8" s="15" t="s">
        <v>1962</v>
      </c>
      <c r="C8" s="14" t="s">
        <v>1963</v>
      </c>
      <c r="D8" s="14" t="s">
        <v>1964</v>
      </c>
      <c r="E8" s="14" t="s">
        <v>1965</v>
      </c>
      <c r="F8" s="14" t="s">
        <v>1966</v>
      </c>
      <c r="G8" s="14" t="s">
        <v>1967</v>
      </c>
      <c r="H8" s="14" t="s">
        <v>1968</v>
      </c>
      <c r="I8" s="14" t="s">
        <v>1969</v>
      </c>
      <c r="J8" s="14" t="s">
        <v>1970</v>
      </c>
      <c r="K8" s="14" t="s">
        <v>1971</v>
      </c>
    </row>
    <row r="9" spans="1:11" ht="60">
      <c r="A9" s="16" t="s">
        <v>33</v>
      </c>
      <c r="B9" s="17" t="s">
        <v>34</v>
      </c>
      <c r="C9" s="16" t="s">
        <v>29</v>
      </c>
      <c r="D9" s="16" t="s">
        <v>1204</v>
      </c>
      <c r="E9" s="16" t="s">
        <v>31</v>
      </c>
      <c r="F9" s="18">
        <v>31.63</v>
      </c>
      <c r="G9" s="18">
        <v>7844.27</v>
      </c>
      <c r="H9" s="18">
        <v>248114.26010000001</v>
      </c>
      <c r="I9" s="19">
        <f>H9/$I$13</f>
        <v>0.51854201673473155</v>
      </c>
      <c r="J9" s="19">
        <f>I9</f>
        <v>0.51854201673473155</v>
      </c>
      <c r="K9" s="20" t="s">
        <v>1452</v>
      </c>
    </row>
    <row r="10" spans="1:11" ht="60">
      <c r="A10" s="16" t="s">
        <v>28</v>
      </c>
      <c r="B10" s="17" t="s">
        <v>30</v>
      </c>
      <c r="C10" s="16" t="s">
        <v>29</v>
      </c>
      <c r="D10" s="16" t="s">
        <v>1204</v>
      </c>
      <c r="E10" s="16" t="s">
        <v>31</v>
      </c>
      <c r="F10" s="18">
        <v>11.65</v>
      </c>
      <c r="G10" s="18">
        <v>19774.259999999998</v>
      </c>
      <c r="H10" s="18">
        <v>230370.12899999999</v>
      </c>
      <c r="I10" s="19">
        <f>H10/$I$13</f>
        <v>0.4814579832652684</v>
      </c>
      <c r="J10" s="19">
        <f>I10+J9</f>
        <v>1</v>
      </c>
      <c r="K10" s="20" t="s">
        <v>1452</v>
      </c>
    </row>
    <row r="13" spans="1:11">
      <c r="A13" s="21"/>
      <c r="B13" s="21"/>
      <c r="C13" s="21"/>
      <c r="D13" s="21"/>
      <c r="E13" s="21"/>
      <c r="F13" s="21"/>
      <c r="G13" s="604" t="s">
        <v>1972</v>
      </c>
      <c r="H13" s="605"/>
      <c r="I13" s="606">
        <f>H9+H10</f>
        <v>478484.38910000003</v>
      </c>
      <c r="J13" s="607"/>
      <c r="K13" s="607"/>
    </row>
  </sheetData>
  <mergeCells count="9">
    <mergeCell ref="A7:K7"/>
    <mergeCell ref="G13:H13"/>
    <mergeCell ref="I13:K13"/>
    <mergeCell ref="A1:K1"/>
    <mergeCell ref="A2:K2"/>
    <mergeCell ref="A3:K3"/>
    <mergeCell ref="A4:K4"/>
    <mergeCell ref="A5:K5"/>
    <mergeCell ref="E6:K6"/>
  </mergeCells>
  <pageMargins left="0.51181102362204722" right="0.51181102362204722" top="0.78740157480314965" bottom="0.78740157480314965" header="0.31496062992125984" footer="0.31496062992125984"/>
  <pageSetup scale="79" orientation="portrait" r:id="rId1"/>
  <headerFooter>
    <oddFooter>&amp;C&amp;P/&amp;N&amp;R&amp;G</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K261"/>
  <sheetViews>
    <sheetView view="pageBreakPreview" zoomScale="90" zoomScaleNormal="100" zoomScaleSheetLayoutView="90" workbookViewId="0">
      <selection activeCell="E4" sqref="E4"/>
    </sheetView>
  </sheetViews>
  <sheetFormatPr defaultRowHeight="11.25"/>
  <cols>
    <col min="1" max="1" width="9.28515625" style="52" customWidth="1"/>
    <col min="2" max="2" width="68.7109375" style="52" customWidth="1"/>
    <col min="3" max="3" width="9.28515625" style="52" customWidth="1"/>
    <col min="4" max="4" width="10.28515625" style="52" customWidth="1"/>
    <col min="5" max="5" width="9.28515625" style="52" customWidth="1"/>
    <col min="6" max="8" width="12.42578125" style="52" customWidth="1"/>
    <col min="9" max="10" width="8.7109375" style="52" customWidth="1"/>
    <col min="11" max="11" width="4.7109375" style="52" customWidth="1"/>
    <col min="12" max="16384" width="9.140625" style="52"/>
  </cols>
  <sheetData>
    <row r="1" spans="1:11" ht="99" customHeight="1">
      <c r="A1" s="617"/>
      <c r="B1" s="617"/>
      <c r="C1" s="617"/>
      <c r="D1" s="617"/>
      <c r="E1" s="617"/>
      <c r="F1" s="617"/>
      <c r="G1" s="617"/>
      <c r="H1" s="617"/>
      <c r="I1" s="617"/>
      <c r="J1" s="617"/>
      <c r="K1" s="617"/>
    </row>
    <row r="2" spans="1:11" ht="9.9499999999999993" customHeight="1">
      <c r="A2" s="53"/>
      <c r="B2" s="615" t="s">
        <v>1443</v>
      </c>
      <c r="C2" s="615"/>
      <c r="D2" s="53"/>
      <c r="E2" s="53"/>
      <c r="F2" s="53"/>
      <c r="G2" s="53"/>
      <c r="H2" s="53"/>
      <c r="I2" s="53"/>
      <c r="J2" s="53"/>
      <c r="K2" s="53"/>
    </row>
    <row r="3" spans="1:11" ht="21.95" customHeight="1">
      <c r="A3" s="54" t="s">
        <v>1</v>
      </c>
      <c r="B3" s="55" t="s">
        <v>3</v>
      </c>
      <c r="C3" s="54" t="s">
        <v>1191</v>
      </c>
      <c r="D3" s="54" t="s">
        <v>1444</v>
      </c>
      <c r="E3" s="54" t="s">
        <v>1445</v>
      </c>
      <c r="F3" s="54" t="s">
        <v>1446</v>
      </c>
      <c r="G3" s="54" t="s">
        <v>8</v>
      </c>
      <c r="H3" s="54" t="s">
        <v>1447</v>
      </c>
      <c r="I3" s="54" t="s">
        <v>1448</v>
      </c>
      <c r="J3" s="54" t="s">
        <v>1449</v>
      </c>
      <c r="K3" s="54" t="s">
        <v>1450</v>
      </c>
    </row>
    <row r="4" spans="1:11" ht="27.75" customHeight="1">
      <c r="A4" s="56" t="s">
        <v>193</v>
      </c>
      <c r="B4" s="57" t="s">
        <v>1451</v>
      </c>
      <c r="C4" s="56" t="s">
        <v>29</v>
      </c>
      <c r="D4" s="56" t="s">
        <v>1190</v>
      </c>
      <c r="E4" s="56" t="s">
        <v>195</v>
      </c>
      <c r="F4" s="58">
        <v>4443.0200000000004</v>
      </c>
      <c r="G4" s="58">
        <v>522.5</v>
      </c>
      <c r="H4" s="58">
        <v>2321477.9500000002</v>
      </c>
      <c r="I4" s="59">
        <v>17.432515523297528</v>
      </c>
      <c r="J4" s="59">
        <v>17.432515523297528</v>
      </c>
      <c r="K4" s="56" t="s">
        <v>1452</v>
      </c>
    </row>
    <row r="5" spans="1:11" ht="28.5" customHeight="1">
      <c r="A5" s="56" t="s">
        <v>209</v>
      </c>
      <c r="B5" s="57" t="s">
        <v>1453</v>
      </c>
      <c r="C5" s="56" t="s">
        <v>29</v>
      </c>
      <c r="D5" s="56" t="s">
        <v>1190</v>
      </c>
      <c r="E5" s="56" t="s">
        <v>60</v>
      </c>
      <c r="F5" s="58">
        <v>2016.79349</v>
      </c>
      <c r="G5" s="58">
        <v>422.5</v>
      </c>
      <c r="H5" s="58">
        <v>852095.24952499999</v>
      </c>
      <c r="I5" s="59">
        <v>6.3985805528209481</v>
      </c>
      <c r="J5" s="59">
        <v>23.831096079685359</v>
      </c>
      <c r="K5" s="56" t="s">
        <v>1452</v>
      </c>
    </row>
    <row r="6" spans="1:11" ht="15" customHeight="1">
      <c r="A6" s="56" t="s">
        <v>1471</v>
      </c>
      <c r="B6" s="57" t="s">
        <v>1472</v>
      </c>
      <c r="C6" s="56" t="s">
        <v>29</v>
      </c>
      <c r="D6" s="56" t="s">
        <v>1190</v>
      </c>
      <c r="E6" s="56" t="s">
        <v>1338</v>
      </c>
      <c r="F6" s="58">
        <v>110772.7215390482</v>
      </c>
      <c r="G6" s="58">
        <v>7.64</v>
      </c>
      <c r="H6" s="58">
        <v>846303.5925583283</v>
      </c>
      <c r="I6" s="59">
        <v>6.3550896594540225</v>
      </c>
      <c r="J6" s="59">
        <v>30.1861857199283</v>
      </c>
      <c r="K6" s="56" t="s">
        <v>1452</v>
      </c>
    </row>
    <row r="7" spans="1:11" ht="15" customHeight="1">
      <c r="A7" s="56" t="s">
        <v>200</v>
      </c>
      <c r="B7" s="57" t="s">
        <v>1454</v>
      </c>
      <c r="C7" s="56" t="s">
        <v>1455</v>
      </c>
      <c r="D7" s="56" t="s">
        <v>1190</v>
      </c>
      <c r="E7" s="56" t="s">
        <v>70</v>
      </c>
      <c r="F7" s="58">
        <v>7409.05</v>
      </c>
      <c r="G7" s="58">
        <v>90.74</v>
      </c>
      <c r="H7" s="58">
        <v>672297.19700000004</v>
      </c>
      <c r="I7" s="59">
        <v>5.0484353396386616</v>
      </c>
      <c r="J7" s="59">
        <v>35.234621082094655</v>
      </c>
      <c r="K7" s="56" t="s">
        <v>1452</v>
      </c>
    </row>
    <row r="8" spans="1:11" ht="15" customHeight="1">
      <c r="A8" s="56" t="s">
        <v>1473</v>
      </c>
      <c r="B8" s="57" t="s">
        <v>1474</v>
      </c>
      <c r="C8" s="56" t="s">
        <v>29</v>
      </c>
      <c r="D8" s="56" t="s">
        <v>1475</v>
      </c>
      <c r="E8" s="56" t="s">
        <v>1207</v>
      </c>
      <c r="F8" s="58">
        <v>41164.998599096652</v>
      </c>
      <c r="G8" s="58">
        <v>14.19</v>
      </c>
      <c r="H8" s="58">
        <v>584131.33012118144</v>
      </c>
      <c r="I8" s="59">
        <v>4.3863774282163339</v>
      </c>
      <c r="J8" s="59">
        <v>39.620998509401012</v>
      </c>
      <c r="K8" s="56" t="s">
        <v>1452</v>
      </c>
    </row>
    <row r="9" spans="1:11" ht="15" customHeight="1">
      <c r="A9" s="56" t="s">
        <v>1476</v>
      </c>
      <c r="B9" s="57" t="s">
        <v>1477</v>
      </c>
      <c r="C9" s="56" t="s">
        <v>29</v>
      </c>
      <c r="D9" s="56" t="s">
        <v>1190</v>
      </c>
      <c r="E9" s="56" t="s">
        <v>40</v>
      </c>
      <c r="F9" s="58">
        <v>13558.183650000001</v>
      </c>
      <c r="G9" s="58">
        <v>36.61</v>
      </c>
      <c r="H9" s="58">
        <v>496365.10342649999</v>
      </c>
      <c r="I9" s="59">
        <v>3.7273205074834515</v>
      </c>
      <c r="J9" s="59">
        <v>43.34831899115408</v>
      </c>
      <c r="K9" s="56" t="s">
        <v>1452</v>
      </c>
    </row>
    <row r="10" spans="1:11" ht="15" customHeight="1">
      <c r="A10" s="56" t="s">
        <v>1478</v>
      </c>
      <c r="B10" s="57" t="s">
        <v>1479</v>
      </c>
      <c r="C10" s="56" t="s">
        <v>29</v>
      </c>
      <c r="D10" s="56" t="s">
        <v>1190</v>
      </c>
      <c r="E10" s="56" t="s">
        <v>138</v>
      </c>
      <c r="F10" s="58">
        <v>38359.909899999999</v>
      </c>
      <c r="G10" s="58">
        <v>12.12</v>
      </c>
      <c r="H10" s="58">
        <v>464922.10798799997</v>
      </c>
      <c r="I10" s="59">
        <v>3.4912077733174325</v>
      </c>
      <c r="J10" s="59">
        <v>46.83952677958009</v>
      </c>
      <c r="K10" s="56" t="s">
        <v>1452</v>
      </c>
    </row>
    <row r="11" spans="1:11" ht="15" customHeight="1">
      <c r="A11" s="56" t="s">
        <v>1480</v>
      </c>
      <c r="B11" s="57" t="s">
        <v>1481</v>
      </c>
      <c r="C11" s="56" t="s">
        <v>29</v>
      </c>
      <c r="D11" s="56" t="s">
        <v>1475</v>
      </c>
      <c r="E11" s="56" t="s">
        <v>1207</v>
      </c>
      <c r="F11" s="58">
        <v>19606.258134502143</v>
      </c>
      <c r="G11" s="58">
        <v>18.850000000000001</v>
      </c>
      <c r="H11" s="58">
        <v>369577.96583536541</v>
      </c>
      <c r="I11" s="59">
        <v>2.7752465305534049</v>
      </c>
      <c r="J11" s="59">
        <v>49.614773341406696</v>
      </c>
      <c r="K11" s="56" t="s">
        <v>1452</v>
      </c>
    </row>
    <row r="12" spans="1:11" ht="20.100000000000001" customHeight="1">
      <c r="A12" s="56" t="s">
        <v>1398</v>
      </c>
      <c r="B12" s="57" t="s">
        <v>1399</v>
      </c>
      <c r="C12" s="56" t="s">
        <v>29</v>
      </c>
      <c r="D12" s="56" t="s">
        <v>1190</v>
      </c>
      <c r="E12" s="56" t="s">
        <v>60</v>
      </c>
      <c r="F12" s="58">
        <v>5712.7664999999997</v>
      </c>
      <c r="G12" s="58">
        <v>64.5</v>
      </c>
      <c r="H12" s="58">
        <v>368473.43925</v>
      </c>
      <c r="I12" s="59">
        <v>2.7669523846429178</v>
      </c>
      <c r="J12" s="59">
        <v>52.381725731681541</v>
      </c>
      <c r="K12" s="56" t="s">
        <v>1456</v>
      </c>
    </row>
    <row r="13" spans="1:11" ht="15" customHeight="1">
      <c r="A13" s="56" t="s">
        <v>1482</v>
      </c>
      <c r="B13" s="57" t="s">
        <v>1483</v>
      </c>
      <c r="C13" s="56" t="s">
        <v>29</v>
      </c>
      <c r="D13" s="56" t="s">
        <v>1190</v>
      </c>
      <c r="E13" s="56" t="s">
        <v>138</v>
      </c>
      <c r="F13" s="58">
        <v>470142.4170162236</v>
      </c>
      <c r="G13" s="58">
        <v>0.68</v>
      </c>
      <c r="H13" s="58">
        <v>319696.84357103205</v>
      </c>
      <c r="I13" s="59">
        <v>2.4006776322390815</v>
      </c>
      <c r="J13" s="59">
        <v>54.782403337104917</v>
      </c>
      <c r="K13" s="56" t="s">
        <v>1456</v>
      </c>
    </row>
    <row r="14" spans="1:11" ht="20.100000000000001" customHeight="1">
      <c r="A14" s="56" t="s">
        <v>197</v>
      </c>
      <c r="B14" s="57" t="s">
        <v>1371</v>
      </c>
      <c r="C14" s="56" t="s">
        <v>1457</v>
      </c>
      <c r="D14" s="56" t="s">
        <v>1190</v>
      </c>
      <c r="E14" s="56" t="s">
        <v>44</v>
      </c>
      <c r="F14" s="58">
        <v>4817.1000000000004</v>
      </c>
      <c r="G14" s="58">
        <v>56.1</v>
      </c>
      <c r="H14" s="58">
        <v>270239.31</v>
      </c>
      <c r="I14" s="59">
        <v>2.0292895595153992</v>
      </c>
      <c r="J14" s="59">
        <v>56.811692896620315</v>
      </c>
      <c r="K14" s="56" t="s">
        <v>1456</v>
      </c>
    </row>
    <row r="15" spans="1:11" ht="15" customHeight="1">
      <c r="A15" s="56" t="s">
        <v>1484</v>
      </c>
      <c r="B15" s="57" t="s">
        <v>1485</v>
      </c>
      <c r="C15" s="56" t="s">
        <v>29</v>
      </c>
      <c r="D15" s="56" t="s">
        <v>1190</v>
      </c>
      <c r="E15" s="56" t="s">
        <v>115</v>
      </c>
      <c r="F15" s="58">
        <v>63981.472000000002</v>
      </c>
      <c r="G15" s="58">
        <v>4</v>
      </c>
      <c r="H15" s="58">
        <v>255925.88800000001</v>
      </c>
      <c r="I15" s="59">
        <v>1.9218067590836707</v>
      </c>
      <c r="J15" s="59">
        <v>58.733499670722445</v>
      </c>
      <c r="K15" s="56" t="s">
        <v>1456</v>
      </c>
    </row>
    <row r="16" spans="1:11" ht="27" customHeight="1">
      <c r="A16" s="56" t="s">
        <v>212</v>
      </c>
      <c r="B16" s="57" t="s">
        <v>1458</v>
      </c>
      <c r="C16" s="56" t="s">
        <v>29</v>
      </c>
      <c r="D16" s="56" t="s">
        <v>1190</v>
      </c>
      <c r="E16" s="56" t="s">
        <v>20</v>
      </c>
      <c r="F16" s="58">
        <v>2348.4645</v>
      </c>
      <c r="G16" s="58">
        <v>94.4</v>
      </c>
      <c r="H16" s="58">
        <v>221695.04879999999</v>
      </c>
      <c r="I16" s="59">
        <v>1.6647594605170393</v>
      </c>
      <c r="J16" s="59">
        <v>60.398259140250566</v>
      </c>
      <c r="K16" s="56" t="s">
        <v>1456</v>
      </c>
    </row>
    <row r="17" spans="1:11" ht="15" customHeight="1">
      <c r="A17" s="56" t="s">
        <v>1408</v>
      </c>
      <c r="B17" s="57" t="s">
        <v>1409</v>
      </c>
      <c r="C17" s="56" t="s">
        <v>29</v>
      </c>
      <c r="D17" s="56" t="s">
        <v>1190</v>
      </c>
      <c r="E17" s="56" t="s">
        <v>60</v>
      </c>
      <c r="F17" s="58">
        <v>1647.7215788144799</v>
      </c>
      <c r="G17" s="58">
        <v>129</v>
      </c>
      <c r="H17" s="58">
        <v>212556.08366706793</v>
      </c>
      <c r="I17" s="59">
        <v>1.5961328549760678</v>
      </c>
      <c r="J17" s="59">
        <v>61.994391967689772</v>
      </c>
      <c r="K17" s="56" t="s">
        <v>1456</v>
      </c>
    </row>
    <row r="18" spans="1:11" ht="15" customHeight="1">
      <c r="A18" s="56" t="s">
        <v>1486</v>
      </c>
      <c r="B18" s="57" t="s">
        <v>1487</v>
      </c>
      <c r="C18" s="56" t="s">
        <v>29</v>
      </c>
      <c r="D18" s="56" t="s">
        <v>1475</v>
      </c>
      <c r="E18" s="56" t="s">
        <v>31</v>
      </c>
      <c r="F18" s="58">
        <v>32.044353000000001</v>
      </c>
      <c r="G18" s="58">
        <v>6216.69</v>
      </c>
      <c r="H18" s="58">
        <v>199209.80885157001</v>
      </c>
      <c r="I18" s="59">
        <v>1.4959125867200793</v>
      </c>
      <c r="J18" s="59">
        <v>63.490304563033675</v>
      </c>
      <c r="K18" s="56" t="s">
        <v>1456</v>
      </c>
    </row>
    <row r="19" spans="1:11" ht="15" customHeight="1">
      <c r="A19" s="56" t="s">
        <v>1488</v>
      </c>
      <c r="B19" s="57" t="s">
        <v>1489</v>
      </c>
      <c r="C19" s="56" t="s">
        <v>29</v>
      </c>
      <c r="D19" s="56" t="s">
        <v>1475</v>
      </c>
      <c r="E19" s="56" t="s">
        <v>31</v>
      </c>
      <c r="F19" s="58">
        <v>11.756015</v>
      </c>
      <c r="G19" s="58">
        <v>16392.18</v>
      </c>
      <c r="H19" s="58">
        <v>192706.71396270001</v>
      </c>
      <c r="I19" s="59">
        <v>1.4470793412439795</v>
      </c>
      <c r="J19" s="59">
        <v>64.937383874520833</v>
      </c>
      <c r="K19" s="56" t="s">
        <v>1456</v>
      </c>
    </row>
    <row r="20" spans="1:11" ht="27.95" customHeight="1">
      <c r="A20" s="56" t="s">
        <v>1490</v>
      </c>
      <c r="B20" s="57" t="s">
        <v>1491</v>
      </c>
      <c r="C20" s="56" t="s">
        <v>29</v>
      </c>
      <c r="D20" s="56" t="s">
        <v>1492</v>
      </c>
      <c r="E20" s="56" t="s">
        <v>1207</v>
      </c>
      <c r="F20" s="58">
        <v>81765.452085154102</v>
      </c>
      <c r="G20" s="58">
        <v>2.2799999999999998</v>
      </c>
      <c r="H20" s="58">
        <v>186425.23075415133</v>
      </c>
      <c r="I20" s="59">
        <v>1.3999102291951842</v>
      </c>
      <c r="J20" s="59">
        <v>66.337294098052908</v>
      </c>
      <c r="K20" s="56" t="s">
        <v>1456</v>
      </c>
    </row>
    <row r="21" spans="1:11" ht="20.100000000000001" customHeight="1">
      <c r="A21" s="56" t="s">
        <v>206</v>
      </c>
      <c r="B21" s="57" t="s">
        <v>1373</v>
      </c>
      <c r="C21" s="56" t="s">
        <v>1457</v>
      </c>
      <c r="D21" s="56" t="s">
        <v>1190</v>
      </c>
      <c r="E21" s="56" t="s">
        <v>138</v>
      </c>
      <c r="F21" s="58">
        <v>34731.9</v>
      </c>
      <c r="G21" s="58">
        <v>5.32</v>
      </c>
      <c r="H21" s="58">
        <v>184773.70800000001</v>
      </c>
      <c r="I21" s="59">
        <v>1.3875085623825305</v>
      </c>
      <c r="J21" s="59">
        <v>67.724802675453901</v>
      </c>
      <c r="K21" s="56" t="s">
        <v>1456</v>
      </c>
    </row>
    <row r="22" spans="1:11" ht="27.95" customHeight="1">
      <c r="A22" s="56" t="s">
        <v>1493</v>
      </c>
      <c r="B22" s="57" t="s">
        <v>1494</v>
      </c>
      <c r="C22" s="56" t="s">
        <v>29</v>
      </c>
      <c r="D22" s="56" t="s">
        <v>1218</v>
      </c>
      <c r="E22" s="56" t="s">
        <v>115</v>
      </c>
      <c r="F22" s="58">
        <v>0.2286747915225</v>
      </c>
      <c r="G22" s="58">
        <v>601378.1</v>
      </c>
      <c r="H22" s="58">
        <v>137520.01164369716</v>
      </c>
      <c r="I22" s="59">
        <v>1.0326696136583193</v>
      </c>
      <c r="J22" s="59">
        <v>68.75747227676932</v>
      </c>
      <c r="K22" s="56" t="s">
        <v>1456</v>
      </c>
    </row>
    <row r="23" spans="1:11" ht="15" customHeight="1">
      <c r="A23" s="56" t="s">
        <v>357</v>
      </c>
      <c r="B23" s="57" t="s">
        <v>1460</v>
      </c>
      <c r="C23" s="56" t="s">
        <v>1455</v>
      </c>
      <c r="D23" s="56" t="s">
        <v>1190</v>
      </c>
      <c r="E23" s="56" t="s">
        <v>355</v>
      </c>
      <c r="F23" s="58">
        <v>236.13</v>
      </c>
      <c r="G23" s="58">
        <v>501.47</v>
      </c>
      <c r="H23" s="58">
        <v>118412.11109999999</v>
      </c>
      <c r="I23" s="59">
        <v>0.8891839635595854</v>
      </c>
      <c r="J23" s="59">
        <v>69.64665623206875</v>
      </c>
      <c r="K23" s="56" t="s">
        <v>1456</v>
      </c>
    </row>
    <row r="24" spans="1:11" ht="27.95" customHeight="1">
      <c r="A24" s="56" t="s">
        <v>546</v>
      </c>
      <c r="B24" s="57" t="s">
        <v>1461</v>
      </c>
      <c r="C24" s="56" t="s">
        <v>29</v>
      </c>
      <c r="D24" s="56" t="s">
        <v>1190</v>
      </c>
      <c r="E24" s="56" t="s">
        <v>20</v>
      </c>
      <c r="F24" s="58">
        <v>2231.6</v>
      </c>
      <c r="G24" s="58">
        <v>49</v>
      </c>
      <c r="H24" s="58">
        <v>109348.4</v>
      </c>
      <c r="I24" s="59">
        <v>0.82112245797886951</v>
      </c>
      <c r="J24" s="59">
        <v>70.467778690047624</v>
      </c>
      <c r="K24" s="56" t="s">
        <v>1456</v>
      </c>
    </row>
    <row r="25" spans="1:11" ht="27.95" customHeight="1">
      <c r="A25" s="56" t="s">
        <v>1495</v>
      </c>
      <c r="B25" s="57" t="s">
        <v>1496</v>
      </c>
      <c r="C25" s="56" t="s">
        <v>29</v>
      </c>
      <c r="D25" s="56" t="s">
        <v>1218</v>
      </c>
      <c r="E25" s="56" t="s">
        <v>115</v>
      </c>
      <c r="F25" s="58">
        <v>0.15405507260702081</v>
      </c>
      <c r="G25" s="58">
        <v>690279.26</v>
      </c>
      <c r="H25" s="58">
        <v>106341.02151842059</v>
      </c>
      <c r="I25" s="59">
        <v>0.79853935652638142</v>
      </c>
      <c r="J25" s="59">
        <v>71.266318035171835</v>
      </c>
      <c r="K25" s="56" t="s">
        <v>1456</v>
      </c>
    </row>
    <row r="26" spans="1:11" ht="15" customHeight="1">
      <c r="A26" s="56" t="s">
        <v>1497</v>
      </c>
      <c r="B26" s="57" t="s">
        <v>1498</v>
      </c>
      <c r="C26" s="56" t="s">
        <v>29</v>
      </c>
      <c r="D26" s="56" t="s">
        <v>1475</v>
      </c>
      <c r="E26" s="56" t="s">
        <v>1207</v>
      </c>
      <c r="F26" s="58">
        <v>3642.3657211152454</v>
      </c>
      <c r="G26" s="58">
        <v>24.95</v>
      </c>
      <c r="H26" s="58">
        <v>90877.024741825371</v>
      </c>
      <c r="I26" s="59">
        <v>0.68241662365260203</v>
      </c>
      <c r="J26" s="59">
        <v>71.948734623216978</v>
      </c>
      <c r="K26" s="56" t="s">
        <v>1456</v>
      </c>
    </row>
    <row r="27" spans="1:11" ht="15" customHeight="1">
      <c r="A27" s="56" t="s">
        <v>1499</v>
      </c>
      <c r="B27" s="57" t="s">
        <v>1500</v>
      </c>
      <c r="C27" s="56" t="s">
        <v>29</v>
      </c>
      <c r="D27" s="56" t="s">
        <v>1190</v>
      </c>
      <c r="E27" s="56" t="s">
        <v>60</v>
      </c>
      <c r="F27" s="58">
        <v>835.81296367384004</v>
      </c>
      <c r="G27" s="58">
        <v>88.22</v>
      </c>
      <c r="H27" s="58">
        <v>73735.419655306163</v>
      </c>
      <c r="I27" s="59">
        <v>0.553696341487104</v>
      </c>
      <c r="J27" s="59">
        <v>72.502430967292469</v>
      </c>
      <c r="K27" s="56" t="s">
        <v>1456</v>
      </c>
    </row>
    <row r="28" spans="1:11" ht="20.100000000000001" customHeight="1">
      <c r="A28" s="56" t="s">
        <v>1501</v>
      </c>
      <c r="B28" s="57" t="s">
        <v>1502</v>
      </c>
      <c r="C28" s="56" t="s">
        <v>29</v>
      </c>
      <c r="D28" s="56" t="s">
        <v>1218</v>
      </c>
      <c r="E28" s="56" t="s">
        <v>115</v>
      </c>
      <c r="F28" s="58">
        <v>0.33012544343700001</v>
      </c>
      <c r="G28" s="58">
        <v>209199.3</v>
      </c>
      <c r="H28" s="58">
        <v>69062.011679209987</v>
      </c>
      <c r="I28" s="59">
        <v>0.5186026387491568</v>
      </c>
      <c r="J28" s="59">
        <v>73.021033593432037</v>
      </c>
      <c r="K28" s="56" t="s">
        <v>1456</v>
      </c>
    </row>
    <row r="29" spans="1:11" ht="27.95" customHeight="1">
      <c r="A29" s="56" t="s">
        <v>1503</v>
      </c>
      <c r="B29" s="57" t="s">
        <v>1504</v>
      </c>
      <c r="C29" s="56" t="s">
        <v>29</v>
      </c>
      <c r="D29" s="56" t="s">
        <v>1492</v>
      </c>
      <c r="E29" s="56" t="s">
        <v>1207</v>
      </c>
      <c r="F29" s="58">
        <v>81880.368653354089</v>
      </c>
      <c r="G29" s="58">
        <v>0.81</v>
      </c>
      <c r="H29" s="58">
        <v>66323.098609216817</v>
      </c>
      <c r="I29" s="59">
        <v>0.49803550624220433</v>
      </c>
      <c r="J29" s="59">
        <v>73.519069110117954</v>
      </c>
      <c r="K29" s="56" t="s">
        <v>1456</v>
      </c>
    </row>
    <row r="30" spans="1:11" ht="15" customHeight="1">
      <c r="A30" s="56" t="s">
        <v>203</v>
      </c>
      <c r="B30" s="57" t="s">
        <v>1462</v>
      </c>
      <c r="C30" s="56" t="s">
        <v>1455</v>
      </c>
      <c r="D30" s="56" t="s">
        <v>1190</v>
      </c>
      <c r="E30" s="56" t="s">
        <v>70</v>
      </c>
      <c r="F30" s="58">
        <v>823.22</v>
      </c>
      <c r="G30" s="58">
        <v>74.53</v>
      </c>
      <c r="H30" s="58">
        <v>61354.586600000002</v>
      </c>
      <c r="I30" s="59">
        <v>0.46072579898077531</v>
      </c>
      <c r="J30" s="59">
        <v>73.979794934630121</v>
      </c>
      <c r="K30" s="56" t="s">
        <v>1456</v>
      </c>
    </row>
    <row r="31" spans="1:11" ht="15" customHeight="1">
      <c r="A31" s="56" t="s">
        <v>1505</v>
      </c>
      <c r="B31" s="57" t="s">
        <v>1506</v>
      </c>
      <c r="C31" s="56" t="s">
        <v>29</v>
      </c>
      <c r="D31" s="56" t="s">
        <v>1475</v>
      </c>
      <c r="E31" s="56" t="s">
        <v>1207</v>
      </c>
      <c r="F31" s="58">
        <v>3073.8181392268002</v>
      </c>
      <c r="G31" s="58">
        <v>18.850000000000001</v>
      </c>
      <c r="H31" s="58">
        <v>57941.471924425183</v>
      </c>
      <c r="I31" s="59">
        <v>0.43509593048913076</v>
      </c>
      <c r="J31" s="59">
        <v>74.4148908506683</v>
      </c>
      <c r="K31" s="56" t="s">
        <v>1456</v>
      </c>
    </row>
    <row r="32" spans="1:11" ht="20.100000000000001" customHeight="1">
      <c r="A32" s="56" t="s">
        <v>187</v>
      </c>
      <c r="B32" s="57" t="s">
        <v>1464</v>
      </c>
      <c r="C32" s="56" t="s">
        <v>29</v>
      </c>
      <c r="D32" s="56" t="s">
        <v>1218</v>
      </c>
      <c r="E32" s="56" t="s">
        <v>31</v>
      </c>
      <c r="F32" s="58">
        <v>66</v>
      </c>
      <c r="G32" s="58">
        <v>830</v>
      </c>
      <c r="H32" s="58">
        <v>54780</v>
      </c>
      <c r="I32" s="59">
        <v>0.41135570569009211</v>
      </c>
      <c r="J32" s="59">
        <v>74.826246556358399</v>
      </c>
      <c r="K32" s="56" t="s">
        <v>1456</v>
      </c>
    </row>
    <row r="33" spans="1:11" ht="20.100000000000001" customHeight="1">
      <c r="A33" s="56" t="s">
        <v>1195</v>
      </c>
      <c r="B33" s="57" t="s">
        <v>1196</v>
      </c>
      <c r="C33" s="56" t="s">
        <v>29</v>
      </c>
      <c r="D33" s="56" t="s">
        <v>1190</v>
      </c>
      <c r="E33" s="56" t="s">
        <v>20</v>
      </c>
      <c r="F33" s="58">
        <v>122.88</v>
      </c>
      <c r="G33" s="58">
        <v>445</v>
      </c>
      <c r="H33" s="58">
        <v>54681.599999999999</v>
      </c>
      <c r="I33" s="59">
        <v>0.41061679730309131</v>
      </c>
      <c r="J33" s="59">
        <v>75.236863353661477</v>
      </c>
      <c r="K33" s="56" t="s">
        <v>1456</v>
      </c>
    </row>
    <row r="34" spans="1:11" ht="20.100000000000001" customHeight="1">
      <c r="A34" s="56" t="s">
        <v>1219</v>
      </c>
      <c r="B34" s="57" t="s">
        <v>23</v>
      </c>
      <c r="C34" s="56" t="s">
        <v>1457</v>
      </c>
      <c r="D34" s="56" t="s">
        <v>1218</v>
      </c>
      <c r="E34" s="56" t="s">
        <v>24</v>
      </c>
      <c r="F34" s="58">
        <v>68</v>
      </c>
      <c r="G34" s="58">
        <v>700</v>
      </c>
      <c r="H34" s="58">
        <v>47600</v>
      </c>
      <c r="I34" s="59">
        <v>0.35743942298007275</v>
      </c>
      <c r="J34" s="59">
        <v>75.594302776641555</v>
      </c>
      <c r="K34" s="56" t="s">
        <v>1456</v>
      </c>
    </row>
    <row r="35" spans="1:11" ht="15" customHeight="1">
      <c r="A35" s="56" t="s">
        <v>1365</v>
      </c>
      <c r="B35" s="57" t="s">
        <v>1366</v>
      </c>
      <c r="C35" s="56" t="s">
        <v>29</v>
      </c>
      <c r="D35" s="56" t="s">
        <v>1190</v>
      </c>
      <c r="E35" s="56" t="s">
        <v>115</v>
      </c>
      <c r="F35" s="58">
        <v>4544.5056000000004</v>
      </c>
      <c r="G35" s="58">
        <v>10.27</v>
      </c>
      <c r="H35" s="58">
        <v>46672.072511999999</v>
      </c>
      <c r="I35" s="59">
        <v>0.35047140058767634</v>
      </c>
      <c r="J35" s="59">
        <v>75.94477415836603</v>
      </c>
      <c r="K35" s="56" t="s">
        <v>1456</v>
      </c>
    </row>
    <row r="36" spans="1:11" ht="27.95" customHeight="1">
      <c r="A36" s="56" t="s">
        <v>1507</v>
      </c>
      <c r="B36" s="57" t="s">
        <v>1508</v>
      </c>
      <c r="C36" s="56" t="s">
        <v>29</v>
      </c>
      <c r="D36" s="56" t="s">
        <v>1492</v>
      </c>
      <c r="E36" s="56" t="s">
        <v>1207</v>
      </c>
      <c r="F36" s="58">
        <v>40468.932952316798</v>
      </c>
      <c r="G36" s="58">
        <v>1.1499999999999999</v>
      </c>
      <c r="H36" s="58">
        <v>46539.272895164322</v>
      </c>
      <c r="I36" s="59">
        <v>0.34947417751175791</v>
      </c>
      <c r="J36" s="59">
        <v>76.294248314137334</v>
      </c>
      <c r="K36" s="56" t="s">
        <v>1456</v>
      </c>
    </row>
    <row r="37" spans="1:11" ht="20.100000000000001" customHeight="1">
      <c r="A37" s="56" t="s">
        <v>1509</v>
      </c>
      <c r="B37" s="57" t="s">
        <v>1510</v>
      </c>
      <c r="C37" s="56" t="s">
        <v>29</v>
      </c>
      <c r="D37" s="56" t="s">
        <v>1218</v>
      </c>
      <c r="E37" s="56" t="s">
        <v>115</v>
      </c>
      <c r="F37" s="58">
        <v>6.4205945567999995E-2</v>
      </c>
      <c r="G37" s="58">
        <v>720000</v>
      </c>
      <c r="H37" s="58">
        <v>46228.28080896</v>
      </c>
      <c r="I37" s="59">
        <v>0.34713886591839149</v>
      </c>
      <c r="J37" s="59">
        <v>76.641387173981059</v>
      </c>
      <c r="K37" s="56" t="s">
        <v>1456</v>
      </c>
    </row>
    <row r="38" spans="1:11" ht="15" customHeight="1">
      <c r="A38" s="56" t="s">
        <v>1511</v>
      </c>
      <c r="B38" s="57" t="s">
        <v>1512</v>
      </c>
      <c r="C38" s="56" t="s">
        <v>29</v>
      </c>
      <c r="D38" s="56" t="s">
        <v>1475</v>
      </c>
      <c r="E38" s="56" t="s">
        <v>1207</v>
      </c>
      <c r="F38" s="58">
        <v>1431.6748805433001</v>
      </c>
      <c r="G38" s="58">
        <v>32.01</v>
      </c>
      <c r="H38" s="58">
        <v>45827.912926191035</v>
      </c>
      <c r="I38" s="59">
        <v>0.34413241077140211</v>
      </c>
      <c r="J38" s="59">
        <v>76.985519562779018</v>
      </c>
      <c r="K38" s="56" t="s">
        <v>1456</v>
      </c>
    </row>
    <row r="39" spans="1:11" ht="27.95" customHeight="1">
      <c r="A39" s="56" t="s">
        <v>1513</v>
      </c>
      <c r="B39" s="57" t="s">
        <v>1514</v>
      </c>
      <c r="C39" s="56" t="s">
        <v>29</v>
      </c>
      <c r="D39" s="56" t="s">
        <v>1492</v>
      </c>
      <c r="E39" s="56" t="s">
        <v>1207</v>
      </c>
      <c r="F39" s="58">
        <v>81765.452085154102</v>
      </c>
      <c r="G39" s="58">
        <v>0.56000000000000005</v>
      </c>
      <c r="H39" s="58">
        <v>45788.653167686294</v>
      </c>
      <c r="I39" s="59">
        <v>0.34383760015320314</v>
      </c>
      <c r="J39" s="59">
        <v>77.32935713914533</v>
      </c>
      <c r="K39" s="56" t="s">
        <v>1456</v>
      </c>
    </row>
    <row r="40" spans="1:11" ht="27.95" customHeight="1">
      <c r="A40" s="56" t="s">
        <v>549</v>
      </c>
      <c r="B40" s="57" t="s">
        <v>1465</v>
      </c>
      <c r="C40" s="56" t="s">
        <v>29</v>
      </c>
      <c r="D40" s="56" t="s">
        <v>1190</v>
      </c>
      <c r="E40" s="56" t="s">
        <v>20</v>
      </c>
      <c r="F40" s="58">
        <v>815.39</v>
      </c>
      <c r="G40" s="58">
        <v>53.92</v>
      </c>
      <c r="H40" s="58">
        <v>43965.828800000003</v>
      </c>
      <c r="I40" s="59">
        <v>0.33014958985530807</v>
      </c>
      <c r="J40" s="59">
        <v>77.659506738011714</v>
      </c>
      <c r="K40" s="56" t="s">
        <v>1456</v>
      </c>
    </row>
    <row r="41" spans="1:11" ht="20.100000000000001" customHeight="1">
      <c r="A41" s="56" t="s">
        <v>190</v>
      </c>
      <c r="B41" s="57" t="s">
        <v>1466</v>
      </c>
      <c r="C41" s="56" t="s">
        <v>29</v>
      </c>
      <c r="D41" s="56" t="s">
        <v>1218</v>
      </c>
      <c r="E41" s="56" t="s">
        <v>31</v>
      </c>
      <c r="F41" s="58">
        <v>66</v>
      </c>
      <c r="G41" s="58">
        <v>648.42999999999995</v>
      </c>
      <c r="H41" s="58">
        <v>42796.38</v>
      </c>
      <c r="I41" s="59">
        <v>0.32136792800075475</v>
      </c>
      <c r="J41" s="59">
        <v>77.980874666012483</v>
      </c>
      <c r="K41" s="56" t="s">
        <v>1456</v>
      </c>
    </row>
    <row r="42" spans="1:11" ht="20.100000000000001" customHeight="1">
      <c r="A42" s="56" t="s">
        <v>1515</v>
      </c>
      <c r="B42" s="57" t="s">
        <v>1516</v>
      </c>
      <c r="C42" s="56" t="s">
        <v>29</v>
      </c>
      <c r="D42" s="56" t="s">
        <v>1218</v>
      </c>
      <c r="E42" s="56" t="s">
        <v>115</v>
      </c>
      <c r="F42" s="58">
        <v>1.6787227079199999E-2</v>
      </c>
      <c r="G42" s="58">
        <v>2493345</v>
      </c>
      <c r="H42" s="58">
        <v>41856.348701787923</v>
      </c>
      <c r="I42" s="59">
        <v>0.31430901529453342</v>
      </c>
      <c r="J42" s="59">
        <v>78.295183691055584</v>
      </c>
      <c r="K42" s="56" t="s">
        <v>1456</v>
      </c>
    </row>
    <row r="43" spans="1:11" ht="15" customHeight="1">
      <c r="A43" s="56" t="s">
        <v>1517</v>
      </c>
      <c r="B43" s="57" t="s">
        <v>1518</v>
      </c>
      <c r="C43" s="56" t="s">
        <v>29</v>
      </c>
      <c r="D43" s="56" t="s">
        <v>1475</v>
      </c>
      <c r="E43" s="56" t="s">
        <v>1207</v>
      </c>
      <c r="F43" s="58">
        <v>1973.4035259969</v>
      </c>
      <c r="G43" s="58">
        <v>20.84</v>
      </c>
      <c r="H43" s="58">
        <v>41125.729481775394</v>
      </c>
      <c r="I43" s="59">
        <v>0.30882262637815888</v>
      </c>
      <c r="J43" s="59">
        <v>78.604006321325201</v>
      </c>
      <c r="K43" s="56" t="s">
        <v>1456</v>
      </c>
    </row>
    <row r="44" spans="1:11" ht="20.100000000000001" customHeight="1">
      <c r="A44" s="56" t="s">
        <v>1519</v>
      </c>
      <c r="B44" s="57" t="s">
        <v>1520</v>
      </c>
      <c r="C44" s="56" t="s">
        <v>29</v>
      </c>
      <c r="D44" s="56" t="s">
        <v>1218</v>
      </c>
      <c r="E44" s="56" t="s">
        <v>115</v>
      </c>
      <c r="F44" s="58">
        <v>3.00922647365E-2</v>
      </c>
      <c r="G44" s="58">
        <v>1350000</v>
      </c>
      <c r="H44" s="58">
        <v>40624.557394274998</v>
      </c>
      <c r="I44" s="59">
        <v>0.30505920911408624</v>
      </c>
      <c r="J44" s="59">
        <v>78.909065550006289</v>
      </c>
      <c r="K44" s="56" t="s">
        <v>1456</v>
      </c>
    </row>
    <row r="45" spans="1:11" ht="15" customHeight="1">
      <c r="A45" s="56" t="s">
        <v>1521</v>
      </c>
      <c r="B45" s="57" t="s">
        <v>1522</v>
      </c>
      <c r="C45" s="56" t="s">
        <v>29</v>
      </c>
      <c r="D45" s="56" t="s">
        <v>1475</v>
      </c>
      <c r="E45" s="56" t="s">
        <v>1207</v>
      </c>
      <c r="F45" s="58">
        <v>1618.4464126545545</v>
      </c>
      <c r="G45" s="58">
        <v>23</v>
      </c>
      <c r="H45" s="58">
        <v>37224.267491054758</v>
      </c>
      <c r="I45" s="59">
        <v>0.27952564480795156</v>
      </c>
      <c r="J45" s="59">
        <v>79.188591213654476</v>
      </c>
      <c r="K45" s="56" t="s">
        <v>1456</v>
      </c>
    </row>
    <row r="46" spans="1:11" ht="15" customHeight="1">
      <c r="A46" s="56" t="s">
        <v>1523</v>
      </c>
      <c r="B46" s="57" t="s">
        <v>1524</v>
      </c>
      <c r="C46" s="56" t="s">
        <v>29</v>
      </c>
      <c r="D46" s="56" t="s">
        <v>1190</v>
      </c>
      <c r="E46" s="56" t="s">
        <v>138</v>
      </c>
      <c r="F46" s="58">
        <v>27918.650943281598</v>
      </c>
      <c r="G46" s="58">
        <v>1.33</v>
      </c>
      <c r="H46" s="58">
        <v>37131.805754564528</v>
      </c>
      <c r="I46" s="59">
        <v>0.27883132821680018</v>
      </c>
      <c r="J46" s="59">
        <v>79.46742257375125</v>
      </c>
      <c r="K46" s="56" t="s">
        <v>1456</v>
      </c>
    </row>
    <row r="47" spans="1:11" ht="20.100000000000001" customHeight="1">
      <c r="A47" s="56" t="s">
        <v>1525</v>
      </c>
      <c r="B47" s="57" t="s">
        <v>1526</v>
      </c>
      <c r="C47" s="56" t="s">
        <v>29</v>
      </c>
      <c r="D47" s="56" t="s">
        <v>1218</v>
      </c>
      <c r="E47" s="56" t="s">
        <v>115</v>
      </c>
      <c r="F47" s="58">
        <v>3.8948585145517002E-2</v>
      </c>
      <c r="G47" s="58">
        <v>840929.8</v>
      </c>
      <c r="H47" s="58">
        <v>32753.025916702583</v>
      </c>
      <c r="I47" s="59">
        <v>0.24595005639742731</v>
      </c>
      <c r="J47" s="59">
        <v>79.713372660811103</v>
      </c>
      <c r="K47" s="56" t="s">
        <v>1456</v>
      </c>
    </row>
    <row r="48" spans="1:11" ht="15" customHeight="1">
      <c r="A48" s="56" t="s">
        <v>1527</v>
      </c>
      <c r="B48" s="57" t="s">
        <v>1528</v>
      </c>
      <c r="C48" s="56" t="s">
        <v>29</v>
      </c>
      <c r="D48" s="56" t="s">
        <v>1475</v>
      </c>
      <c r="E48" s="56" t="s">
        <v>1207</v>
      </c>
      <c r="F48" s="58">
        <v>1206.238581820611</v>
      </c>
      <c r="G48" s="58">
        <v>26.45</v>
      </c>
      <c r="H48" s="58">
        <v>31905.01048915516</v>
      </c>
      <c r="I48" s="59">
        <v>0.23958211217262163</v>
      </c>
      <c r="J48" s="59">
        <v>79.952954769310551</v>
      </c>
      <c r="K48" s="56" t="s">
        <v>1456</v>
      </c>
    </row>
    <row r="49" spans="1:11" ht="15" customHeight="1">
      <c r="A49" s="56" t="s">
        <v>353</v>
      </c>
      <c r="B49" s="57" t="s">
        <v>1467</v>
      </c>
      <c r="C49" s="56" t="s">
        <v>1455</v>
      </c>
      <c r="D49" s="56" t="s">
        <v>1190</v>
      </c>
      <c r="E49" s="56" t="s">
        <v>355</v>
      </c>
      <c r="F49" s="58">
        <v>138.35</v>
      </c>
      <c r="G49" s="58">
        <v>227.86</v>
      </c>
      <c r="H49" s="58">
        <v>31524.431</v>
      </c>
      <c r="I49" s="59">
        <v>0.23672425265577979</v>
      </c>
      <c r="J49" s="59">
        <v>80.189679014457084</v>
      </c>
      <c r="K49" s="56" t="s">
        <v>1459</v>
      </c>
    </row>
    <row r="50" spans="1:11" ht="20.100000000000001" customHeight="1">
      <c r="A50" s="56" t="s">
        <v>1529</v>
      </c>
      <c r="B50" s="57" t="s">
        <v>1530</v>
      </c>
      <c r="C50" s="56" t="s">
        <v>29</v>
      </c>
      <c r="D50" s="56" t="s">
        <v>1218</v>
      </c>
      <c r="E50" s="56" t="s">
        <v>115</v>
      </c>
      <c r="F50" s="58">
        <v>3.3681544690400002E-2</v>
      </c>
      <c r="G50" s="58">
        <v>930100.66</v>
      </c>
      <c r="H50" s="58">
        <v>31327.226946360537</v>
      </c>
      <c r="I50" s="59">
        <v>0.23524340174943062</v>
      </c>
      <c r="J50" s="59">
        <v>80.424922439137006</v>
      </c>
      <c r="K50" s="56" t="s">
        <v>1459</v>
      </c>
    </row>
    <row r="51" spans="1:11" ht="20.100000000000001" customHeight="1">
      <c r="A51" s="56" t="s">
        <v>1531</v>
      </c>
      <c r="B51" s="57" t="s">
        <v>1532</v>
      </c>
      <c r="C51" s="56" t="s">
        <v>29</v>
      </c>
      <c r="D51" s="56" t="s">
        <v>1218</v>
      </c>
      <c r="E51" s="56" t="s">
        <v>115</v>
      </c>
      <c r="F51" s="58">
        <v>1.858163916668E-2</v>
      </c>
      <c r="G51" s="58">
        <v>1490825.55</v>
      </c>
      <c r="H51" s="58">
        <v>27701.982430567252</v>
      </c>
      <c r="I51" s="59">
        <v>0.20802060116357293</v>
      </c>
      <c r="J51" s="59">
        <v>80.632943022048892</v>
      </c>
      <c r="K51" s="56" t="s">
        <v>1459</v>
      </c>
    </row>
    <row r="52" spans="1:11" ht="15" customHeight="1">
      <c r="A52" s="56" t="s">
        <v>1533</v>
      </c>
      <c r="B52" s="57" t="s">
        <v>1534</v>
      </c>
      <c r="C52" s="56" t="s">
        <v>29</v>
      </c>
      <c r="D52" s="56" t="s">
        <v>1475</v>
      </c>
      <c r="E52" s="56" t="s">
        <v>1207</v>
      </c>
      <c r="F52" s="58">
        <v>1460.9167328000001</v>
      </c>
      <c r="G52" s="58">
        <v>18.850000000000001</v>
      </c>
      <c r="H52" s="58">
        <v>27538.280413280001</v>
      </c>
      <c r="I52" s="59">
        <v>0.20679132480643367</v>
      </c>
      <c r="J52" s="59">
        <v>80.8397343437519</v>
      </c>
      <c r="K52" s="56" t="s">
        <v>1459</v>
      </c>
    </row>
    <row r="53" spans="1:11" ht="27.95" customHeight="1">
      <c r="A53" s="56" t="s">
        <v>1535</v>
      </c>
      <c r="B53" s="57" t="s">
        <v>1536</v>
      </c>
      <c r="C53" s="56" t="s">
        <v>29</v>
      </c>
      <c r="D53" s="56" t="s">
        <v>1492</v>
      </c>
      <c r="E53" s="56" t="s">
        <v>1207</v>
      </c>
      <c r="F53" s="58">
        <v>24266.738798101214</v>
      </c>
      <c r="G53" s="58">
        <v>1.0900000000000001</v>
      </c>
      <c r="H53" s="58">
        <v>26450.745289930324</v>
      </c>
      <c r="I53" s="59">
        <v>0.19862477171902462</v>
      </c>
      <c r="J53" s="59">
        <v>81.038359150839938</v>
      </c>
      <c r="K53" s="56" t="s">
        <v>1459</v>
      </c>
    </row>
    <row r="54" spans="1:11" ht="15" customHeight="1">
      <c r="A54" s="56" t="s">
        <v>1341</v>
      </c>
      <c r="B54" s="57" t="s">
        <v>1342</v>
      </c>
      <c r="C54" s="56" t="s">
        <v>29</v>
      </c>
      <c r="D54" s="56" t="s">
        <v>1190</v>
      </c>
      <c r="E54" s="56" t="s">
        <v>40</v>
      </c>
      <c r="F54" s="58">
        <v>4780.59375</v>
      </c>
      <c r="G54" s="58">
        <v>5.51</v>
      </c>
      <c r="H54" s="58">
        <v>26341.071562500001</v>
      </c>
      <c r="I54" s="59">
        <v>0.19780120630203368</v>
      </c>
      <c r="J54" s="59">
        <v>81.236160345408791</v>
      </c>
      <c r="K54" s="56" t="s">
        <v>1459</v>
      </c>
    </row>
    <row r="55" spans="1:11" ht="15" customHeight="1">
      <c r="A55" s="56" t="s">
        <v>1537</v>
      </c>
      <c r="B55" s="57" t="s">
        <v>1538</v>
      </c>
      <c r="C55" s="56" t="s">
        <v>29</v>
      </c>
      <c r="D55" s="56" t="s">
        <v>1190</v>
      </c>
      <c r="E55" s="56" t="s">
        <v>138</v>
      </c>
      <c r="F55" s="58">
        <v>2309.6896000000002</v>
      </c>
      <c r="G55" s="58">
        <v>11.1</v>
      </c>
      <c r="H55" s="58">
        <v>25637.55456</v>
      </c>
      <c r="I55" s="59">
        <v>0.19251833421316247</v>
      </c>
      <c r="J55" s="59">
        <v>81.428678645379861</v>
      </c>
      <c r="K55" s="56" t="s">
        <v>1459</v>
      </c>
    </row>
    <row r="56" spans="1:11" ht="15" customHeight="1">
      <c r="A56" s="56" t="s">
        <v>1539</v>
      </c>
      <c r="B56" s="57" t="s">
        <v>1540</v>
      </c>
      <c r="C56" s="56" t="s">
        <v>29</v>
      </c>
      <c r="D56" s="56" t="s">
        <v>1475</v>
      </c>
      <c r="E56" s="56" t="s">
        <v>1207</v>
      </c>
      <c r="F56" s="58">
        <v>1334.2143715435552</v>
      </c>
      <c r="G56" s="58">
        <v>18.850000000000001</v>
      </c>
      <c r="H56" s="58">
        <v>25149.940903596016</v>
      </c>
      <c r="I56" s="59">
        <v>0.18885673034798928</v>
      </c>
      <c r="J56" s="59">
        <v>81.617535368942541</v>
      </c>
      <c r="K56" s="56" t="s">
        <v>1459</v>
      </c>
    </row>
    <row r="57" spans="1:11" ht="20.100000000000001" customHeight="1">
      <c r="A57" s="56" t="s">
        <v>1250</v>
      </c>
      <c r="B57" s="57" t="s">
        <v>1541</v>
      </c>
      <c r="C57" s="56" t="s">
        <v>1455</v>
      </c>
      <c r="D57" s="56" t="s">
        <v>1230</v>
      </c>
      <c r="E57" s="56" t="s">
        <v>1233</v>
      </c>
      <c r="F57" s="58">
        <v>69.489482391869188</v>
      </c>
      <c r="G57" s="58">
        <v>346.76339999999999</v>
      </c>
      <c r="H57" s="58">
        <v>24096.40917844469</v>
      </c>
      <c r="I57" s="59">
        <v>0.18094551665199579</v>
      </c>
      <c r="J57" s="59">
        <v>81.798480891763774</v>
      </c>
      <c r="K57" s="56" t="s">
        <v>1459</v>
      </c>
    </row>
    <row r="58" spans="1:11" ht="15" customHeight="1">
      <c r="A58" s="56" t="s">
        <v>1542</v>
      </c>
      <c r="B58" s="57" t="s">
        <v>1543</v>
      </c>
      <c r="C58" s="56" t="s">
        <v>29</v>
      </c>
      <c r="D58" s="56" t="s">
        <v>1190</v>
      </c>
      <c r="E58" s="56" t="s">
        <v>138</v>
      </c>
      <c r="F58" s="58">
        <v>869.37706915299998</v>
      </c>
      <c r="G58" s="58">
        <v>27.6</v>
      </c>
      <c r="H58" s="58">
        <v>23994.807108622801</v>
      </c>
      <c r="I58" s="59">
        <v>0.18018256318118236</v>
      </c>
      <c r="J58" s="59">
        <v>81.97866347665699</v>
      </c>
      <c r="K58" s="56" t="s">
        <v>1459</v>
      </c>
    </row>
    <row r="59" spans="1:11" ht="20.100000000000001" customHeight="1">
      <c r="A59" s="56" t="s">
        <v>1544</v>
      </c>
      <c r="B59" s="57" t="s">
        <v>1545</v>
      </c>
      <c r="C59" s="56" t="s">
        <v>29</v>
      </c>
      <c r="D59" s="56" t="s">
        <v>1218</v>
      </c>
      <c r="E59" s="56" t="s">
        <v>115</v>
      </c>
      <c r="F59" s="58">
        <v>4.8660650707999999E-2</v>
      </c>
      <c r="G59" s="58">
        <v>482500</v>
      </c>
      <c r="H59" s="58">
        <v>23478.76396661</v>
      </c>
      <c r="I59" s="59">
        <v>0.17630747572500843</v>
      </c>
      <c r="J59" s="59">
        <v>82.154970922595794</v>
      </c>
      <c r="K59" s="56" t="s">
        <v>1459</v>
      </c>
    </row>
    <row r="60" spans="1:11" ht="27.95" customHeight="1">
      <c r="A60" s="56" t="s">
        <v>1546</v>
      </c>
      <c r="B60" s="57" t="s">
        <v>1547</v>
      </c>
      <c r="C60" s="56" t="s">
        <v>29</v>
      </c>
      <c r="D60" s="56" t="s">
        <v>1492</v>
      </c>
      <c r="E60" s="56" t="s">
        <v>1207</v>
      </c>
      <c r="F60" s="58">
        <v>40468.932952316798</v>
      </c>
      <c r="G60" s="58">
        <v>0.56000000000000005</v>
      </c>
      <c r="H60" s="58">
        <v>22662.602453297408</v>
      </c>
      <c r="I60" s="59">
        <v>0.17017872991876906</v>
      </c>
      <c r="J60" s="59">
        <v>82.325149634092185</v>
      </c>
      <c r="K60" s="56" t="s">
        <v>1459</v>
      </c>
    </row>
    <row r="61" spans="1:11" ht="15" customHeight="1">
      <c r="A61" s="56" t="s">
        <v>1343</v>
      </c>
      <c r="B61" s="57" t="s">
        <v>1344</v>
      </c>
      <c r="C61" s="56" t="s">
        <v>29</v>
      </c>
      <c r="D61" s="56" t="s">
        <v>1190</v>
      </c>
      <c r="E61" s="56" t="s">
        <v>40</v>
      </c>
      <c r="F61" s="58">
        <v>5552.6009802400004</v>
      </c>
      <c r="G61" s="58">
        <v>3.8</v>
      </c>
      <c r="H61" s="58">
        <v>21099.883724912001</v>
      </c>
      <c r="I61" s="59">
        <v>0.15844391310040279</v>
      </c>
      <c r="J61" s="59">
        <v>82.483593519221373</v>
      </c>
      <c r="K61" s="56" t="s">
        <v>1459</v>
      </c>
    </row>
    <row r="62" spans="1:11" ht="15" customHeight="1">
      <c r="A62" s="56" t="s">
        <v>1548</v>
      </c>
      <c r="B62" s="57" t="s">
        <v>1549</v>
      </c>
      <c r="C62" s="56" t="s">
        <v>29</v>
      </c>
      <c r="D62" s="56" t="s">
        <v>1475</v>
      </c>
      <c r="E62" s="56" t="s">
        <v>1207</v>
      </c>
      <c r="F62" s="58">
        <v>562.35515643509996</v>
      </c>
      <c r="G62" s="58">
        <v>36.619999999999997</v>
      </c>
      <c r="H62" s="58">
        <v>20593.445828653363</v>
      </c>
      <c r="I62" s="59">
        <v>0.15464095365893368</v>
      </c>
      <c r="J62" s="59">
        <v>82.638234504203908</v>
      </c>
      <c r="K62" s="56" t="s">
        <v>1459</v>
      </c>
    </row>
    <row r="63" spans="1:11" ht="20.100000000000001" customHeight="1">
      <c r="A63" s="56" t="s">
        <v>1550</v>
      </c>
      <c r="B63" s="57" t="s">
        <v>1551</v>
      </c>
      <c r="C63" s="56" t="s">
        <v>29</v>
      </c>
      <c r="D63" s="56" t="s">
        <v>1218</v>
      </c>
      <c r="E63" s="56" t="s">
        <v>115</v>
      </c>
      <c r="F63" s="58">
        <v>2.4243245027099999E-2</v>
      </c>
      <c r="G63" s="58">
        <v>838648.6</v>
      </c>
      <c r="H63" s="58">
        <v>20331.563501434379</v>
      </c>
      <c r="I63" s="59">
        <v>0.15267441861839101</v>
      </c>
      <c r="J63" s="59">
        <v>82.790908896529217</v>
      </c>
      <c r="K63" s="56" t="s">
        <v>1459</v>
      </c>
    </row>
    <row r="64" spans="1:11" ht="20.100000000000001" customHeight="1">
      <c r="A64" s="56" t="s">
        <v>1552</v>
      </c>
      <c r="B64" s="57" t="s">
        <v>1553</v>
      </c>
      <c r="C64" s="56" t="s">
        <v>29</v>
      </c>
      <c r="D64" s="56" t="s">
        <v>1190</v>
      </c>
      <c r="E64" s="56" t="s">
        <v>40</v>
      </c>
      <c r="F64" s="58">
        <v>257.66160000000002</v>
      </c>
      <c r="G64" s="58">
        <v>78.5</v>
      </c>
      <c r="H64" s="58">
        <v>20226.435600000001</v>
      </c>
      <c r="I64" s="59">
        <v>0.15188498886150423</v>
      </c>
      <c r="J64" s="59">
        <v>82.942793918431335</v>
      </c>
      <c r="K64" s="56" t="s">
        <v>1459</v>
      </c>
    </row>
    <row r="65" spans="1:11" ht="15" customHeight="1">
      <c r="A65" s="56" t="s">
        <v>1554</v>
      </c>
      <c r="B65" s="57" t="s">
        <v>1555</v>
      </c>
      <c r="C65" s="56" t="s">
        <v>29</v>
      </c>
      <c r="D65" s="56" t="s">
        <v>1475</v>
      </c>
      <c r="E65" s="56" t="s">
        <v>1207</v>
      </c>
      <c r="F65" s="58">
        <v>1200.0748524799999</v>
      </c>
      <c r="G65" s="58">
        <v>16.57</v>
      </c>
      <c r="H65" s="58">
        <v>19885.240305593601</v>
      </c>
      <c r="I65" s="59">
        <v>0.14932287438343408</v>
      </c>
      <c r="J65" s="59">
        <v>83.092116790519995</v>
      </c>
      <c r="K65" s="56" t="s">
        <v>1459</v>
      </c>
    </row>
    <row r="66" spans="1:11" ht="15" customHeight="1">
      <c r="A66" s="56" t="s">
        <v>1430</v>
      </c>
      <c r="B66" s="57" t="s">
        <v>1431</v>
      </c>
      <c r="C66" s="56" t="s">
        <v>29</v>
      </c>
      <c r="D66" s="56" t="s">
        <v>1190</v>
      </c>
      <c r="E66" s="56" t="s">
        <v>1338</v>
      </c>
      <c r="F66" s="58">
        <v>1210.3922399999999</v>
      </c>
      <c r="G66" s="58">
        <v>16.25</v>
      </c>
      <c r="H66" s="58">
        <v>19668.873899999999</v>
      </c>
      <c r="I66" s="59">
        <v>0.14769812893873557</v>
      </c>
      <c r="J66" s="59">
        <v>83.239814890172738</v>
      </c>
      <c r="K66" s="56" t="s">
        <v>1459</v>
      </c>
    </row>
    <row r="67" spans="1:11" ht="20.100000000000001" customHeight="1">
      <c r="A67" s="56" t="s">
        <v>1252</v>
      </c>
      <c r="B67" s="57" t="s">
        <v>1556</v>
      </c>
      <c r="C67" s="56" t="s">
        <v>1455</v>
      </c>
      <c r="D67" s="56" t="s">
        <v>1230</v>
      </c>
      <c r="E67" s="56" t="s">
        <v>1233</v>
      </c>
      <c r="F67" s="58">
        <v>69.489482391869771</v>
      </c>
      <c r="G67" s="58">
        <v>280.73719999999997</v>
      </c>
      <c r="H67" s="58">
        <v>19508.282716142821</v>
      </c>
      <c r="I67" s="59">
        <v>0.14649221255021463</v>
      </c>
      <c r="J67" s="59">
        <v>83.386307082326809</v>
      </c>
      <c r="K67" s="56" t="s">
        <v>1459</v>
      </c>
    </row>
    <row r="68" spans="1:11" ht="15" customHeight="1">
      <c r="A68" s="56" t="s">
        <v>1557</v>
      </c>
      <c r="B68" s="57" t="s">
        <v>1558</v>
      </c>
      <c r="C68" s="56" t="s">
        <v>29</v>
      </c>
      <c r="D68" s="56" t="s">
        <v>1475</v>
      </c>
      <c r="E68" s="56" t="s">
        <v>1207</v>
      </c>
      <c r="F68" s="58">
        <v>649.90251543056002</v>
      </c>
      <c r="G68" s="58">
        <v>28.86</v>
      </c>
      <c r="H68" s="58">
        <v>18756.186595325962</v>
      </c>
      <c r="I68" s="59">
        <v>0.14084454861218249</v>
      </c>
      <c r="J68" s="59">
        <v>83.527151656505467</v>
      </c>
      <c r="K68" s="56" t="s">
        <v>1459</v>
      </c>
    </row>
    <row r="69" spans="1:11" ht="27.95" customHeight="1">
      <c r="A69" s="56" t="s">
        <v>1559</v>
      </c>
      <c r="B69" s="57" t="s">
        <v>1560</v>
      </c>
      <c r="C69" s="56" t="s">
        <v>29</v>
      </c>
      <c r="D69" s="56" t="s">
        <v>1492</v>
      </c>
      <c r="E69" s="56" t="s">
        <v>1207</v>
      </c>
      <c r="F69" s="58">
        <v>24266.738798101214</v>
      </c>
      <c r="G69" s="58">
        <v>0.74</v>
      </c>
      <c r="H69" s="58">
        <v>17957.386710594899</v>
      </c>
      <c r="I69" s="59">
        <v>0.13484617529548462</v>
      </c>
      <c r="J69" s="59">
        <v>83.661997856501856</v>
      </c>
      <c r="K69" s="56" t="s">
        <v>1459</v>
      </c>
    </row>
    <row r="70" spans="1:11" ht="15" customHeight="1">
      <c r="A70" s="56" t="s">
        <v>1561</v>
      </c>
      <c r="B70" s="57" t="s">
        <v>1562</v>
      </c>
      <c r="C70" s="56" t="s">
        <v>29</v>
      </c>
      <c r="D70" s="56" t="s">
        <v>1475</v>
      </c>
      <c r="E70" s="56" t="s">
        <v>1207</v>
      </c>
      <c r="F70" s="58">
        <v>902.66855975999999</v>
      </c>
      <c r="G70" s="58">
        <v>18.850000000000001</v>
      </c>
      <c r="H70" s="58">
        <v>17015.302351475999</v>
      </c>
      <c r="I70" s="59">
        <v>0.12777184567947597</v>
      </c>
      <c r="J70" s="59">
        <v>83.789769684523563</v>
      </c>
      <c r="K70" s="56" t="s">
        <v>1459</v>
      </c>
    </row>
    <row r="71" spans="1:11" ht="20.100000000000001" customHeight="1">
      <c r="A71" s="56" t="s">
        <v>1563</v>
      </c>
      <c r="B71" s="57" t="s">
        <v>1564</v>
      </c>
      <c r="C71" s="56" t="s">
        <v>29</v>
      </c>
      <c r="D71" s="56" t="s">
        <v>1190</v>
      </c>
      <c r="E71" s="56" t="s">
        <v>40</v>
      </c>
      <c r="F71" s="58">
        <v>1975.8984</v>
      </c>
      <c r="G71" s="58">
        <v>8.5</v>
      </c>
      <c r="H71" s="58">
        <v>16795.136399999999</v>
      </c>
      <c r="I71" s="59">
        <v>0.12611856856486589</v>
      </c>
      <c r="J71" s="59">
        <v>83.915888280121663</v>
      </c>
      <c r="K71" s="56" t="s">
        <v>1459</v>
      </c>
    </row>
    <row r="72" spans="1:11" ht="36" customHeight="1">
      <c r="A72" s="56" t="s">
        <v>1565</v>
      </c>
      <c r="B72" s="57" t="s">
        <v>1566</v>
      </c>
      <c r="C72" s="56" t="s">
        <v>29</v>
      </c>
      <c r="D72" s="56" t="s">
        <v>1218</v>
      </c>
      <c r="E72" s="56" t="s">
        <v>115</v>
      </c>
      <c r="F72" s="58">
        <v>2.9075261120000001E-2</v>
      </c>
      <c r="G72" s="58">
        <v>550000</v>
      </c>
      <c r="H72" s="58">
        <v>15991.393615999999</v>
      </c>
      <c r="I72" s="59">
        <v>0.12008307787290461</v>
      </c>
      <c r="J72" s="59">
        <v>84.035971330841178</v>
      </c>
      <c r="K72" s="56" t="s">
        <v>1459</v>
      </c>
    </row>
    <row r="73" spans="1:11" ht="20.100000000000001" customHeight="1">
      <c r="A73" s="56" t="s">
        <v>1254</v>
      </c>
      <c r="B73" s="57" t="s">
        <v>1567</v>
      </c>
      <c r="C73" s="56" t="s">
        <v>1455</v>
      </c>
      <c r="D73" s="56" t="s">
        <v>1230</v>
      </c>
      <c r="E73" s="56" t="s">
        <v>1233</v>
      </c>
      <c r="F73" s="58">
        <v>69.489482391869771</v>
      </c>
      <c r="G73" s="58">
        <v>229.67740000000001</v>
      </c>
      <c r="H73" s="58">
        <v>15960.163643110431</v>
      </c>
      <c r="I73" s="59">
        <v>0.11984856477438925</v>
      </c>
      <c r="J73" s="59">
        <v>84.155819868258604</v>
      </c>
      <c r="K73" s="56" t="s">
        <v>1459</v>
      </c>
    </row>
    <row r="74" spans="1:11" ht="20.100000000000001" customHeight="1">
      <c r="A74" s="56" t="s">
        <v>1568</v>
      </c>
      <c r="B74" s="57" t="s">
        <v>1569</v>
      </c>
      <c r="C74" s="56" t="s">
        <v>29</v>
      </c>
      <c r="D74" s="56" t="s">
        <v>1218</v>
      </c>
      <c r="E74" s="56" t="s">
        <v>115</v>
      </c>
      <c r="F74" s="58">
        <v>2.7375505854999999E-2</v>
      </c>
      <c r="G74" s="58">
        <v>582898.27</v>
      </c>
      <c r="H74" s="58">
        <v>15957.135003254371</v>
      </c>
      <c r="I74" s="59">
        <v>0.11982582201635218</v>
      </c>
      <c r="J74" s="59">
        <v>84.275645727796686</v>
      </c>
      <c r="K74" s="56" t="s">
        <v>1459</v>
      </c>
    </row>
    <row r="75" spans="1:11" ht="15" customHeight="1">
      <c r="A75" s="56" t="s">
        <v>1570</v>
      </c>
      <c r="B75" s="57" t="s">
        <v>1571</v>
      </c>
      <c r="C75" s="56" t="s">
        <v>29</v>
      </c>
      <c r="D75" s="56" t="s">
        <v>1475</v>
      </c>
      <c r="E75" s="56" t="s">
        <v>1207</v>
      </c>
      <c r="F75" s="58">
        <v>542.05199430195705</v>
      </c>
      <c r="G75" s="58">
        <v>29.33</v>
      </c>
      <c r="H75" s="58">
        <v>15898.384992876399</v>
      </c>
      <c r="I75" s="59">
        <v>0.11938465458337791</v>
      </c>
      <c r="J75" s="59">
        <v>84.395030344887388</v>
      </c>
      <c r="K75" s="56" t="s">
        <v>1459</v>
      </c>
    </row>
    <row r="76" spans="1:11" ht="15" customHeight="1">
      <c r="A76" s="56" t="s">
        <v>1572</v>
      </c>
      <c r="B76" s="57" t="s">
        <v>1573</v>
      </c>
      <c r="C76" s="56" t="s">
        <v>29</v>
      </c>
      <c r="D76" s="56" t="s">
        <v>1475</v>
      </c>
      <c r="E76" s="56" t="s">
        <v>1207</v>
      </c>
      <c r="F76" s="58">
        <v>820.59332182380001</v>
      </c>
      <c r="G76" s="58">
        <v>18.850000000000001</v>
      </c>
      <c r="H76" s="58">
        <v>15468.18411637863</v>
      </c>
      <c r="I76" s="59">
        <v>0.11615417657789716</v>
      </c>
      <c r="J76" s="59">
        <v>84.511184490554456</v>
      </c>
      <c r="K76" s="56" t="s">
        <v>1459</v>
      </c>
    </row>
    <row r="77" spans="1:11" ht="15" customHeight="1">
      <c r="A77" s="56" t="s">
        <v>1574</v>
      </c>
      <c r="B77" s="57" t="s">
        <v>1575</v>
      </c>
      <c r="C77" s="56" t="s">
        <v>1455</v>
      </c>
      <c r="D77" s="56" t="s">
        <v>1190</v>
      </c>
      <c r="E77" s="56" t="s">
        <v>355</v>
      </c>
      <c r="F77" s="58">
        <v>777</v>
      </c>
      <c r="G77" s="58">
        <v>19.3506</v>
      </c>
      <c r="H77" s="58">
        <v>15035.4162</v>
      </c>
      <c r="I77" s="59">
        <v>0.11290442207548819</v>
      </c>
      <c r="J77" s="59">
        <v>84.624088941165013</v>
      </c>
      <c r="K77" s="56" t="s">
        <v>1459</v>
      </c>
    </row>
    <row r="78" spans="1:11" ht="15" customHeight="1">
      <c r="A78" s="56" t="s">
        <v>1576</v>
      </c>
      <c r="B78" s="57" t="s">
        <v>1577</v>
      </c>
      <c r="C78" s="56" t="s">
        <v>1455</v>
      </c>
      <c r="D78" s="56" t="s">
        <v>1190</v>
      </c>
      <c r="E78" s="56" t="s">
        <v>163</v>
      </c>
      <c r="F78" s="58">
        <v>108.59</v>
      </c>
      <c r="G78" s="58">
        <v>128.69980000000001</v>
      </c>
      <c r="H78" s="58">
        <v>13975.511281999999</v>
      </c>
      <c r="I78" s="59">
        <v>0.10494535059852052</v>
      </c>
      <c r="J78" s="59">
        <v>84.729034282136709</v>
      </c>
      <c r="K78" s="56" t="s">
        <v>1459</v>
      </c>
    </row>
    <row r="79" spans="1:11" ht="20.100000000000001" customHeight="1">
      <c r="A79" s="56" t="s">
        <v>1256</v>
      </c>
      <c r="B79" s="57" t="s">
        <v>1578</v>
      </c>
      <c r="C79" s="56" t="s">
        <v>1455</v>
      </c>
      <c r="D79" s="56" t="s">
        <v>1230</v>
      </c>
      <c r="E79" s="56" t="s">
        <v>1233</v>
      </c>
      <c r="F79" s="58">
        <v>69.489482391869771</v>
      </c>
      <c r="G79" s="58">
        <v>199.58199999999999</v>
      </c>
      <c r="H79" s="58">
        <v>13868.849874734153</v>
      </c>
      <c r="I79" s="59">
        <v>0.10414440539122331</v>
      </c>
      <c r="J79" s="59">
        <v>84.833178688468578</v>
      </c>
      <c r="K79" s="56" t="s">
        <v>1459</v>
      </c>
    </row>
    <row r="80" spans="1:11" ht="20.100000000000001" customHeight="1">
      <c r="A80" s="56" t="s">
        <v>1579</v>
      </c>
      <c r="B80" s="57" t="s">
        <v>1580</v>
      </c>
      <c r="C80" s="56" t="s">
        <v>29</v>
      </c>
      <c r="D80" s="56" t="s">
        <v>1190</v>
      </c>
      <c r="E80" s="56" t="s">
        <v>40</v>
      </c>
      <c r="F80" s="58">
        <v>225.36</v>
      </c>
      <c r="G80" s="58">
        <v>60.15</v>
      </c>
      <c r="H80" s="58">
        <v>13555.404</v>
      </c>
      <c r="I80" s="59">
        <v>0.10179066773154981</v>
      </c>
      <c r="J80" s="59">
        <v>84.934969326163198</v>
      </c>
      <c r="K80" s="56" t="s">
        <v>1459</v>
      </c>
    </row>
    <row r="81" spans="1:11" ht="20.100000000000001" customHeight="1">
      <c r="A81" s="56" t="s">
        <v>1581</v>
      </c>
      <c r="B81" s="57" t="s">
        <v>1582</v>
      </c>
      <c r="C81" s="56" t="s">
        <v>29</v>
      </c>
      <c r="D81" s="56" t="s">
        <v>1218</v>
      </c>
      <c r="E81" s="56" t="s">
        <v>115</v>
      </c>
      <c r="F81" s="58">
        <v>0.17598626283333599</v>
      </c>
      <c r="G81" s="58">
        <v>71861.009999999995</v>
      </c>
      <c r="H81" s="58">
        <v>12646.550593328986</v>
      </c>
      <c r="I81" s="59">
        <v>9.4965877032937171E-2</v>
      </c>
      <c r="J81" s="59">
        <v>85.029935198740702</v>
      </c>
      <c r="K81" s="56" t="s">
        <v>1459</v>
      </c>
    </row>
    <row r="82" spans="1:11" ht="15" customHeight="1">
      <c r="A82" s="56" t="s">
        <v>1583</v>
      </c>
      <c r="B82" s="57" t="s">
        <v>1584</v>
      </c>
      <c r="C82" s="56" t="s">
        <v>29</v>
      </c>
      <c r="D82" s="56" t="s">
        <v>1475</v>
      </c>
      <c r="E82" s="56" t="s">
        <v>1207</v>
      </c>
      <c r="F82" s="58">
        <v>385.04503227836801</v>
      </c>
      <c r="G82" s="58">
        <v>32.159999999999997</v>
      </c>
      <c r="H82" s="58">
        <v>12383.048238072315</v>
      </c>
      <c r="I82" s="59">
        <v>9.2987176826701157E-2</v>
      </c>
      <c r="J82" s="59">
        <v>85.122922388798116</v>
      </c>
      <c r="K82" s="56" t="s">
        <v>1459</v>
      </c>
    </row>
    <row r="83" spans="1:11" ht="20.100000000000001" customHeight="1">
      <c r="A83" s="56" t="s">
        <v>1585</v>
      </c>
      <c r="B83" s="57" t="s">
        <v>1586</v>
      </c>
      <c r="C83" s="56" t="s">
        <v>1455</v>
      </c>
      <c r="D83" s="56" t="s">
        <v>1230</v>
      </c>
      <c r="E83" s="56" t="s">
        <v>1233</v>
      </c>
      <c r="F83" s="58">
        <v>80.132014874915512</v>
      </c>
      <c r="G83" s="58">
        <v>152.42269999999999</v>
      </c>
      <c r="H83" s="58">
        <v>12213.938063674785</v>
      </c>
      <c r="I83" s="59">
        <v>9.1717289365425683E-2</v>
      </c>
      <c r="J83" s="59">
        <v>85.214639692703855</v>
      </c>
      <c r="K83" s="56" t="s">
        <v>1459</v>
      </c>
    </row>
    <row r="84" spans="1:11" ht="15" customHeight="1">
      <c r="A84" s="56" t="s">
        <v>1359</v>
      </c>
      <c r="B84" s="57" t="s">
        <v>1587</v>
      </c>
      <c r="C84" s="56" t="s">
        <v>29</v>
      </c>
      <c r="D84" s="56" t="s">
        <v>1190</v>
      </c>
      <c r="E84" s="56" t="s">
        <v>115</v>
      </c>
      <c r="F84" s="58">
        <v>83</v>
      </c>
      <c r="G84" s="58">
        <v>146.85</v>
      </c>
      <c r="H84" s="58">
        <v>12188.55</v>
      </c>
      <c r="I84" s="59">
        <v>9.1526644516045502E-2</v>
      </c>
      <c r="J84" s="59">
        <v>85.306166337219906</v>
      </c>
      <c r="K84" s="56" t="s">
        <v>1459</v>
      </c>
    </row>
    <row r="85" spans="1:11" ht="15" customHeight="1">
      <c r="A85" s="56" t="s">
        <v>1588</v>
      </c>
      <c r="B85" s="57" t="s">
        <v>1589</v>
      </c>
      <c r="C85" s="56" t="s">
        <v>1455</v>
      </c>
      <c r="D85" s="56" t="s">
        <v>1190</v>
      </c>
      <c r="E85" s="56" t="s">
        <v>1590</v>
      </c>
      <c r="F85" s="58">
        <v>1174.0852500000001</v>
      </c>
      <c r="G85" s="58">
        <v>10.352499999999999</v>
      </c>
      <c r="H85" s="58">
        <v>12154.717550625001</v>
      </c>
      <c r="I85" s="59">
        <v>9.1272588818932007E-2</v>
      </c>
      <c r="J85" s="59">
        <v>85.397438944431755</v>
      </c>
      <c r="K85" s="56" t="s">
        <v>1459</v>
      </c>
    </row>
    <row r="86" spans="1:11" ht="15" customHeight="1">
      <c r="A86" s="56" t="s">
        <v>1591</v>
      </c>
      <c r="B86" s="57" t="s">
        <v>1592</v>
      </c>
      <c r="C86" s="56" t="s">
        <v>29</v>
      </c>
      <c r="D86" s="56" t="s">
        <v>1475</v>
      </c>
      <c r="E86" s="56" t="s">
        <v>1207</v>
      </c>
      <c r="F86" s="58">
        <v>415.13295550919997</v>
      </c>
      <c r="G86" s="58">
        <v>28.71</v>
      </c>
      <c r="H86" s="58">
        <v>11918.467152669133</v>
      </c>
      <c r="I86" s="59">
        <v>8.949852987094549E-2</v>
      </c>
      <c r="J86" s="59">
        <v>85.486937495683975</v>
      </c>
      <c r="K86" s="56" t="s">
        <v>1459</v>
      </c>
    </row>
    <row r="87" spans="1:11" ht="20.100000000000001" customHeight="1">
      <c r="A87" s="56" t="s">
        <v>1593</v>
      </c>
      <c r="B87" s="57" t="s">
        <v>1594</v>
      </c>
      <c r="C87" s="56" t="s">
        <v>29</v>
      </c>
      <c r="D87" s="56" t="s">
        <v>1190</v>
      </c>
      <c r="E87" s="56" t="s">
        <v>138</v>
      </c>
      <c r="F87" s="58">
        <v>2627.181</v>
      </c>
      <c r="G87" s="58">
        <v>4.26</v>
      </c>
      <c r="H87" s="58">
        <v>11191.79106</v>
      </c>
      <c r="I87" s="59">
        <v>8.4041750810923035E-2</v>
      </c>
      <c r="J87" s="59">
        <v>85.570979238535116</v>
      </c>
      <c r="K87" s="56" t="s">
        <v>1459</v>
      </c>
    </row>
    <row r="88" spans="1:11" ht="15" customHeight="1">
      <c r="A88" s="56" t="s">
        <v>1339</v>
      </c>
      <c r="B88" s="57" t="s">
        <v>1340</v>
      </c>
      <c r="C88" s="56" t="s">
        <v>29</v>
      </c>
      <c r="D88" s="56" t="s">
        <v>1190</v>
      </c>
      <c r="E88" s="56" t="s">
        <v>138</v>
      </c>
      <c r="F88" s="58">
        <v>458.01912600000003</v>
      </c>
      <c r="G88" s="58">
        <v>23.4</v>
      </c>
      <c r="H88" s="58">
        <v>10717.6475484</v>
      </c>
      <c r="I88" s="59">
        <v>8.0481297382434619E-2</v>
      </c>
      <c r="J88" s="59">
        <v>85.651460554327173</v>
      </c>
      <c r="K88" s="56" t="s">
        <v>1459</v>
      </c>
    </row>
    <row r="89" spans="1:11" ht="15" customHeight="1">
      <c r="A89" s="56" t="s">
        <v>1595</v>
      </c>
      <c r="B89" s="57" t="s">
        <v>1596</v>
      </c>
      <c r="C89" s="56" t="s">
        <v>1455</v>
      </c>
      <c r="D89" s="56" t="s">
        <v>1190</v>
      </c>
      <c r="E89" s="56" t="s">
        <v>167</v>
      </c>
      <c r="F89" s="58">
        <v>455</v>
      </c>
      <c r="G89" s="58">
        <v>22.7242</v>
      </c>
      <c r="H89" s="58">
        <v>10339.511</v>
      </c>
      <c r="I89" s="59">
        <v>7.7641782473447801E-2</v>
      </c>
      <c r="J89" s="59">
        <v>85.729102329291393</v>
      </c>
      <c r="K89" s="56" t="s">
        <v>1459</v>
      </c>
    </row>
    <row r="90" spans="1:11" ht="20.100000000000001" customHeight="1">
      <c r="A90" s="56" t="s">
        <v>1597</v>
      </c>
      <c r="B90" s="57" t="s">
        <v>1598</v>
      </c>
      <c r="C90" s="56" t="s">
        <v>29</v>
      </c>
      <c r="D90" s="56" t="s">
        <v>1218</v>
      </c>
      <c r="E90" s="56" t="s">
        <v>115</v>
      </c>
      <c r="F90" s="58">
        <v>1.15922034008E-2</v>
      </c>
      <c r="G90" s="58">
        <v>850000</v>
      </c>
      <c r="H90" s="58">
        <v>9853.3728906800006</v>
      </c>
      <c r="I90" s="59">
        <v>7.3991258833028373E-2</v>
      </c>
      <c r="J90" s="59">
        <v>85.80309356641763</v>
      </c>
      <c r="K90" s="56" t="s">
        <v>1459</v>
      </c>
    </row>
    <row r="91" spans="1:11" ht="27.95" customHeight="1">
      <c r="A91" s="56" t="s">
        <v>1599</v>
      </c>
      <c r="B91" s="57" t="s">
        <v>1600</v>
      </c>
      <c r="C91" s="56" t="s">
        <v>29</v>
      </c>
      <c r="D91" s="56" t="s">
        <v>1492</v>
      </c>
      <c r="E91" s="56" t="s">
        <v>1207</v>
      </c>
      <c r="F91" s="58">
        <v>12918.703004896081</v>
      </c>
      <c r="G91" s="58">
        <v>0.76</v>
      </c>
      <c r="H91" s="58">
        <v>9818.2142837210213</v>
      </c>
      <c r="I91" s="59">
        <v>7.3727244711511555E-2</v>
      </c>
      <c r="J91" s="59">
        <v>85.876820778961701</v>
      </c>
      <c r="K91" s="56" t="s">
        <v>1459</v>
      </c>
    </row>
    <row r="92" spans="1:11" ht="20.100000000000001" customHeight="1">
      <c r="A92" s="56" t="s">
        <v>1601</v>
      </c>
      <c r="B92" s="57" t="s">
        <v>1602</v>
      </c>
      <c r="C92" s="56" t="s">
        <v>29</v>
      </c>
      <c r="D92" s="56" t="s">
        <v>1218</v>
      </c>
      <c r="E92" s="56" t="s">
        <v>115</v>
      </c>
      <c r="F92" s="58">
        <v>1.6175397798E-2</v>
      </c>
      <c r="G92" s="58">
        <v>560642.61</v>
      </c>
      <c r="H92" s="58">
        <v>9068.6172392589724</v>
      </c>
      <c r="I92" s="59">
        <v>6.8098346916551838E-2</v>
      </c>
      <c r="J92" s="59">
        <v>85.944919146609294</v>
      </c>
      <c r="K92" s="56" t="s">
        <v>1459</v>
      </c>
    </row>
    <row r="93" spans="1:11" ht="15" customHeight="1">
      <c r="A93" s="56" t="s">
        <v>1603</v>
      </c>
      <c r="B93" s="57" t="s">
        <v>1604</v>
      </c>
      <c r="C93" s="56" t="s">
        <v>29</v>
      </c>
      <c r="D93" s="56" t="s">
        <v>1218</v>
      </c>
      <c r="E93" s="56" t="s">
        <v>115</v>
      </c>
      <c r="F93" s="58">
        <v>3.3948854255299997E-2</v>
      </c>
      <c r="G93" s="58">
        <v>262500</v>
      </c>
      <c r="H93" s="58">
        <v>8911.5742420162496</v>
      </c>
      <c r="I93" s="59">
        <v>6.6919074682990909E-2</v>
      </c>
      <c r="J93" s="59">
        <v>86.011838189437995</v>
      </c>
      <c r="K93" s="56" t="s">
        <v>1459</v>
      </c>
    </row>
    <row r="94" spans="1:11" ht="20.100000000000001" customHeight="1">
      <c r="A94" s="56" t="s">
        <v>1416</v>
      </c>
      <c r="B94" s="57" t="s">
        <v>1417</v>
      </c>
      <c r="C94" s="56" t="s">
        <v>29</v>
      </c>
      <c r="D94" s="56" t="s">
        <v>1190</v>
      </c>
      <c r="E94" s="56" t="s">
        <v>20</v>
      </c>
      <c r="F94" s="58">
        <v>162.16</v>
      </c>
      <c r="G94" s="58">
        <v>52.99</v>
      </c>
      <c r="H94" s="58">
        <v>8592.8583999999992</v>
      </c>
      <c r="I94" s="59">
        <v>6.4525763618602336E-2</v>
      </c>
      <c r="J94" s="59">
        <v>86.076363965071366</v>
      </c>
      <c r="K94" s="56" t="s">
        <v>1459</v>
      </c>
    </row>
    <row r="95" spans="1:11" ht="20.100000000000001" customHeight="1">
      <c r="A95" s="56" t="s">
        <v>1605</v>
      </c>
      <c r="B95" s="57" t="s">
        <v>1606</v>
      </c>
      <c r="C95" s="56" t="s">
        <v>29</v>
      </c>
      <c r="D95" s="56" t="s">
        <v>1190</v>
      </c>
      <c r="E95" s="56" t="s">
        <v>40</v>
      </c>
      <c r="F95" s="58">
        <v>361.52891</v>
      </c>
      <c r="G95" s="58">
        <v>23.2</v>
      </c>
      <c r="H95" s="58">
        <v>8387.4707120000003</v>
      </c>
      <c r="I95" s="59">
        <v>6.298345990671303E-2</v>
      </c>
      <c r="J95" s="59">
        <v>86.139347419631505</v>
      </c>
      <c r="K95" s="56" t="s">
        <v>1459</v>
      </c>
    </row>
    <row r="96" spans="1:11" ht="15" customHeight="1">
      <c r="A96" s="56" t="s">
        <v>1607</v>
      </c>
      <c r="B96" s="57" t="s">
        <v>1608</v>
      </c>
      <c r="C96" s="56" t="s">
        <v>29</v>
      </c>
      <c r="D96" s="56" t="s">
        <v>1475</v>
      </c>
      <c r="E96" s="56" t="s">
        <v>1207</v>
      </c>
      <c r="F96" s="58">
        <v>267.42644530709998</v>
      </c>
      <c r="G96" s="58">
        <v>30.81</v>
      </c>
      <c r="H96" s="58">
        <v>8239.4087799117515</v>
      </c>
      <c r="I96" s="59">
        <v>6.1871628571189115E-2</v>
      </c>
      <c r="J96" s="59">
        <v>86.201219057364625</v>
      </c>
      <c r="K96" s="56" t="s">
        <v>1459</v>
      </c>
    </row>
    <row r="97" spans="1:11" ht="20.100000000000001" customHeight="1">
      <c r="A97" s="56" t="s">
        <v>1436</v>
      </c>
      <c r="B97" s="57" t="s">
        <v>1437</v>
      </c>
      <c r="C97" s="56" t="s">
        <v>29</v>
      </c>
      <c r="D97" s="56" t="s">
        <v>1190</v>
      </c>
      <c r="E97" s="56" t="s">
        <v>60</v>
      </c>
      <c r="F97" s="58">
        <v>95.248999999999995</v>
      </c>
      <c r="G97" s="58">
        <v>82.92</v>
      </c>
      <c r="H97" s="58">
        <v>7898.0470800000003</v>
      </c>
      <c r="I97" s="59">
        <v>5.9308264515643874E-2</v>
      </c>
      <c r="J97" s="59">
        <v>86.260527343807226</v>
      </c>
      <c r="K97" s="56" t="s">
        <v>1459</v>
      </c>
    </row>
    <row r="98" spans="1:11" ht="20.100000000000001" customHeight="1">
      <c r="A98" s="56" t="s">
        <v>1609</v>
      </c>
      <c r="B98" s="57" t="s">
        <v>1610</v>
      </c>
      <c r="C98" s="56" t="s">
        <v>29</v>
      </c>
      <c r="D98" s="56" t="s">
        <v>1190</v>
      </c>
      <c r="E98" s="56" t="s">
        <v>138</v>
      </c>
      <c r="F98" s="58">
        <v>623.35125000000005</v>
      </c>
      <c r="G98" s="58">
        <v>11.94</v>
      </c>
      <c r="H98" s="58">
        <v>7442.8139250000004</v>
      </c>
      <c r="I98" s="59">
        <v>5.5889813334034678E-2</v>
      </c>
      <c r="J98" s="59">
        <v>86.316417127667521</v>
      </c>
      <c r="K98" s="56" t="s">
        <v>1459</v>
      </c>
    </row>
    <row r="99" spans="1:11" ht="15" customHeight="1">
      <c r="A99" s="56" t="s">
        <v>1611</v>
      </c>
      <c r="B99" s="57" t="s">
        <v>1612</v>
      </c>
      <c r="C99" s="56" t="s">
        <v>29</v>
      </c>
      <c r="D99" s="56" t="s">
        <v>1475</v>
      </c>
      <c r="E99" s="56" t="s">
        <v>1207</v>
      </c>
      <c r="F99" s="58">
        <v>254.73653483700801</v>
      </c>
      <c r="G99" s="58">
        <v>27.69</v>
      </c>
      <c r="H99" s="58">
        <v>7053.6546496367519</v>
      </c>
      <c r="I99" s="59">
        <v>5.2967526215690508E-2</v>
      </c>
      <c r="J99" s="59">
        <v>86.369384618968013</v>
      </c>
      <c r="K99" s="56" t="s">
        <v>1459</v>
      </c>
    </row>
    <row r="100" spans="1:11" ht="27.95" customHeight="1">
      <c r="A100" s="56" t="s">
        <v>1613</v>
      </c>
      <c r="B100" s="57" t="s">
        <v>1614</v>
      </c>
      <c r="C100" s="56" t="s">
        <v>29</v>
      </c>
      <c r="D100" s="56" t="s">
        <v>1492</v>
      </c>
      <c r="E100" s="56" t="s">
        <v>31</v>
      </c>
      <c r="F100" s="58">
        <v>43.28</v>
      </c>
      <c r="G100" s="58">
        <v>152.35</v>
      </c>
      <c r="H100" s="58">
        <v>6593.7079999999996</v>
      </c>
      <c r="I100" s="59">
        <v>4.9513680311325407E-2</v>
      </c>
      <c r="J100" s="59">
        <v>86.418898314297806</v>
      </c>
      <c r="K100" s="56" t="s">
        <v>1459</v>
      </c>
    </row>
    <row r="101" spans="1:11" ht="15" customHeight="1">
      <c r="A101" s="56" t="s">
        <v>1197</v>
      </c>
      <c r="B101" s="57" t="s">
        <v>1198</v>
      </c>
      <c r="C101" s="56" t="s">
        <v>29</v>
      </c>
      <c r="D101" s="56" t="s">
        <v>1190</v>
      </c>
      <c r="E101" s="56" t="s">
        <v>40</v>
      </c>
      <c r="F101" s="58">
        <v>595.10040000000004</v>
      </c>
      <c r="G101" s="58">
        <v>10.85</v>
      </c>
      <c r="H101" s="58">
        <v>6456.8393400000004</v>
      </c>
      <c r="I101" s="59">
        <v>4.8485901847996511E-2</v>
      </c>
      <c r="J101" s="59">
        <v>86.467384221101895</v>
      </c>
      <c r="K101" s="56" t="s">
        <v>1459</v>
      </c>
    </row>
    <row r="102" spans="1:11" ht="27.95" customHeight="1">
      <c r="A102" s="56" t="s">
        <v>1615</v>
      </c>
      <c r="B102" s="57" t="s">
        <v>1616</v>
      </c>
      <c r="C102" s="56" t="s">
        <v>29</v>
      </c>
      <c r="D102" s="56" t="s">
        <v>1492</v>
      </c>
      <c r="E102" s="56" t="s">
        <v>31</v>
      </c>
      <c r="F102" s="58">
        <v>31.63</v>
      </c>
      <c r="G102" s="58">
        <v>202.94</v>
      </c>
      <c r="H102" s="58">
        <v>6418.9921999999997</v>
      </c>
      <c r="I102" s="59">
        <v>4.8201698909277051E-2</v>
      </c>
      <c r="J102" s="59">
        <v>86.515585903490859</v>
      </c>
      <c r="K102" s="56" t="s">
        <v>1459</v>
      </c>
    </row>
    <row r="103" spans="1:11" ht="15" customHeight="1">
      <c r="A103" s="56" t="s">
        <v>1617</v>
      </c>
      <c r="B103" s="57" t="s">
        <v>1618</v>
      </c>
      <c r="C103" s="56" t="s">
        <v>29</v>
      </c>
      <c r="D103" s="56" t="s">
        <v>1190</v>
      </c>
      <c r="E103" s="56" t="s">
        <v>60</v>
      </c>
      <c r="F103" s="58">
        <v>46.358597192639998</v>
      </c>
      <c r="G103" s="58">
        <v>130.68</v>
      </c>
      <c r="H103" s="58">
        <v>6058.1414811341956</v>
      </c>
      <c r="I103" s="59">
        <v>4.5491987297232146E-2</v>
      </c>
      <c r="J103" s="59">
        <v>86.561077879665916</v>
      </c>
      <c r="K103" s="56" t="s">
        <v>1459</v>
      </c>
    </row>
    <row r="104" spans="1:11" ht="15" customHeight="1">
      <c r="A104" s="56" t="s">
        <v>1262</v>
      </c>
      <c r="B104" s="57" t="s">
        <v>1263</v>
      </c>
      <c r="C104" s="56" t="s">
        <v>1455</v>
      </c>
      <c r="D104" s="56" t="s">
        <v>1475</v>
      </c>
      <c r="E104" s="56" t="s">
        <v>1264</v>
      </c>
      <c r="F104" s="58">
        <v>307.01177776945497</v>
      </c>
      <c r="G104" s="58">
        <v>18.947800000000001</v>
      </c>
      <c r="H104" s="58">
        <v>5817.1977628200793</v>
      </c>
      <c r="I104" s="59">
        <v>4.368268511981889E-2</v>
      </c>
      <c r="J104" s="59">
        <v>86.604760581585239</v>
      </c>
      <c r="K104" s="56" t="s">
        <v>1459</v>
      </c>
    </row>
    <row r="105" spans="1:11" ht="20.100000000000001" customHeight="1">
      <c r="A105" s="56" t="s">
        <v>1619</v>
      </c>
      <c r="B105" s="57" t="s">
        <v>1620</v>
      </c>
      <c r="C105" s="56" t="s">
        <v>29</v>
      </c>
      <c r="D105" s="56" t="s">
        <v>1218</v>
      </c>
      <c r="E105" s="56" t="s">
        <v>115</v>
      </c>
      <c r="F105" s="58">
        <v>1.15635048048E-2</v>
      </c>
      <c r="G105" s="58">
        <v>498844.15</v>
      </c>
      <c r="H105" s="58">
        <v>5768.3867253713715</v>
      </c>
      <c r="I105" s="59">
        <v>4.3316151736190224E-2</v>
      </c>
      <c r="J105" s="59">
        <v>86.648076757911369</v>
      </c>
      <c r="K105" s="56" t="s">
        <v>1459</v>
      </c>
    </row>
    <row r="106" spans="1:11" ht="15" customHeight="1">
      <c r="A106" s="56" t="s">
        <v>1363</v>
      </c>
      <c r="B106" s="57" t="s">
        <v>1364</v>
      </c>
      <c r="C106" s="56" t="s">
        <v>29</v>
      </c>
      <c r="D106" s="56" t="s">
        <v>1190</v>
      </c>
      <c r="E106" s="56" t="s">
        <v>138</v>
      </c>
      <c r="F106" s="58">
        <v>2771.04</v>
      </c>
      <c r="G106" s="58">
        <v>1.76</v>
      </c>
      <c r="H106" s="58">
        <v>4877.0303999999996</v>
      </c>
      <c r="I106" s="59">
        <v>3.6622750672946916E-2</v>
      </c>
      <c r="J106" s="59">
        <v>86.684699505580625</v>
      </c>
      <c r="K106" s="56" t="s">
        <v>1459</v>
      </c>
    </row>
    <row r="107" spans="1:11" ht="20.100000000000001" customHeight="1">
      <c r="A107" s="56" t="s">
        <v>1621</v>
      </c>
      <c r="B107" s="57" t="s">
        <v>1622</v>
      </c>
      <c r="C107" s="56" t="s">
        <v>29</v>
      </c>
      <c r="D107" s="56" t="s">
        <v>1218</v>
      </c>
      <c r="E107" s="56" t="s">
        <v>115</v>
      </c>
      <c r="F107" s="58">
        <v>1.6248587939999999E-3</v>
      </c>
      <c r="G107" s="58">
        <v>2978984.52</v>
      </c>
      <c r="H107" s="58">
        <v>4840.4291945118684</v>
      </c>
      <c r="I107" s="59">
        <v>3.6347903745004635E-2</v>
      </c>
      <c r="J107" s="59">
        <v>86.72104741537423</v>
      </c>
      <c r="K107" s="56" t="s">
        <v>1459</v>
      </c>
    </row>
    <row r="108" spans="1:11" ht="20.100000000000001" customHeight="1">
      <c r="A108" s="56" t="s">
        <v>1623</v>
      </c>
      <c r="B108" s="57" t="s">
        <v>1624</v>
      </c>
      <c r="C108" s="56" t="s">
        <v>29</v>
      </c>
      <c r="D108" s="56" t="s">
        <v>1190</v>
      </c>
      <c r="E108" s="56" t="s">
        <v>115</v>
      </c>
      <c r="F108" s="58">
        <v>27</v>
      </c>
      <c r="G108" s="58">
        <v>174.71</v>
      </c>
      <c r="H108" s="58">
        <v>4717.17</v>
      </c>
      <c r="I108" s="59">
        <v>3.5422321909640959E-2</v>
      </c>
      <c r="J108" s="59">
        <v>86.756469737283865</v>
      </c>
      <c r="K108" s="56" t="s">
        <v>1459</v>
      </c>
    </row>
    <row r="109" spans="1:11" ht="20.100000000000001" customHeight="1">
      <c r="A109" s="56" t="s">
        <v>1428</v>
      </c>
      <c r="B109" s="57" t="s">
        <v>1625</v>
      </c>
      <c r="C109" s="56" t="s">
        <v>29</v>
      </c>
      <c r="D109" s="56" t="s">
        <v>1190</v>
      </c>
      <c r="E109" s="56" t="s">
        <v>138</v>
      </c>
      <c r="F109" s="58">
        <v>368.22255000000001</v>
      </c>
      <c r="G109" s="58">
        <v>11.94</v>
      </c>
      <c r="H109" s="58">
        <v>4396.5772470000002</v>
      </c>
      <c r="I109" s="59">
        <v>3.301491668602935E-2</v>
      </c>
      <c r="J109" s="59">
        <v>86.789484674642807</v>
      </c>
      <c r="K109" s="56" t="s">
        <v>1459</v>
      </c>
    </row>
    <row r="110" spans="1:11" ht="20.100000000000001" customHeight="1">
      <c r="A110" s="56" t="s">
        <v>1626</v>
      </c>
      <c r="B110" s="57" t="s">
        <v>1627</v>
      </c>
      <c r="C110" s="56" t="s">
        <v>29</v>
      </c>
      <c r="D110" s="56" t="s">
        <v>1218</v>
      </c>
      <c r="E110" s="56" t="s">
        <v>115</v>
      </c>
      <c r="F110" s="58">
        <v>5.9832961543200003E-2</v>
      </c>
      <c r="G110" s="58">
        <v>70469.149999999994</v>
      </c>
      <c r="H110" s="58">
        <v>4216.3779419319926</v>
      </c>
      <c r="I110" s="59">
        <v>3.1661758374581475E-2</v>
      </c>
      <c r="J110" s="59">
        <v>86.821146448471907</v>
      </c>
      <c r="K110" s="56" t="s">
        <v>1459</v>
      </c>
    </row>
    <row r="111" spans="1:11" ht="27.95" customHeight="1">
      <c r="A111" s="56" t="s">
        <v>1628</v>
      </c>
      <c r="B111" s="57" t="s">
        <v>1629</v>
      </c>
      <c r="C111" s="56" t="s">
        <v>29</v>
      </c>
      <c r="D111" s="56" t="s">
        <v>1492</v>
      </c>
      <c r="E111" s="56" t="s">
        <v>1207</v>
      </c>
      <c r="F111" s="58">
        <v>3219.1123498400002</v>
      </c>
      <c r="G111" s="58">
        <v>1.26</v>
      </c>
      <c r="H111" s="58">
        <v>4056.0815607984</v>
      </c>
      <c r="I111" s="59">
        <v>3.0458055727980944E-2</v>
      </c>
      <c r="J111" s="59">
        <v>86.851604492479495</v>
      </c>
      <c r="K111" s="56" t="s">
        <v>1459</v>
      </c>
    </row>
    <row r="112" spans="1:11" ht="20.100000000000001" customHeight="1">
      <c r="A112" s="56" t="s">
        <v>1630</v>
      </c>
      <c r="B112" s="57" t="s">
        <v>1631</v>
      </c>
      <c r="C112" s="56" t="s">
        <v>1455</v>
      </c>
      <c r="D112" s="56" t="s">
        <v>1190</v>
      </c>
      <c r="E112" s="56" t="s">
        <v>1590</v>
      </c>
      <c r="F112" s="58">
        <v>180.32097999999999</v>
      </c>
      <c r="G112" s="58">
        <v>21.943300000000001</v>
      </c>
      <c r="H112" s="58">
        <v>3956.8373604339999</v>
      </c>
      <c r="I112" s="59">
        <v>2.9712808044947966E-2</v>
      </c>
      <c r="J112" s="59">
        <v>86.881317320345545</v>
      </c>
      <c r="K112" s="56" t="s">
        <v>1459</v>
      </c>
    </row>
    <row r="113" spans="1:11" ht="20.100000000000001" customHeight="1">
      <c r="A113" s="56" t="s">
        <v>1632</v>
      </c>
      <c r="B113" s="57" t="s">
        <v>1633</v>
      </c>
      <c r="C113" s="56" t="s">
        <v>29</v>
      </c>
      <c r="D113" s="56" t="s">
        <v>1218</v>
      </c>
      <c r="E113" s="56" t="s">
        <v>115</v>
      </c>
      <c r="F113" s="58">
        <v>7.4742292680000004E-3</v>
      </c>
      <c r="G113" s="58">
        <v>525968.47</v>
      </c>
      <c r="H113" s="58">
        <v>3931.2089325191801</v>
      </c>
      <c r="I113" s="59">
        <v>2.9520358244826964E-2</v>
      </c>
      <c r="J113" s="59">
        <v>86.910837686606342</v>
      </c>
      <c r="K113" s="56" t="s">
        <v>1459</v>
      </c>
    </row>
    <row r="114" spans="1:11" ht="27.95" customHeight="1">
      <c r="A114" s="56" t="s">
        <v>1634</v>
      </c>
      <c r="B114" s="57" t="s">
        <v>1635</v>
      </c>
      <c r="C114" s="56" t="s">
        <v>29</v>
      </c>
      <c r="D114" s="56" t="s">
        <v>1218</v>
      </c>
      <c r="E114" s="56" t="s">
        <v>115</v>
      </c>
      <c r="F114" s="58">
        <v>4.2543652367000001E-2</v>
      </c>
      <c r="G114" s="58">
        <v>84450</v>
      </c>
      <c r="H114" s="58">
        <v>3592.8114423931502</v>
      </c>
      <c r="I114" s="59">
        <v>2.6979253127000221E-2</v>
      </c>
      <c r="J114" s="59">
        <v>86.937816928902066</v>
      </c>
      <c r="K114" s="56" t="s">
        <v>1459</v>
      </c>
    </row>
    <row r="115" spans="1:11" ht="15" customHeight="1">
      <c r="A115" s="56" t="s">
        <v>1636</v>
      </c>
      <c r="B115" s="57" t="s">
        <v>1637</v>
      </c>
      <c r="C115" s="56" t="s">
        <v>1455</v>
      </c>
      <c r="D115" s="56" t="s">
        <v>1190</v>
      </c>
      <c r="E115" s="56" t="s">
        <v>163</v>
      </c>
      <c r="F115" s="58">
        <v>31.004000000000001</v>
      </c>
      <c r="G115" s="58">
        <v>108.45650000000001</v>
      </c>
      <c r="H115" s="58">
        <v>3362.5853259999999</v>
      </c>
      <c r="I115" s="59">
        <v>2.5250431904342431E-2</v>
      </c>
      <c r="J115" s="59">
        <v>86.963067395904559</v>
      </c>
      <c r="K115" s="56" t="s">
        <v>1459</v>
      </c>
    </row>
    <row r="116" spans="1:11" ht="20.100000000000001" customHeight="1">
      <c r="A116" s="56" t="s">
        <v>1638</v>
      </c>
      <c r="B116" s="57" t="s">
        <v>1639</v>
      </c>
      <c r="C116" s="56" t="s">
        <v>29</v>
      </c>
      <c r="D116" s="56" t="s">
        <v>1218</v>
      </c>
      <c r="E116" s="56" t="s">
        <v>115</v>
      </c>
      <c r="F116" s="58">
        <v>3.85491748999E-2</v>
      </c>
      <c r="G116" s="58">
        <v>85178.57</v>
      </c>
      <c r="H116" s="58">
        <v>3283.5635926533751</v>
      </c>
      <c r="I116" s="59">
        <v>2.4657039409168007E-2</v>
      </c>
      <c r="J116" s="59">
        <v>86.987724408335666</v>
      </c>
      <c r="K116" s="56" t="s">
        <v>1459</v>
      </c>
    </row>
    <row r="117" spans="1:11" ht="15" customHeight="1">
      <c r="A117" s="56" t="s">
        <v>1640</v>
      </c>
      <c r="B117" s="57" t="s">
        <v>1641</v>
      </c>
      <c r="C117" s="56" t="s">
        <v>29</v>
      </c>
      <c r="D117" s="56" t="s">
        <v>1475</v>
      </c>
      <c r="E117" s="56" t="s">
        <v>1207</v>
      </c>
      <c r="F117" s="58">
        <v>202.73153469072417</v>
      </c>
      <c r="G117" s="58">
        <v>14.17</v>
      </c>
      <c r="H117" s="58">
        <v>2872.7058465675618</v>
      </c>
      <c r="I117" s="59">
        <v>2.1571813449340144E-2</v>
      </c>
      <c r="J117" s="59">
        <v>87.009296252974096</v>
      </c>
      <c r="K117" s="56" t="s">
        <v>1459</v>
      </c>
    </row>
    <row r="118" spans="1:11" ht="20.100000000000001" customHeight="1">
      <c r="A118" s="56" t="s">
        <v>1642</v>
      </c>
      <c r="B118" s="57" t="s">
        <v>1643</v>
      </c>
      <c r="C118" s="56" t="s">
        <v>29</v>
      </c>
      <c r="D118" s="56" t="s">
        <v>1190</v>
      </c>
      <c r="E118" s="56" t="s">
        <v>20</v>
      </c>
      <c r="F118" s="58">
        <v>47.837077919999999</v>
      </c>
      <c r="G118" s="58">
        <v>55.74</v>
      </c>
      <c r="H118" s="58">
        <v>2666.4387232608001</v>
      </c>
      <c r="I118" s="59">
        <v>2.0022905854076938E-2</v>
      </c>
      <c r="J118" s="59">
        <v>87.029319168415498</v>
      </c>
      <c r="K118" s="56" t="s">
        <v>1459</v>
      </c>
    </row>
    <row r="119" spans="1:11" ht="15" customHeight="1">
      <c r="A119" s="56" t="s">
        <v>1644</v>
      </c>
      <c r="B119" s="57" t="s">
        <v>1645</v>
      </c>
      <c r="C119" s="56" t="s">
        <v>29</v>
      </c>
      <c r="D119" s="56" t="s">
        <v>1190</v>
      </c>
      <c r="E119" s="56" t="s">
        <v>138</v>
      </c>
      <c r="F119" s="58">
        <v>224.35839999999999</v>
      </c>
      <c r="G119" s="58">
        <v>11.62</v>
      </c>
      <c r="H119" s="58">
        <v>2607.0446080000002</v>
      </c>
      <c r="I119" s="59">
        <v>1.9576901688378782E-2</v>
      </c>
      <c r="J119" s="59">
        <v>87.048896035501343</v>
      </c>
      <c r="K119" s="56" t="s">
        <v>1459</v>
      </c>
    </row>
    <row r="120" spans="1:11" ht="27.95" customHeight="1">
      <c r="A120" s="56" t="s">
        <v>1646</v>
      </c>
      <c r="B120" s="57" t="s">
        <v>1647</v>
      </c>
      <c r="C120" s="56" t="s">
        <v>29</v>
      </c>
      <c r="D120" s="56" t="s">
        <v>1218</v>
      </c>
      <c r="E120" s="56" t="s">
        <v>115</v>
      </c>
      <c r="F120" s="58">
        <v>9.7921882103999998E-3</v>
      </c>
      <c r="G120" s="58">
        <v>261106.6</v>
      </c>
      <c r="H120" s="58">
        <v>2556.8049701776285</v>
      </c>
      <c r="I120" s="59">
        <v>1.9199640613715832E-2</v>
      </c>
      <c r="J120" s="59">
        <v>87.06809563879284</v>
      </c>
      <c r="K120" s="56" t="s">
        <v>1459</v>
      </c>
    </row>
    <row r="121" spans="1:11" ht="15" customHeight="1">
      <c r="A121" s="56" t="s">
        <v>1648</v>
      </c>
      <c r="B121" s="57" t="s">
        <v>1649</v>
      </c>
      <c r="C121" s="56" t="s">
        <v>29</v>
      </c>
      <c r="D121" s="56" t="s">
        <v>1190</v>
      </c>
      <c r="E121" s="56" t="s">
        <v>115</v>
      </c>
      <c r="F121" s="58">
        <v>834.58320000000003</v>
      </c>
      <c r="G121" s="58">
        <v>2.94</v>
      </c>
      <c r="H121" s="58">
        <v>2453.6746079999998</v>
      </c>
      <c r="I121" s="59">
        <v>1.8425210841688574E-2</v>
      </c>
      <c r="J121" s="59">
        <v>87.086520815031989</v>
      </c>
      <c r="K121" s="56" t="s">
        <v>1459</v>
      </c>
    </row>
    <row r="122" spans="1:11" ht="15" customHeight="1">
      <c r="A122" s="56" t="s">
        <v>1650</v>
      </c>
      <c r="B122" s="57" t="s">
        <v>1651</v>
      </c>
      <c r="C122" s="56" t="s">
        <v>29</v>
      </c>
      <c r="D122" s="56" t="s">
        <v>1475</v>
      </c>
      <c r="E122" s="56" t="s">
        <v>1207</v>
      </c>
      <c r="F122" s="58">
        <v>172.55640586976</v>
      </c>
      <c r="G122" s="58">
        <v>14.15</v>
      </c>
      <c r="H122" s="58">
        <v>2441.673143057104</v>
      </c>
      <c r="I122" s="59">
        <v>1.8335089062190585E-2</v>
      </c>
      <c r="J122" s="59">
        <v>87.104855880492238</v>
      </c>
      <c r="K122" s="56" t="s">
        <v>1459</v>
      </c>
    </row>
    <row r="123" spans="1:11" ht="15" customHeight="1">
      <c r="A123" s="56" t="s">
        <v>1652</v>
      </c>
      <c r="B123" s="57" t="s">
        <v>1653</v>
      </c>
      <c r="C123" s="56" t="s">
        <v>29</v>
      </c>
      <c r="D123" s="56" t="s">
        <v>1218</v>
      </c>
      <c r="E123" s="56" t="s">
        <v>115</v>
      </c>
      <c r="F123" s="58">
        <v>37.699739999999998</v>
      </c>
      <c r="G123" s="58">
        <v>63.58</v>
      </c>
      <c r="H123" s="58">
        <v>2396.9494691999998</v>
      </c>
      <c r="I123" s="59">
        <v>1.7999248638303354E-2</v>
      </c>
      <c r="J123" s="59">
        <v>87.122855133116445</v>
      </c>
      <c r="K123" s="56" t="s">
        <v>1459</v>
      </c>
    </row>
    <row r="124" spans="1:11" ht="36" customHeight="1">
      <c r="A124" s="56" t="s">
        <v>1654</v>
      </c>
      <c r="B124" s="57" t="s">
        <v>1655</v>
      </c>
      <c r="C124" s="56" t="s">
        <v>29</v>
      </c>
      <c r="D124" s="56" t="s">
        <v>1218</v>
      </c>
      <c r="E124" s="56" t="s">
        <v>115</v>
      </c>
      <c r="F124" s="58">
        <v>4.1571148589919999E-3</v>
      </c>
      <c r="G124" s="58">
        <v>570121.91</v>
      </c>
      <c r="H124" s="58">
        <v>2370.0622634978995</v>
      </c>
      <c r="I124" s="59">
        <v>1.7797346384275933E-2</v>
      </c>
      <c r="J124" s="59">
        <v>87.140652462503581</v>
      </c>
      <c r="K124" s="56" t="s">
        <v>1459</v>
      </c>
    </row>
    <row r="125" spans="1:11" ht="15" customHeight="1">
      <c r="A125" s="56" t="s">
        <v>1656</v>
      </c>
      <c r="B125" s="57" t="s">
        <v>1657</v>
      </c>
      <c r="C125" s="56" t="s">
        <v>29</v>
      </c>
      <c r="D125" s="56" t="s">
        <v>1190</v>
      </c>
      <c r="E125" s="56" t="s">
        <v>138</v>
      </c>
      <c r="F125" s="58">
        <v>181.94783100000001</v>
      </c>
      <c r="G125" s="58">
        <v>12.79</v>
      </c>
      <c r="H125" s="58">
        <v>2327.11275849</v>
      </c>
      <c r="I125" s="59">
        <v>1.7474828605130905E-2</v>
      </c>
      <c r="J125" s="59">
        <v>87.158127270394573</v>
      </c>
      <c r="K125" s="56" t="s">
        <v>1459</v>
      </c>
    </row>
    <row r="126" spans="1:11" ht="20.100000000000001" customHeight="1">
      <c r="A126" s="56" t="s">
        <v>1658</v>
      </c>
      <c r="B126" s="57" t="s">
        <v>1659</v>
      </c>
      <c r="C126" s="56" t="s">
        <v>29</v>
      </c>
      <c r="D126" s="56" t="s">
        <v>1190</v>
      </c>
      <c r="E126" s="56" t="s">
        <v>115</v>
      </c>
      <c r="F126" s="58">
        <v>12696.316210696959</v>
      </c>
      <c r="G126" s="58">
        <v>0.18</v>
      </c>
      <c r="H126" s="58">
        <v>2285.3369179254528</v>
      </c>
      <c r="I126" s="59">
        <v>1.71611241440826E-2</v>
      </c>
      <c r="J126" s="59">
        <v>87.175288417682665</v>
      </c>
      <c r="K126" s="56" t="s">
        <v>1459</v>
      </c>
    </row>
    <row r="127" spans="1:11" ht="15" customHeight="1">
      <c r="A127" s="56" t="s">
        <v>1410</v>
      </c>
      <c r="B127" s="57" t="s">
        <v>1411</v>
      </c>
      <c r="C127" s="56" t="s">
        <v>29</v>
      </c>
      <c r="D127" s="56" t="s">
        <v>1190</v>
      </c>
      <c r="E127" s="56" t="s">
        <v>60</v>
      </c>
      <c r="F127" s="58">
        <v>26.166032999999999</v>
      </c>
      <c r="G127" s="58">
        <v>83.33</v>
      </c>
      <c r="H127" s="58">
        <v>2180.41552989</v>
      </c>
      <c r="I127" s="59">
        <v>1.6373245144131746E-2</v>
      </c>
      <c r="J127" s="59">
        <v>87.191661696393894</v>
      </c>
      <c r="K127" s="56" t="s">
        <v>1459</v>
      </c>
    </row>
    <row r="128" spans="1:11" ht="15" customHeight="1">
      <c r="A128" s="56" t="s">
        <v>1375</v>
      </c>
      <c r="B128" s="57" t="s">
        <v>1376</v>
      </c>
      <c r="C128" s="56" t="s">
        <v>1455</v>
      </c>
      <c r="D128" s="56" t="s">
        <v>1190</v>
      </c>
      <c r="E128" s="56" t="s">
        <v>167</v>
      </c>
      <c r="F128" s="58">
        <v>46</v>
      </c>
      <c r="G128" s="58">
        <v>47.1265</v>
      </c>
      <c r="H128" s="58">
        <v>2167.819</v>
      </c>
      <c r="I128" s="59">
        <v>1.6278654884143661E-2</v>
      </c>
      <c r="J128" s="59">
        <v>87.207940358787269</v>
      </c>
      <c r="K128" s="56" t="s">
        <v>1459</v>
      </c>
    </row>
    <row r="129" spans="1:11" ht="15" customHeight="1">
      <c r="A129" s="56" t="s">
        <v>1660</v>
      </c>
      <c r="B129" s="57" t="s">
        <v>1661</v>
      </c>
      <c r="C129" s="56" t="s">
        <v>29</v>
      </c>
      <c r="D129" s="56" t="s">
        <v>1190</v>
      </c>
      <c r="E129" s="56" t="s">
        <v>1338</v>
      </c>
      <c r="F129" s="58">
        <v>335.14165336999997</v>
      </c>
      <c r="G129" s="58">
        <v>6.4</v>
      </c>
      <c r="H129" s="58">
        <v>2144.9065815680001</v>
      </c>
      <c r="I129" s="59">
        <v>1.6106600228189629E-2</v>
      </c>
      <c r="J129" s="59">
        <v>87.224046984685259</v>
      </c>
      <c r="K129" s="56" t="s">
        <v>1459</v>
      </c>
    </row>
    <row r="130" spans="1:11" ht="15" customHeight="1">
      <c r="A130" s="56" t="s">
        <v>1662</v>
      </c>
      <c r="B130" s="57" t="s">
        <v>1663</v>
      </c>
      <c r="C130" s="56" t="s">
        <v>29</v>
      </c>
      <c r="D130" s="56" t="s">
        <v>1475</v>
      </c>
      <c r="E130" s="56" t="s">
        <v>1207</v>
      </c>
      <c r="F130" s="58">
        <v>77.135303977899994</v>
      </c>
      <c r="G130" s="58">
        <v>27.69</v>
      </c>
      <c r="H130" s="58">
        <v>2135.876567148051</v>
      </c>
      <c r="I130" s="59">
        <v>1.6038791758782731E-2</v>
      </c>
      <c r="J130" s="59">
        <v>87.240085802222112</v>
      </c>
      <c r="K130" s="56" t="s">
        <v>1459</v>
      </c>
    </row>
    <row r="131" spans="1:11" ht="15" customHeight="1">
      <c r="A131" s="56" t="s">
        <v>1664</v>
      </c>
      <c r="B131" s="57" t="s">
        <v>1665</v>
      </c>
      <c r="C131" s="56" t="s">
        <v>1455</v>
      </c>
      <c r="D131" s="56" t="s">
        <v>1190</v>
      </c>
      <c r="E131" s="56" t="s">
        <v>1666</v>
      </c>
      <c r="F131" s="58">
        <v>66.394649999999999</v>
      </c>
      <c r="G131" s="58">
        <v>31.8491</v>
      </c>
      <c r="H131" s="58">
        <v>2114.609847315</v>
      </c>
      <c r="I131" s="59">
        <v>1.5879095034711205E-2</v>
      </c>
      <c r="J131" s="59">
        <v>87.255964898403377</v>
      </c>
      <c r="K131" s="56" t="s">
        <v>1459</v>
      </c>
    </row>
    <row r="132" spans="1:11" ht="15" customHeight="1">
      <c r="A132" s="56" t="s">
        <v>1426</v>
      </c>
      <c r="B132" s="57" t="s">
        <v>1427</v>
      </c>
      <c r="C132" s="56" t="s">
        <v>29</v>
      </c>
      <c r="D132" s="56" t="s">
        <v>1190</v>
      </c>
      <c r="E132" s="56" t="s">
        <v>1338</v>
      </c>
      <c r="F132" s="58">
        <v>81.299170000000004</v>
      </c>
      <c r="G132" s="58">
        <v>23.73</v>
      </c>
      <c r="H132" s="58">
        <v>1929.2293041</v>
      </c>
      <c r="I132" s="59">
        <v>1.4487029606171245E-2</v>
      </c>
      <c r="J132" s="59">
        <v>87.270451933235222</v>
      </c>
      <c r="K132" s="56" t="s">
        <v>1459</v>
      </c>
    </row>
    <row r="133" spans="1:11" ht="15" customHeight="1">
      <c r="A133" s="56" t="s">
        <v>1667</v>
      </c>
      <c r="B133" s="57" t="s">
        <v>1668</v>
      </c>
      <c r="C133" s="56" t="s">
        <v>29</v>
      </c>
      <c r="D133" s="56" t="s">
        <v>1190</v>
      </c>
      <c r="E133" s="56" t="s">
        <v>1669</v>
      </c>
      <c r="F133" s="58">
        <v>47.045200000000001</v>
      </c>
      <c r="G133" s="58">
        <v>40.33</v>
      </c>
      <c r="H133" s="58">
        <v>1897.3329160000001</v>
      </c>
      <c r="I133" s="59">
        <v>1.4247512241515521E-2</v>
      </c>
      <c r="J133" s="59">
        <v>87.284699423579823</v>
      </c>
      <c r="K133" s="56" t="s">
        <v>1459</v>
      </c>
    </row>
    <row r="134" spans="1:11" ht="20.100000000000001" customHeight="1">
      <c r="A134" s="56" t="s">
        <v>1670</v>
      </c>
      <c r="B134" s="57" t="s">
        <v>1671</v>
      </c>
      <c r="C134" s="56" t="s">
        <v>29</v>
      </c>
      <c r="D134" s="56" t="s">
        <v>1218</v>
      </c>
      <c r="E134" s="56" t="s">
        <v>115</v>
      </c>
      <c r="F134" s="58">
        <v>7.1560778565158398E-2</v>
      </c>
      <c r="G134" s="58">
        <v>22332.2</v>
      </c>
      <c r="H134" s="58">
        <v>1598.1096190728304</v>
      </c>
      <c r="I134" s="59">
        <v>1.2000575212191099E-2</v>
      </c>
      <c r="J134" s="59">
        <v>87.296700001652482</v>
      </c>
      <c r="K134" s="56" t="s">
        <v>1459</v>
      </c>
    </row>
    <row r="135" spans="1:11" ht="15" customHeight="1">
      <c r="A135" s="56" t="s">
        <v>1672</v>
      </c>
      <c r="B135" s="57" t="s">
        <v>1673</v>
      </c>
      <c r="C135" s="56" t="s">
        <v>1455</v>
      </c>
      <c r="D135" s="56" t="s">
        <v>1475</v>
      </c>
      <c r="E135" s="56" t="s">
        <v>1264</v>
      </c>
      <c r="F135" s="58">
        <v>67.206999999999994</v>
      </c>
      <c r="G135" s="58">
        <v>23.19</v>
      </c>
      <c r="H135" s="58">
        <v>1558.53033</v>
      </c>
      <c r="I135" s="59">
        <v>1.1703365164960974E-2</v>
      </c>
      <c r="J135" s="59">
        <v>87.308403364339398</v>
      </c>
      <c r="K135" s="56" t="s">
        <v>1459</v>
      </c>
    </row>
    <row r="136" spans="1:11" ht="15" customHeight="1">
      <c r="A136" s="56" t="s">
        <v>1674</v>
      </c>
      <c r="B136" s="57" t="s">
        <v>1675</v>
      </c>
      <c r="C136" s="56" t="s">
        <v>1455</v>
      </c>
      <c r="D136" s="56" t="s">
        <v>1190</v>
      </c>
      <c r="E136" s="56" t="s">
        <v>1590</v>
      </c>
      <c r="F136" s="58">
        <v>46.828600000000002</v>
      </c>
      <c r="G136" s="58">
        <v>32.17</v>
      </c>
      <c r="H136" s="58">
        <v>1506.476062</v>
      </c>
      <c r="I136" s="59">
        <v>1.1312477612070847E-2</v>
      </c>
      <c r="J136" s="59">
        <v>87.319715871522817</v>
      </c>
      <c r="K136" s="56" t="s">
        <v>1459</v>
      </c>
    </row>
    <row r="137" spans="1:11" ht="27.95" customHeight="1">
      <c r="A137" s="56" t="s">
        <v>1676</v>
      </c>
      <c r="B137" s="57" t="s">
        <v>1677</v>
      </c>
      <c r="C137" s="56" t="s">
        <v>29</v>
      </c>
      <c r="D137" s="56" t="s">
        <v>1492</v>
      </c>
      <c r="E137" s="56" t="s">
        <v>1207</v>
      </c>
      <c r="F137" s="58">
        <v>3219.1123498400002</v>
      </c>
      <c r="G137" s="58">
        <v>0.45</v>
      </c>
      <c r="H137" s="58">
        <v>1448.600557428</v>
      </c>
      <c r="I137" s="59">
        <v>1.0877877045707481E-2</v>
      </c>
      <c r="J137" s="59">
        <v>87.330593744382668</v>
      </c>
      <c r="K137" s="56" t="s">
        <v>1459</v>
      </c>
    </row>
    <row r="138" spans="1:11" ht="27.95" customHeight="1">
      <c r="A138" s="56" t="s">
        <v>1678</v>
      </c>
      <c r="B138" s="57" t="s">
        <v>1679</v>
      </c>
      <c r="C138" s="56" t="s">
        <v>29</v>
      </c>
      <c r="D138" s="56" t="s">
        <v>1492</v>
      </c>
      <c r="E138" s="56" t="s">
        <v>31</v>
      </c>
      <c r="F138" s="58">
        <v>11.65</v>
      </c>
      <c r="G138" s="58">
        <v>123.54</v>
      </c>
      <c r="H138" s="58">
        <v>1439.241</v>
      </c>
      <c r="I138" s="59">
        <v>1.0807593961539137E-2</v>
      </c>
      <c r="J138" s="59">
        <v>87.341401330834984</v>
      </c>
      <c r="K138" s="56" t="s">
        <v>1459</v>
      </c>
    </row>
    <row r="139" spans="1:11" ht="15" customHeight="1">
      <c r="A139" s="56" t="s">
        <v>1680</v>
      </c>
      <c r="B139" s="57" t="s">
        <v>1681</v>
      </c>
      <c r="C139" s="56" t="s">
        <v>29</v>
      </c>
      <c r="D139" s="56" t="s">
        <v>1190</v>
      </c>
      <c r="E139" s="56" t="s">
        <v>20</v>
      </c>
      <c r="F139" s="58">
        <v>139.85</v>
      </c>
      <c r="G139" s="58">
        <v>9.85</v>
      </c>
      <c r="H139" s="58">
        <v>1377.5225</v>
      </c>
      <c r="I139" s="59">
        <v>1.0344135452564438E-2</v>
      </c>
      <c r="J139" s="59">
        <v>87.35174544751446</v>
      </c>
      <c r="K139" s="56" t="s">
        <v>1459</v>
      </c>
    </row>
    <row r="140" spans="1:11" ht="27.95" customHeight="1">
      <c r="A140" s="56" t="s">
        <v>1682</v>
      </c>
      <c r="B140" s="57" t="s">
        <v>1683</v>
      </c>
      <c r="C140" s="56" t="s">
        <v>29</v>
      </c>
      <c r="D140" s="56" t="s">
        <v>1492</v>
      </c>
      <c r="E140" s="56" t="s">
        <v>1207</v>
      </c>
      <c r="F140" s="58">
        <v>891.96497999999997</v>
      </c>
      <c r="G140" s="58">
        <v>1.5</v>
      </c>
      <c r="H140" s="58">
        <v>1337.9474700000001</v>
      </c>
      <c r="I140" s="59">
        <v>1.0046957387698492E-2</v>
      </c>
      <c r="J140" s="59">
        <v>87.361792423900525</v>
      </c>
      <c r="K140" s="56" t="s">
        <v>1459</v>
      </c>
    </row>
    <row r="141" spans="1:11" ht="27.95" customHeight="1">
      <c r="A141" s="56" t="s">
        <v>1684</v>
      </c>
      <c r="B141" s="57" t="s">
        <v>1685</v>
      </c>
      <c r="C141" s="56" t="s">
        <v>29</v>
      </c>
      <c r="D141" s="56" t="s">
        <v>1492</v>
      </c>
      <c r="E141" s="56" t="s">
        <v>1207</v>
      </c>
      <c r="F141" s="58">
        <v>891.96497999999997</v>
      </c>
      <c r="G141" s="58">
        <v>1.48</v>
      </c>
      <c r="H141" s="58">
        <v>1320.1081704000001</v>
      </c>
      <c r="I141" s="59">
        <v>9.9129979558625122E-3</v>
      </c>
      <c r="J141" s="59">
        <v>87.371705435595274</v>
      </c>
      <c r="K141" s="56" t="s">
        <v>1459</v>
      </c>
    </row>
    <row r="142" spans="1:11" ht="15" customHeight="1">
      <c r="A142" s="56" t="s">
        <v>1367</v>
      </c>
      <c r="B142" s="57" t="s">
        <v>1368</v>
      </c>
      <c r="C142" s="56" t="s">
        <v>29</v>
      </c>
      <c r="D142" s="56" t="s">
        <v>1190</v>
      </c>
      <c r="E142" s="56" t="s">
        <v>138</v>
      </c>
      <c r="F142" s="58">
        <v>228.61080000000001</v>
      </c>
      <c r="G142" s="58">
        <v>5.57</v>
      </c>
      <c r="H142" s="58">
        <v>1273.3621559999999</v>
      </c>
      <c r="I142" s="59">
        <v>9.5619713085147353E-3</v>
      </c>
      <c r="J142" s="59">
        <v>87.381267390713887</v>
      </c>
      <c r="K142" s="56" t="s">
        <v>1459</v>
      </c>
    </row>
    <row r="143" spans="1:11" ht="15" customHeight="1">
      <c r="A143" s="56" t="s">
        <v>1686</v>
      </c>
      <c r="B143" s="57" t="s">
        <v>1687</v>
      </c>
      <c r="C143" s="56" t="s">
        <v>29</v>
      </c>
      <c r="D143" s="56" t="s">
        <v>1218</v>
      </c>
      <c r="E143" s="56" t="s">
        <v>115</v>
      </c>
      <c r="F143" s="58">
        <v>2.126652</v>
      </c>
      <c r="G143" s="58">
        <v>598.65</v>
      </c>
      <c r="H143" s="58">
        <v>1273.1202198000001</v>
      </c>
      <c r="I143" s="59">
        <v>9.5601545535625079E-3</v>
      </c>
      <c r="J143" s="59">
        <v>87.390827543616922</v>
      </c>
      <c r="K143" s="56" t="s">
        <v>1459</v>
      </c>
    </row>
    <row r="144" spans="1:11" ht="15" customHeight="1">
      <c r="A144" s="56" t="s">
        <v>1688</v>
      </c>
      <c r="B144" s="57" t="s">
        <v>1689</v>
      </c>
      <c r="C144" s="56" t="s">
        <v>1455</v>
      </c>
      <c r="D144" s="56" t="s">
        <v>1475</v>
      </c>
      <c r="E144" s="56" t="s">
        <v>1264</v>
      </c>
      <c r="F144" s="58">
        <v>57.518788511749349</v>
      </c>
      <c r="G144" s="58">
        <v>19.2255</v>
      </c>
      <c r="H144" s="58">
        <v>1105.8274685326371</v>
      </c>
      <c r="I144" s="59">
        <v>8.303914543441605E-3</v>
      </c>
      <c r="J144" s="59">
        <v>87.399131477169732</v>
      </c>
      <c r="K144" s="56" t="s">
        <v>1459</v>
      </c>
    </row>
    <row r="145" spans="1:11" ht="15" customHeight="1">
      <c r="A145" s="56" t="s">
        <v>1690</v>
      </c>
      <c r="B145" s="57" t="s">
        <v>1691</v>
      </c>
      <c r="C145" s="56" t="s">
        <v>1455</v>
      </c>
      <c r="D145" s="56" t="s">
        <v>1475</v>
      </c>
      <c r="E145" s="56" t="s">
        <v>1264</v>
      </c>
      <c r="F145" s="58">
        <v>42.788577023498689</v>
      </c>
      <c r="G145" s="58">
        <v>25.7822</v>
      </c>
      <c r="H145" s="58">
        <v>1103.183650535248</v>
      </c>
      <c r="I145" s="59">
        <v>8.2840615018564979E-3</v>
      </c>
      <c r="J145" s="59">
        <v>87.407415511258876</v>
      </c>
      <c r="K145" s="56" t="s">
        <v>1459</v>
      </c>
    </row>
    <row r="146" spans="1:11" ht="15" customHeight="1">
      <c r="A146" s="56" t="s">
        <v>1692</v>
      </c>
      <c r="B146" s="57" t="s">
        <v>1693</v>
      </c>
      <c r="C146" s="56" t="s">
        <v>29</v>
      </c>
      <c r="D146" s="56" t="s">
        <v>1218</v>
      </c>
      <c r="E146" s="56" t="s">
        <v>115</v>
      </c>
      <c r="F146" s="58">
        <v>0.38666400000000001</v>
      </c>
      <c r="G146" s="58">
        <v>2812.24</v>
      </c>
      <c r="H146" s="58">
        <v>1087.3919673600001</v>
      </c>
      <c r="I146" s="59">
        <v>8.1654780959311887E-3</v>
      </c>
      <c r="J146" s="59">
        <v>87.415580974581445</v>
      </c>
      <c r="K146" s="56" t="s">
        <v>1459</v>
      </c>
    </row>
    <row r="147" spans="1:11" ht="15" customHeight="1">
      <c r="A147" s="56" t="s">
        <v>1694</v>
      </c>
      <c r="B147" s="57" t="s">
        <v>1695</v>
      </c>
      <c r="C147" s="56" t="s">
        <v>1455</v>
      </c>
      <c r="D147" s="56" t="s">
        <v>1475</v>
      </c>
      <c r="E147" s="56" t="s">
        <v>1264</v>
      </c>
      <c r="F147" s="58">
        <v>40.309514874915507</v>
      </c>
      <c r="G147" s="58">
        <v>26.687000000000001</v>
      </c>
      <c r="H147" s="58">
        <v>1075.7400234668701</v>
      </c>
      <c r="I147" s="59">
        <v>8.0779809509363022E-3</v>
      </c>
      <c r="J147" s="59">
        <v>87.42365895535616</v>
      </c>
      <c r="K147" s="56" t="s">
        <v>1459</v>
      </c>
    </row>
    <row r="148" spans="1:11" ht="15" customHeight="1">
      <c r="A148" s="56" t="s">
        <v>1696</v>
      </c>
      <c r="B148" s="57" t="s">
        <v>1697</v>
      </c>
      <c r="C148" s="56" t="s">
        <v>29</v>
      </c>
      <c r="D148" s="56" t="s">
        <v>1190</v>
      </c>
      <c r="E148" s="56" t="s">
        <v>138</v>
      </c>
      <c r="F148" s="58">
        <v>92.868259748400007</v>
      </c>
      <c r="G148" s="58">
        <v>11.47</v>
      </c>
      <c r="H148" s="58">
        <v>1065.198939314148</v>
      </c>
      <c r="I148" s="59">
        <v>7.9988255089797188E-3</v>
      </c>
      <c r="J148" s="59">
        <v>87.43165778883008</v>
      </c>
      <c r="K148" s="56" t="s">
        <v>1459</v>
      </c>
    </row>
    <row r="149" spans="1:11" ht="15" customHeight="1">
      <c r="A149" s="56" t="s">
        <v>1698</v>
      </c>
      <c r="B149" s="57" t="s">
        <v>1699</v>
      </c>
      <c r="C149" s="56" t="s">
        <v>29</v>
      </c>
      <c r="D149" s="56" t="s">
        <v>1700</v>
      </c>
      <c r="E149" s="56" t="s">
        <v>1701</v>
      </c>
      <c r="F149" s="58">
        <v>1164.7957510684</v>
      </c>
      <c r="G149" s="58">
        <v>0.9</v>
      </c>
      <c r="H149" s="58">
        <v>1048.31617596156</v>
      </c>
      <c r="I149" s="59">
        <v>7.8720489293356392E-3</v>
      </c>
      <c r="J149" s="59">
        <v>87.439529866474999</v>
      </c>
      <c r="K149" s="56" t="s">
        <v>1459</v>
      </c>
    </row>
    <row r="150" spans="1:11" ht="15" customHeight="1">
      <c r="A150" s="56" t="s">
        <v>1702</v>
      </c>
      <c r="B150" s="57" t="s">
        <v>1703</v>
      </c>
      <c r="C150" s="56" t="s">
        <v>29</v>
      </c>
      <c r="D150" s="56" t="s">
        <v>1475</v>
      </c>
      <c r="E150" s="56" t="s">
        <v>1207</v>
      </c>
      <c r="F150" s="58">
        <v>42.485989435999997</v>
      </c>
      <c r="G150" s="58">
        <v>24.37</v>
      </c>
      <c r="H150" s="58">
        <v>1035.3835625553199</v>
      </c>
      <c r="I150" s="59">
        <v>7.7749349403954966E-3</v>
      </c>
      <c r="J150" s="59">
        <v>87.447304774663351</v>
      </c>
      <c r="K150" s="56" t="s">
        <v>1459</v>
      </c>
    </row>
    <row r="151" spans="1:11" ht="15" customHeight="1">
      <c r="A151" s="56" t="s">
        <v>1704</v>
      </c>
      <c r="B151" s="57" t="s">
        <v>1705</v>
      </c>
      <c r="C151" s="56" t="s">
        <v>29</v>
      </c>
      <c r="D151" s="56" t="s">
        <v>1190</v>
      </c>
      <c r="E151" s="56" t="s">
        <v>115</v>
      </c>
      <c r="F151" s="58">
        <v>217.29320000000001</v>
      </c>
      <c r="G151" s="58">
        <v>4.5999999999999996</v>
      </c>
      <c r="H151" s="58">
        <v>999.54872</v>
      </c>
      <c r="I151" s="59">
        <v>7.5058428091863512E-3</v>
      </c>
      <c r="J151" s="59">
        <v>87.454810627084342</v>
      </c>
      <c r="K151" s="56" t="s">
        <v>1459</v>
      </c>
    </row>
    <row r="152" spans="1:11" ht="15" customHeight="1">
      <c r="A152" s="56" t="s">
        <v>1706</v>
      </c>
      <c r="B152" s="57" t="s">
        <v>1707</v>
      </c>
      <c r="C152" s="56" t="s">
        <v>1455</v>
      </c>
      <c r="D152" s="56" t="s">
        <v>1190</v>
      </c>
      <c r="E152" s="56" t="s">
        <v>1590</v>
      </c>
      <c r="F152" s="58">
        <v>11.16752</v>
      </c>
      <c r="G152" s="58">
        <v>74.769000000000005</v>
      </c>
      <c r="H152" s="58">
        <v>834.98430287999997</v>
      </c>
      <c r="I152" s="59">
        <v>6.2700904919925525E-3</v>
      </c>
      <c r="J152" s="59">
        <v>87.461080685265017</v>
      </c>
      <c r="K152" s="56" t="s">
        <v>1459</v>
      </c>
    </row>
    <row r="153" spans="1:11" ht="27.95" customHeight="1">
      <c r="A153" s="56" t="s">
        <v>1708</v>
      </c>
      <c r="B153" s="57" t="s">
        <v>1709</v>
      </c>
      <c r="C153" s="56" t="s">
        <v>29</v>
      </c>
      <c r="D153" s="56" t="s">
        <v>1492</v>
      </c>
      <c r="E153" s="56" t="s">
        <v>1207</v>
      </c>
      <c r="F153" s="58">
        <v>81880.368653354089</v>
      </c>
      <c r="G153" s="58">
        <v>0.01</v>
      </c>
      <c r="H153" s="58">
        <v>818.80368653354094</v>
      </c>
      <c r="I153" s="59">
        <v>6.1485864968173366E-3</v>
      </c>
      <c r="J153" s="59">
        <v>87.467229244078794</v>
      </c>
      <c r="K153" s="56" t="s">
        <v>1459</v>
      </c>
    </row>
    <row r="154" spans="1:11" ht="20.100000000000001" customHeight="1">
      <c r="A154" s="56" t="s">
        <v>1710</v>
      </c>
      <c r="B154" s="57" t="s">
        <v>1711</v>
      </c>
      <c r="C154" s="56" t="s">
        <v>29</v>
      </c>
      <c r="D154" s="56" t="s">
        <v>1218</v>
      </c>
      <c r="E154" s="56" t="s">
        <v>115</v>
      </c>
      <c r="F154" s="58">
        <v>2.0443505675999999E-3</v>
      </c>
      <c r="G154" s="58">
        <v>380000</v>
      </c>
      <c r="H154" s="58">
        <v>776.85321568799998</v>
      </c>
      <c r="I154" s="59">
        <v>5.8335706965490057E-3</v>
      </c>
      <c r="J154" s="59">
        <v>87.473062790628006</v>
      </c>
      <c r="K154" s="56" t="s">
        <v>1459</v>
      </c>
    </row>
    <row r="155" spans="1:11" ht="20.100000000000001" customHeight="1">
      <c r="A155" s="56" t="s">
        <v>1201</v>
      </c>
      <c r="B155" s="57" t="s">
        <v>1712</v>
      </c>
      <c r="C155" s="56" t="s">
        <v>29</v>
      </c>
      <c r="D155" s="56" t="s">
        <v>1190</v>
      </c>
      <c r="E155" s="56" t="s">
        <v>40</v>
      </c>
      <c r="F155" s="58">
        <v>122.88</v>
      </c>
      <c r="G155" s="58">
        <v>6.12</v>
      </c>
      <c r="H155" s="58">
        <v>752.02560000000005</v>
      </c>
      <c r="I155" s="59">
        <v>5.6471343808874586E-3</v>
      </c>
      <c r="J155" s="59">
        <v>87.478709958049507</v>
      </c>
      <c r="K155" s="56" t="s">
        <v>1459</v>
      </c>
    </row>
    <row r="156" spans="1:11" ht="15" customHeight="1">
      <c r="A156" s="56" t="s">
        <v>1713</v>
      </c>
      <c r="B156" s="57" t="s">
        <v>1714</v>
      </c>
      <c r="C156" s="56" t="s">
        <v>1455</v>
      </c>
      <c r="D156" s="56" t="s">
        <v>1475</v>
      </c>
      <c r="E156" s="56" t="s">
        <v>1264</v>
      </c>
      <c r="F156" s="58">
        <v>24.927499999999998</v>
      </c>
      <c r="G156" s="58">
        <v>23.883500000000002</v>
      </c>
      <c r="H156" s="58">
        <v>595.35594624999999</v>
      </c>
      <c r="I156" s="59">
        <v>4.4706656700704873E-3</v>
      </c>
      <c r="J156" s="59">
        <v>87.483180654160122</v>
      </c>
      <c r="K156" s="56" t="s">
        <v>1459</v>
      </c>
    </row>
    <row r="157" spans="1:11" ht="27.95" customHeight="1">
      <c r="A157" s="56" t="s">
        <v>1715</v>
      </c>
      <c r="B157" s="57" t="s">
        <v>1716</v>
      </c>
      <c r="C157" s="56" t="s">
        <v>29</v>
      </c>
      <c r="D157" s="56" t="s">
        <v>1492</v>
      </c>
      <c r="E157" s="56" t="s">
        <v>31</v>
      </c>
      <c r="F157" s="58">
        <v>31.63</v>
      </c>
      <c r="G157" s="58">
        <v>18.579999999999998</v>
      </c>
      <c r="H157" s="58">
        <v>587.68539999999996</v>
      </c>
      <c r="I157" s="59">
        <v>4.4130657619708665E-3</v>
      </c>
      <c r="J157" s="59">
        <v>87.487593754464569</v>
      </c>
      <c r="K157" s="56" t="s">
        <v>1459</v>
      </c>
    </row>
    <row r="158" spans="1:11" ht="20.100000000000001" customHeight="1">
      <c r="A158" s="56" t="s">
        <v>1717</v>
      </c>
      <c r="B158" s="57" t="s">
        <v>1718</v>
      </c>
      <c r="C158" s="56" t="s">
        <v>29</v>
      </c>
      <c r="D158" s="56" t="s">
        <v>1218</v>
      </c>
      <c r="E158" s="56" t="s">
        <v>115</v>
      </c>
      <c r="F158" s="58">
        <v>1.063433877E-2</v>
      </c>
      <c r="G158" s="58">
        <v>53881.11</v>
      </c>
      <c r="H158" s="58">
        <v>572.98997704363467</v>
      </c>
      <c r="I158" s="59">
        <v>4.3027144278958386E-3</v>
      </c>
      <c r="J158" s="59">
        <v>87.491896469064841</v>
      </c>
      <c r="K158" s="56" t="s">
        <v>1459</v>
      </c>
    </row>
    <row r="159" spans="1:11" ht="15" customHeight="1">
      <c r="A159" s="56" t="s">
        <v>1719</v>
      </c>
      <c r="B159" s="57" t="s">
        <v>1720</v>
      </c>
      <c r="C159" s="56" t="s">
        <v>29</v>
      </c>
      <c r="D159" s="56" t="s">
        <v>1190</v>
      </c>
      <c r="E159" s="56" t="s">
        <v>138</v>
      </c>
      <c r="F159" s="58">
        <v>17.778400000000001</v>
      </c>
      <c r="G159" s="58">
        <v>29.29</v>
      </c>
      <c r="H159" s="58">
        <v>520.72933599999999</v>
      </c>
      <c r="I159" s="59">
        <v>3.9102771720301768E-3</v>
      </c>
      <c r="J159" s="59">
        <v>87.495806751223</v>
      </c>
      <c r="K159" s="56" t="s">
        <v>1459</v>
      </c>
    </row>
    <row r="160" spans="1:11" ht="15" customHeight="1">
      <c r="A160" s="56" t="s">
        <v>1721</v>
      </c>
      <c r="B160" s="57" t="s">
        <v>1722</v>
      </c>
      <c r="C160" s="56" t="s">
        <v>29</v>
      </c>
      <c r="D160" s="56" t="s">
        <v>1475</v>
      </c>
      <c r="E160" s="56" t="s">
        <v>1207</v>
      </c>
      <c r="F160" s="58">
        <v>38.551205229040001</v>
      </c>
      <c r="G160" s="58">
        <v>12.44</v>
      </c>
      <c r="H160" s="58">
        <v>479.57699304925762</v>
      </c>
      <c r="I160" s="59">
        <v>3.6012546989505254E-3</v>
      </c>
      <c r="J160" s="59">
        <v>87.499408028501847</v>
      </c>
      <c r="K160" s="56" t="s">
        <v>1459</v>
      </c>
    </row>
    <row r="161" spans="1:11" ht="20.100000000000001" customHeight="1">
      <c r="A161" s="56" t="s">
        <v>1723</v>
      </c>
      <c r="B161" s="57" t="s">
        <v>1724</v>
      </c>
      <c r="C161" s="56" t="s">
        <v>29</v>
      </c>
      <c r="D161" s="56" t="s">
        <v>1218</v>
      </c>
      <c r="E161" s="56" t="s">
        <v>115</v>
      </c>
      <c r="F161" s="58">
        <v>8.3291155501019329E-2</v>
      </c>
      <c r="G161" s="58">
        <v>5490</v>
      </c>
      <c r="H161" s="58">
        <v>457.26844370059609</v>
      </c>
      <c r="I161" s="59">
        <v>3.4337346357843899E-3</v>
      </c>
      <c r="J161" s="59">
        <v>87.502841774824248</v>
      </c>
      <c r="K161" s="56" t="s">
        <v>1459</v>
      </c>
    </row>
    <row r="162" spans="1:11" ht="36" customHeight="1">
      <c r="A162" s="56" t="s">
        <v>1725</v>
      </c>
      <c r="B162" s="57" t="s">
        <v>1726</v>
      </c>
      <c r="C162" s="56" t="s">
        <v>29</v>
      </c>
      <c r="D162" s="56" t="s">
        <v>1218</v>
      </c>
      <c r="E162" s="56" t="s">
        <v>115</v>
      </c>
      <c r="F162" s="58">
        <v>4.01577024091E-2</v>
      </c>
      <c r="G162" s="58">
        <v>9738.0300000000007</v>
      </c>
      <c r="H162" s="58">
        <v>391.05691079088808</v>
      </c>
      <c r="I162" s="59">
        <v>2.9365369022156473E-3</v>
      </c>
      <c r="J162" s="59">
        <v>87.505778334924045</v>
      </c>
      <c r="K162" s="56" t="s">
        <v>1459</v>
      </c>
    </row>
    <row r="163" spans="1:11" ht="15" customHeight="1">
      <c r="A163" s="56" t="s">
        <v>1727</v>
      </c>
      <c r="B163" s="57" t="s">
        <v>1728</v>
      </c>
      <c r="C163" s="56" t="s">
        <v>29</v>
      </c>
      <c r="D163" s="56" t="s">
        <v>1475</v>
      </c>
      <c r="E163" s="56" t="s">
        <v>1207</v>
      </c>
      <c r="F163" s="58">
        <v>20.2929965535</v>
      </c>
      <c r="G163" s="58">
        <v>16.57</v>
      </c>
      <c r="H163" s="58">
        <v>336.25495289149501</v>
      </c>
      <c r="I163" s="59">
        <v>2.5250163095741074E-3</v>
      </c>
      <c r="J163" s="59">
        <v>87.508303314041214</v>
      </c>
      <c r="K163" s="56" t="s">
        <v>1459</v>
      </c>
    </row>
    <row r="164" spans="1:11" ht="20.100000000000001" customHeight="1">
      <c r="A164" s="56" t="s">
        <v>1729</v>
      </c>
      <c r="B164" s="57" t="s">
        <v>1730</v>
      </c>
      <c r="C164" s="56" t="s">
        <v>29</v>
      </c>
      <c r="D164" s="56" t="s">
        <v>1218</v>
      </c>
      <c r="E164" s="56" t="s">
        <v>115</v>
      </c>
      <c r="F164" s="58">
        <v>3.2362630828799997E-2</v>
      </c>
      <c r="G164" s="58">
        <v>10347.85</v>
      </c>
      <c r="H164" s="58">
        <v>334.88364942179805</v>
      </c>
      <c r="I164" s="59">
        <v>2.5147188742602618E-3</v>
      </c>
      <c r="J164" s="59">
        <v>87.510818005511112</v>
      </c>
      <c r="K164" s="56" t="s">
        <v>1459</v>
      </c>
    </row>
    <row r="165" spans="1:11" ht="20.100000000000001" customHeight="1">
      <c r="A165" s="56" t="s">
        <v>1731</v>
      </c>
      <c r="B165" s="57" t="s">
        <v>1732</v>
      </c>
      <c r="C165" s="56" t="s">
        <v>1455</v>
      </c>
      <c r="D165" s="56" t="s">
        <v>1230</v>
      </c>
      <c r="E165" s="56" t="s">
        <v>1233</v>
      </c>
      <c r="F165" s="58">
        <v>17.475954186749352</v>
      </c>
      <c r="G165" s="58">
        <v>18.5944</v>
      </c>
      <c r="H165" s="58">
        <v>324.95488253009211</v>
      </c>
      <c r="I165" s="59">
        <v>2.4401614644141479E-3</v>
      </c>
      <c r="J165" s="59">
        <v>87.513258130311485</v>
      </c>
      <c r="K165" s="56" t="s">
        <v>1459</v>
      </c>
    </row>
    <row r="166" spans="1:11" ht="20.100000000000001" customHeight="1">
      <c r="A166" s="56" t="s">
        <v>1733</v>
      </c>
      <c r="B166" s="57" t="s">
        <v>1734</v>
      </c>
      <c r="C166" s="56" t="s">
        <v>29</v>
      </c>
      <c r="D166" s="56" t="s">
        <v>1190</v>
      </c>
      <c r="E166" s="56" t="s">
        <v>60</v>
      </c>
      <c r="F166" s="58">
        <v>3.1712638982399999</v>
      </c>
      <c r="G166" s="58">
        <v>101.85</v>
      </c>
      <c r="H166" s="58">
        <v>322.99322803574398</v>
      </c>
      <c r="I166" s="59">
        <v>2.4254309465455335E-3</v>
      </c>
      <c r="J166" s="59">
        <v>87.515683537017964</v>
      </c>
      <c r="K166" s="56" t="s">
        <v>1459</v>
      </c>
    </row>
    <row r="167" spans="1:11" ht="15" customHeight="1">
      <c r="A167" s="56" t="s">
        <v>1432</v>
      </c>
      <c r="B167" s="57" t="s">
        <v>1433</v>
      </c>
      <c r="C167" s="56" t="s">
        <v>29</v>
      </c>
      <c r="D167" s="56" t="s">
        <v>1190</v>
      </c>
      <c r="E167" s="56" t="s">
        <v>1338</v>
      </c>
      <c r="F167" s="58">
        <v>17.1233</v>
      </c>
      <c r="G167" s="58">
        <v>18.739999999999998</v>
      </c>
      <c r="H167" s="58">
        <v>320.89064200000001</v>
      </c>
      <c r="I167" s="59">
        <v>2.4096421410963256E-3</v>
      </c>
      <c r="J167" s="59">
        <v>87.518093174338134</v>
      </c>
      <c r="K167" s="56" t="s">
        <v>1459</v>
      </c>
    </row>
    <row r="168" spans="1:11" ht="15" customHeight="1">
      <c r="A168" s="56" t="s">
        <v>1199</v>
      </c>
      <c r="B168" s="57" t="s">
        <v>1200</v>
      </c>
      <c r="C168" s="56" t="s">
        <v>29</v>
      </c>
      <c r="D168" s="56" t="s">
        <v>1190</v>
      </c>
      <c r="E168" s="56" t="s">
        <v>138</v>
      </c>
      <c r="F168" s="58">
        <v>13.5168</v>
      </c>
      <c r="G168" s="58">
        <v>23.4</v>
      </c>
      <c r="H168" s="58">
        <v>316.29311999999999</v>
      </c>
      <c r="I168" s="59">
        <v>2.3751182837261956E-3</v>
      </c>
      <c r="J168" s="59">
        <v>87.520468269193046</v>
      </c>
      <c r="K168" s="56" t="s">
        <v>1459</v>
      </c>
    </row>
    <row r="169" spans="1:11" ht="20.100000000000001" customHeight="1">
      <c r="A169" s="56" t="s">
        <v>1336</v>
      </c>
      <c r="B169" s="57" t="s">
        <v>1337</v>
      </c>
      <c r="C169" s="56" t="s">
        <v>29</v>
      </c>
      <c r="D169" s="56" t="s">
        <v>1190</v>
      </c>
      <c r="E169" s="56" t="s">
        <v>1338</v>
      </c>
      <c r="F169" s="58">
        <v>33.805968839999998</v>
      </c>
      <c r="G169" s="58">
        <v>9.09</v>
      </c>
      <c r="H169" s="58">
        <v>307.29625675559998</v>
      </c>
      <c r="I169" s="59">
        <v>2.3075587541734862E-3</v>
      </c>
      <c r="J169" s="59">
        <v>87.522775856056114</v>
      </c>
      <c r="K169" s="56" t="s">
        <v>1459</v>
      </c>
    </row>
    <row r="170" spans="1:11" ht="20.100000000000001" customHeight="1">
      <c r="A170" s="56" t="s">
        <v>1735</v>
      </c>
      <c r="B170" s="57" t="s">
        <v>1736</v>
      </c>
      <c r="C170" s="56" t="s">
        <v>29</v>
      </c>
      <c r="D170" s="56" t="s">
        <v>1190</v>
      </c>
      <c r="E170" s="56" t="s">
        <v>1338</v>
      </c>
      <c r="F170" s="58">
        <v>31.547232000000001</v>
      </c>
      <c r="G170" s="58">
        <v>9.4600000000000009</v>
      </c>
      <c r="H170" s="58">
        <v>298.43681471999997</v>
      </c>
      <c r="I170" s="59">
        <v>2.2410311523010013E-3</v>
      </c>
      <c r="J170" s="59">
        <v>87.525016911127423</v>
      </c>
      <c r="K170" s="56" t="s">
        <v>1459</v>
      </c>
    </row>
    <row r="171" spans="1:11" ht="15" customHeight="1">
      <c r="A171" s="56" t="s">
        <v>1737</v>
      </c>
      <c r="B171" s="57" t="s">
        <v>1738</v>
      </c>
      <c r="C171" s="56" t="s">
        <v>29</v>
      </c>
      <c r="D171" s="56" t="s">
        <v>1190</v>
      </c>
      <c r="E171" s="56" t="s">
        <v>115</v>
      </c>
      <c r="F171" s="58">
        <v>100.8</v>
      </c>
      <c r="G171" s="58">
        <v>2.86</v>
      </c>
      <c r="H171" s="58">
        <v>288.28800000000001</v>
      </c>
      <c r="I171" s="59">
        <v>2.1648213523546055E-3</v>
      </c>
      <c r="J171" s="59">
        <v>87.527181747498233</v>
      </c>
      <c r="K171" s="56" t="s">
        <v>1459</v>
      </c>
    </row>
    <row r="172" spans="1:11" ht="20.100000000000001" customHeight="1">
      <c r="A172" s="56" t="s">
        <v>1739</v>
      </c>
      <c r="B172" s="57" t="s">
        <v>1740</v>
      </c>
      <c r="C172" s="56" t="s">
        <v>29</v>
      </c>
      <c r="D172" s="56" t="s">
        <v>1218</v>
      </c>
      <c r="E172" s="56" t="s">
        <v>115</v>
      </c>
      <c r="F172" s="58">
        <v>1.6049671244688E-2</v>
      </c>
      <c r="G172" s="58">
        <v>14373.78</v>
      </c>
      <c r="H172" s="58">
        <v>230.69444354347149</v>
      </c>
      <c r="I172" s="59">
        <v>1.7323379996825089E-3</v>
      </c>
      <c r="J172" s="59">
        <v>87.528914052130318</v>
      </c>
      <c r="K172" s="56" t="s">
        <v>1459</v>
      </c>
    </row>
    <row r="173" spans="1:11" ht="20.100000000000001" customHeight="1">
      <c r="A173" s="56" t="s">
        <v>1741</v>
      </c>
      <c r="B173" s="57" t="s">
        <v>1742</v>
      </c>
      <c r="C173" s="56" t="s">
        <v>1455</v>
      </c>
      <c r="D173" s="56" t="s">
        <v>1230</v>
      </c>
      <c r="E173" s="56" t="s">
        <v>1233</v>
      </c>
      <c r="F173" s="58">
        <v>5.2067885117493509</v>
      </c>
      <c r="G173" s="58">
        <v>43.375300000000003</v>
      </c>
      <c r="H173" s="58">
        <v>225.84601373368162</v>
      </c>
      <c r="I173" s="59">
        <v>1.6959300174646374E-3</v>
      </c>
      <c r="J173" s="59">
        <v>87.530610012081581</v>
      </c>
      <c r="K173" s="56" t="s">
        <v>1459</v>
      </c>
    </row>
    <row r="174" spans="1:11" ht="20.100000000000001" customHeight="1">
      <c r="A174" s="56" t="s">
        <v>1743</v>
      </c>
      <c r="B174" s="57" t="s">
        <v>1744</v>
      </c>
      <c r="C174" s="56" t="s">
        <v>1455</v>
      </c>
      <c r="D174" s="56" t="s">
        <v>1230</v>
      </c>
      <c r="E174" s="56" t="s">
        <v>1233</v>
      </c>
      <c r="F174" s="58">
        <v>12.013310075</v>
      </c>
      <c r="G174" s="58">
        <v>17.094799999999999</v>
      </c>
      <c r="H174" s="58">
        <v>205.36513307011001</v>
      </c>
      <c r="I174" s="59">
        <v>1.5421343416976048E-3</v>
      </c>
      <c r="J174" s="59">
        <v>87.532152182970194</v>
      </c>
      <c r="K174" s="56" t="s">
        <v>1459</v>
      </c>
    </row>
    <row r="175" spans="1:11" ht="20.100000000000001" customHeight="1">
      <c r="A175" s="56" t="s">
        <v>1745</v>
      </c>
      <c r="B175" s="57" t="s">
        <v>1746</v>
      </c>
      <c r="C175" s="56" t="s">
        <v>29</v>
      </c>
      <c r="D175" s="56" t="s">
        <v>1190</v>
      </c>
      <c r="E175" s="56" t="s">
        <v>20</v>
      </c>
      <c r="F175" s="58">
        <v>2.7920598991999999</v>
      </c>
      <c r="G175" s="58">
        <v>69.16</v>
      </c>
      <c r="H175" s="58">
        <v>193.09886262867201</v>
      </c>
      <c r="I175" s="59">
        <v>1.4500240763886734E-3</v>
      </c>
      <c r="J175" s="59">
        <v>87.533602215587365</v>
      </c>
      <c r="K175" s="56" t="s">
        <v>1459</v>
      </c>
    </row>
    <row r="176" spans="1:11" ht="15" customHeight="1">
      <c r="A176" s="56" t="s">
        <v>1747</v>
      </c>
      <c r="B176" s="57" t="s">
        <v>1748</v>
      </c>
      <c r="C176" s="56" t="s">
        <v>29</v>
      </c>
      <c r="D176" s="56" t="s">
        <v>1190</v>
      </c>
      <c r="E176" s="56" t="s">
        <v>138</v>
      </c>
      <c r="F176" s="58">
        <v>7.7004000000000001</v>
      </c>
      <c r="G176" s="58">
        <v>23.85</v>
      </c>
      <c r="H176" s="58">
        <v>183.65454</v>
      </c>
      <c r="I176" s="59">
        <v>1.3791044706989639E-3</v>
      </c>
      <c r="J176" s="59">
        <v>87.534981285966154</v>
      </c>
      <c r="K176" s="56" t="s">
        <v>1459</v>
      </c>
    </row>
    <row r="177" spans="1:11" ht="20.100000000000001" customHeight="1">
      <c r="A177" s="56" t="s">
        <v>1749</v>
      </c>
      <c r="B177" s="57" t="s">
        <v>1750</v>
      </c>
      <c r="C177" s="56" t="s">
        <v>1455</v>
      </c>
      <c r="D177" s="56" t="s">
        <v>1230</v>
      </c>
      <c r="E177" s="56" t="s">
        <v>1233</v>
      </c>
      <c r="F177" s="58">
        <v>0.60306581944745274</v>
      </c>
      <c r="G177" s="58">
        <v>280.2448</v>
      </c>
      <c r="H177" s="58">
        <v>169.00605995788752</v>
      </c>
      <c r="I177" s="59">
        <v>1.269105641837876E-3</v>
      </c>
      <c r="J177" s="59">
        <v>87.53625042119468</v>
      </c>
      <c r="K177" s="56" t="s">
        <v>1459</v>
      </c>
    </row>
    <row r="178" spans="1:11" ht="15" customHeight="1">
      <c r="A178" s="56" t="s">
        <v>1751</v>
      </c>
      <c r="B178" s="57" t="s">
        <v>1752</v>
      </c>
      <c r="C178" s="56" t="s">
        <v>1455</v>
      </c>
      <c r="D178" s="56" t="s">
        <v>1190</v>
      </c>
      <c r="E178" s="56" t="s">
        <v>1590</v>
      </c>
      <c r="F178" s="58">
        <v>315.97504939125002</v>
      </c>
      <c r="G178" s="58">
        <v>0.51859999999999995</v>
      </c>
      <c r="H178" s="58">
        <v>163.86466061430224</v>
      </c>
      <c r="I178" s="59">
        <v>1.2304976835462529E-3</v>
      </c>
      <c r="J178" s="59">
        <v>87.53748088388059</v>
      </c>
      <c r="K178" s="56" t="s">
        <v>1459</v>
      </c>
    </row>
    <row r="179" spans="1:11" ht="15" customHeight="1">
      <c r="A179" s="56" t="s">
        <v>1753</v>
      </c>
      <c r="B179" s="57" t="s">
        <v>1754</v>
      </c>
      <c r="C179" s="56" t="s">
        <v>29</v>
      </c>
      <c r="D179" s="56" t="s">
        <v>1190</v>
      </c>
      <c r="E179" s="56" t="s">
        <v>115</v>
      </c>
      <c r="F179" s="58">
        <v>16.20364</v>
      </c>
      <c r="G179" s="58">
        <v>9.56</v>
      </c>
      <c r="H179" s="58">
        <v>154.90679840000001</v>
      </c>
      <c r="I179" s="59">
        <v>1.1632310217602197E-3</v>
      </c>
      <c r="J179" s="59">
        <v>87.538644138943909</v>
      </c>
      <c r="K179" s="56" t="s">
        <v>1459</v>
      </c>
    </row>
    <row r="180" spans="1:11" ht="20.100000000000001" customHeight="1">
      <c r="A180" s="56" t="s">
        <v>1357</v>
      </c>
      <c r="B180" s="57" t="s">
        <v>1358</v>
      </c>
      <c r="C180" s="56" t="s">
        <v>29</v>
      </c>
      <c r="D180" s="56" t="s">
        <v>1190</v>
      </c>
      <c r="E180" s="56" t="s">
        <v>115</v>
      </c>
      <c r="F180" s="58">
        <v>332</v>
      </c>
      <c r="G180" s="58">
        <v>0.39</v>
      </c>
      <c r="H180" s="58">
        <v>129.47999999999999</v>
      </c>
      <c r="I180" s="59">
        <v>9.7229530435839946E-4</v>
      </c>
      <c r="J180" s="59">
        <v>87.539616434248259</v>
      </c>
      <c r="K180" s="56" t="s">
        <v>1459</v>
      </c>
    </row>
    <row r="181" spans="1:11" ht="20.100000000000001" customHeight="1">
      <c r="A181" s="56" t="s">
        <v>1755</v>
      </c>
      <c r="B181" s="57" t="s">
        <v>1756</v>
      </c>
      <c r="C181" s="56" t="s">
        <v>29</v>
      </c>
      <c r="D181" s="56" t="s">
        <v>1218</v>
      </c>
      <c r="E181" s="56" t="s">
        <v>1207</v>
      </c>
      <c r="F181" s="58">
        <v>57.474621399999997</v>
      </c>
      <c r="G181" s="58">
        <v>2.25</v>
      </c>
      <c r="H181" s="58">
        <v>129.31789814999999</v>
      </c>
      <c r="I181" s="59">
        <v>9.7107804402797929E-4</v>
      </c>
      <c r="J181" s="59">
        <v>87.540587528075562</v>
      </c>
      <c r="K181" s="56" t="s">
        <v>1459</v>
      </c>
    </row>
    <row r="182" spans="1:11" ht="27.95" customHeight="1">
      <c r="A182" s="56" t="s">
        <v>1757</v>
      </c>
      <c r="B182" s="57" t="s">
        <v>1758</v>
      </c>
      <c r="C182" s="56" t="s">
        <v>29</v>
      </c>
      <c r="D182" s="56" t="s">
        <v>1492</v>
      </c>
      <c r="E182" s="56" t="s">
        <v>1207</v>
      </c>
      <c r="F182" s="58">
        <v>12918.703004896081</v>
      </c>
      <c r="G182" s="58">
        <v>0.01</v>
      </c>
      <c r="H182" s="58">
        <v>129.18703004896079</v>
      </c>
      <c r="I182" s="59">
        <v>9.7009532515146774E-4</v>
      </c>
      <c r="J182" s="59">
        <v>87.541557645702767</v>
      </c>
      <c r="K182" s="56" t="s">
        <v>1459</v>
      </c>
    </row>
    <row r="183" spans="1:11" ht="15" customHeight="1">
      <c r="A183" s="56" t="s">
        <v>1759</v>
      </c>
      <c r="B183" s="57" t="s">
        <v>1760</v>
      </c>
      <c r="C183" s="56" t="s">
        <v>29</v>
      </c>
      <c r="D183" s="56" t="s">
        <v>1190</v>
      </c>
      <c r="E183" s="56" t="s">
        <v>60</v>
      </c>
      <c r="F183" s="58">
        <v>5.4132959999999999</v>
      </c>
      <c r="G183" s="58">
        <v>17.399999999999999</v>
      </c>
      <c r="H183" s="58">
        <v>94.191350400000005</v>
      </c>
      <c r="I183" s="59">
        <v>7.0730466253550103E-4</v>
      </c>
      <c r="J183" s="59">
        <v>87.54226494022484</v>
      </c>
      <c r="K183" s="56" t="s">
        <v>1459</v>
      </c>
    </row>
    <row r="184" spans="1:11" ht="15" customHeight="1">
      <c r="A184" s="56" t="s">
        <v>1761</v>
      </c>
      <c r="B184" s="57" t="s">
        <v>1762</v>
      </c>
      <c r="C184" s="56" t="s">
        <v>29</v>
      </c>
      <c r="D184" s="56" t="s">
        <v>1190</v>
      </c>
      <c r="E184" s="56" t="s">
        <v>138</v>
      </c>
      <c r="F184" s="58">
        <v>2.6783999999999999</v>
      </c>
      <c r="G184" s="58">
        <v>28.88</v>
      </c>
      <c r="H184" s="58">
        <v>77.352192000000002</v>
      </c>
      <c r="I184" s="59">
        <v>5.8085552257823114E-4</v>
      </c>
      <c r="J184" s="59">
        <v>87.542845779287177</v>
      </c>
      <c r="K184" s="56" t="s">
        <v>1459</v>
      </c>
    </row>
    <row r="185" spans="1:11" ht="20.100000000000001" customHeight="1">
      <c r="A185" s="56" t="s">
        <v>1763</v>
      </c>
      <c r="B185" s="57" t="s">
        <v>1764</v>
      </c>
      <c r="C185" s="56" t="s">
        <v>1455</v>
      </c>
      <c r="D185" s="56" t="s">
        <v>1230</v>
      </c>
      <c r="E185" s="56" t="s">
        <v>1233</v>
      </c>
      <c r="F185" s="58">
        <v>5.0054420000000004</v>
      </c>
      <c r="G185" s="58">
        <v>15.065799999999999</v>
      </c>
      <c r="H185" s="58">
        <v>75.410988083600003</v>
      </c>
      <c r="I185" s="59">
        <v>5.6627857283527577E-4</v>
      </c>
      <c r="J185" s="59">
        <v>87.543412050440267</v>
      </c>
      <c r="K185" s="56" t="s">
        <v>1459</v>
      </c>
    </row>
    <row r="186" spans="1:11" ht="20.100000000000001" customHeight="1">
      <c r="A186" s="56" t="s">
        <v>1765</v>
      </c>
      <c r="B186" s="57" t="s">
        <v>1766</v>
      </c>
      <c r="C186" s="56" t="s">
        <v>1455</v>
      </c>
      <c r="D186" s="56" t="s">
        <v>1230</v>
      </c>
      <c r="E186" s="56" t="s">
        <v>1233</v>
      </c>
      <c r="F186" s="58">
        <v>12.013310075</v>
      </c>
      <c r="G186" s="58">
        <v>6.2146999999999997</v>
      </c>
      <c r="H186" s="58">
        <v>74.659118123102502</v>
      </c>
      <c r="I186" s="59">
        <v>5.6063260718745486E-4</v>
      </c>
      <c r="J186" s="59">
        <v>87.543972689669673</v>
      </c>
      <c r="K186" s="56" t="s">
        <v>1459</v>
      </c>
    </row>
    <row r="187" spans="1:11" ht="20.100000000000001" customHeight="1">
      <c r="A187" s="56" t="s">
        <v>1767</v>
      </c>
      <c r="B187" s="57" t="s">
        <v>1768</v>
      </c>
      <c r="C187" s="56" t="s">
        <v>29</v>
      </c>
      <c r="D187" s="56" t="s">
        <v>1190</v>
      </c>
      <c r="E187" s="56" t="s">
        <v>40</v>
      </c>
      <c r="F187" s="58">
        <v>4.6368</v>
      </c>
      <c r="G187" s="58">
        <v>15.89</v>
      </c>
      <c r="H187" s="58">
        <v>73.678752000000003</v>
      </c>
      <c r="I187" s="59">
        <v>5.5327081094058575E-4</v>
      </c>
      <c r="J187" s="59">
        <v>87.544525969852131</v>
      </c>
      <c r="K187" s="56" t="s">
        <v>1459</v>
      </c>
    </row>
    <row r="188" spans="1:11" ht="27.95" customHeight="1">
      <c r="A188" s="56" t="s">
        <v>1769</v>
      </c>
      <c r="B188" s="57" t="s">
        <v>1770</v>
      </c>
      <c r="C188" s="56" t="s">
        <v>29</v>
      </c>
      <c r="D188" s="56" t="s">
        <v>1492</v>
      </c>
      <c r="E188" s="56" t="s">
        <v>1207</v>
      </c>
      <c r="F188" s="58">
        <v>114.9165682</v>
      </c>
      <c r="G188" s="58">
        <v>0.62</v>
      </c>
      <c r="H188" s="58">
        <v>71.248272283999995</v>
      </c>
      <c r="I188" s="59">
        <v>5.3501977591428711E-4</v>
      </c>
      <c r="J188" s="59">
        <v>87.545061002601869</v>
      </c>
      <c r="K188" s="56" t="s">
        <v>1459</v>
      </c>
    </row>
    <row r="189" spans="1:11" ht="15" customHeight="1">
      <c r="A189" s="56" t="s">
        <v>1771</v>
      </c>
      <c r="B189" s="57" t="s">
        <v>1772</v>
      </c>
      <c r="C189" s="56" t="s">
        <v>1455</v>
      </c>
      <c r="D189" s="56" t="s">
        <v>1190</v>
      </c>
      <c r="E189" s="56" t="s">
        <v>167</v>
      </c>
      <c r="F189" s="58">
        <v>3.10765</v>
      </c>
      <c r="G189" s="58">
        <v>21.483699999999999</v>
      </c>
      <c r="H189" s="58">
        <v>66.763820304999996</v>
      </c>
      <c r="I189" s="59">
        <v>5.0134498751606017E-4</v>
      </c>
      <c r="J189" s="59">
        <v>87.54556231890183</v>
      </c>
      <c r="K189" s="56" t="s">
        <v>1459</v>
      </c>
    </row>
    <row r="190" spans="1:11" ht="20.100000000000001" customHeight="1">
      <c r="A190" s="56" t="s">
        <v>1773</v>
      </c>
      <c r="B190" s="57" t="s">
        <v>1774</v>
      </c>
      <c r="C190" s="56" t="s">
        <v>1455</v>
      </c>
      <c r="D190" s="56" t="s">
        <v>1230</v>
      </c>
      <c r="E190" s="56" t="s">
        <v>1233</v>
      </c>
      <c r="F190" s="58">
        <v>15.667043597309812</v>
      </c>
      <c r="G190" s="58">
        <v>4.1797000000000004</v>
      </c>
      <c r="H190" s="58">
        <v>65.483542123675818</v>
      </c>
      <c r="I190" s="59">
        <v>4.9173108217180617E-4</v>
      </c>
      <c r="J190" s="59">
        <v>87.546054023385381</v>
      </c>
      <c r="K190" s="56" t="s">
        <v>1459</v>
      </c>
    </row>
    <row r="191" spans="1:11" ht="15" customHeight="1">
      <c r="A191" s="56" t="s">
        <v>1775</v>
      </c>
      <c r="B191" s="57" t="s">
        <v>1776</v>
      </c>
      <c r="C191" s="56" t="s">
        <v>1455</v>
      </c>
      <c r="D191" s="56" t="s">
        <v>1190</v>
      </c>
      <c r="E191" s="56" t="s">
        <v>70</v>
      </c>
      <c r="F191" s="58">
        <v>0.4305920325</v>
      </c>
      <c r="G191" s="58">
        <v>151.08799999999999</v>
      </c>
      <c r="H191" s="58">
        <v>65.057289006359994</v>
      </c>
      <c r="I191" s="59">
        <v>4.8853024880422585E-4</v>
      </c>
      <c r="J191" s="59">
        <v>87.546542573991658</v>
      </c>
      <c r="K191" s="56" t="s">
        <v>1459</v>
      </c>
    </row>
    <row r="192" spans="1:11" ht="15" customHeight="1">
      <c r="A192" s="56" t="s">
        <v>1777</v>
      </c>
      <c r="B192" s="57" t="s">
        <v>1778</v>
      </c>
      <c r="C192" s="56" t="s">
        <v>29</v>
      </c>
      <c r="D192" s="56" t="s">
        <v>1190</v>
      </c>
      <c r="E192" s="56" t="s">
        <v>60</v>
      </c>
      <c r="F192" s="58">
        <v>0.18658656000000001</v>
      </c>
      <c r="G192" s="58">
        <v>341.81</v>
      </c>
      <c r="H192" s="58">
        <v>63.7771520736</v>
      </c>
      <c r="I192" s="59">
        <v>4.7891740412814987E-4</v>
      </c>
      <c r="J192" s="59">
        <v>87.547021512781527</v>
      </c>
      <c r="K192" s="56" t="s">
        <v>1459</v>
      </c>
    </row>
    <row r="193" spans="1:11" ht="15" customHeight="1">
      <c r="A193" s="56" t="s">
        <v>1779</v>
      </c>
      <c r="B193" s="57" t="s">
        <v>1780</v>
      </c>
      <c r="C193" s="56" t="s">
        <v>29</v>
      </c>
      <c r="D193" s="56" t="s">
        <v>1475</v>
      </c>
      <c r="E193" s="56" t="s">
        <v>1207</v>
      </c>
      <c r="F193" s="58">
        <v>3.44965030432</v>
      </c>
      <c r="G193" s="58">
        <v>17.96</v>
      </c>
      <c r="H193" s="58">
        <v>61.955719465587201</v>
      </c>
      <c r="I193" s="59">
        <v>4.6523984487594015E-4</v>
      </c>
      <c r="J193" s="59">
        <v>87.54748678476993</v>
      </c>
      <c r="K193" s="56" t="s">
        <v>1459</v>
      </c>
    </row>
    <row r="194" spans="1:11" ht="20.100000000000001" customHeight="1">
      <c r="A194" s="56" t="s">
        <v>1781</v>
      </c>
      <c r="B194" s="57" t="s">
        <v>1782</v>
      </c>
      <c r="C194" s="56" t="s">
        <v>29</v>
      </c>
      <c r="D194" s="56" t="s">
        <v>1218</v>
      </c>
      <c r="E194" s="56" t="s">
        <v>115</v>
      </c>
      <c r="F194" s="58">
        <v>1.05733666665E-4</v>
      </c>
      <c r="G194" s="58">
        <v>547702.68000000005</v>
      </c>
      <c r="H194" s="58">
        <v>57.910612598647162</v>
      </c>
      <c r="I194" s="59">
        <v>4.3486420066560873E-4</v>
      </c>
      <c r="J194" s="59">
        <v>87.547921644370447</v>
      </c>
      <c r="K194" s="56" t="s">
        <v>1459</v>
      </c>
    </row>
    <row r="195" spans="1:11" ht="15" customHeight="1">
      <c r="A195" s="56" t="s">
        <v>1783</v>
      </c>
      <c r="B195" s="57" t="s">
        <v>1784</v>
      </c>
      <c r="C195" s="56" t="s">
        <v>29</v>
      </c>
      <c r="D195" s="56" t="s">
        <v>1190</v>
      </c>
      <c r="E195" s="56" t="s">
        <v>138</v>
      </c>
      <c r="F195" s="58">
        <v>2.07449708</v>
      </c>
      <c r="G195" s="58">
        <v>25.91</v>
      </c>
      <c r="H195" s="58">
        <v>53.750219342800001</v>
      </c>
      <c r="I195" s="59">
        <v>4.0362284426350375E-4</v>
      </c>
      <c r="J195" s="59">
        <v>87.548325265567613</v>
      </c>
      <c r="K195" s="56" t="s">
        <v>1459</v>
      </c>
    </row>
    <row r="196" spans="1:11" ht="15" customHeight="1">
      <c r="A196" s="56" t="s">
        <v>1785</v>
      </c>
      <c r="B196" s="57" t="s">
        <v>1786</v>
      </c>
      <c r="C196" s="56" t="s">
        <v>1455</v>
      </c>
      <c r="D196" s="56" t="s">
        <v>1190</v>
      </c>
      <c r="E196" s="56" t="s">
        <v>163</v>
      </c>
      <c r="F196" s="58">
        <v>1.1036025</v>
      </c>
      <c r="G196" s="58">
        <v>47.068199999999997</v>
      </c>
      <c r="H196" s="58">
        <v>51.944583190499998</v>
      </c>
      <c r="I196" s="59">
        <v>3.9006390425530893E-4</v>
      </c>
      <c r="J196" s="59">
        <v>87.548715295055629</v>
      </c>
      <c r="K196" s="56" t="s">
        <v>1459</v>
      </c>
    </row>
    <row r="197" spans="1:11" ht="20.100000000000001" customHeight="1">
      <c r="A197" s="56" t="s">
        <v>1787</v>
      </c>
      <c r="B197" s="57" t="s">
        <v>1788</v>
      </c>
      <c r="C197" s="56" t="s">
        <v>1455</v>
      </c>
      <c r="D197" s="56" t="s">
        <v>1230</v>
      </c>
      <c r="E197" s="56" t="s">
        <v>1233</v>
      </c>
      <c r="F197" s="58">
        <v>4.3936385542168672</v>
      </c>
      <c r="G197" s="58">
        <v>10.7265</v>
      </c>
      <c r="H197" s="58">
        <v>47.128363951807231</v>
      </c>
      <c r="I197" s="59">
        <v>3.5389779867497559E-4</v>
      </c>
      <c r="J197" s="59">
        <v>87.549069205139773</v>
      </c>
      <c r="K197" s="56" t="s">
        <v>1459</v>
      </c>
    </row>
    <row r="198" spans="1:11" ht="15" customHeight="1">
      <c r="A198" s="56" t="s">
        <v>1789</v>
      </c>
      <c r="B198" s="57" t="s">
        <v>1790</v>
      </c>
      <c r="C198" s="56" t="s">
        <v>1455</v>
      </c>
      <c r="D198" s="56" t="s">
        <v>1190</v>
      </c>
      <c r="E198" s="56" t="s">
        <v>70</v>
      </c>
      <c r="F198" s="58">
        <v>0.51087749999999998</v>
      </c>
      <c r="G198" s="58">
        <v>89.133600000000001</v>
      </c>
      <c r="H198" s="58">
        <v>45.536350734000003</v>
      </c>
      <c r="I198" s="59">
        <v>3.4194300275166336E-4</v>
      </c>
      <c r="J198" s="59">
        <v>87.5494111755457</v>
      </c>
      <c r="K198" s="56" t="s">
        <v>1459</v>
      </c>
    </row>
    <row r="199" spans="1:11" ht="15" customHeight="1">
      <c r="A199" s="56" t="s">
        <v>1791</v>
      </c>
      <c r="B199" s="57" t="s">
        <v>1792</v>
      </c>
      <c r="C199" s="56" t="s">
        <v>29</v>
      </c>
      <c r="D199" s="56" t="s">
        <v>1190</v>
      </c>
      <c r="E199" s="56" t="s">
        <v>138</v>
      </c>
      <c r="F199" s="58">
        <v>1.4508000000000001</v>
      </c>
      <c r="G199" s="58">
        <v>26.21</v>
      </c>
      <c r="H199" s="58">
        <v>38.025467999999996</v>
      </c>
      <c r="I199" s="59">
        <v>2.8554204496779876E-4</v>
      </c>
      <c r="J199" s="59">
        <v>87.549696751622506</v>
      </c>
      <c r="K199" s="56" t="s">
        <v>1459</v>
      </c>
    </row>
    <row r="200" spans="1:11" ht="15" customHeight="1">
      <c r="A200" s="56" t="s">
        <v>1793</v>
      </c>
      <c r="B200" s="57" t="s">
        <v>1794</v>
      </c>
      <c r="C200" s="56" t="s">
        <v>1455</v>
      </c>
      <c r="D200" s="56" t="s">
        <v>1190</v>
      </c>
      <c r="E200" s="56" t="s">
        <v>70</v>
      </c>
      <c r="F200" s="58">
        <v>0.24988125750000001</v>
      </c>
      <c r="G200" s="58">
        <v>111.3653</v>
      </c>
      <c r="H200" s="58">
        <v>27.828101205864751</v>
      </c>
      <c r="I200" s="59">
        <v>2.0896765625326392E-4</v>
      </c>
      <c r="J200" s="59">
        <v>87.549905733537244</v>
      </c>
      <c r="K200" s="56" t="s">
        <v>1459</v>
      </c>
    </row>
    <row r="201" spans="1:11" ht="15" customHeight="1">
      <c r="A201" s="56" t="s">
        <v>1795</v>
      </c>
      <c r="B201" s="57" t="s">
        <v>1796</v>
      </c>
      <c r="C201" s="56" t="s">
        <v>1455</v>
      </c>
      <c r="D201" s="56" t="s">
        <v>1190</v>
      </c>
      <c r="E201" s="56" t="s">
        <v>70</v>
      </c>
      <c r="F201" s="58">
        <v>0.24988125750000001</v>
      </c>
      <c r="G201" s="58">
        <v>106.5736</v>
      </c>
      <c r="H201" s="58">
        <v>26.630745184302</v>
      </c>
      <c r="I201" s="59">
        <v>1.9997643260937517E-4</v>
      </c>
      <c r="J201" s="59">
        <v>87.550105704374104</v>
      </c>
      <c r="K201" s="56" t="s">
        <v>1459</v>
      </c>
    </row>
    <row r="202" spans="1:11" ht="27.95" customHeight="1">
      <c r="A202" s="56" t="s">
        <v>1797</v>
      </c>
      <c r="B202" s="57" t="s">
        <v>1798</v>
      </c>
      <c r="C202" s="56" t="s">
        <v>29</v>
      </c>
      <c r="D202" s="56" t="s">
        <v>1492</v>
      </c>
      <c r="E202" s="56" t="s">
        <v>31</v>
      </c>
      <c r="F202" s="58">
        <v>11.65</v>
      </c>
      <c r="G202" s="58">
        <v>1.9</v>
      </c>
      <c r="H202" s="58">
        <v>22.135000000000002</v>
      </c>
      <c r="I202" s="59">
        <v>1.6621684091730905E-4</v>
      </c>
      <c r="J202" s="59">
        <v>87.550271958761172</v>
      </c>
      <c r="K202" s="56" t="s">
        <v>1459</v>
      </c>
    </row>
    <row r="203" spans="1:11" ht="20.100000000000001" customHeight="1">
      <c r="A203" s="56" t="s">
        <v>1799</v>
      </c>
      <c r="B203" s="57" t="s">
        <v>1800</v>
      </c>
      <c r="C203" s="56" t="s">
        <v>29</v>
      </c>
      <c r="D203" s="56" t="s">
        <v>1190</v>
      </c>
      <c r="E203" s="56" t="s">
        <v>115</v>
      </c>
      <c r="F203" s="58">
        <v>2.9272271951999999E-2</v>
      </c>
      <c r="G203" s="58">
        <v>613.20000000000005</v>
      </c>
      <c r="H203" s="58">
        <v>17.949757160966399</v>
      </c>
      <c r="I203" s="59">
        <v>1.3478888324050965E-4</v>
      </c>
      <c r="J203" s="59">
        <v>87.550406749467953</v>
      </c>
      <c r="K203" s="56" t="s">
        <v>1459</v>
      </c>
    </row>
    <row r="204" spans="1:11" ht="20.100000000000001" customHeight="1">
      <c r="A204" s="56" t="s">
        <v>1801</v>
      </c>
      <c r="B204" s="57" t="s">
        <v>1802</v>
      </c>
      <c r="C204" s="56" t="s">
        <v>1455</v>
      </c>
      <c r="D204" s="56" t="s">
        <v>1230</v>
      </c>
      <c r="E204" s="56" t="s">
        <v>1233</v>
      </c>
      <c r="F204" s="58">
        <v>5.4964145999064157E-2</v>
      </c>
      <c r="G204" s="58">
        <v>313.6044</v>
      </c>
      <c r="H204" s="58">
        <v>17.236998027548914</v>
      </c>
      <c r="I204" s="59">
        <v>1.2943660985033058E-4</v>
      </c>
      <c r="J204" s="59">
        <v>87.550536208620301</v>
      </c>
      <c r="K204" s="56" t="s">
        <v>1459</v>
      </c>
    </row>
    <row r="205" spans="1:11" ht="15" customHeight="1">
      <c r="A205" s="56" t="s">
        <v>1803</v>
      </c>
      <c r="B205" s="57" t="s">
        <v>1804</v>
      </c>
      <c r="C205" s="56" t="s">
        <v>1455</v>
      </c>
      <c r="D205" s="56" t="s">
        <v>1190</v>
      </c>
      <c r="E205" s="56" t="s">
        <v>355</v>
      </c>
      <c r="F205" s="58">
        <v>3.3162402000000002</v>
      </c>
      <c r="G205" s="58">
        <v>4.7298</v>
      </c>
      <c r="H205" s="58">
        <v>15.68515289796</v>
      </c>
      <c r="I205" s="59">
        <v>1.1778344540338316E-4</v>
      </c>
      <c r="J205" s="59">
        <v>87.550654028463725</v>
      </c>
      <c r="K205" s="56" t="s">
        <v>1459</v>
      </c>
    </row>
    <row r="206" spans="1:11" ht="20.100000000000001" customHeight="1">
      <c r="A206" s="56" t="s">
        <v>1805</v>
      </c>
      <c r="B206" s="57" t="s">
        <v>1806</v>
      </c>
      <c r="C206" s="56" t="s">
        <v>1455</v>
      </c>
      <c r="D206" s="56" t="s">
        <v>1230</v>
      </c>
      <c r="E206" s="56" t="s">
        <v>1233</v>
      </c>
      <c r="F206" s="58">
        <v>0.28502872239430482</v>
      </c>
      <c r="G206" s="58">
        <v>50.058799999999998</v>
      </c>
      <c r="H206" s="58">
        <v>14.268195808592028</v>
      </c>
      <c r="I206" s="59">
        <v>1.0714318648718123E-4</v>
      </c>
      <c r="J206" s="59">
        <v>87.550761185198297</v>
      </c>
      <c r="K206" s="56" t="s">
        <v>1459</v>
      </c>
    </row>
    <row r="207" spans="1:11" ht="20.100000000000001" customHeight="1">
      <c r="A207" s="56" t="s">
        <v>1807</v>
      </c>
      <c r="B207" s="57" t="s">
        <v>1808</v>
      </c>
      <c r="C207" s="56" t="s">
        <v>1455</v>
      </c>
      <c r="D207" s="56" t="s">
        <v>1230</v>
      </c>
      <c r="E207" s="56" t="s">
        <v>1233</v>
      </c>
      <c r="F207" s="58">
        <v>15.382014874915507</v>
      </c>
      <c r="G207" s="58">
        <v>0.80200000000000005</v>
      </c>
      <c r="H207" s="58">
        <v>12.336375929682237</v>
      </c>
      <c r="I207" s="59">
        <v>9.2636703654850369E-5</v>
      </c>
      <c r="J207" s="59">
        <v>87.550853849115938</v>
      </c>
      <c r="K207" s="56" t="s">
        <v>1459</v>
      </c>
    </row>
    <row r="208" spans="1:11" ht="20.100000000000001" customHeight="1">
      <c r="A208" s="56" t="s">
        <v>1809</v>
      </c>
      <c r="B208" s="57" t="s">
        <v>1810</v>
      </c>
      <c r="C208" s="56" t="s">
        <v>29</v>
      </c>
      <c r="D208" s="56" t="s">
        <v>1218</v>
      </c>
      <c r="E208" s="56" t="s">
        <v>115</v>
      </c>
      <c r="F208" s="58">
        <v>7.6392598571599999E-3</v>
      </c>
      <c r="G208" s="58">
        <v>1127.04</v>
      </c>
      <c r="H208" s="58">
        <v>8.6097514294136062</v>
      </c>
      <c r="I208" s="59">
        <v>6.4652617288475967E-5</v>
      </c>
      <c r="J208" s="59">
        <v>87.550918503599803</v>
      </c>
      <c r="K208" s="56" t="s">
        <v>1459</v>
      </c>
    </row>
    <row r="209" spans="1:11" ht="27.95" customHeight="1">
      <c r="A209" s="56" t="s">
        <v>1811</v>
      </c>
      <c r="B209" s="57" t="s">
        <v>1812</v>
      </c>
      <c r="C209" s="56" t="s">
        <v>29</v>
      </c>
      <c r="D209" s="56" t="s">
        <v>1492</v>
      </c>
      <c r="E209" s="56" t="s">
        <v>1207</v>
      </c>
      <c r="F209" s="58">
        <v>114.9165682</v>
      </c>
      <c r="G209" s="58">
        <v>7.0000000000000007E-2</v>
      </c>
      <c r="H209" s="58">
        <v>8.0441597740000006</v>
      </c>
      <c r="I209" s="59">
        <v>6.0405458570967916E-5</v>
      </c>
      <c r="J209" s="59">
        <v>87.550978877821663</v>
      </c>
      <c r="K209" s="56" t="s">
        <v>1459</v>
      </c>
    </row>
    <row r="210" spans="1:11" ht="20.100000000000001" customHeight="1">
      <c r="A210" s="56" t="s">
        <v>1813</v>
      </c>
      <c r="B210" s="57" t="s">
        <v>1814</v>
      </c>
      <c r="C210" s="56" t="s">
        <v>29</v>
      </c>
      <c r="D210" s="56" t="s">
        <v>1190</v>
      </c>
      <c r="E210" s="56" t="s">
        <v>138</v>
      </c>
      <c r="F210" s="58">
        <v>0.53039999999999998</v>
      </c>
      <c r="G210" s="58">
        <v>14.4</v>
      </c>
      <c r="H210" s="58">
        <v>7.6377600000000001</v>
      </c>
      <c r="I210" s="59">
        <v>5.735370855588825E-5</v>
      </c>
      <c r="J210" s="59">
        <v>87.551036248350897</v>
      </c>
      <c r="K210" s="56" t="s">
        <v>1459</v>
      </c>
    </row>
    <row r="211" spans="1:11" ht="15" customHeight="1">
      <c r="A211" s="56" t="s">
        <v>1815</v>
      </c>
      <c r="B211" s="57" t="s">
        <v>1816</v>
      </c>
      <c r="C211" s="56" t="s">
        <v>1455</v>
      </c>
      <c r="D211" s="56" t="s">
        <v>1475</v>
      </c>
      <c r="E211" s="56" t="s">
        <v>1264</v>
      </c>
      <c r="F211" s="58">
        <v>0.28502872239430482</v>
      </c>
      <c r="G211" s="58">
        <v>23.7926</v>
      </c>
      <c r="H211" s="58">
        <v>6.7815743804387374</v>
      </c>
      <c r="I211" s="59">
        <v>5.0924412467236699E-5</v>
      </c>
      <c r="J211" s="59">
        <v>87.55108716094098</v>
      </c>
      <c r="K211" s="56" t="s">
        <v>1459</v>
      </c>
    </row>
    <row r="212" spans="1:11" ht="20.100000000000001" customHeight="1">
      <c r="A212" s="56" t="s">
        <v>1817</v>
      </c>
      <c r="B212" s="57" t="s">
        <v>1818</v>
      </c>
      <c r="C212" s="56" t="s">
        <v>1455</v>
      </c>
      <c r="D212" s="56" t="s">
        <v>1230</v>
      </c>
      <c r="E212" s="56" t="s">
        <v>1233</v>
      </c>
      <c r="F212" s="58">
        <v>2.2278886634329101E-2</v>
      </c>
      <c r="G212" s="58">
        <v>294.60289999999998</v>
      </c>
      <c r="H212" s="58">
        <v>6.5634246112445931</v>
      </c>
      <c r="I212" s="59">
        <v>4.9286275332278903E-5</v>
      </c>
      <c r="J212" s="59">
        <v>87.551136421500118</v>
      </c>
      <c r="K212" s="56" t="s">
        <v>1459</v>
      </c>
    </row>
    <row r="213" spans="1:11" ht="20.100000000000001" customHeight="1">
      <c r="A213" s="56" t="s">
        <v>1819</v>
      </c>
      <c r="B213" s="57" t="s">
        <v>1820</v>
      </c>
      <c r="C213" s="56" t="s">
        <v>1455</v>
      </c>
      <c r="D213" s="56" t="s">
        <v>1230</v>
      </c>
      <c r="E213" s="56" t="s">
        <v>1233</v>
      </c>
      <c r="F213" s="58">
        <v>0.25585560000000002</v>
      </c>
      <c r="G213" s="58">
        <v>23.898800000000001</v>
      </c>
      <c r="H213" s="58">
        <v>6.1146418132799996</v>
      </c>
      <c r="I213" s="59">
        <v>4.5916261375391368E-5</v>
      </c>
      <c r="J213" s="59">
        <v>87.551182302905033</v>
      </c>
      <c r="K213" s="56" t="s">
        <v>1459</v>
      </c>
    </row>
    <row r="214" spans="1:11" ht="15" customHeight="1">
      <c r="A214" s="56" t="s">
        <v>1821</v>
      </c>
      <c r="B214" s="57" t="s">
        <v>1822</v>
      </c>
      <c r="C214" s="56" t="s">
        <v>1455</v>
      </c>
      <c r="D214" s="56" t="s">
        <v>1190</v>
      </c>
      <c r="E214" s="56" t="s">
        <v>1590</v>
      </c>
      <c r="F214" s="58">
        <v>0.94792939249999997</v>
      </c>
      <c r="G214" s="58">
        <v>5.9009999999999998</v>
      </c>
      <c r="H214" s="58">
        <v>5.5937313451425004</v>
      </c>
      <c r="I214" s="59">
        <v>4.2004624040194993E-5</v>
      </c>
      <c r="J214" s="59">
        <v>87.55122427950954</v>
      </c>
      <c r="K214" s="56" t="s">
        <v>1459</v>
      </c>
    </row>
    <row r="215" spans="1:11" ht="20.100000000000001" customHeight="1">
      <c r="A215" s="56" t="s">
        <v>1823</v>
      </c>
      <c r="B215" s="57" t="s">
        <v>1824</v>
      </c>
      <c r="C215" s="56" t="s">
        <v>29</v>
      </c>
      <c r="D215" s="56" t="s">
        <v>1218</v>
      </c>
      <c r="E215" s="56" t="s">
        <v>115</v>
      </c>
      <c r="F215" s="58">
        <v>1.3953243093759999E-3</v>
      </c>
      <c r="G215" s="58">
        <v>3978.58</v>
      </c>
      <c r="H215" s="58">
        <v>5.5514093907971658</v>
      </c>
      <c r="I215" s="59">
        <v>4.1686818684300338E-5</v>
      </c>
      <c r="J215" s="59">
        <v>87.551265955744782</v>
      </c>
      <c r="K215" s="56" t="s">
        <v>1459</v>
      </c>
    </row>
    <row r="216" spans="1:11" ht="20.100000000000001" customHeight="1">
      <c r="A216" s="56" t="s">
        <v>1825</v>
      </c>
      <c r="B216" s="57" t="s">
        <v>1826</v>
      </c>
      <c r="C216" s="56" t="s">
        <v>1455</v>
      </c>
      <c r="D216" s="56" t="s">
        <v>1230</v>
      </c>
      <c r="E216" s="56" t="s">
        <v>1233</v>
      </c>
      <c r="F216" s="58">
        <v>4.8710120481927641E-3</v>
      </c>
      <c r="G216" s="58">
        <v>974.86850000000004</v>
      </c>
      <c r="H216" s="58">
        <v>4.7485962089036073</v>
      </c>
      <c r="I216" s="59">
        <v>3.5658308589829129E-5</v>
      </c>
      <c r="J216" s="59">
        <v>87.551301624594771</v>
      </c>
      <c r="K216" s="56" t="s">
        <v>1459</v>
      </c>
    </row>
    <row r="217" spans="1:11" ht="20.100000000000001" customHeight="1">
      <c r="A217" s="56" t="s">
        <v>1827</v>
      </c>
      <c r="B217" s="57" t="s">
        <v>1828</v>
      </c>
      <c r="C217" s="56" t="s">
        <v>29</v>
      </c>
      <c r="D217" s="56" t="s">
        <v>1218</v>
      </c>
      <c r="E217" s="56" t="s">
        <v>115</v>
      </c>
      <c r="F217" s="58">
        <v>1.3071666661199999E-4</v>
      </c>
      <c r="G217" s="58">
        <v>28346.15</v>
      </c>
      <c r="H217" s="58">
        <v>3.7053142392837439</v>
      </c>
      <c r="I217" s="59">
        <v>2.7824062681710686E-5</v>
      </c>
      <c r="J217" s="59">
        <v>87.551329483843915</v>
      </c>
      <c r="K217" s="56" t="s">
        <v>1459</v>
      </c>
    </row>
    <row r="218" spans="1:11" ht="20.100000000000001" customHeight="1">
      <c r="A218" s="56" t="s">
        <v>1829</v>
      </c>
      <c r="B218" s="57" t="s">
        <v>1830</v>
      </c>
      <c r="C218" s="56" t="s">
        <v>1455</v>
      </c>
      <c r="D218" s="56" t="s">
        <v>1230</v>
      </c>
      <c r="E218" s="56" t="s">
        <v>1233</v>
      </c>
      <c r="F218" s="58">
        <v>1.1941185181526577E-2</v>
      </c>
      <c r="G218" s="58">
        <v>306.36849999999998</v>
      </c>
      <c r="H218" s="58">
        <v>3.6584029922865251</v>
      </c>
      <c r="I218" s="59">
        <v>2.7471795264526617E-5</v>
      </c>
      <c r="J218" s="59">
        <v>87.551356967631477</v>
      </c>
      <c r="K218" s="56" t="s">
        <v>1459</v>
      </c>
    </row>
    <row r="219" spans="1:11" ht="20.100000000000001" customHeight="1">
      <c r="A219" s="56" t="s">
        <v>1831</v>
      </c>
      <c r="B219" s="57" t="s">
        <v>1832</v>
      </c>
      <c r="C219" s="56" t="s">
        <v>1455</v>
      </c>
      <c r="D219" s="56" t="s">
        <v>1230</v>
      </c>
      <c r="E219" s="56" t="s">
        <v>1233</v>
      </c>
      <c r="F219" s="58">
        <v>1.1270760363856873E-2</v>
      </c>
      <c r="G219" s="58">
        <v>315.8775</v>
      </c>
      <c r="H219" s="58">
        <v>3.5601796068341995</v>
      </c>
      <c r="I219" s="59">
        <v>2.6734213117063837E-5</v>
      </c>
      <c r="J219" s="59">
        <v>87.551383700495876</v>
      </c>
      <c r="K219" s="56" t="s">
        <v>1459</v>
      </c>
    </row>
    <row r="220" spans="1:11" ht="15" customHeight="1">
      <c r="A220" s="56" t="s">
        <v>1833</v>
      </c>
      <c r="B220" s="57" t="s">
        <v>1834</v>
      </c>
      <c r="C220" s="56" t="s">
        <v>29</v>
      </c>
      <c r="D220" s="56" t="s">
        <v>1190</v>
      </c>
      <c r="E220" s="56" t="s">
        <v>138</v>
      </c>
      <c r="F220" s="58">
        <v>0.13120000000000001</v>
      </c>
      <c r="G220" s="58">
        <v>23.85</v>
      </c>
      <c r="H220" s="58">
        <v>3.1291199999999999</v>
      </c>
      <c r="I220" s="59">
        <v>2.3497286706626158E-5</v>
      </c>
      <c r="J220" s="59">
        <v>87.551407204390713</v>
      </c>
      <c r="K220" s="56" t="s">
        <v>1459</v>
      </c>
    </row>
    <row r="221" spans="1:11" ht="20.100000000000001" customHeight="1">
      <c r="A221" s="56" t="s">
        <v>1835</v>
      </c>
      <c r="B221" s="57" t="s">
        <v>1836</v>
      </c>
      <c r="C221" s="56" t="s">
        <v>29</v>
      </c>
      <c r="D221" s="56" t="s">
        <v>1190</v>
      </c>
      <c r="E221" s="56" t="s">
        <v>20</v>
      </c>
      <c r="F221" s="58">
        <v>0.1299398672</v>
      </c>
      <c r="G221" s="58">
        <v>21.2</v>
      </c>
      <c r="H221" s="58">
        <v>2.7547251846399998</v>
      </c>
      <c r="I221" s="59">
        <v>2.0685869337529324E-5</v>
      </c>
      <c r="J221" s="59">
        <v>87.551427854777543</v>
      </c>
      <c r="K221" s="56" t="s">
        <v>1459</v>
      </c>
    </row>
    <row r="222" spans="1:11" ht="20.100000000000001" customHeight="1">
      <c r="A222" s="56" t="s">
        <v>1837</v>
      </c>
      <c r="B222" s="57" t="s">
        <v>1838</v>
      </c>
      <c r="C222" s="56" t="s">
        <v>1455</v>
      </c>
      <c r="D222" s="56" t="s">
        <v>1230</v>
      </c>
      <c r="E222" s="56" t="s">
        <v>1233</v>
      </c>
      <c r="F222" s="58">
        <v>4.8710120481927641E-3</v>
      </c>
      <c r="G222" s="58">
        <v>454.34890000000001</v>
      </c>
      <c r="H222" s="58">
        <v>2.2131389659831293</v>
      </c>
      <c r="I222" s="59">
        <v>1.6618973003691692E-5</v>
      </c>
      <c r="J222" s="59">
        <v>87.551444450179332</v>
      </c>
      <c r="K222" s="56" t="s">
        <v>1459</v>
      </c>
    </row>
    <row r="223" spans="1:11" ht="20.100000000000001" customHeight="1">
      <c r="A223" s="56" t="s">
        <v>1839</v>
      </c>
      <c r="B223" s="57" t="s">
        <v>1840</v>
      </c>
      <c r="C223" s="56" t="s">
        <v>1455</v>
      </c>
      <c r="D223" s="56" t="s">
        <v>1230</v>
      </c>
      <c r="E223" s="56" t="s">
        <v>1233</v>
      </c>
      <c r="F223" s="58">
        <v>3.7569201212856243E-3</v>
      </c>
      <c r="G223" s="58">
        <v>544.83320000000003</v>
      </c>
      <c r="H223" s="58">
        <v>2.0468948118244348</v>
      </c>
      <c r="I223" s="59">
        <v>1.5370607152088876E-5</v>
      </c>
      <c r="J223" s="59">
        <v>87.551459844104059</v>
      </c>
      <c r="K223" s="56" t="s">
        <v>1459</v>
      </c>
    </row>
    <row r="224" spans="1:11" ht="20.100000000000001" customHeight="1">
      <c r="A224" s="56" t="s">
        <v>1841</v>
      </c>
      <c r="B224" s="57" t="s">
        <v>1842</v>
      </c>
      <c r="C224" s="56" t="s">
        <v>1455</v>
      </c>
      <c r="D224" s="56" t="s">
        <v>1230</v>
      </c>
      <c r="E224" s="56" t="s">
        <v>1233</v>
      </c>
      <c r="F224" s="58">
        <v>9.2889866666666567E-3</v>
      </c>
      <c r="G224" s="58">
        <v>194.49610000000001</v>
      </c>
      <c r="H224" s="58">
        <v>1.8066716796186648</v>
      </c>
      <c r="I224" s="59">
        <v>1.3566716022633077E-5</v>
      </c>
      <c r="J224" s="59">
        <v>87.551473435813207</v>
      </c>
      <c r="K224" s="56" t="s">
        <v>1459</v>
      </c>
    </row>
    <row r="225" spans="1:11" ht="15" customHeight="1">
      <c r="A225" s="56" t="s">
        <v>1843</v>
      </c>
      <c r="B225" s="57" t="s">
        <v>1844</v>
      </c>
      <c r="C225" s="56" t="s">
        <v>1455</v>
      </c>
      <c r="D225" s="56" t="s">
        <v>1190</v>
      </c>
      <c r="E225" s="56" t="s">
        <v>1590</v>
      </c>
      <c r="F225" s="58">
        <v>0.14291307798767999</v>
      </c>
      <c r="G225" s="58">
        <v>12.1241</v>
      </c>
      <c r="H225" s="58">
        <v>1.7326924488304312</v>
      </c>
      <c r="I225" s="59">
        <v>1.3011188846888205E-5</v>
      </c>
      <c r="J225" s="59">
        <v>87.551486426783825</v>
      </c>
      <c r="K225" s="56" t="s">
        <v>1459</v>
      </c>
    </row>
    <row r="226" spans="1:11" ht="20.100000000000001" customHeight="1">
      <c r="A226" s="56" t="s">
        <v>1845</v>
      </c>
      <c r="B226" s="57" t="s">
        <v>1846</v>
      </c>
      <c r="C226" s="56" t="s">
        <v>1455</v>
      </c>
      <c r="D226" s="56" t="s">
        <v>1230</v>
      </c>
      <c r="E226" s="56" t="s">
        <v>1233</v>
      </c>
      <c r="F226" s="58">
        <v>9.2889866666666567E-3</v>
      </c>
      <c r="G226" s="58">
        <v>149.0309</v>
      </c>
      <c r="H226" s="58">
        <v>1.3843460430213319</v>
      </c>
      <c r="I226" s="59">
        <v>1.0395375017275037E-5</v>
      </c>
      <c r="J226" s="59">
        <v>87.551496789523412</v>
      </c>
      <c r="K226" s="56" t="s">
        <v>1459</v>
      </c>
    </row>
    <row r="227" spans="1:11" ht="20.100000000000001" customHeight="1">
      <c r="A227" s="56" t="s">
        <v>1847</v>
      </c>
      <c r="B227" s="57" t="s">
        <v>1848</v>
      </c>
      <c r="C227" s="56" t="s">
        <v>1455</v>
      </c>
      <c r="D227" s="56" t="s">
        <v>1230</v>
      </c>
      <c r="E227" s="56" t="s">
        <v>1233</v>
      </c>
      <c r="F227" s="58">
        <v>0.85508616718291464</v>
      </c>
      <c r="G227" s="58">
        <v>1.5599000000000001</v>
      </c>
      <c r="H227" s="58">
        <v>1.3338489121886286</v>
      </c>
      <c r="I227" s="59">
        <v>1.0016180367968511E-5</v>
      </c>
      <c r="J227" s="59">
        <v>87.551506776801403</v>
      </c>
      <c r="K227" s="56" t="s">
        <v>1459</v>
      </c>
    </row>
    <row r="228" spans="1:11" ht="20.100000000000001" customHeight="1">
      <c r="A228" s="56" t="s">
        <v>1849</v>
      </c>
      <c r="B228" s="57" t="s">
        <v>1850</v>
      </c>
      <c r="C228" s="56" t="s">
        <v>1455</v>
      </c>
      <c r="D228" s="56" t="s">
        <v>1230</v>
      </c>
      <c r="E228" s="56" t="s">
        <v>1233</v>
      </c>
      <c r="F228" s="58">
        <v>3.3132530120481879E-3</v>
      </c>
      <c r="G228" s="58">
        <v>320.95870000000002</v>
      </c>
      <c r="H228" s="58">
        <v>1.0634173795180708</v>
      </c>
      <c r="I228" s="59">
        <v>7.985447363905888E-6</v>
      </c>
      <c r="J228" s="59">
        <v>87.551514736586867</v>
      </c>
      <c r="K228" s="56" t="s">
        <v>1459</v>
      </c>
    </row>
    <row r="229" spans="1:11" ht="20.100000000000001" customHeight="1">
      <c r="A229" s="56" t="s">
        <v>1851</v>
      </c>
      <c r="B229" s="57" t="s">
        <v>1852</v>
      </c>
      <c r="C229" s="56" t="s">
        <v>1455</v>
      </c>
      <c r="D229" s="56" t="s">
        <v>1230</v>
      </c>
      <c r="E229" s="56" t="s">
        <v>1233</v>
      </c>
      <c r="F229" s="58">
        <v>3.3132530120481879E-3</v>
      </c>
      <c r="G229" s="58">
        <v>320.64940000000001</v>
      </c>
      <c r="H229" s="58">
        <v>1.0623925903614442</v>
      </c>
      <c r="I229" s="59">
        <v>7.9777519848130131E-6</v>
      </c>
      <c r="J229" s="59">
        <v>87.551522696372345</v>
      </c>
      <c r="K229" s="56" t="s">
        <v>1459</v>
      </c>
    </row>
    <row r="230" spans="1:11" ht="20.100000000000001" customHeight="1">
      <c r="A230" s="56" t="s">
        <v>1853</v>
      </c>
      <c r="B230" s="57" t="s">
        <v>1854</v>
      </c>
      <c r="C230" s="56" t="s">
        <v>1455</v>
      </c>
      <c r="D230" s="56" t="s">
        <v>1230</v>
      </c>
      <c r="E230" s="56" t="s">
        <v>1233</v>
      </c>
      <c r="F230" s="58">
        <v>2.6974302213667524E-3</v>
      </c>
      <c r="G230" s="58">
        <v>390.61160000000001</v>
      </c>
      <c r="H230" s="58">
        <v>1.0536475346564214</v>
      </c>
      <c r="I230" s="59">
        <v>7.9120833363858707E-6</v>
      </c>
      <c r="J230" s="59">
        <v>87.551530581065492</v>
      </c>
      <c r="K230" s="56" t="s">
        <v>1459</v>
      </c>
    </row>
    <row r="231" spans="1:11" ht="15" customHeight="1">
      <c r="A231" s="56" t="s">
        <v>1855</v>
      </c>
      <c r="B231" s="57" t="s">
        <v>1856</v>
      </c>
      <c r="C231" s="56" t="s">
        <v>1455</v>
      </c>
      <c r="D231" s="56" t="s">
        <v>1190</v>
      </c>
      <c r="E231" s="56" t="s">
        <v>1590</v>
      </c>
      <c r="F231" s="58">
        <v>7.4201400000000001E-2</v>
      </c>
      <c r="G231" s="58">
        <v>13.7372</v>
      </c>
      <c r="H231" s="58">
        <v>1.0193194720800001</v>
      </c>
      <c r="I231" s="59">
        <v>7.6543059649711679E-6</v>
      </c>
      <c r="J231" s="59">
        <v>87.551538240481705</v>
      </c>
      <c r="K231" s="56" t="s">
        <v>1459</v>
      </c>
    </row>
    <row r="232" spans="1:11" ht="20.100000000000001" customHeight="1">
      <c r="A232" s="56" t="s">
        <v>1857</v>
      </c>
      <c r="B232" s="57" t="s">
        <v>1858</v>
      </c>
      <c r="C232" s="56" t="s">
        <v>1455</v>
      </c>
      <c r="D232" s="56" t="s">
        <v>1230</v>
      </c>
      <c r="E232" s="56" t="s">
        <v>1233</v>
      </c>
      <c r="F232" s="58">
        <v>3.7569201212856243E-3</v>
      </c>
      <c r="G232" s="58">
        <v>254.423</v>
      </c>
      <c r="H232" s="58">
        <v>0.95584688801785245</v>
      </c>
      <c r="I232" s="59">
        <v>7.1776756325714165E-6</v>
      </c>
      <c r="J232" s="59">
        <v>87.551545449344019</v>
      </c>
      <c r="K232" s="56" t="s">
        <v>1459</v>
      </c>
    </row>
    <row r="233" spans="1:11" ht="15" customHeight="1">
      <c r="A233" s="56" t="s">
        <v>1859</v>
      </c>
      <c r="B233" s="57" t="s">
        <v>1860</v>
      </c>
      <c r="C233" s="56" t="s">
        <v>1455</v>
      </c>
      <c r="D233" s="56" t="s">
        <v>1190</v>
      </c>
      <c r="E233" s="56" t="s">
        <v>167</v>
      </c>
      <c r="F233" s="58">
        <v>1.03149435312E-3</v>
      </c>
      <c r="G233" s="58">
        <v>799.97979999999995</v>
      </c>
      <c r="H233" s="58">
        <v>0.82517464631006698</v>
      </c>
      <c r="I233" s="59">
        <v>6.1964275091356297E-6</v>
      </c>
      <c r="J233" s="59">
        <v>87.55155168200622</v>
      </c>
      <c r="K233" s="56" t="s">
        <v>1459</v>
      </c>
    </row>
    <row r="234" spans="1:11" ht="20.100000000000001" customHeight="1">
      <c r="A234" s="56" t="s">
        <v>1861</v>
      </c>
      <c r="B234" s="57" t="s">
        <v>1862</v>
      </c>
      <c r="C234" s="56" t="s">
        <v>1455</v>
      </c>
      <c r="D234" s="56" t="s">
        <v>1230</v>
      </c>
      <c r="E234" s="56" t="s">
        <v>1233</v>
      </c>
      <c r="F234" s="58">
        <v>1.1401148895772195</v>
      </c>
      <c r="G234" s="58">
        <v>0.71989999999999998</v>
      </c>
      <c r="H234" s="58">
        <v>0.82076870900664034</v>
      </c>
      <c r="I234" s="59">
        <v>6.1633423056183353E-6</v>
      </c>
      <c r="J234" s="59">
        <v>87.551557839576105</v>
      </c>
      <c r="K234" s="56" t="s">
        <v>1459</v>
      </c>
    </row>
    <row r="235" spans="1:11" ht="15" customHeight="1">
      <c r="A235" s="56" t="s">
        <v>1863</v>
      </c>
      <c r="B235" s="57" t="s">
        <v>1864</v>
      </c>
      <c r="C235" s="56" t="s">
        <v>1455</v>
      </c>
      <c r="D235" s="56" t="s">
        <v>1190</v>
      </c>
      <c r="E235" s="56" t="s">
        <v>167</v>
      </c>
      <c r="F235" s="58">
        <v>3.2606111999999999E-5</v>
      </c>
      <c r="G235" s="58">
        <v>23635.928</v>
      </c>
      <c r="H235" s="58">
        <v>0.77067571559193604</v>
      </c>
      <c r="I235" s="59">
        <v>5.787182417771771E-6</v>
      </c>
      <c r="J235" s="59">
        <v>87.551563621684423</v>
      </c>
      <c r="K235" s="56" t="s">
        <v>1459</v>
      </c>
    </row>
    <row r="236" spans="1:11" ht="15" customHeight="1">
      <c r="A236" s="56" t="s">
        <v>1865</v>
      </c>
      <c r="B236" s="57" t="s">
        <v>1866</v>
      </c>
      <c r="C236" s="56" t="s">
        <v>1455</v>
      </c>
      <c r="D236" s="56" t="s">
        <v>1190</v>
      </c>
      <c r="E236" s="56" t="s">
        <v>1666</v>
      </c>
      <c r="F236" s="58">
        <v>5.0559600000000003E-2</v>
      </c>
      <c r="G236" s="58">
        <v>14.972300000000001</v>
      </c>
      <c r="H236" s="58">
        <v>0.75699349908000002</v>
      </c>
      <c r="I236" s="59">
        <v>5.684439485521459E-6</v>
      </c>
      <c r="J236" s="59">
        <v>87.551569328700424</v>
      </c>
      <c r="K236" s="56" t="s">
        <v>1459</v>
      </c>
    </row>
    <row r="237" spans="1:11" ht="20.100000000000001" customHeight="1">
      <c r="A237" s="56" t="s">
        <v>1867</v>
      </c>
      <c r="B237" s="57" t="s">
        <v>1868</v>
      </c>
      <c r="C237" s="56" t="s">
        <v>1455</v>
      </c>
      <c r="D237" s="56" t="s">
        <v>1230</v>
      </c>
      <c r="E237" s="56" t="s">
        <v>1233</v>
      </c>
      <c r="F237" s="58">
        <v>3.7540814999999998</v>
      </c>
      <c r="G237" s="58">
        <v>0.18859999999999999</v>
      </c>
      <c r="H237" s="58">
        <v>0.70801977090000001</v>
      </c>
      <c r="I237" s="59">
        <v>5.3166844195163722E-6</v>
      </c>
      <c r="J237" s="59">
        <v>87.551574660254843</v>
      </c>
      <c r="K237" s="56" t="s">
        <v>1459</v>
      </c>
    </row>
    <row r="238" spans="1:11" ht="15" customHeight="1">
      <c r="A238" s="56" t="s">
        <v>1869</v>
      </c>
      <c r="B238" s="57" t="s">
        <v>1870</v>
      </c>
      <c r="C238" s="56" t="s">
        <v>1455</v>
      </c>
      <c r="D238" s="56" t="s">
        <v>1190</v>
      </c>
      <c r="E238" s="56" t="s">
        <v>167</v>
      </c>
      <c r="F238" s="58">
        <v>2.1737408000000002E-5</v>
      </c>
      <c r="G238" s="58">
        <v>19999.036899999999</v>
      </c>
      <c r="H238" s="58">
        <v>0.4347272247023552</v>
      </c>
      <c r="I238" s="59">
        <v>3.2644674023390393E-6</v>
      </c>
      <c r="J238" s="59">
        <v>87.551577889224419</v>
      </c>
      <c r="K238" s="56" t="s">
        <v>1459</v>
      </c>
    </row>
    <row r="239" spans="1:11" ht="27.95" customHeight="1">
      <c r="A239" s="56" t="s">
        <v>1871</v>
      </c>
      <c r="B239" s="57" t="s">
        <v>1872</v>
      </c>
      <c r="C239" s="56" t="s">
        <v>29</v>
      </c>
      <c r="D239" s="56" t="s">
        <v>1492</v>
      </c>
      <c r="E239" s="56" t="s">
        <v>31</v>
      </c>
      <c r="F239" s="58">
        <v>43.28</v>
      </c>
      <c r="G239" s="58">
        <v>0.01</v>
      </c>
      <c r="H239" s="58">
        <v>0.43280000000000002</v>
      </c>
      <c r="I239" s="59">
        <v>3.2499954257515859E-6</v>
      </c>
      <c r="J239" s="59">
        <v>87.551581118193994</v>
      </c>
      <c r="K239" s="56" t="s">
        <v>1459</v>
      </c>
    </row>
    <row r="240" spans="1:11" ht="20.100000000000001" customHeight="1">
      <c r="A240" s="56" t="s">
        <v>1873</v>
      </c>
      <c r="B240" s="57" t="s">
        <v>1874</v>
      </c>
      <c r="C240" s="56" t="s">
        <v>1455</v>
      </c>
      <c r="D240" s="56" t="s">
        <v>1230</v>
      </c>
      <c r="E240" s="56" t="s">
        <v>1233</v>
      </c>
      <c r="F240" s="58">
        <v>0.28502872239430482</v>
      </c>
      <c r="G240" s="58">
        <v>1.4651000000000001</v>
      </c>
      <c r="H240" s="58">
        <v>0.41759558117989604</v>
      </c>
      <c r="I240" s="59">
        <v>3.1358219238649199E-6</v>
      </c>
      <c r="J240" s="59">
        <v>87.551584272071253</v>
      </c>
      <c r="K240" s="56" t="s">
        <v>1459</v>
      </c>
    </row>
    <row r="241" spans="1:11" ht="15" customHeight="1">
      <c r="A241" s="56" t="s">
        <v>1875</v>
      </c>
      <c r="B241" s="57" t="s">
        <v>1876</v>
      </c>
      <c r="C241" s="56" t="s">
        <v>1455</v>
      </c>
      <c r="D241" s="56" t="s">
        <v>1190</v>
      </c>
      <c r="E241" s="56" t="s">
        <v>167</v>
      </c>
      <c r="F241" s="58">
        <v>1.2937407999999999E-5</v>
      </c>
      <c r="G241" s="58">
        <v>20205.255300000001</v>
      </c>
      <c r="H241" s="58">
        <v>0.26140363156026242</v>
      </c>
      <c r="I241" s="59">
        <v>1.9629404039873054E-6</v>
      </c>
      <c r="J241" s="59">
        <v>87.551586224471464</v>
      </c>
      <c r="K241" s="56" t="s">
        <v>1459</v>
      </c>
    </row>
    <row r="242" spans="1:11" ht="15" customHeight="1">
      <c r="A242" s="56" t="s">
        <v>1877</v>
      </c>
      <c r="B242" s="57" t="s">
        <v>1878</v>
      </c>
      <c r="C242" s="56" t="s">
        <v>1455</v>
      </c>
      <c r="D242" s="56" t="s">
        <v>1475</v>
      </c>
      <c r="E242" s="56" t="s">
        <v>1264</v>
      </c>
      <c r="F242" s="58">
        <v>7.5138402425712486E-3</v>
      </c>
      <c r="G242" s="58">
        <v>27.7285</v>
      </c>
      <c r="H242" s="58">
        <v>0.20834751916613686</v>
      </c>
      <c r="I242" s="59">
        <v>1.5645297695393617E-6</v>
      </c>
      <c r="J242" s="59">
        <v>87.551587801410093</v>
      </c>
      <c r="K242" s="56" t="s">
        <v>1459</v>
      </c>
    </row>
    <row r="243" spans="1:11" ht="15" customHeight="1">
      <c r="A243" s="56" t="s">
        <v>1879</v>
      </c>
      <c r="B243" s="57" t="s">
        <v>1880</v>
      </c>
      <c r="C243" s="56" t="s">
        <v>1455</v>
      </c>
      <c r="D243" s="56" t="s">
        <v>1190</v>
      </c>
      <c r="E243" s="56" t="s">
        <v>167</v>
      </c>
      <c r="F243" s="58">
        <v>9.703056E-6</v>
      </c>
      <c r="G243" s="58">
        <v>17781.271799999999</v>
      </c>
      <c r="H243" s="58">
        <v>0.17253267602662081</v>
      </c>
      <c r="I243" s="59">
        <v>1.2955878185748567E-6</v>
      </c>
      <c r="J243" s="59">
        <v>87.551589077979472</v>
      </c>
      <c r="K243" s="56" t="s">
        <v>1459</v>
      </c>
    </row>
    <row r="244" spans="1:11" ht="20.100000000000001" customHeight="1">
      <c r="A244" s="56" t="s">
        <v>1881</v>
      </c>
      <c r="B244" s="57" t="s">
        <v>1882</v>
      </c>
      <c r="C244" s="56" t="s">
        <v>1455</v>
      </c>
      <c r="D244" s="56" t="s">
        <v>1230</v>
      </c>
      <c r="E244" s="56" t="s">
        <v>1233</v>
      </c>
      <c r="F244" s="58">
        <v>3.7569201212856243E-3</v>
      </c>
      <c r="G244" s="58">
        <v>43.172499999999999</v>
      </c>
      <c r="H244" s="58">
        <v>0.16219563393620362</v>
      </c>
      <c r="I244" s="59">
        <v>1.2179645757152043E-6</v>
      </c>
      <c r="J244" s="59">
        <v>87.551590279456519</v>
      </c>
      <c r="K244" s="56" t="s">
        <v>1459</v>
      </c>
    </row>
    <row r="245" spans="1:11" ht="15" customHeight="1">
      <c r="A245" s="56" t="s">
        <v>1883</v>
      </c>
      <c r="B245" s="57" t="s">
        <v>1884</v>
      </c>
      <c r="C245" s="56" t="s">
        <v>1455</v>
      </c>
      <c r="D245" s="56" t="s">
        <v>1190</v>
      </c>
      <c r="E245" s="56" t="s">
        <v>167</v>
      </c>
      <c r="F245" s="58">
        <v>6.19516128E-3</v>
      </c>
      <c r="G245" s="58">
        <v>20.650200000000002</v>
      </c>
      <c r="H245" s="58">
        <v>0.12793131946425601</v>
      </c>
      <c r="I245" s="59">
        <v>9.606659035794752E-7</v>
      </c>
      <c r="J245" s="59">
        <v>87.551591255656618</v>
      </c>
      <c r="K245" s="56" t="s">
        <v>1459</v>
      </c>
    </row>
    <row r="246" spans="1:11" ht="15" customHeight="1">
      <c r="A246" s="56" t="s">
        <v>1885</v>
      </c>
      <c r="B246" s="57" t="s">
        <v>1886</v>
      </c>
      <c r="C246" s="56" t="s">
        <v>1455</v>
      </c>
      <c r="D246" s="56" t="s">
        <v>1475</v>
      </c>
      <c r="E246" s="56" t="s">
        <v>1264</v>
      </c>
      <c r="F246" s="58">
        <v>3.7569201212856243E-3</v>
      </c>
      <c r="G246" s="58">
        <v>31.186299999999999</v>
      </c>
      <c r="H246" s="58">
        <v>0.11716443797844987</v>
      </c>
      <c r="I246" s="59">
        <v>8.7981489715969839E-7</v>
      </c>
      <c r="J246" s="59">
        <v>87.551592156764414</v>
      </c>
      <c r="K246" s="56" t="s">
        <v>1459</v>
      </c>
    </row>
    <row r="247" spans="1:11" ht="20.100000000000001" customHeight="1">
      <c r="A247" s="56" t="s">
        <v>1887</v>
      </c>
      <c r="B247" s="57" t="s">
        <v>1888</v>
      </c>
      <c r="C247" s="56" t="s">
        <v>1455</v>
      </c>
      <c r="D247" s="56" t="s">
        <v>1230</v>
      </c>
      <c r="E247" s="56" t="s">
        <v>1233</v>
      </c>
      <c r="F247" s="58">
        <v>3.7569201212856243E-3</v>
      </c>
      <c r="G247" s="58">
        <v>26.381599999999999</v>
      </c>
      <c r="H247" s="58">
        <v>9.9113563871708832E-2</v>
      </c>
      <c r="I247" s="59">
        <v>7.4426670335718886E-7</v>
      </c>
      <c r="J247" s="59">
        <v>87.551592907687564</v>
      </c>
      <c r="K247" s="56" t="s">
        <v>1459</v>
      </c>
    </row>
    <row r="248" spans="1:11" ht="15" customHeight="1">
      <c r="A248" s="56" t="s">
        <v>1889</v>
      </c>
      <c r="B248" s="57" t="s">
        <v>1890</v>
      </c>
      <c r="C248" s="56" t="s">
        <v>1455</v>
      </c>
      <c r="D248" s="56" t="s">
        <v>1190</v>
      </c>
      <c r="E248" s="56" t="s">
        <v>167</v>
      </c>
      <c r="F248" s="58">
        <v>4.6463709600000001E-5</v>
      </c>
      <c r="G248" s="58">
        <v>1659.4386</v>
      </c>
      <c r="H248" s="58">
        <v>7.7103673209430554E-2</v>
      </c>
      <c r="I248" s="59">
        <v>5.7898933742905358E-7</v>
      </c>
      <c r="J248" s="59">
        <v>87.551593508426095</v>
      </c>
      <c r="K248" s="56" t="s">
        <v>1459</v>
      </c>
    </row>
    <row r="249" spans="1:11" ht="15" customHeight="1">
      <c r="A249" s="56" t="s">
        <v>1891</v>
      </c>
      <c r="B249" s="57" t="s">
        <v>1892</v>
      </c>
      <c r="C249" s="56" t="s">
        <v>1455</v>
      </c>
      <c r="D249" s="56" t="s">
        <v>1190</v>
      </c>
      <c r="E249" s="56" t="s">
        <v>167</v>
      </c>
      <c r="F249" s="58">
        <v>1.0222016112E-4</v>
      </c>
      <c r="G249" s="58">
        <v>694.86220000000003</v>
      </c>
      <c r="H249" s="58">
        <v>7.1028926040197671E-2</v>
      </c>
      <c r="I249" s="59">
        <v>5.3337265417442268E-7</v>
      </c>
      <c r="J249" s="59">
        <v>87.551594034072309</v>
      </c>
      <c r="K249" s="56" t="s">
        <v>1459</v>
      </c>
    </row>
    <row r="250" spans="1:11" ht="15" customHeight="1">
      <c r="A250" s="56" t="s">
        <v>1893</v>
      </c>
      <c r="B250" s="57" t="s">
        <v>1894</v>
      </c>
      <c r="C250" s="56" t="s">
        <v>1455</v>
      </c>
      <c r="D250" s="56" t="s">
        <v>1190</v>
      </c>
      <c r="E250" s="56" t="s">
        <v>167</v>
      </c>
      <c r="F250" s="58">
        <v>4.4264427345599997E-3</v>
      </c>
      <c r="G250" s="58">
        <v>15.806800000000001</v>
      </c>
      <c r="H250" s="58">
        <v>6.9967895016643009E-2</v>
      </c>
      <c r="I250" s="59">
        <v>5.2540512651006688E-7</v>
      </c>
      <c r="J250" s="59">
        <v>87.551594559718509</v>
      </c>
      <c r="K250" s="56" t="s">
        <v>1459</v>
      </c>
    </row>
    <row r="251" spans="1:11" ht="15" customHeight="1">
      <c r="A251" s="56" t="s">
        <v>1895</v>
      </c>
      <c r="B251" s="57" t="s">
        <v>1896</v>
      </c>
      <c r="C251" s="56" t="s">
        <v>1455</v>
      </c>
      <c r="D251" s="56" t="s">
        <v>1190</v>
      </c>
      <c r="E251" s="56" t="s">
        <v>167</v>
      </c>
      <c r="F251" s="58">
        <v>2.1992822543999999E-4</v>
      </c>
      <c r="G251" s="58">
        <v>204.72659999999999</v>
      </c>
      <c r="H251" s="58">
        <v>4.5025157838364707E-2</v>
      </c>
      <c r="I251" s="59">
        <v>3.3810433691873492E-7</v>
      </c>
      <c r="J251" s="59">
        <v>87.551594935180091</v>
      </c>
      <c r="K251" s="56" t="s">
        <v>1459</v>
      </c>
    </row>
    <row r="252" spans="1:11" ht="15" customHeight="1">
      <c r="A252" s="56" t="s">
        <v>1897</v>
      </c>
      <c r="B252" s="57" t="s">
        <v>1898</v>
      </c>
      <c r="C252" s="56" t="s">
        <v>1455</v>
      </c>
      <c r="D252" s="56" t="s">
        <v>1190</v>
      </c>
      <c r="E252" s="56" t="s">
        <v>167</v>
      </c>
      <c r="F252" s="58">
        <v>3.7170967679999998E-5</v>
      </c>
      <c r="G252" s="58">
        <v>1131.0643</v>
      </c>
      <c r="H252" s="58">
        <v>4.2042754539301827E-2</v>
      </c>
      <c r="I252" s="59">
        <v>3.157087798953966E-7</v>
      </c>
      <c r="J252" s="59">
        <v>87.551595235549357</v>
      </c>
      <c r="K252" s="56" t="s">
        <v>1459</v>
      </c>
    </row>
    <row r="253" spans="1:11" ht="15" customHeight="1">
      <c r="A253" s="56" t="s">
        <v>1899</v>
      </c>
      <c r="B253" s="57" t="s">
        <v>1900</v>
      </c>
      <c r="C253" s="56" t="s">
        <v>1455</v>
      </c>
      <c r="D253" s="56" t="s">
        <v>1190</v>
      </c>
      <c r="E253" s="56" t="s">
        <v>167</v>
      </c>
      <c r="F253" s="58">
        <v>2.4346983830399998E-3</v>
      </c>
      <c r="G253" s="58">
        <v>15.1273</v>
      </c>
      <c r="H253" s="58">
        <v>3.6830412849760991E-2</v>
      </c>
      <c r="I253" s="59">
        <v>2.7656809909950475E-7</v>
      </c>
      <c r="J253" s="59">
        <v>87.551595535918622</v>
      </c>
      <c r="K253" s="56" t="s">
        <v>1459</v>
      </c>
    </row>
    <row r="254" spans="1:11" ht="15" customHeight="1">
      <c r="A254" s="56" t="s">
        <v>1901</v>
      </c>
      <c r="B254" s="57" t="s">
        <v>1902</v>
      </c>
      <c r="C254" s="56" t="s">
        <v>1455</v>
      </c>
      <c r="D254" s="56" t="s">
        <v>1190</v>
      </c>
      <c r="E254" s="56" t="s">
        <v>167</v>
      </c>
      <c r="F254" s="58">
        <v>7.4341935359999997E-5</v>
      </c>
      <c r="G254" s="58">
        <v>279.71039999999999</v>
      </c>
      <c r="H254" s="58">
        <v>2.0794212476319743E-2</v>
      </c>
      <c r="I254" s="59">
        <v>1.5614855690883947E-7</v>
      </c>
      <c r="J254" s="59">
        <v>87.551595686103255</v>
      </c>
      <c r="K254" s="56" t="s">
        <v>1459</v>
      </c>
    </row>
    <row r="255" spans="1:11" ht="15" customHeight="1">
      <c r="A255" s="56" t="s">
        <v>1903</v>
      </c>
      <c r="B255" s="57" t="s">
        <v>1904</v>
      </c>
      <c r="C255" s="56" t="s">
        <v>1455</v>
      </c>
      <c r="D255" s="56" t="s">
        <v>1190</v>
      </c>
      <c r="E255" s="56" t="s">
        <v>167</v>
      </c>
      <c r="F255" s="58">
        <v>6.4687039999999997E-6</v>
      </c>
      <c r="G255" s="58">
        <v>2731.3217</v>
      </c>
      <c r="H255" s="58">
        <v>1.76681116060768E-2</v>
      </c>
      <c r="I255" s="59">
        <v>1.3267394154671465E-7</v>
      </c>
      <c r="J255" s="59">
        <v>87.551595836287888</v>
      </c>
      <c r="K255" s="56" t="s">
        <v>1459</v>
      </c>
    </row>
    <row r="256" spans="1:11" ht="15" customHeight="1">
      <c r="A256" s="56" t="s">
        <v>1905</v>
      </c>
      <c r="B256" s="57" t="s">
        <v>1906</v>
      </c>
      <c r="C256" s="56" t="s">
        <v>1455</v>
      </c>
      <c r="D256" s="56" t="s">
        <v>1190</v>
      </c>
      <c r="E256" s="56" t="s">
        <v>167</v>
      </c>
      <c r="F256" s="58">
        <v>3.2343519999999998E-6</v>
      </c>
      <c r="G256" s="58">
        <v>3915.7655</v>
      </c>
      <c r="H256" s="58">
        <v>1.2664963976456001E-2</v>
      </c>
      <c r="I256" s="59">
        <v>9.5104147390921024E-8</v>
      </c>
      <c r="J256" s="59">
        <v>87.551595911380204</v>
      </c>
      <c r="K256" s="56" t="s">
        <v>1459</v>
      </c>
    </row>
    <row r="257" spans="1:11" ht="15" customHeight="1">
      <c r="A257" s="56" t="s">
        <v>1907</v>
      </c>
      <c r="B257" s="57" t="s">
        <v>1908</v>
      </c>
      <c r="C257" s="56" t="s">
        <v>1455</v>
      </c>
      <c r="D257" s="56" t="s">
        <v>1190</v>
      </c>
      <c r="E257" s="56" t="s">
        <v>355</v>
      </c>
      <c r="F257" s="58">
        <v>1.6720176000000001E-5</v>
      </c>
      <c r="G257" s="58">
        <v>188.9906</v>
      </c>
      <c r="H257" s="58">
        <v>3.1599560943456001E-3</v>
      </c>
      <c r="I257" s="59">
        <v>2.3728842079942347E-8</v>
      </c>
      <c r="J257" s="59">
        <v>87.551595911380204</v>
      </c>
      <c r="K257" s="56" t="s">
        <v>1459</v>
      </c>
    </row>
    <row r="258" spans="1:11" ht="20.100000000000001" customHeight="1">
      <c r="A258" s="53"/>
      <c r="B258" s="53"/>
      <c r="C258" s="615" t="s">
        <v>1468</v>
      </c>
      <c r="D258" s="615"/>
      <c r="E258" s="615"/>
      <c r="F258" s="615"/>
      <c r="G258" s="53"/>
      <c r="H258" s="53"/>
      <c r="I258" s="53"/>
      <c r="J258" s="53"/>
      <c r="K258" s="53"/>
    </row>
    <row r="259" spans="1:11" ht="18" customHeight="1">
      <c r="A259" s="53"/>
      <c r="B259" s="53"/>
      <c r="C259" s="53"/>
      <c r="D259" s="53"/>
      <c r="E259" s="53"/>
      <c r="F259" s="53"/>
      <c r="G259" s="615" t="s">
        <v>1974</v>
      </c>
      <c r="H259" s="615"/>
      <c r="I259" s="616">
        <v>11659195.09</v>
      </c>
      <c r="J259" s="616"/>
      <c r="K259" s="616"/>
    </row>
    <row r="260" spans="1:11" ht="18" customHeight="1">
      <c r="A260" s="53"/>
      <c r="B260" s="53"/>
      <c r="C260" s="53"/>
      <c r="D260" s="53"/>
      <c r="E260" s="53"/>
      <c r="F260" s="53"/>
      <c r="G260" s="615" t="s">
        <v>1469</v>
      </c>
      <c r="H260" s="615"/>
      <c r="I260" s="616">
        <v>1657746.73</v>
      </c>
      <c r="J260" s="616"/>
      <c r="K260" s="616"/>
    </row>
    <row r="261" spans="1:11" ht="18" customHeight="1">
      <c r="A261" s="53"/>
      <c r="B261" s="53"/>
      <c r="C261" s="53"/>
      <c r="D261" s="53"/>
      <c r="E261" s="53"/>
      <c r="F261" s="53"/>
      <c r="G261" s="615" t="s">
        <v>1470</v>
      </c>
      <c r="H261" s="615"/>
      <c r="I261" s="616">
        <v>13316941.82</v>
      </c>
      <c r="J261" s="616"/>
      <c r="K261" s="616"/>
    </row>
  </sheetData>
  <mergeCells count="9">
    <mergeCell ref="G260:H260"/>
    <mergeCell ref="I260:K260"/>
    <mergeCell ref="G261:H261"/>
    <mergeCell ref="I261:K261"/>
    <mergeCell ref="A1:K1"/>
    <mergeCell ref="B2:C2"/>
    <mergeCell ref="C258:F258"/>
    <mergeCell ref="G259:H259"/>
    <mergeCell ref="I259:K259"/>
  </mergeCells>
  <printOptions horizontalCentered="1"/>
  <pageMargins left="0" right="0" top="0.39370078740157483" bottom="0.78740157480314965" header="0" footer="0"/>
  <pageSetup scale="62" orientation="portrait" r:id="rId1"/>
  <headerFooter>
    <oddFooter>&amp;C&amp;P/&amp;N&amp;R&amp;G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DBB45-8FA5-4B7B-B8B0-373118ED82F7}">
  <sheetPr>
    <outlinePr summaryBelow="0"/>
  </sheetPr>
  <dimension ref="A1:AC310"/>
  <sheetViews>
    <sheetView view="pageBreakPreview" zoomScale="60" zoomScaleNormal="100" workbookViewId="0">
      <selection activeCell="M14" sqref="M14"/>
    </sheetView>
  </sheetViews>
  <sheetFormatPr defaultRowHeight="15"/>
  <cols>
    <col min="1" max="1" width="7.42578125" style="61" customWidth="1"/>
    <col min="2" max="2" width="27.85546875" style="61" customWidth="1"/>
    <col min="3" max="3" width="11" style="61" customWidth="1"/>
    <col min="4" max="7" width="9.42578125" style="61" customWidth="1"/>
    <col min="8" max="8" width="8.140625" style="61" customWidth="1"/>
    <col min="9" max="9" width="1.28515625" style="61" customWidth="1"/>
    <col min="10" max="28" width="9.42578125" style="61" customWidth="1"/>
    <col min="29" max="29" width="9.85546875" style="61" customWidth="1"/>
    <col min="30" max="16384" width="9.140625" style="61"/>
  </cols>
  <sheetData>
    <row r="1" spans="1:29" ht="113.1" customHeight="1">
      <c r="A1" s="618"/>
      <c r="B1" s="618"/>
      <c r="C1" s="618"/>
      <c r="D1" s="618"/>
      <c r="E1" s="618"/>
      <c r="F1" s="618"/>
      <c r="G1" s="618"/>
      <c r="H1" s="618"/>
      <c r="I1" s="60"/>
      <c r="J1" s="60"/>
      <c r="K1" s="60"/>
      <c r="L1" s="60"/>
      <c r="M1" s="60"/>
      <c r="N1" s="60"/>
      <c r="O1" s="60"/>
      <c r="P1" s="60"/>
      <c r="Q1" s="60"/>
      <c r="R1" s="60"/>
      <c r="S1" s="60"/>
      <c r="T1" s="60"/>
      <c r="U1" s="60"/>
      <c r="V1" s="60"/>
      <c r="W1" s="60"/>
      <c r="X1" s="60"/>
      <c r="Y1" s="60"/>
      <c r="Z1" s="60"/>
      <c r="AA1" s="60"/>
      <c r="AB1" s="60"/>
      <c r="AC1" s="60"/>
    </row>
    <row r="2" spans="1:29" ht="15.95" customHeight="1">
      <c r="A2" s="62" t="s">
        <v>0</v>
      </c>
      <c r="B2" s="62" t="s">
        <v>3</v>
      </c>
      <c r="C2" s="62" t="s">
        <v>1909</v>
      </c>
      <c r="D2" s="62" t="s">
        <v>1910</v>
      </c>
      <c r="E2" s="62" t="s">
        <v>1911</v>
      </c>
      <c r="F2" s="62" t="s">
        <v>1912</v>
      </c>
      <c r="G2" s="62" t="s">
        <v>1913</v>
      </c>
      <c r="H2" s="619" t="s">
        <v>1914</v>
      </c>
      <c r="I2" s="619"/>
      <c r="J2" s="62" t="s">
        <v>1915</v>
      </c>
      <c r="K2" s="62" t="s">
        <v>1916</v>
      </c>
      <c r="L2" s="62" t="s">
        <v>1917</v>
      </c>
      <c r="M2" s="62" t="s">
        <v>1918</v>
      </c>
      <c r="N2" s="62" t="s">
        <v>1919</v>
      </c>
      <c r="O2" s="62" t="s">
        <v>1920</v>
      </c>
      <c r="P2" s="62" t="s">
        <v>1921</v>
      </c>
      <c r="Q2" s="62" t="s">
        <v>1922</v>
      </c>
      <c r="R2" s="62" t="s">
        <v>1923</v>
      </c>
      <c r="S2" s="62" t="s">
        <v>1924</v>
      </c>
      <c r="T2" s="62" t="s">
        <v>1925</v>
      </c>
      <c r="U2" s="62" t="s">
        <v>1926</v>
      </c>
      <c r="V2" s="62" t="s">
        <v>1927</v>
      </c>
      <c r="W2" s="62" t="s">
        <v>1928</v>
      </c>
      <c r="X2" s="62" t="s">
        <v>1929</v>
      </c>
      <c r="Y2" s="62" t="s">
        <v>1930</v>
      </c>
      <c r="Z2" s="62" t="s">
        <v>1931</v>
      </c>
      <c r="AA2" s="62" t="s">
        <v>1932</v>
      </c>
      <c r="AB2" s="62" t="s">
        <v>1933</v>
      </c>
      <c r="AC2" s="63" t="s">
        <v>1934</v>
      </c>
    </row>
    <row r="3" spans="1:29" ht="12" customHeight="1">
      <c r="A3" s="620" t="s">
        <v>10</v>
      </c>
      <c r="B3" s="621" t="s">
        <v>11</v>
      </c>
      <c r="C3" s="622">
        <v>13273614.82</v>
      </c>
      <c r="D3" s="64">
        <v>2.3399999999999997E-2</v>
      </c>
      <c r="E3" s="64">
        <v>4.0899999999999999E-2</v>
      </c>
      <c r="F3" s="64">
        <v>5.0499999999999996E-2</v>
      </c>
      <c r="G3" s="64">
        <v>2.8399999999999998E-2</v>
      </c>
      <c r="H3" s="623">
        <v>2.86E-2</v>
      </c>
      <c r="I3" s="623"/>
      <c r="J3" s="64">
        <v>1.9900000000000001E-2</v>
      </c>
      <c r="K3" s="64">
        <v>2.2099999999999998E-2</v>
      </c>
      <c r="L3" s="64">
        <v>2.4300000000000002E-2</v>
      </c>
      <c r="M3" s="64">
        <v>2.4900000000000002E-2</v>
      </c>
      <c r="N3" s="64">
        <v>2.75E-2</v>
      </c>
      <c r="O3" s="64">
        <v>5.5999999999999994E-2</v>
      </c>
      <c r="P3" s="64">
        <v>5.0799999999999998E-2</v>
      </c>
      <c r="Q3" s="64">
        <v>5.0499999999999996E-2</v>
      </c>
      <c r="R3" s="64">
        <v>6.1100000000000002E-2</v>
      </c>
      <c r="S3" s="64">
        <v>8.3299999999999999E-2</v>
      </c>
      <c r="T3" s="64">
        <v>7.0099999999999996E-2</v>
      </c>
      <c r="U3" s="64">
        <v>6.2300000000000001E-2</v>
      </c>
      <c r="V3" s="64">
        <v>4.0500000000000001E-2</v>
      </c>
      <c r="W3" s="64">
        <v>5.6799999999999996E-2</v>
      </c>
      <c r="X3" s="64">
        <v>5.7800000000000004E-2</v>
      </c>
      <c r="Y3" s="64">
        <v>4.7500000000000001E-2</v>
      </c>
      <c r="Z3" s="64">
        <v>2.98E-2</v>
      </c>
      <c r="AA3" s="64">
        <v>2.4700000000000003E-2</v>
      </c>
      <c r="AB3" s="64">
        <v>1.83E-2</v>
      </c>
      <c r="AC3" s="65">
        <v>1</v>
      </c>
    </row>
    <row r="4" spans="1:29" ht="12.95" customHeight="1">
      <c r="A4" s="620"/>
      <c r="B4" s="621"/>
      <c r="C4" s="622"/>
      <c r="D4" s="66">
        <v>309055.96999999997</v>
      </c>
      <c r="E4" s="66">
        <v>537900.97</v>
      </c>
      <c r="F4" s="66">
        <v>664323.13</v>
      </c>
      <c r="G4" s="66">
        <v>371740.81</v>
      </c>
      <c r="H4" s="624">
        <v>391906.34</v>
      </c>
      <c r="I4" s="624"/>
      <c r="J4" s="66">
        <v>273303.09999999998</v>
      </c>
      <c r="K4" s="66">
        <v>287971.14</v>
      </c>
      <c r="L4" s="66">
        <v>316025.69</v>
      </c>
      <c r="M4" s="66">
        <v>323880.87</v>
      </c>
      <c r="N4" s="66">
        <v>358486.29</v>
      </c>
      <c r="O4" s="66">
        <v>729388.17</v>
      </c>
      <c r="P4" s="66">
        <v>661949.79</v>
      </c>
      <c r="Q4" s="66">
        <v>658040.61</v>
      </c>
      <c r="R4" s="66">
        <v>795736.91</v>
      </c>
      <c r="S4" s="66">
        <v>1089392.47</v>
      </c>
      <c r="T4" s="66">
        <v>916786.58</v>
      </c>
      <c r="U4" s="66">
        <v>815071</v>
      </c>
      <c r="V4" s="66">
        <v>530824.68000000005</v>
      </c>
      <c r="W4" s="66">
        <v>773482.63</v>
      </c>
      <c r="X4" s="66">
        <v>791429.16</v>
      </c>
      <c r="Y4" s="66">
        <v>658048.43999999994</v>
      </c>
      <c r="Z4" s="66">
        <v>421656.47</v>
      </c>
      <c r="AA4" s="66">
        <v>354978.06</v>
      </c>
      <c r="AB4" s="66">
        <v>242235.54</v>
      </c>
      <c r="AC4" s="67">
        <v>13273614.82</v>
      </c>
    </row>
    <row r="5" spans="1:29" ht="12" customHeight="1">
      <c r="A5" s="620" t="s">
        <v>12</v>
      </c>
      <c r="B5" s="621" t="s">
        <v>13</v>
      </c>
      <c r="C5" s="622">
        <v>1061838.79</v>
      </c>
      <c r="D5" s="64">
        <v>0.14119999999999999</v>
      </c>
      <c r="E5" s="64">
        <v>0.13159999999999999</v>
      </c>
      <c r="F5" s="64">
        <v>0.19079999999999997</v>
      </c>
      <c r="G5" s="64">
        <v>0.22850000000000001</v>
      </c>
      <c r="H5" s="623">
        <v>0.2006</v>
      </c>
      <c r="I5" s="623"/>
      <c r="J5" s="64">
        <v>0.10730000000000001</v>
      </c>
      <c r="K5" s="68"/>
      <c r="L5" s="68"/>
      <c r="M5" s="68"/>
      <c r="N5" s="68"/>
      <c r="O5" s="68"/>
      <c r="P5" s="68"/>
      <c r="Q5" s="68"/>
      <c r="R5" s="68"/>
      <c r="S5" s="68"/>
      <c r="T5" s="68"/>
      <c r="U5" s="68"/>
      <c r="V5" s="68"/>
      <c r="W5" s="68"/>
      <c r="X5" s="68"/>
      <c r="Y5" s="68"/>
      <c r="Z5" s="68"/>
      <c r="AA5" s="68"/>
      <c r="AB5" s="68"/>
      <c r="AC5" s="65">
        <v>1</v>
      </c>
    </row>
    <row r="6" spans="1:29" ht="12.95" customHeight="1">
      <c r="A6" s="620"/>
      <c r="B6" s="621"/>
      <c r="C6" s="622"/>
      <c r="D6" s="66">
        <v>149889.17000000001</v>
      </c>
      <c r="E6" s="66">
        <v>139637.14000000001</v>
      </c>
      <c r="F6" s="66">
        <v>202657.16</v>
      </c>
      <c r="G6" s="66">
        <v>242734.99</v>
      </c>
      <c r="H6" s="624">
        <v>213034.7</v>
      </c>
      <c r="I6" s="624"/>
      <c r="J6" s="66">
        <v>113885.63</v>
      </c>
      <c r="K6" s="69"/>
      <c r="L6" s="69"/>
      <c r="M6" s="69"/>
      <c r="N6" s="69"/>
      <c r="O6" s="69"/>
      <c r="P6" s="69"/>
      <c r="Q6" s="69"/>
      <c r="R6" s="69"/>
      <c r="S6" s="69"/>
      <c r="T6" s="69"/>
      <c r="U6" s="69"/>
      <c r="V6" s="69"/>
      <c r="W6" s="69"/>
      <c r="X6" s="69"/>
      <c r="Y6" s="69"/>
      <c r="Z6" s="69"/>
      <c r="AA6" s="69"/>
      <c r="AB6" s="69"/>
      <c r="AC6" s="67">
        <v>1061838.79</v>
      </c>
    </row>
    <row r="7" spans="1:29" ht="12" customHeight="1">
      <c r="A7" s="620" t="s">
        <v>14</v>
      </c>
      <c r="B7" s="621" t="s">
        <v>15</v>
      </c>
      <c r="C7" s="622">
        <v>10252.02</v>
      </c>
      <c r="D7" s="64">
        <v>1</v>
      </c>
      <c r="E7" s="68"/>
      <c r="F7" s="68"/>
      <c r="G7" s="68"/>
      <c r="H7" s="70"/>
      <c r="I7" s="71"/>
      <c r="J7" s="68"/>
      <c r="K7" s="68"/>
      <c r="L7" s="68"/>
      <c r="M7" s="68"/>
      <c r="N7" s="68"/>
      <c r="O7" s="68"/>
      <c r="P7" s="68"/>
      <c r="Q7" s="68"/>
      <c r="R7" s="68"/>
      <c r="S7" s="68"/>
      <c r="T7" s="68"/>
      <c r="U7" s="68"/>
      <c r="V7" s="68"/>
      <c r="W7" s="68"/>
      <c r="X7" s="68"/>
      <c r="Y7" s="68"/>
      <c r="Z7" s="68"/>
      <c r="AA7" s="68"/>
      <c r="AB7" s="68"/>
      <c r="AC7" s="65">
        <v>1</v>
      </c>
    </row>
    <row r="8" spans="1:29" ht="12.95" customHeight="1">
      <c r="A8" s="620"/>
      <c r="B8" s="621"/>
      <c r="C8" s="622"/>
      <c r="D8" s="66">
        <v>10252.02</v>
      </c>
      <c r="E8" s="69"/>
      <c r="F8" s="69"/>
      <c r="G8" s="69"/>
      <c r="H8" s="72"/>
      <c r="I8" s="73"/>
      <c r="J8" s="69"/>
      <c r="K8" s="69"/>
      <c r="L8" s="69"/>
      <c r="M8" s="69"/>
      <c r="N8" s="69"/>
      <c r="O8" s="69"/>
      <c r="P8" s="69"/>
      <c r="Q8" s="69"/>
      <c r="R8" s="69"/>
      <c r="S8" s="69"/>
      <c r="T8" s="69"/>
      <c r="U8" s="69"/>
      <c r="V8" s="69"/>
      <c r="W8" s="69"/>
      <c r="X8" s="69"/>
      <c r="Y8" s="69"/>
      <c r="Z8" s="69"/>
      <c r="AA8" s="69"/>
      <c r="AB8" s="69"/>
      <c r="AC8" s="67">
        <v>10252.02</v>
      </c>
    </row>
    <row r="9" spans="1:29" ht="12" customHeight="1">
      <c r="A9" s="620" t="s">
        <v>25</v>
      </c>
      <c r="B9" s="621" t="s">
        <v>26</v>
      </c>
      <c r="C9" s="622">
        <v>38363.51</v>
      </c>
      <c r="D9" s="64">
        <v>0.1666</v>
      </c>
      <c r="E9" s="64">
        <v>0.1666</v>
      </c>
      <c r="F9" s="64">
        <v>0.1666</v>
      </c>
      <c r="G9" s="64">
        <v>0.1666</v>
      </c>
      <c r="H9" s="623">
        <v>0.1666</v>
      </c>
      <c r="I9" s="623"/>
      <c r="J9" s="64">
        <v>0.16699999999999998</v>
      </c>
      <c r="K9" s="68"/>
      <c r="L9" s="68"/>
      <c r="M9" s="68"/>
      <c r="N9" s="68"/>
      <c r="O9" s="68"/>
      <c r="P9" s="68"/>
      <c r="Q9" s="68"/>
      <c r="R9" s="68"/>
      <c r="S9" s="68"/>
      <c r="T9" s="68"/>
      <c r="U9" s="68"/>
      <c r="V9" s="68"/>
      <c r="W9" s="68"/>
      <c r="X9" s="68"/>
      <c r="Y9" s="68"/>
      <c r="Z9" s="68"/>
      <c r="AA9" s="68"/>
      <c r="AB9" s="68"/>
      <c r="AC9" s="65">
        <v>1</v>
      </c>
    </row>
    <row r="10" spans="1:29" ht="12.95" customHeight="1">
      <c r="A10" s="620"/>
      <c r="B10" s="621"/>
      <c r="C10" s="622"/>
      <c r="D10" s="66">
        <v>6391.36</v>
      </c>
      <c r="E10" s="66">
        <v>6391.36</v>
      </c>
      <c r="F10" s="66">
        <v>6391.36</v>
      </c>
      <c r="G10" s="66">
        <v>6391.36</v>
      </c>
      <c r="H10" s="624">
        <v>6391.36</v>
      </c>
      <c r="I10" s="624"/>
      <c r="J10" s="66">
        <v>6406.71</v>
      </c>
      <c r="K10" s="69"/>
      <c r="L10" s="69"/>
      <c r="M10" s="69"/>
      <c r="N10" s="69"/>
      <c r="O10" s="69"/>
      <c r="P10" s="69"/>
      <c r="Q10" s="69"/>
      <c r="R10" s="69"/>
      <c r="S10" s="69"/>
      <c r="T10" s="69"/>
      <c r="U10" s="69"/>
      <c r="V10" s="69"/>
      <c r="W10" s="69"/>
      <c r="X10" s="69"/>
      <c r="Y10" s="69"/>
      <c r="Z10" s="69"/>
      <c r="AA10" s="69"/>
      <c r="AB10" s="69"/>
      <c r="AC10" s="67">
        <v>38363.51</v>
      </c>
    </row>
    <row r="11" spans="1:29" ht="12" customHeight="1">
      <c r="A11" s="620" t="s">
        <v>35</v>
      </c>
      <c r="B11" s="621" t="s">
        <v>36</v>
      </c>
      <c r="C11" s="622">
        <v>72916.73</v>
      </c>
      <c r="D11" s="64">
        <v>0.5</v>
      </c>
      <c r="E11" s="64">
        <v>0.5</v>
      </c>
      <c r="F11" s="68"/>
      <c r="G11" s="68"/>
      <c r="H11" s="70"/>
      <c r="I11" s="71"/>
      <c r="J11" s="68"/>
      <c r="K11" s="68"/>
      <c r="L11" s="68"/>
      <c r="M11" s="68"/>
      <c r="N11" s="68"/>
      <c r="O11" s="68"/>
      <c r="P11" s="68"/>
      <c r="Q11" s="68"/>
      <c r="R11" s="68"/>
      <c r="S11" s="68"/>
      <c r="T11" s="68"/>
      <c r="U11" s="68"/>
      <c r="V11" s="68"/>
      <c r="W11" s="68"/>
      <c r="X11" s="68"/>
      <c r="Y11" s="68"/>
      <c r="Z11" s="68"/>
      <c r="AA11" s="68"/>
      <c r="AB11" s="68"/>
      <c r="AC11" s="65">
        <v>1</v>
      </c>
    </row>
    <row r="12" spans="1:29" ht="12.95" customHeight="1">
      <c r="A12" s="620"/>
      <c r="B12" s="621"/>
      <c r="C12" s="622"/>
      <c r="D12" s="66">
        <v>36458.370000000003</v>
      </c>
      <c r="E12" s="66">
        <v>36458.36</v>
      </c>
      <c r="F12" s="69"/>
      <c r="G12" s="69"/>
      <c r="H12" s="72"/>
      <c r="I12" s="73"/>
      <c r="J12" s="69"/>
      <c r="K12" s="69"/>
      <c r="L12" s="69"/>
      <c r="M12" s="69"/>
      <c r="N12" s="69"/>
      <c r="O12" s="69"/>
      <c r="P12" s="69"/>
      <c r="Q12" s="69"/>
      <c r="R12" s="69"/>
      <c r="S12" s="69"/>
      <c r="T12" s="69"/>
      <c r="U12" s="69"/>
      <c r="V12" s="69"/>
      <c r="W12" s="69"/>
      <c r="X12" s="69"/>
      <c r="Y12" s="69"/>
      <c r="Z12" s="69"/>
      <c r="AA12" s="69"/>
      <c r="AB12" s="69"/>
      <c r="AC12" s="67">
        <v>72916.73</v>
      </c>
    </row>
    <row r="13" spans="1:29" ht="12" customHeight="1">
      <c r="A13" s="620" t="s">
        <v>55</v>
      </c>
      <c r="B13" s="621" t="s">
        <v>56</v>
      </c>
      <c r="C13" s="622">
        <v>30382.37</v>
      </c>
      <c r="D13" s="64">
        <v>0.4</v>
      </c>
      <c r="E13" s="64">
        <v>0.4</v>
      </c>
      <c r="F13" s="64">
        <v>0.2</v>
      </c>
      <c r="G13" s="68"/>
      <c r="H13" s="70"/>
      <c r="I13" s="71"/>
      <c r="J13" s="68"/>
      <c r="K13" s="68"/>
      <c r="L13" s="68"/>
      <c r="M13" s="68"/>
      <c r="N13" s="68"/>
      <c r="O13" s="68"/>
      <c r="P13" s="68"/>
      <c r="Q13" s="68"/>
      <c r="R13" s="68"/>
      <c r="S13" s="68"/>
      <c r="T13" s="68"/>
      <c r="U13" s="68"/>
      <c r="V13" s="68"/>
      <c r="W13" s="68"/>
      <c r="X13" s="68"/>
      <c r="Y13" s="68"/>
      <c r="Z13" s="68"/>
      <c r="AA13" s="68"/>
      <c r="AB13" s="68"/>
      <c r="AC13" s="65">
        <v>1</v>
      </c>
    </row>
    <row r="14" spans="1:29" ht="12.95" customHeight="1">
      <c r="A14" s="620"/>
      <c r="B14" s="621"/>
      <c r="C14" s="622"/>
      <c r="D14" s="66">
        <v>12152.95</v>
      </c>
      <c r="E14" s="66">
        <v>12152.95</v>
      </c>
      <c r="F14" s="66">
        <v>6076.47</v>
      </c>
      <c r="G14" s="69"/>
      <c r="H14" s="72"/>
      <c r="I14" s="73"/>
      <c r="J14" s="69"/>
      <c r="K14" s="69"/>
      <c r="L14" s="69"/>
      <c r="M14" s="69"/>
      <c r="N14" s="69"/>
      <c r="O14" s="69"/>
      <c r="P14" s="69"/>
      <c r="Q14" s="69"/>
      <c r="R14" s="69"/>
      <c r="S14" s="69"/>
      <c r="T14" s="69"/>
      <c r="U14" s="69"/>
      <c r="V14" s="69"/>
      <c r="W14" s="69"/>
      <c r="X14" s="69"/>
      <c r="Y14" s="69"/>
      <c r="Z14" s="69"/>
      <c r="AA14" s="69"/>
      <c r="AB14" s="69"/>
      <c r="AC14" s="67">
        <v>30382.37</v>
      </c>
    </row>
    <row r="15" spans="1:29" ht="12" customHeight="1">
      <c r="A15" s="620" t="s">
        <v>63</v>
      </c>
      <c r="B15" s="621" t="s">
        <v>11</v>
      </c>
      <c r="C15" s="622">
        <v>230771.49</v>
      </c>
      <c r="D15" s="68"/>
      <c r="E15" s="68"/>
      <c r="F15" s="64">
        <v>0.2</v>
      </c>
      <c r="G15" s="64">
        <v>0.4</v>
      </c>
      <c r="H15" s="623">
        <v>0.4</v>
      </c>
      <c r="I15" s="623"/>
      <c r="J15" s="68"/>
      <c r="K15" s="68"/>
      <c r="L15" s="68"/>
      <c r="M15" s="68"/>
      <c r="N15" s="68"/>
      <c r="O15" s="68"/>
      <c r="P15" s="68"/>
      <c r="Q15" s="68"/>
      <c r="R15" s="68"/>
      <c r="S15" s="68"/>
      <c r="T15" s="68"/>
      <c r="U15" s="68"/>
      <c r="V15" s="68"/>
      <c r="W15" s="68"/>
      <c r="X15" s="68"/>
      <c r="Y15" s="68"/>
      <c r="Z15" s="68"/>
      <c r="AA15" s="68"/>
      <c r="AB15" s="68"/>
      <c r="AC15" s="65">
        <v>1</v>
      </c>
    </row>
    <row r="16" spans="1:29" ht="12.95" customHeight="1">
      <c r="A16" s="620"/>
      <c r="B16" s="621"/>
      <c r="C16" s="622"/>
      <c r="D16" s="69"/>
      <c r="E16" s="69"/>
      <c r="F16" s="66">
        <v>46154.3</v>
      </c>
      <c r="G16" s="66">
        <v>92308.6</v>
      </c>
      <c r="H16" s="624">
        <v>92308.59</v>
      </c>
      <c r="I16" s="624"/>
      <c r="J16" s="69"/>
      <c r="K16" s="69"/>
      <c r="L16" s="69"/>
      <c r="M16" s="69"/>
      <c r="N16" s="69"/>
      <c r="O16" s="69"/>
      <c r="P16" s="69"/>
      <c r="Q16" s="69"/>
      <c r="R16" s="69"/>
      <c r="S16" s="69"/>
      <c r="T16" s="69"/>
      <c r="U16" s="69"/>
      <c r="V16" s="69"/>
      <c r="W16" s="69"/>
      <c r="X16" s="69"/>
      <c r="Y16" s="69"/>
      <c r="Z16" s="69"/>
      <c r="AA16" s="69"/>
      <c r="AB16" s="69"/>
      <c r="AC16" s="67">
        <v>230771.49</v>
      </c>
    </row>
    <row r="17" spans="1:29" ht="12" customHeight="1">
      <c r="A17" s="620" t="s">
        <v>119</v>
      </c>
      <c r="B17" s="621" t="s">
        <v>120</v>
      </c>
      <c r="C17" s="622">
        <v>148501.4</v>
      </c>
      <c r="D17" s="68"/>
      <c r="E17" s="68"/>
      <c r="F17" s="64">
        <v>0.4</v>
      </c>
      <c r="G17" s="64">
        <v>0.4</v>
      </c>
      <c r="H17" s="623">
        <v>0.2</v>
      </c>
      <c r="I17" s="623"/>
      <c r="J17" s="68"/>
      <c r="K17" s="68"/>
      <c r="L17" s="68"/>
      <c r="M17" s="68"/>
      <c r="N17" s="68"/>
      <c r="O17" s="68"/>
      <c r="P17" s="68"/>
      <c r="Q17" s="68"/>
      <c r="R17" s="68"/>
      <c r="S17" s="68"/>
      <c r="T17" s="68"/>
      <c r="U17" s="68"/>
      <c r="V17" s="68"/>
      <c r="W17" s="68"/>
      <c r="X17" s="68"/>
      <c r="Y17" s="68"/>
      <c r="Z17" s="68"/>
      <c r="AA17" s="68"/>
      <c r="AB17" s="68"/>
      <c r="AC17" s="65">
        <v>1</v>
      </c>
    </row>
    <row r="18" spans="1:29" ht="12.95" customHeight="1">
      <c r="A18" s="620"/>
      <c r="B18" s="621"/>
      <c r="C18" s="622"/>
      <c r="D18" s="69"/>
      <c r="E18" s="69"/>
      <c r="F18" s="66">
        <v>59400.56</v>
      </c>
      <c r="G18" s="66">
        <v>59400.56</v>
      </c>
      <c r="H18" s="624">
        <v>29700.28</v>
      </c>
      <c r="I18" s="624"/>
      <c r="J18" s="69"/>
      <c r="K18" s="69"/>
      <c r="L18" s="69"/>
      <c r="M18" s="69"/>
      <c r="N18" s="69"/>
      <c r="O18" s="69"/>
      <c r="P18" s="69"/>
      <c r="Q18" s="69"/>
      <c r="R18" s="69"/>
      <c r="S18" s="69"/>
      <c r="T18" s="69"/>
      <c r="U18" s="69"/>
      <c r="V18" s="69"/>
      <c r="W18" s="69"/>
      <c r="X18" s="69"/>
      <c r="Y18" s="69"/>
      <c r="Z18" s="69"/>
      <c r="AA18" s="69"/>
      <c r="AB18" s="69"/>
      <c r="AC18" s="67">
        <v>148501.4</v>
      </c>
    </row>
    <row r="19" spans="1:29" ht="12" customHeight="1">
      <c r="A19" s="620" t="s">
        <v>157</v>
      </c>
      <c r="B19" s="621" t="s">
        <v>158</v>
      </c>
      <c r="C19" s="622">
        <v>19447.54</v>
      </c>
      <c r="D19" s="68"/>
      <c r="E19" s="68"/>
      <c r="F19" s="68"/>
      <c r="G19" s="68"/>
      <c r="H19" s="70"/>
      <c r="I19" s="71"/>
      <c r="J19" s="64">
        <v>1</v>
      </c>
      <c r="K19" s="68"/>
      <c r="L19" s="68"/>
      <c r="M19" s="68"/>
      <c r="N19" s="68"/>
      <c r="O19" s="68"/>
      <c r="P19" s="68"/>
      <c r="Q19" s="68"/>
      <c r="R19" s="68"/>
      <c r="S19" s="68"/>
      <c r="T19" s="68"/>
      <c r="U19" s="68"/>
      <c r="V19" s="68"/>
      <c r="W19" s="68"/>
      <c r="X19" s="68"/>
      <c r="Y19" s="68"/>
      <c r="Z19" s="68"/>
      <c r="AA19" s="68"/>
      <c r="AB19" s="68"/>
      <c r="AC19" s="65">
        <v>1</v>
      </c>
    </row>
    <row r="20" spans="1:29" ht="12.95" customHeight="1">
      <c r="A20" s="620"/>
      <c r="B20" s="621"/>
      <c r="C20" s="622"/>
      <c r="D20" s="69"/>
      <c r="E20" s="69"/>
      <c r="F20" s="69"/>
      <c r="G20" s="69"/>
      <c r="H20" s="72"/>
      <c r="I20" s="73"/>
      <c r="J20" s="66">
        <v>19447.54</v>
      </c>
      <c r="K20" s="69"/>
      <c r="L20" s="69"/>
      <c r="M20" s="69"/>
      <c r="N20" s="69"/>
      <c r="O20" s="69"/>
      <c r="P20" s="69"/>
      <c r="Q20" s="69"/>
      <c r="R20" s="69"/>
      <c r="S20" s="69"/>
      <c r="T20" s="69"/>
      <c r="U20" s="69"/>
      <c r="V20" s="69"/>
      <c r="W20" s="69"/>
      <c r="X20" s="69"/>
      <c r="Y20" s="69"/>
      <c r="Z20" s="69"/>
      <c r="AA20" s="69"/>
      <c r="AB20" s="69"/>
      <c r="AC20" s="67">
        <v>19447.54</v>
      </c>
    </row>
    <row r="21" spans="1:29" ht="12" customHeight="1">
      <c r="A21" s="620" t="s">
        <v>178</v>
      </c>
      <c r="B21" s="621" t="s">
        <v>179</v>
      </c>
      <c r="C21" s="622">
        <v>3193.69</v>
      </c>
      <c r="D21" s="68"/>
      <c r="E21" s="68"/>
      <c r="F21" s="68"/>
      <c r="G21" s="68"/>
      <c r="H21" s="70"/>
      <c r="I21" s="71"/>
      <c r="J21" s="64">
        <v>1</v>
      </c>
      <c r="K21" s="68"/>
      <c r="L21" s="68"/>
      <c r="M21" s="68"/>
      <c r="N21" s="68"/>
      <c r="O21" s="68"/>
      <c r="P21" s="68"/>
      <c r="Q21" s="68"/>
      <c r="R21" s="68"/>
      <c r="S21" s="68"/>
      <c r="T21" s="68"/>
      <c r="U21" s="68"/>
      <c r="V21" s="68"/>
      <c r="W21" s="68"/>
      <c r="X21" s="68"/>
      <c r="Y21" s="68"/>
      <c r="Z21" s="68"/>
      <c r="AA21" s="68"/>
      <c r="AB21" s="68"/>
      <c r="AC21" s="65">
        <v>1</v>
      </c>
    </row>
    <row r="22" spans="1:29" ht="12.95" customHeight="1">
      <c r="A22" s="620"/>
      <c r="B22" s="621"/>
      <c r="C22" s="622"/>
      <c r="D22" s="69"/>
      <c r="E22" s="69"/>
      <c r="F22" s="69"/>
      <c r="G22" s="69"/>
      <c r="H22" s="72"/>
      <c r="I22" s="73"/>
      <c r="J22" s="66">
        <v>3193.69</v>
      </c>
      <c r="K22" s="69"/>
      <c r="L22" s="69"/>
      <c r="M22" s="69"/>
      <c r="N22" s="69"/>
      <c r="O22" s="69"/>
      <c r="P22" s="69"/>
      <c r="Q22" s="69"/>
      <c r="R22" s="69"/>
      <c r="S22" s="69"/>
      <c r="T22" s="69"/>
      <c r="U22" s="69"/>
      <c r="V22" s="69"/>
      <c r="W22" s="69"/>
      <c r="X22" s="69"/>
      <c r="Y22" s="69"/>
      <c r="Z22" s="69"/>
      <c r="AA22" s="69"/>
      <c r="AB22" s="69"/>
      <c r="AC22" s="67">
        <v>3193.69</v>
      </c>
    </row>
    <row r="23" spans="1:29" ht="12" customHeight="1">
      <c r="A23" s="620" t="s">
        <v>184</v>
      </c>
      <c r="B23" s="621" t="s">
        <v>185</v>
      </c>
      <c r="C23" s="622">
        <v>508010.04</v>
      </c>
      <c r="D23" s="64">
        <v>0.1666</v>
      </c>
      <c r="E23" s="64">
        <v>0.1666</v>
      </c>
      <c r="F23" s="64">
        <v>0.1666</v>
      </c>
      <c r="G23" s="64">
        <v>0.1666</v>
      </c>
      <c r="H23" s="623">
        <v>0.1666</v>
      </c>
      <c r="I23" s="623"/>
      <c r="J23" s="64">
        <v>0.16699999999999998</v>
      </c>
      <c r="K23" s="68"/>
      <c r="L23" s="68"/>
      <c r="M23" s="68"/>
      <c r="N23" s="68"/>
      <c r="O23" s="68"/>
      <c r="P23" s="68"/>
      <c r="Q23" s="68"/>
      <c r="R23" s="68"/>
      <c r="S23" s="68"/>
      <c r="T23" s="68"/>
      <c r="U23" s="68"/>
      <c r="V23" s="68"/>
      <c r="W23" s="68"/>
      <c r="X23" s="68"/>
      <c r="Y23" s="68"/>
      <c r="Z23" s="68"/>
      <c r="AA23" s="68"/>
      <c r="AB23" s="68"/>
      <c r="AC23" s="65">
        <v>1</v>
      </c>
    </row>
    <row r="24" spans="1:29" ht="12.95" customHeight="1">
      <c r="A24" s="620"/>
      <c r="B24" s="621"/>
      <c r="C24" s="622"/>
      <c r="D24" s="66">
        <v>84634.47</v>
      </c>
      <c r="E24" s="66">
        <v>84634.47</v>
      </c>
      <c r="F24" s="66">
        <v>84634.47</v>
      </c>
      <c r="G24" s="66">
        <v>84634.47</v>
      </c>
      <c r="H24" s="624">
        <v>84634.47</v>
      </c>
      <c r="I24" s="624"/>
      <c r="J24" s="66">
        <v>84837.69</v>
      </c>
      <c r="K24" s="69"/>
      <c r="L24" s="69"/>
      <c r="M24" s="69"/>
      <c r="N24" s="69"/>
      <c r="O24" s="69"/>
      <c r="P24" s="69"/>
      <c r="Q24" s="69"/>
      <c r="R24" s="69"/>
      <c r="S24" s="69"/>
      <c r="T24" s="69"/>
      <c r="U24" s="69"/>
      <c r="V24" s="69"/>
      <c r="W24" s="69"/>
      <c r="X24" s="69"/>
      <c r="Y24" s="69"/>
      <c r="Z24" s="69"/>
      <c r="AA24" s="69"/>
      <c r="AB24" s="69"/>
      <c r="AC24" s="67">
        <v>508010.04</v>
      </c>
    </row>
    <row r="25" spans="1:29" ht="12" customHeight="1">
      <c r="A25" s="620" t="s">
        <v>214</v>
      </c>
      <c r="B25" s="621" t="s">
        <v>215</v>
      </c>
      <c r="C25" s="622">
        <v>78047.820000000007</v>
      </c>
      <c r="D25" s="68"/>
      <c r="E25" s="68"/>
      <c r="F25" s="68"/>
      <c r="G25" s="68"/>
      <c r="H25" s="70"/>
      <c r="I25" s="71"/>
      <c r="J25" s="68"/>
      <c r="K25" s="64">
        <v>1</v>
      </c>
      <c r="L25" s="68"/>
      <c r="M25" s="68"/>
      <c r="N25" s="68"/>
      <c r="O25" s="68"/>
      <c r="P25" s="68"/>
      <c r="Q25" s="68"/>
      <c r="R25" s="68"/>
      <c r="S25" s="68"/>
      <c r="T25" s="68"/>
      <c r="U25" s="68"/>
      <c r="V25" s="68"/>
      <c r="W25" s="68"/>
      <c r="X25" s="68"/>
      <c r="Y25" s="68"/>
      <c r="Z25" s="68"/>
      <c r="AA25" s="68"/>
      <c r="AB25" s="68"/>
      <c r="AC25" s="65">
        <v>1</v>
      </c>
    </row>
    <row r="26" spans="1:29" ht="12.95" customHeight="1">
      <c r="A26" s="620"/>
      <c r="B26" s="621"/>
      <c r="C26" s="622"/>
      <c r="D26" s="69"/>
      <c r="E26" s="69"/>
      <c r="F26" s="69"/>
      <c r="G26" s="69"/>
      <c r="H26" s="72"/>
      <c r="I26" s="73"/>
      <c r="J26" s="69"/>
      <c r="K26" s="66">
        <v>78047.820000000007</v>
      </c>
      <c r="L26" s="69"/>
      <c r="M26" s="69"/>
      <c r="N26" s="69"/>
      <c r="O26" s="69"/>
      <c r="P26" s="69"/>
      <c r="Q26" s="69"/>
      <c r="R26" s="69"/>
      <c r="S26" s="69"/>
      <c r="T26" s="69"/>
      <c r="U26" s="69"/>
      <c r="V26" s="69"/>
      <c r="W26" s="69"/>
      <c r="X26" s="69"/>
      <c r="Y26" s="69"/>
      <c r="Z26" s="69"/>
      <c r="AA26" s="69"/>
      <c r="AB26" s="69"/>
      <c r="AC26" s="67">
        <v>78047.820000000007</v>
      </c>
    </row>
    <row r="27" spans="1:29" ht="12" customHeight="1">
      <c r="A27" s="620" t="s">
        <v>216</v>
      </c>
      <c r="B27" s="621" t="s">
        <v>15</v>
      </c>
      <c r="C27" s="622">
        <v>6137.07</v>
      </c>
      <c r="D27" s="68"/>
      <c r="E27" s="68"/>
      <c r="F27" s="68"/>
      <c r="G27" s="68"/>
      <c r="H27" s="70"/>
      <c r="I27" s="71"/>
      <c r="J27" s="68"/>
      <c r="K27" s="64">
        <v>1</v>
      </c>
      <c r="L27" s="68"/>
      <c r="M27" s="68"/>
      <c r="N27" s="68"/>
      <c r="O27" s="68"/>
      <c r="P27" s="68"/>
      <c r="Q27" s="68"/>
      <c r="R27" s="68"/>
      <c r="S27" s="68"/>
      <c r="T27" s="68"/>
      <c r="U27" s="68"/>
      <c r="V27" s="68"/>
      <c r="W27" s="68"/>
      <c r="X27" s="68"/>
      <c r="Y27" s="68"/>
      <c r="Z27" s="68"/>
      <c r="AA27" s="68"/>
      <c r="AB27" s="68"/>
      <c r="AC27" s="65">
        <v>1</v>
      </c>
    </row>
    <row r="28" spans="1:29" ht="12.95" customHeight="1">
      <c r="A28" s="620"/>
      <c r="B28" s="621"/>
      <c r="C28" s="622"/>
      <c r="D28" s="69"/>
      <c r="E28" s="69"/>
      <c r="F28" s="69"/>
      <c r="G28" s="69"/>
      <c r="H28" s="72"/>
      <c r="I28" s="73"/>
      <c r="J28" s="69"/>
      <c r="K28" s="66">
        <v>6137.07</v>
      </c>
      <c r="L28" s="69"/>
      <c r="M28" s="69"/>
      <c r="N28" s="69"/>
      <c r="O28" s="69"/>
      <c r="P28" s="69"/>
      <c r="Q28" s="69"/>
      <c r="R28" s="69"/>
      <c r="S28" s="69"/>
      <c r="T28" s="69"/>
      <c r="U28" s="69"/>
      <c r="V28" s="69"/>
      <c r="W28" s="69"/>
      <c r="X28" s="69"/>
      <c r="Y28" s="69"/>
      <c r="Z28" s="69"/>
      <c r="AA28" s="69"/>
      <c r="AB28" s="69"/>
      <c r="AC28" s="67">
        <v>6137.07</v>
      </c>
    </row>
    <row r="29" spans="1:29" ht="12" customHeight="1">
      <c r="A29" s="620" t="s">
        <v>219</v>
      </c>
      <c r="B29" s="621" t="s">
        <v>26</v>
      </c>
      <c r="C29" s="622">
        <v>3590.41</v>
      </c>
      <c r="D29" s="68"/>
      <c r="E29" s="68"/>
      <c r="F29" s="68"/>
      <c r="G29" s="68"/>
      <c r="H29" s="70"/>
      <c r="I29" s="71"/>
      <c r="J29" s="68"/>
      <c r="K29" s="64">
        <v>1</v>
      </c>
      <c r="L29" s="68"/>
      <c r="M29" s="68"/>
      <c r="N29" s="68"/>
      <c r="O29" s="68"/>
      <c r="P29" s="68"/>
      <c r="Q29" s="68"/>
      <c r="R29" s="68"/>
      <c r="S29" s="68"/>
      <c r="T29" s="68"/>
      <c r="U29" s="68"/>
      <c r="V29" s="68"/>
      <c r="W29" s="68"/>
      <c r="X29" s="68"/>
      <c r="Y29" s="68"/>
      <c r="Z29" s="68"/>
      <c r="AA29" s="68"/>
      <c r="AB29" s="68"/>
      <c r="AC29" s="65">
        <v>1</v>
      </c>
    </row>
    <row r="30" spans="1:29" ht="12.95" customHeight="1">
      <c r="A30" s="620"/>
      <c r="B30" s="621"/>
      <c r="C30" s="622"/>
      <c r="D30" s="69"/>
      <c r="E30" s="69"/>
      <c r="F30" s="69"/>
      <c r="G30" s="69"/>
      <c r="H30" s="72"/>
      <c r="I30" s="73"/>
      <c r="J30" s="69"/>
      <c r="K30" s="66">
        <v>3590.41</v>
      </c>
      <c r="L30" s="69"/>
      <c r="M30" s="69"/>
      <c r="N30" s="69"/>
      <c r="O30" s="69"/>
      <c r="P30" s="69"/>
      <c r="Q30" s="69"/>
      <c r="R30" s="69"/>
      <c r="S30" s="69"/>
      <c r="T30" s="69"/>
      <c r="U30" s="69"/>
      <c r="V30" s="69"/>
      <c r="W30" s="69"/>
      <c r="X30" s="69"/>
      <c r="Y30" s="69"/>
      <c r="Z30" s="69"/>
      <c r="AA30" s="69"/>
      <c r="AB30" s="69"/>
      <c r="AC30" s="67">
        <v>3590.41</v>
      </c>
    </row>
    <row r="31" spans="1:29" ht="12" customHeight="1">
      <c r="A31" s="620" t="s">
        <v>222</v>
      </c>
      <c r="B31" s="621" t="s">
        <v>36</v>
      </c>
      <c r="C31" s="622">
        <v>3156.04</v>
      </c>
      <c r="D31" s="68"/>
      <c r="E31" s="68"/>
      <c r="F31" s="68"/>
      <c r="G31" s="68"/>
      <c r="H31" s="70"/>
      <c r="I31" s="71"/>
      <c r="J31" s="68"/>
      <c r="K31" s="64">
        <v>1</v>
      </c>
      <c r="L31" s="68"/>
      <c r="M31" s="68"/>
      <c r="N31" s="68"/>
      <c r="O31" s="68"/>
      <c r="P31" s="68"/>
      <c r="Q31" s="68"/>
      <c r="R31" s="68"/>
      <c r="S31" s="68"/>
      <c r="T31" s="68"/>
      <c r="U31" s="68"/>
      <c r="V31" s="68"/>
      <c r="W31" s="68"/>
      <c r="X31" s="68"/>
      <c r="Y31" s="68"/>
      <c r="Z31" s="68"/>
      <c r="AA31" s="68"/>
      <c r="AB31" s="68"/>
      <c r="AC31" s="65">
        <v>1</v>
      </c>
    </row>
    <row r="32" spans="1:29" ht="12.95" customHeight="1">
      <c r="A32" s="620"/>
      <c r="B32" s="621"/>
      <c r="C32" s="622"/>
      <c r="D32" s="69"/>
      <c r="E32" s="69"/>
      <c r="F32" s="69"/>
      <c r="G32" s="69"/>
      <c r="H32" s="72"/>
      <c r="I32" s="73"/>
      <c r="J32" s="69"/>
      <c r="K32" s="66">
        <v>3156.04</v>
      </c>
      <c r="L32" s="69"/>
      <c r="M32" s="69"/>
      <c r="N32" s="69"/>
      <c r="O32" s="69"/>
      <c r="P32" s="69"/>
      <c r="Q32" s="69"/>
      <c r="R32" s="69"/>
      <c r="S32" s="69"/>
      <c r="T32" s="69"/>
      <c r="U32" s="69"/>
      <c r="V32" s="69"/>
      <c r="W32" s="69"/>
      <c r="X32" s="69"/>
      <c r="Y32" s="69"/>
      <c r="Z32" s="69"/>
      <c r="AA32" s="69"/>
      <c r="AB32" s="69"/>
      <c r="AC32" s="67">
        <v>3156.04</v>
      </c>
    </row>
    <row r="33" spans="1:29" ht="12" customHeight="1">
      <c r="A33" s="620" t="s">
        <v>228</v>
      </c>
      <c r="B33" s="621" t="s">
        <v>56</v>
      </c>
      <c r="C33" s="622">
        <v>1438.12</v>
      </c>
      <c r="D33" s="68"/>
      <c r="E33" s="68"/>
      <c r="F33" s="68"/>
      <c r="G33" s="68"/>
      <c r="H33" s="70"/>
      <c r="I33" s="71"/>
      <c r="J33" s="68"/>
      <c r="K33" s="64">
        <v>1</v>
      </c>
      <c r="L33" s="68"/>
      <c r="M33" s="68"/>
      <c r="N33" s="68"/>
      <c r="O33" s="68"/>
      <c r="P33" s="68"/>
      <c r="Q33" s="68"/>
      <c r="R33" s="68"/>
      <c r="S33" s="68"/>
      <c r="T33" s="68"/>
      <c r="U33" s="68"/>
      <c r="V33" s="68"/>
      <c r="W33" s="68"/>
      <c r="X33" s="68"/>
      <c r="Y33" s="68"/>
      <c r="Z33" s="68"/>
      <c r="AA33" s="68"/>
      <c r="AB33" s="68"/>
      <c r="AC33" s="65">
        <v>1</v>
      </c>
    </row>
    <row r="34" spans="1:29" ht="12.95" customHeight="1">
      <c r="A34" s="620"/>
      <c r="B34" s="621"/>
      <c r="C34" s="622"/>
      <c r="D34" s="69"/>
      <c r="E34" s="69"/>
      <c r="F34" s="69"/>
      <c r="G34" s="69"/>
      <c r="H34" s="72"/>
      <c r="I34" s="73"/>
      <c r="J34" s="69"/>
      <c r="K34" s="66">
        <v>1438.12</v>
      </c>
      <c r="L34" s="69"/>
      <c r="M34" s="69"/>
      <c r="N34" s="69"/>
      <c r="O34" s="69"/>
      <c r="P34" s="69"/>
      <c r="Q34" s="69"/>
      <c r="R34" s="69"/>
      <c r="S34" s="69"/>
      <c r="T34" s="69"/>
      <c r="U34" s="69"/>
      <c r="V34" s="69"/>
      <c r="W34" s="69"/>
      <c r="X34" s="69"/>
      <c r="Y34" s="69"/>
      <c r="Z34" s="69"/>
      <c r="AA34" s="69"/>
      <c r="AB34" s="69"/>
      <c r="AC34" s="67">
        <v>1438.12</v>
      </c>
    </row>
    <row r="35" spans="1:29" ht="12" customHeight="1">
      <c r="A35" s="620" t="s">
        <v>232</v>
      </c>
      <c r="B35" s="621" t="s">
        <v>11</v>
      </c>
      <c r="C35" s="622">
        <v>10970.73</v>
      </c>
      <c r="D35" s="68"/>
      <c r="E35" s="68"/>
      <c r="F35" s="68"/>
      <c r="G35" s="68"/>
      <c r="H35" s="70"/>
      <c r="I35" s="71"/>
      <c r="J35" s="68"/>
      <c r="K35" s="64">
        <v>1</v>
      </c>
      <c r="L35" s="68"/>
      <c r="M35" s="68"/>
      <c r="N35" s="68"/>
      <c r="O35" s="68"/>
      <c r="P35" s="68"/>
      <c r="Q35" s="68"/>
      <c r="R35" s="68"/>
      <c r="S35" s="68"/>
      <c r="T35" s="68"/>
      <c r="U35" s="68"/>
      <c r="V35" s="68"/>
      <c r="W35" s="68"/>
      <c r="X35" s="68"/>
      <c r="Y35" s="68"/>
      <c r="Z35" s="68"/>
      <c r="AA35" s="68"/>
      <c r="AB35" s="68"/>
      <c r="AC35" s="65">
        <v>1</v>
      </c>
    </row>
    <row r="36" spans="1:29" ht="12.95" customHeight="1">
      <c r="A36" s="620"/>
      <c r="B36" s="621"/>
      <c r="C36" s="622"/>
      <c r="D36" s="69"/>
      <c r="E36" s="69"/>
      <c r="F36" s="69"/>
      <c r="G36" s="69"/>
      <c r="H36" s="72"/>
      <c r="I36" s="73"/>
      <c r="J36" s="69"/>
      <c r="K36" s="66">
        <v>10970.73</v>
      </c>
      <c r="L36" s="69"/>
      <c r="M36" s="69"/>
      <c r="N36" s="69"/>
      <c r="O36" s="69"/>
      <c r="P36" s="69"/>
      <c r="Q36" s="69"/>
      <c r="R36" s="69"/>
      <c r="S36" s="69"/>
      <c r="T36" s="69"/>
      <c r="U36" s="69"/>
      <c r="V36" s="69"/>
      <c r="W36" s="69"/>
      <c r="X36" s="69"/>
      <c r="Y36" s="69"/>
      <c r="Z36" s="69"/>
      <c r="AA36" s="69"/>
      <c r="AB36" s="69"/>
      <c r="AC36" s="67">
        <v>10970.73</v>
      </c>
    </row>
    <row r="37" spans="1:29" ht="12" customHeight="1">
      <c r="A37" s="620" t="s">
        <v>245</v>
      </c>
      <c r="B37" s="621" t="s">
        <v>120</v>
      </c>
      <c r="C37" s="622">
        <v>28124.68</v>
      </c>
      <c r="D37" s="68"/>
      <c r="E37" s="68"/>
      <c r="F37" s="68"/>
      <c r="G37" s="68"/>
      <c r="H37" s="70"/>
      <c r="I37" s="71"/>
      <c r="J37" s="68"/>
      <c r="K37" s="64">
        <v>1</v>
      </c>
      <c r="L37" s="68"/>
      <c r="M37" s="68"/>
      <c r="N37" s="68"/>
      <c r="O37" s="68"/>
      <c r="P37" s="68"/>
      <c r="Q37" s="68"/>
      <c r="R37" s="68"/>
      <c r="S37" s="68"/>
      <c r="T37" s="68"/>
      <c r="U37" s="68"/>
      <c r="V37" s="68"/>
      <c r="W37" s="68"/>
      <c r="X37" s="68"/>
      <c r="Y37" s="68"/>
      <c r="Z37" s="68"/>
      <c r="AA37" s="68"/>
      <c r="AB37" s="68"/>
      <c r="AC37" s="65">
        <v>1</v>
      </c>
    </row>
    <row r="38" spans="1:29" ht="12.95" customHeight="1">
      <c r="A38" s="620"/>
      <c r="B38" s="621"/>
      <c r="C38" s="622"/>
      <c r="D38" s="69"/>
      <c r="E38" s="69"/>
      <c r="F38" s="69"/>
      <c r="G38" s="69"/>
      <c r="H38" s="72"/>
      <c r="I38" s="73"/>
      <c r="J38" s="69"/>
      <c r="K38" s="66">
        <v>28124.68</v>
      </c>
      <c r="L38" s="69"/>
      <c r="M38" s="69"/>
      <c r="N38" s="69"/>
      <c r="O38" s="69"/>
      <c r="P38" s="69"/>
      <c r="Q38" s="69"/>
      <c r="R38" s="69"/>
      <c r="S38" s="69"/>
      <c r="T38" s="69"/>
      <c r="U38" s="69"/>
      <c r="V38" s="69"/>
      <c r="W38" s="69"/>
      <c r="X38" s="69"/>
      <c r="Y38" s="69"/>
      <c r="Z38" s="69"/>
      <c r="AA38" s="69"/>
      <c r="AB38" s="69"/>
      <c r="AC38" s="67">
        <v>28124.68</v>
      </c>
    </row>
    <row r="39" spans="1:29" ht="12" customHeight="1">
      <c r="A39" s="620" t="s">
        <v>259</v>
      </c>
      <c r="B39" s="621" t="s">
        <v>158</v>
      </c>
      <c r="C39" s="622">
        <v>2171.7600000000002</v>
      </c>
      <c r="D39" s="68"/>
      <c r="E39" s="68"/>
      <c r="F39" s="68"/>
      <c r="G39" s="68"/>
      <c r="H39" s="70"/>
      <c r="I39" s="71"/>
      <c r="J39" s="68"/>
      <c r="K39" s="64">
        <v>1</v>
      </c>
      <c r="L39" s="68"/>
      <c r="M39" s="68"/>
      <c r="N39" s="68"/>
      <c r="O39" s="68"/>
      <c r="P39" s="68"/>
      <c r="Q39" s="68"/>
      <c r="R39" s="68"/>
      <c r="S39" s="68"/>
      <c r="T39" s="68"/>
      <c r="U39" s="68"/>
      <c r="V39" s="68"/>
      <c r="W39" s="68"/>
      <c r="X39" s="68"/>
      <c r="Y39" s="68"/>
      <c r="Z39" s="68"/>
      <c r="AA39" s="68"/>
      <c r="AB39" s="68"/>
      <c r="AC39" s="65">
        <v>1</v>
      </c>
    </row>
    <row r="40" spans="1:29" ht="12.95" customHeight="1">
      <c r="A40" s="620"/>
      <c r="B40" s="621"/>
      <c r="C40" s="622"/>
      <c r="D40" s="69"/>
      <c r="E40" s="69"/>
      <c r="F40" s="69"/>
      <c r="G40" s="69"/>
      <c r="H40" s="72"/>
      <c r="I40" s="73"/>
      <c r="J40" s="69"/>
      <c r="K40" s="66">
        <v>2171.7600000000002</v>
      </c>
      <c r="L40" s="69"/>
      <c r="M40" s="69"/>
      <c r="N40" s="69"/>
      <c r="O40" s="69"/>
      <c r="P40" s="69"/>
      <c r="Q40" s="69"/>
      <c r="R40" s="69"/>
      <c r="S40" s="69"/>
      <c r="T40" s="69"/>
      <c r="U40" s="69"/>
      <c r="V40" s="69"/>
      <c r="W40" s="69"/>
      <c r="X40" s="69"/>
      <c r="Y40" s="69"/>
      <c r="Z40" s="69"/>
      <c r="AA40" s="69"/>
      <c r="AB40" s="69"/>
      <c r="AC40" s="67">
        <v>2171.7600000000002</v>
      </c>
    </row>
    <row r="41" spans="1:29" ht="12" customHeight="1">
      <c r="A41" s="620" t="s">
        <v>264</v>
      </c>
      <c r="B41" s="621" t="s">
        <v>179</v>
      </c>
      <c r="C41" s="622">
        <v>1088.3399999999999</v>
      </c>
      <c r="D41" s="68"/>
      <c r="E41" s="68"/>
      <c r="F41" s="68"/>
      <c r="G41" s="68"/>
      <c r="H41" s="70"/>
      <c r="I41" s="71"/>
      <c r="J41" s="68"/>
      <c r="K41" s="64">
        <v>1</v>
      </c>
      <c r="L41" s="68"/>
      <c r="M41" s="68"/>
      <c r="N41" s="68"/>
      <c r="O41" s="68"/>
      <c r="P41" s="68"/>
      <c r="Q41" s="68"/>
      <c r="R41" s="68"/>
      <c r="S41" s="68"/>
      <c r="T41" s="68"/>
      <c r="U41" s="68"/>
      <c r="V41" s="68"/>
      <c r="W41" s="68"/>
      <c r="X41" s="68"/>
      <c r="Y41" s="68"/>
      <c r="Z41" s="68"/>
      <c r="AA41" s="68"/>
      <c r="AB41" s="68"/>
      <c r="AC41" s="65">
        <v>1</v>
      </c>
    </row>
    <row r="42" spans="1:29" ht="12.95" customHeight="1">
      <c r="A42" s="620"/>
      <c r="B42" s="621"/>
      <c r="C42" s="622"/>
      <c r="D42" s="69"/>
      <c r="E42" s="69"/>
      <c r="F42" s="69"/>
      <c r="G42" s="69"/>
      <c r="H42" s="72"/>
      <c r="I42" s="73"/>
      <c r="J42" s="69"/>
      <c r="K42" s="66">
        <v>1088.3399999999999</v>
      </c>
      <c r="L42" s="69"/>
      <c r="M42" s="69"/>
      <c r="N42" s="69"/>
      <c r="O42" s="69"/>
      <c r="P42" s="69"/>
      <c r="Q42" s="69"/>
      <c r="R42" s="69"/>
      <c r="S42" s="69"/>
      <c r="T42" s="69"/>
      <c r="U42" s="69"/>
      <c r="V42" s="69"/>
      <c r="W42" s="69"/>
      <c r="X42" s="69"/>
      <c r="Y42" s="69"/>
      <c r="Z42" s="69"/>
      <c r="AA42" s="69"/>
      <c r="AB42" s="69"/>
      <c r="AC42" s="67">
        <v>1088.3399999999999</v>
      </c>
    </row>
    <row r="43" spans="1:29" ht="12" customHeight="1">
      <c r="A43" s="620" t="s">
        <v>266</v>
      </c>
      <c r="B43" s="621" t="s">
        <v>185</v>
      </c>
      <c r="C43" s="622">
        <v>21370.67</v>
      </c>
      <c r="D43" s="68"/>
      <c r="E43" s="68"/>
      <c r="F43" s="68"/>
      <c r="G43" s="68"/>
      <c r="H43" s="70"/>
      <c r="I43" s="71"/>
      <c r="J43" s="68"/>
      <c r="K43" s="64">
        <v>1</v>
      </c>
      <c r="L43" s="68"/>
      <c r="M43" s="68"/>
      <c r="N43" s="68"/>
      <c r="O43" s="68"/>
      <c r="P43" s="68"/>
      <c r="Q43" s="68"/>
      <c r="R43" s="68"/>
      <c r="S43" s="68"/>
      <c r="T43" s="68"/>
      <c r="U43" s="68"/>
      <c r="V43" s="68"/>
      <c r="W43" s="68"/>
      <c r="X43" s="68"/>
      <c r="Y43" s="68"/>
      <c r="Z43" s="68"/>
      <c r="AA43" s="68"/>
      <c r="AB43" s="68"/>
      <c r="AC43" s="65">
        <v>1</v>
      </c>
    </row>
    <row r="44" spans="1:29" ht="12.95" customHeight="1">
      <c r="A44" s="620"/>
      <c r="B44" s="621"/>
      <c r="C44" s="622"/>
      <c r="D44" s="69"/>
      <c r="E44" s="69"/>
      <c r="F44" s="69"/>
      <c r="G44" s="69"/>
      <c r="H44" s="72"/>
      <c r="I44" s="73"/>
      <c r="J44" s="69"/>
      <c r="K44" s="66">
        <v>21370.67</v>
      </c>
      <c r="L44" s="69"/>
      <c r="M44" s="69"/>
      <c r="N44" s="69"/>
      <c r="O44" s="69"/>
      <c r="P44" s="69"/>
      <c r="Q44" s="69"/>
      <c r="R44" s="69"/>
      <c r="S44" s="69"/>
      <c r="T44" s="69"/>
      <c r="U44" s="69"/>
      <c r="V44" s="69"/>
      <c r="W44" s="69"/>
      <c r="X44" s="69"/>
      <c r="Y44" s="69"/>
      <c r="Z44" s="69"/>
      <c r="AA44" s="69"/>
      <c r="AB44" s="69"/>
      <c r="AC44" s="67">
        <v>21370.67</v>
      </c>
    </row>
    <row r="45" spans="1:29" ht="12" customHeight="1">
      <c r="A45" s="620" t="s">
        <v>274</v>
      </c>
      <c r="B45" s="621" t="s">
        <v>275</v>
      </c>
      <c r="C45" s="622">
        <v>146237.70000000001</v>
      </c>
      <c r="D45" s="68"/>
      <c r="E45" s="68"/>
      <c r="F45" s="68"/>
      <c r="G45" s="68"/>
      <c r="H45" s="70"/>
      <c r="I45" s="71"/>
      <c r="J45" s="68"/>
      <c r="K45" s="68"/>
      <c r="L45" s="64">
        <v>1</v>
      </c>
      <c r="M45" s="68"/>
      <c r="N45" s="68"/>
      <c r="O45" s="68"/>
      <c r="P45" s="68"/>
      <c r="Q45" s="68"/>
      <c r="R45" s="68"/>
      <c r="S45" s="68"/>
      <c r="T45" s="68"/>
      <c r="U45" s="68"/>
      <c r="V45" s="68"/>
      <c r="W45" s="68"/>
      <c r="X45" s="68"/>
      <c r="Y45" s="68"/>
      <c r="Z45" s="68"/>
      <c r="AA45" s="68"/>
      <c r="AB45" s="68"/>
      <c r="AC45" s="65">
        <v>1</v>
      </c>
    </row>
    <row r="46" spans="1:29" ht="12.95" customHeight="1">
      <c r="A46" s="620"/>
      <c r="B46" s="621"/>
      <c r="C46" s="622"/>
      <c r="D46" s="69"/>
      <c r="E46" s="69"/>
      <c r="F46" s="69"/>
      <c r="G46" s="69"/>
      <c r="H46" s="72"/>
      <c r="I46" s="73"/>
      <c r="J46" s="69"/>
      <c r="K46" s="69"/>
      <c r="L46" s="66">
        <v>146237.70000000001</v>
      </c>
      <c r="M46" s="69"/>
      <c r="N46" s="69"/>
      <c r="O46" s="69"/>
      <c r="P46" s="69"/>
      <c r="Q46" s="69"/>
      <c r="R46" s="69"/>
      <c r="S46" s="69"/>
      <c r="T46" s="69"/>
      <c r="U46" s="69"/>
      <c r="V46" s="69"/>
      <c r="W46" s="69"/>
      <c r="X46" s="69"/>
      <c r="Y46" s="69"/>
      <c r="Z46" s="69"/>
      <c r="AA46" s="69"/>
      <c r="AB46" s="69"/>
      <c r="AC46" s="67">
        <v>146237.70000000001</v>
      </c>
    </row>
    <row r="47" spans="1:29" ht="12" customHeight="1">
      <c r="A47" s="620" t="s">
        <v>276</v>
      </c>
      <c r="B47" s="621" t="s">
        <v>15</v>
      </c>
      <c r="C47" s="622">
        <v>6137.07</v>
      </c>
      <c r="D47" s="68"/>
      <c r="E47" s="68"/>
      <c r="F47" s="68"/>
      <c r="G47" s="68"/>
      <c r="H47" s="70"/>
      <c r="I47" s="71"/>
      <c r="J47" s="68"/>
      <c r="K47" s="68"/>
      <c r="L47" s="64">
        <v>1</v>
      </c>
      <c r="M47" s="68"/>
      <c r="N47" s="68"/>
      <c r="O47" s="68"/>
      <c r="P47" s="68"/>
      <c r="Q47" s="68"/>
      <c r="R47" s="68"/>
      <c r="S47" s="68"/>
      <c r="T47" s="68"/>
      <c r="U47" s="68"/>
      <c r="V47" s="68"/>
      <c r="W47" s="68"/>
      <c r="X47" s="68"/>
      <c r="Y47" s="68"/>
      <c r="Z47" s="68"/>
      <c r="AA47" s="68"/>
      <c r="AB47" s="68"/>
      <c r="AC47" s="65">
        <v>1</v>
      </c>
    </row>
    <row r="48" spans="1:29" ht="12.95" customHeight="1">
      <c r="A48" s="620"/>
      <c r="B48" s="621"/>
      <c r="C48" s="622"/>
      <c r="D48" s="69"/>
      <c r="E48" s="69"/>
      <c r="F48" s="69"/>
      <c r="G48" s="69"/>
      <c r="H48" s="72"/>
      <c r="I48" s="73"/>
      <c r="J48" s="69"/>
      <c r="K48" s="69"/>
      <c r="L48" s="66">
        <v>6137.07</v>
      </c>
      <c r="M48" s="69"/>
      <c r="N48" s="69"/>
      <c r="O48" s="69"/>
      <c r="P48" s="69"/>
      <c r="Q48" s="69"/>
      <c r="R48" s="69"/>
      <c r="S48" s="69"/>
      <c r="T48" s="69"/>
      <c r="U48" s="69"/>
      <c r="V48" s="69"/>
      <c r="W48" s="69"/>
      <c r="X48" s="69"/>
      <c r="Y48" s="69"/>
      <c r="Z48" s="69"/>
      <c r="AA48" s="69"/>
      <c r="AB48" s="69"/>
      <c r="AC48" s="67">
        <v>6137.07</v>
      </c>
    </row>
    <row r="49" spans="1:29" ht="12" customHeight="1">
      <c r="A49" s="620" t="s">
        <v>279</v>
      </c>
      <c r="B49" s="621" t="s">
        <v>26</v>
      </c>
      <c r="C49" s="622">
        <v>6492.79</v>
      </c>
      <c r="D49" s="68"/>
      <c r="E49" s="68"/>
      <c r="F49" s="68"/>
      <c r="G49" s="68"/>
      <c r="H49" s="70"/>
      <c r="I49" s="71"/>
      <c r="J49" s="68"/>
      <c r="K49" s="68"/>
      <c r="L49" s="64">
        <v>1</v>
      </c>
      <c r="M49" s="68"/>
      <c r="N49" s="68"/>
      <c r="O49" s="68"/>
      <c r="P49" s="68"/>
      <c r="Q49" s="68"/>
      <c r="R49" s="68"/>
      <c r="S49" s="68"/>
      <c r="T49" s="68"/>
      <c r="U49" s="68"/>
      <c r="V49" s="68"/>
      <c r="W49" s="68"/>
      <c r="X49" s="68"/>
      <c r="Y49" s="68"/>
      <c r="Z49" s="68"/>
      <c r="AA49" s="68"/>
      <c r="AB49" s="68"/>
      <c r="AC49" s="65">
        <v>1</v>
      </c>
    </row>
    <row r="50" spans="1:29" ht="12.95" customHeight="1">
      <c r="A50" s="620"/>
      <c r="B50" s="621"/>
      <c r="C50" s="622"/>
      <c r="D50" s="69"/>
      <c r="E50" s="69"/>
      <c r="F50" s="69"/>
      <c r="G50" s="69"/>
      <c r="H50" s="72"/>
      <c r="I50" s="73"/>
      <c r="J50" s="69"/>
      <c r="K50" s="69"/>
      <c r="L50" s="66">
        <v>6492.79</v>
      </c>
      <c r="M50" s="69"/>
      <c r="N50" s="69"/>
      <c r="O50" s="69"/>
      <c r="P50" s="69"/>
      <c r="Q50" s="69"/>
      <c r="R50" s="69"/>
      <c r="S50" s="69"/>
      <c r="T50" s="69"/>
      <c r="U50" s="69"/>
      <c r="V50" s="69"/>
      <c r="W50" s="69"/>
      <c r="X50" s="69"/>
      <c r="Y50" s="69"/>
      <c r="Z50" s="69"/>
      <c r="AA50" s="69"/>
      <c r="AB50" s="69"/>
      <c r="AC50" s="67">
        <v>6492.79</v>
      </c>
    </row>
    <row r="51" spans="1:29" ht="12" customHeight="1">
      <c r="A51" s="620" t="s">
        <v>282</v>
      </c>
      <c r="B51" s="621" t="s">
        <v>36</v>
      </c>
      <c r="C51" s="622">
        <v>960.1</v>
      </c>
      <c r="D51" s="68"/>
      <c r="E51" s="68"/>
      <c r="F51" s="68"/>
      <c r="G51" s="68"/>
      <c r="H51" s="70"/>
      <c r="I51" s="71"/>
      <c r="J51" s="68"/>
      <c r="K51" s="68"/>
      <c r="L51" s="64">
        <v>1</v>
      </c>
      <c r="M51" s="68"/>
      <c r="N51" s="68"/>
      <c r="O51" s="68"/>
      <c r="P51" s="68"/>
      <c r="Q51" s="68"/>
      <c r="R51" s="68"/>
      <c r="S51" s="68"/>
      <c r="T51" s="68"/>
      <c r="U51" s="68"/>
      <c r="V51" s="68"/>
      <c r="W51" s="68"/>
      <c r="X51" s="68"/>
      <c r="Y51" s="68"/>
      <c r="Z51" s="68"/>
      <c r="AA51" s="68"/>
      <c r="AB51" s="68"/>
      <c r="AC51" s="65">
        <v>1</v>
      </c>
    </row>
    <row r="52" spans="1:29" ht="12.95" customHeight="1">
      <c r="A52" s="620"/>
      <c r="B52" s="621"/>
      <c r="C52" s="622"/>
      <c r="D52" s="69"/>
      <c r="E52" s="69"/>
      <c r="F52" s="69"/>
      <c r="G52" s="69"/>
      <c r="H52" s="72"/>
      <c r="I52" s="73"/>
      <c r="J52" s="69"/>
      <c r="K52" s="69"/>
      <c r="L52" s="66">
        <v>960.1</v>
      </c>
      <c r="M52" s="69"/>
      <c r="N52" s="69"/>
      <c r="O52" s="69"/>
      <c r="P52" s="69"/>
      <c r="Q52" s="69"/>
      <c r="R52" s="69"/>
      <c r="S52" s="69"/>
      <c r="T52" s="69"/>
      <c r="U52" s="69"/>
      <c r="V52" s="69"/>
      <c r="W52" s="69"/>
      <c r="X52" s="69"/>
      <c r="Y52" s="69"/>
      <c r="Z52" s="69"/>
      <c r="AA52" s="69"/>
      <c r="AB52" s="69"/>
      <c r="AC52" s="67">
        <v>960.1</v>
      </c>
    </row>
    <row r="53" spans="1:29" ht="12" customHeight="1">
      <c r="A53" s="620" t="s">
        <v>287</v>
      </c>
      <c r="B53" s="621" t="s">
        <v>56</v>
      </c>
      <c r="C53" s="622">
        <v>3017.29</v>
      </c>
      <c r="D53" s="68"/>
      <c r="E53" s="68"/>
      <c r="F53" s="68"/>
      <c r="G53" s="68"/>
      <c r="H53" s="70"/>
      <c r="I53" s="71"/>
      <c r="J53" s="68"/>
      <c r="K53" s="68"/>
      <c r="L53" s="64">
        <v>1</v>
      </c>
      <c r="M53" s="68"/>
      <c r="N53" s="68"/>
      <c r="O53" s="68"/>
      <c r="P53" s="68"/>
      <c r="Q53" s="68"/>
      <c r="R53" s="68"/>
      <c r="S53" s="68"/>
      <c r="T53" s="68"/>
      <c r="U53" s="68"/>
      <c r="V53" s="68"/>
      <c r="W53" s="68"/>
      <c r="X53" s="68"/>
      <c r="Y53" s="68"/>
      <c r="Z53" s="68"/>
      <c r="AA53" s="68"/>
      <c r="AB53" s="68"/>
      <c r="AC53" s="65">
        <v>1</v>
      </c>
    </row>
    <row r="54" spans="1:29" ht="12.95" customHeight="1">
      <c r="A54" s="620"/>
      <c r="B54" s="621"/>
      <c r="C54" s="622"/>
      <c r="D54" s="69"/>
      <c r="E54" s="69"/>
      <c r="F54" s="69"/>
      <c r="G54" s="69"/>
      <c r="H54" s="72"/>
      <c r="I54" s="73"/>
      <c r="J54" s="69"/>
      <c r="K54" s="69"/>
      <c r="L54" s="66">
        <v>3017.29</v>
      </c>
      <c r="M54" s="69"/>
      <c r="N54" s="69"/>
      <c r="O54" s="69"/>
      <c r="P54" s="69"/>
      <c r="Q54" s="69"/>
      <c r="R54" s="69"/>
      <c r="S54" s="69"/>
      <c r="T54" s="69"/>
      <c r="U54" s="69"/>
      <c r="V54" s="69"/>
      <c r="W54" s="69"/>
      <c r="X54" s="69"/>
      <c r="Y54" s="69"/>
      <c r="Z54" s="69"/>
      <c r="AA54" s="69"/>
      <c r="AB54" s="69"/>
      <c r="AC54" s="67">
        <v>3017.29</v>
      </c>
    </row>
    <row r="55" spans="1:29" ht="12" customHeight="1">
      <c r="A55" s="620" t="s">
        <v>291</v>
      </c>
      <c r="B55" s="621" t="s">
        <v>11</v>
      </c>
      <c r="C55" s="622">
        <v>22021.22</v>
      </c>
      <c r="D55" s="68"/>
      <c r="E55" s="68"/>
      <c r="F55" s="68"/>
      <c r="G55" s="68"/>
      <c r="H55" s="70"/>
      <c r="I55" s="71"/>
      <c r="J55" s="68"/>
      <c r="K55" s="68"/>
      <c r="L55" s="64">
        <v>1</v>
      </c>
      <c r="M55" s="68"/>
      <c r="N55" s="68"/>
      <c r="O55" s="68"/>
      <c r="P55" s="68"/>
      <c r="Q55" s="68"/>
      <c r="R55" s="68"/>
      <c r="S55" s="68"/>
      <c r="T55" s="68"/>
      <c r="U55" s="68"/>
      <c r="V55" s="68"/>
      <c r="W55" s="68"/>
      <c r="X55" s="68"/>
      <c r="Y55" s="68"/>
      <c r="Z55" s="68"/>
      <c r="AA55" s="68"/>
      <c r="AB55" s="68"/>
      <c r="AC55" s="65">
        <v>1</v>
      </c>
    </row>
    <row r="56" spans="1:29" ht="12.95" customHeight="1">
      <c r="A56" s="620"/>
      <c r="B56" s="621"/>
      <c r="C56" s="622"/>
      <c r="D56" s="69"/>
      <c r="E56" s="69"/>
      <c r="F56" s="69"/>
      <c r="G56" s="69"/>
      <c r="H56" s="72"/>
      <c r="I56" s="73"/>
      <c r="J56" s="69"/>
      <c r="K56" s="69"/>
      <c r="L56" s="66">
        <v>22021.22</v>
      </c>
      <c r="M56" s="69"/>
      <c r="N56" s="69"/>
      <c r="O56" s="69"/>
      <c r="P56" s="69"/>
      <c r="Q56" s="69"/>
      <c r="R56" s="69"/>
      <c r="S56" s="69"/>
      <c r="T56" s="69"/>
      <c r="U56" s="69"/>
      <c r="V56" s="69"/>
      <c r="W56" s="69"/>
      <c r="X56" s="69"/>
      <c r="Y56" s="69"/>
      <c r="Z56" s="69"/>
      <c r="AA56" s="69"/>
      <c r="AB56" s="69"/>
      <c r="AC56" s="67">
        <v>22021.22</v>
      </c>
    </row>
    <row r="57" spans="1:29" ht="12" customHeight="1">
      <c r="A57" s="620" t="s">
        <v>308</v>
      </c>
      <c r="B57" s="621" t="s">
        <v>120</v>
      </c>
      <c r="C57" s="622">
        <v>29633.46</v>
      </c>
      <c r="D57" s="68"/>
      <c r="E57" s="68"/>
      <c r="F57" s="68"/>
      <c r="G57" s="68"/>
      <c r="H57" s="70"/>
      <c r="I57" s="71"/>
      <c r="J57" s="68"/>
      <c r="K57" s="68"/>
      <c r="L57" s="64">
        <v>1</v>
      </c>
      <c r="M57" s="68"/>
      <c r="N57" s="68"/>
      <c r="O57" s="68"/>
      <c r="P57" s="68"/>
      <c r="Q57" s="68"/>
      <c r="R57" s="68"/>
      <c r="S57" s="68"/>
      <c r="T57" s="68"/>
      <c r="U57" s="68"/>
      <c r="V57" s="68"/>
      <c r="W57" s="68"/>
      <c r="X57" s="68"/>
      <c r="Y57" s="68"/>
      <c r="Z57" s="68"/>
      <c r="AA57" s="68"/>
      <c r="AB57" s="68"/>
      <c r="AC57" s="65">
        <v>1</v>
      </c>
    </row>
    <row r="58" spans="1:29" ht="12.95" customHeight="1">
      <c r="A58" s="620"/>
      <c r="B58" s="621"/>
      <c r="C58" s="622"/>
      <c r="D58" s="69"/>
      <c r="E58" s="69"/>
      <c r="F58" s="69"/>
      <c r="G58" s="69"/>
      <c r="H58" s="72"/>
      <c r="I58" s="73"/>
      <c r="J58" s="69"/>
      <c r="K58" s="69"/>
      <c r="L58" s="66">
        <v>29633.46</v>
      </c>
      <c r="M58" s="69"/>
      <c r="N58" s="69"/>
      <c r="O58" s="69"/>
      <c r="P58" s="69"/>
      <c r="Q58" s="69"/>
      <c r="R58" s="69"/>
      <c r="S58" s="69"/>
      <c r="T58" s="69"/>
      <c r="U58" s="69"/>
      <c r="V58" s="69"/>
      <c r="W58" s="69"/>
      <c r="X58" s="69"/>
      <c r="Y58" s="69"/>
      <c r="Z58" s="69"/>
      <c r="AA58" s="69"/>
      <c r="AB58" s="69"/>
      <c r="AC58" s="67">
        <v>29633.46</v>
      </c>
    </row>
    <row r="59" spans="1:29" ht="12" customHeight="1">
      <c r="A59" s="620" t="s">
        <v>340</v>
      </c>
      <c r="B59" s="621" t="s">
        <v>158</v>
      </c>
      <c r="C59" s="622">
        <v>3358.29</v>
      </c>
      <c r="D59" s="68"/>
      <c r="E59" s="68"/>
      <c r="F59" s="68"/>
      <c r="G59" s="68"/>
      <c r="H59" s="70"/>
      <c r="I59" s="71"/>
      <c r="J59" s="68"/>
      <c r="K59" s="68"/>
      <c r="L59" s="64">
        <v>1</v>
      </c>
      <c r="M59" s="68"/>
      <c r="N59" s="68"/>
      <c r="O59" s="68"/>
      <c r="P59" s="68"/>
      <c r="Q59" s="68"/>
      <c r="R59" s="68"/>
      <c r="S59" s="68"/>
      <c r="T59" s="68"/>
      <c r="U59" s="68"/>
      <c r="V59" s="68"/>
      <c r="W59" s="68"/>
      <c r="X59" s="68"/>
      <c r="Y59" s="68"/>
      <c r="Z59" s="68"/>
      <c r="AA59" s="68"/>
      <c r="AB59" s="68"/>
      <c r="AC59" s="65">
        <v>1</v>
      </c>
    </row>
    <row r="60" spans="1:29" ht="12.95" customHeight="1">
      <c r="A60" s="620"/>
      <c r="B60" s="621"/>
      <c r="C60" s="622"/>
      <c r="D60" s="69"/>
      <c r="E60" s="69"/>
      <c r="F60" s="69"/>
      <c r="G60" s="69"/>
      <c r="H60" s="72"/>
      <c r="I60" s="73"/>
      <c r="J60" s="69"/>
      <c r="K60" s="69"/>
      <c r="L60" s="66">
        <v>3358.29</v>
      </c>
      <c r="M60" s="69"/>
      <c r="N60" s="69"/>
      <c r="O60" s="69"/>
      <c r="P60" s="69"/>
      <c r="Q60" s="69"/>
      <c r="R60" s="69"/>
      <c r="S60" s="69"/>
      <c r="T60" s="69"/>
      <c r="U60" s="69"/>
      <c r="V60" s="69"/>
      <c r="W60" s="69"/>
      <c r="X60" s="69"/>
      <c r="Y60" s="69"/>
      <c r="Z60" s="69"/>
      <c r="AA60" s="69"/>
      <c r="AB60" s="69"/>
      <c r="AC60" s="67">
        <v>3358.29</v>
      </c>
    </row>
    <row r="61" spans="1:29" ht="12" customHeight="1">
      <c r="A61" s="620" t="s">
        <v>346</v>
      </c>
      <c r="B61" s="621" t="s">
        <v>179</v>
      </c>
      <c r="C61" s="622">
        <v>954.94</v>
      </c>
      <c r="D61" s="68"/>
      <c r="E61" s="68"/>
      <c r="F61" s="68"/>
      <c r="G61" s="68"/>
      <c r="H61" s="70"/>
      <c r="I61" s="71"/>
      <c r="J61" s="68"/>
      <c r="K61" s="68"/>
      <c r="L61" s="64">
        <v>1</v>
      </c>
      <c r="M61" s="68"/>
      <c r="N61" s="68"/>
      <c r="O61" s="68"/>
      <c r="P61" s="68"/>
      <c r="Q61" s="68"/>
      <c r="R61" s="68"/>
      <c r="S61" s="68"/>
      <c r="T61" s="68"/>
      <c r="U61" s="68"/>
      <c r="V61" s="68"/>
      <c r="W61" s="68"/>
      <c r="X61" s="68"/>
      <c r="Y61" s="68"/>
      <c r="Z61" s="68"/>
      <c r="AA61" s="68"/>
      <c r="AB61" s="68"/>
      <c r="AC61" s="65">
        <v>1</v>
      </c>
    </row>
    <row r="62" spans="1:29" ht="12.95" customHeight="1">
      <c r="A62" s="620"/>
      <c r="B62" s="621"/>
      <c r="C62" s="622"/>
      <c r="D62" s="69"/>
      <c r="E62" s="69"/>
      <c r="F62" s="69"/>
      <c r="G62" s="69"/>
      <c r="H62" s="72"/>
      <c r="I62" s="73"/>
      <c r="J62" s="69"/>
      <c r="K62" s="69"/>
      <c r="L62" s="66">
        <v>954.94</v>
      </c>
      <c r="M62" s="69"/>
      <c r="N62" s="69"/>
      <c r="O62" s="69"/>
      <c r="P62" s="69"/>
      <c r="Q62" s="69"/>
      <c r="R62" s="69"/>
      <c r="S62" s="69"/>
      <c r="T62" s="69"/>
      <c r="U62" s="69"/>
      <c r="V62" s="69"/>
      <c r="W62" s="69"/>
      <c r="X62" s="69"/>
      <c r="Y62" s="69"/>
      <c r="Z62" s="69"/>
      <c r="AA62" s="69"/>
      <c r="AB62" s="69"/>
      <c r="AC62" s="67">
        <v>954.94</v>
      </c>
    </row>
    <row r="63" spans="1:29" ht="12" customHeight="1">
      <c r="A63" s="620" t="s">
        <v>348</v>
      </c>
      <c r="B63" s="621" t="s">
        <v>185</v>
      </c>
      <c r="C63" s="622">
        <v>73662.539999999994</v>
      </c>
      <c r="D63" s="68"/>
      <c r="E63" s="68"/>
      <c r="F63" s="68"/>
      <c r="G63" s="68"/>
      <c r="H63" s="70"/>
      <c r="I63" s="71"/>
      <c r="J63" s="68"/>
      <c r="K63" s="68"/>
      <c r="L63" s="64">
        <v>1</v>
      </c>
      <c r="M63" s="68"/>
      <c r="N63" s="68"/>
      <c r="O63" s="68"/>
      <c r="P63" s="68"/>
      <c r="Q63" s="68"/>
      <c r="R63" s="68"/>
      <c r="S63" s="68"/>
      <c r="T63" s="68"/>
      <c r="U63" s="68"/>
      <c r="V63" s="68"/>
      <c r="W63" s="68"/>
      <c r="X63" s="68"/>
      <c r="Y63" s="68"/>
      <c r="Z63" s="68"/>
      <c r="AA63" s="68"/>
      <c r="AB63" s="68"/>
      <c r="AC63" s="65">
        <v>1</v>
      </c>
    </row>
    <row r="64" spans="1:29" ht="12.95" customHeight="1">
      <c r="A64" s="620"/>
      <c r="B64" s="621"/>
      <c r="C64" s="622"/>
      <c r="D64" s="69"/>
      <c r="E64" s="69"/>
      <c r="F64" s="69"/>
      <c r="G64" s="69"/>
      <c r="H64" s="72"/>
      <c r="I64" s="73"/>
      <c r="J64" s="69"/>
      <c r="K64" s="69"/>
      <c r="L64" s="66">
        <v>73662.539999999994</v>
      </c>
      <c r="M64" s="69"/>
      <c r="N64" s="69"/>
      <c r="O64" s="69"/>
      <c r="P64" s="69"/>
      <c r="Q64" s="69"/>
      <c r="R64" s="69"/>
      <c r="S64" s="69"/>
      <c r="T64" s="69"/>
      <c r="U64" s="69"/>
      <c r="V64" s="69"/>
      <c r="W64" s="69"/>
      <c r="X64" s="69"/>
      <c r="Y64" s="69"/>
      <c r="Z64" s="69"/>
      <c r="AA64" s="69"/>
      <c r="AB64" s="69"/>
      <c r="AC64" s="67">
        <v>73662.539999999994</v>
      </c>
    </row>
    <row r="65" spans="1:29" ht="12" customHeight="1">
      <c r="A65" s="620" t="s">
        <v>364</v>
      </c>
      <c r="B65" s="621" t="s">
        <v>365</v>
      </c>
      <c r="C65" s="622">
        <v>108371.72</v>
      </c>
      <c r="D65" s="68"/>
      <c r="E65" s="68"/>
      <c r="F65" s="68"/>
      <c r="G65" s="68"/>
      <c r="H65" s="70"/>
      <c r="I65" s="71"/>
      <c r="J65" s="68"/>
      <c r="K65" s="68"/>
      <c r="L65" s="68"/>
      <c r="M65" s="64">
        <v>1</v>
      </c>
      <c r="N65" s="68"/>
      <c r="O65" s="68"/>
      <c r="P65" s="68"/>
      <c r="Q65" s="68"/>
      <c r="R65" s="68"/>
      <c r="S65" s="68"/>
      <c r="T65" s="68"/>
      <c r="U65" s="68"/>
      <c r="V65" s="68"/>
      <c r="W65" s="68"/>
      <c r="X65" s="68"/>
      <c r="Y65" s="68"/>
      <c r="Z65" s="68"/>
      <c r="AA65" s="68"/>
      <c r="AB65" s="68"/>
      <c r="AC65" s="65">
        <v>1</v>
      </c>
    </row>
    <row r="66" spans="1:29" ht="12.95" customHeight="1">
      <c r="A66" s="620"/>
      <c r="B66" s="621"/>
      <c r="C66" s="622"/>
      <c r="D66" s="69"/>
      <c r="E66" s="69"/>
      <c r="F66" s="69"/>
      <c r="G66" s="69"/>
      <c r="H66" s="72"/>
      <c r="I66" s="73"/>
      <c r="J66" s="69"/>
      <c r="K66" s="69"/>
      <c r="L66" s="69"/>
      <c r="M66" s="66">
        <v>108371.72</v>
      </c>
      <c r="N66" s="69"/>
      <c r="O66" s="69"/>
      <c r="P66" s="69"/>
      <c r="Q66" s="69"/>
      <c r="R66" s="69"/>
      <c r="S66" s="69"/>
      <c r="T66" s="69"/>
      <c r="U66" s="69"/>
      <c r="V66" s="69"/>
      <c r="W66" s="69"/>
      <c r="X66" s="69"/>
      <c r="Y66" s="69"/>
      <c r="Z66" s="69"/>
      <c r="AA66" s="69"/>
      <c r="AB66" s="69"/>
      <c r="AC66" s="67">
        <v>108371.72</v>
      </c>
    </row>
    <row r="67" spans="1:29" ht="12" customHeight="1">
      <c r="A67" s="620" t="s">
        <v>366</v>
      </c>
      <c r="B67" s="621" t="s">
        <v>15</v>
      </c>
      <c r="C67" s="622">
        <v>6137.07</v>
      </c>
      <c r="D67" s="68"/>
      <c r="E67" s="68"/>
      <c r="F67" s="68"/>
      <c r="G67" s="68"/>
      <c r="H67" s="70"/>
      <c r="I67" s="71"/>
      <c r="J67" s="68"/>
      <c r="K67" s="68"/>
      <c r="L67" s="68"/>
      <c r="M67" s="64">
        <v>1</v>
      </c>
      <c r="N67" s="68"/>
      <c r="O67" s="68"/>
      <c r="P67" s="68"/>
      <c r="Q67" s="68"/>
      <c r="R67" s="68"/>
      <c r="S67" s="68"/>
      <c r="T67" s="68"/>
      <c r="U67" s="68"/>
      <c r="V67" s="68"/>
      <c r="W67" s="68"/>
      <c r="X67" s="68"/>
      <c r="Y67" s="68"/>
      <c r="Z67" s="68"/>
      <c r="AA67" s="68"/>
      <c r="AB67" s="68"/>
      <c r="AC67" s="65">
        <v>1</v>
      </c>
    </row>
    <row r="68" spans="1:29" ht="12.95" customHeight="1">
      <c r="A68" s="620"/>
      <c r="B68" s="621"/>
      <c r="C68" s="622"/>
      <c r="D68" s="69"/>
      <c r="E68" s="69"/>
      <c r="F68" s="69"/>
      <c r="G68" s="69"/>
      <c r="H68" s="72"/>
      <c r="I68" s="73"/>
      <c r="J68" s="69"/>
      <c r="K68" s="69"/>
      <c r="L68" s="69"/>
      <c r="M68" s="66">
        <v>6137.07</v>
      </c>
      <c r="N68" s="69"/>
      <c r="O68" s="69"/>
      <c r="P68" s="69"/>
      <c r="Q68" s="69"/>
      <c r="R68" s="69"/>
      <c r="S68" s="69"/>
      <c r="T68" s="69"/>
      <c r="U68" s="69"/>
      <c r="V68" s="69"/>
      <c r="W68" s="69"/>
      <c r="X68" s="69"/>
      <c r="Y68" s="69"/>
      <c r="Z68" s="69"/>
      <c r="AA68" s="69"/>
      <c r="AB68" s="69"/>
      <c r="AC68" s="67">
        <v>6137.07</v>
      </c>
    </row>
    <row r="69" spans="1:29" ht="12" customHeight="1">
      <c r="A69" s="620" t="s">
        <v>369</v>
      </c>
      <c r="B69" s="621" t="s">
        <v>26</v>
      </c>
      <c r="C69" s="622">
        <v>4531.72</v>
      </c>
      <c r="D69" s="68"/>
      <c r="E69" s="68"/>
      <c r="F69" s="68"/>
      <c r="G69" s="68"/>
      <c r="H69" s="70"/>
      <c r="I69" s="71"/>
      <c r="J69" s="68"/>
      <c r="K69" s="68"/>
      <c r="L69" s="68"/>
      <c r="M69" s="64">
        <v>1</v>
      </c>
      <c r="N69" s="68"/>
      <c r="O69" s="68"/>
      <c r="P69" s="68"/>
      <c r="Q69" s="68"/>
      <c r="R69" s="68"/>
      <c r="S69" s="68"/>
      <c r="T69" s="68"/>
      <c r="U69" s="68"/>
      <c r="V69" s="68"/>
      <c r="W69" s="68"/>
      <c r="X69" s="68"/>
      <c r="Y69" s="68"/>
      <c r="Z69" s="68"/>
      <c r="AA69" s="68"/>
      <c r="AB69" s="68"/>
      <c r="AC69" s="65">
        <v>1</v>
      </c>
    </row>
    <row r="70" spans="1:29" ht="12.95" customHeight="1">
      <c r="A70" s="620"/>
      <c r="B70" s="621"/>
      <c r="C70" s="622"/>
      <c r="D70" s="69"/>
      <c r="E70" s="69"/>
      <c r="F70" s="69"/>
      <c r="G70" s="69"/>
      <c r="H70" s="72"/>
      <c r="I70" s="73"/>
      <c r="J70" s="69"/>
      <c r="K70" s="69"/>
      <c r="L70" s="69"/>
      <c r="M70" s="66">
        <v>4531.72</v>
      </c>
      <c r="N70" s="69"/>
      <c r="O70" s="69"/>
      <c r="P70" s="69"/>
      <c r="Q70" s="69"/>
      <c r="R70" s="69"/>
      <c r="S70" s="69"/>
      <c r="T70" s="69"/>
      <c r="U70" s="69"/>
      <c r="V70" s="69"/>
      <c r="W70" s="69"/>
      <c r="X70" s="69"/>
      <c r="Y70" s="69"/>
      <c r="Z70" s="69"/>
      <c r="AA70" s="69"/>
      <c r="AB70" s="69"/>
      <c r="AC70" s="67">
        <v>4531.72</v>
      </c>
    </row>
    <row r="71" spans="1:29" ht="12" customHeight="1">
      <c r="A71" s="620" t="s">
        <v>372</v>
      </c>
      <c r="B71" s="621" t="s">
        <v>36</v>
      </c>
      <c r="C71" s="622">
        <v>701.87</v>
      </c>
      <c r="D71" s="68"/>
      <c r="E71" s="68"/>
      <c r="F71" s="68"/>
      <c r="G71" s="68"/>
      <c r="H71" s="70"/>
      <c r="I71" s="71"/>
      <c r="J71" s="68"/>
      <c r="K71" s="68"/>
      <c r="L71" s="68"/>
      <c r="M71" s="64">
        <v>1</v>
      </c>
      <c r="N71" s="68"/>
      <c r="O71" s="68"/>
      <c r="P71" s="68"/>
      <c r="Q71" s="68"/>
      <c r="R71" s="68"/>
      <c r="S71" s="68"/>
      <c r="T71" s="68"/>
      <c r="U71" s="68"/>
      <c r="V71" s="68"/>
      <c r="W71" s="68"/>
      <c r="X71" s="68"/>
      <c r="Y71" s="68"/>
      <c r="Z71" s="68"/>
      <c r="AA71" s="68"/>
      <c r="AB71" s="68"/>
      <c r="AC71" s="65">
        <v>1</v>
      </c>
    </row>
    <row r="72" spans="1:29" ht="12.95" customHeight="1">
      <c r="A72" s="620"/>
      <c r="B72" s="621"/>
      <c r="C72" s="622"/>
      <c r="D72" s="69"/>
      <c r="E72" s="69"/>
      <c r="F72" s="69"/>
      <c r="G72" s="69"/>
      <c r="H72" s="72"/>
      <c r="I72" s="73"/>
      <c r="J72" s="69"/>
      <c r="K72" s="69"/>
      <c r="L72" s="69"/>
      <c r="M72" s="66">
        <v>701.87</v>
      </c>
      <c r="N72" s="69"/>
      <c r="O72" s="69"/>
      <c r="P72" s="69"/>
      <c r="Q72" s="69"/>
      <c r="R72" s="69"/>
      <c r="S72" s="69"/>
      <c r="T72" s="69"/>
      <c r="U72" s="69"/>
      <c r="V72" s="69"/>
      <c r="W72" s="69"/>
      <c r="X72" s="69"/>
      <c r="Y72" s="69"/>
      <c r="Z72" s="69"/>
      <c r="AA72" s="69"/>
      <c r="AB72" s="69"/>
      <c r="AC72" s="67">
        <v>701.87</v>
      </c>
    </row>
    <row r="73" spans="1:29" ht="12" customHeight="1">
      <c r="A73" s="620" t="s">
        <v>378</v>
      </c>
      <c r="B73" s="621" t="s">
        <v>56</v>
      </c>
      <c r="C73" s="622">
        <v>5165.37</v>
      </c>
      <c r="D73" s="68"/>
      <c r="E73" s="68"/>
      <c r="F73" s="68"/>
      <c r="G73" s="68"/>
      <c r="H73" s="70"/>
      <c r="I73" s="71"/>
      <c r="J73" s="68"/>
      <c r="K73" s="68"/>
      <c r="L73" s="68"/>
      <c r="M73" s="64">
        <v>1</v>
      </c>
      <c r="N73" s="68"/>
      <c r="O73" s="68"/>
      <c r="P73" s="68"/>
      <c r="Q73" s="68"/>
      <c r="R73" s="68"/>
      <c r="S73" s="68"/>
      <c r="T73" s="68"/>
      <c r="U73" s="68"/>
      <c r="V73" s="68"/>
      <c r="W73" s="68"/>
      <c r="X73" s="68"/>
      <c r="Y73" s="68"/>
      <c r="Z73" s="68"/>
      <c r="AA73" s="68"/>
      <c r="AB73" s="68"/>
      <c r="AC73" s="65">
        <v>1</v>
      </c>
    </row>
    <row r="74" spans="1:29" ht="12.95" customHeight="1">
      <c r="A74" s="620"/>
      <c r="B74" s="621"/>
      <c r="C74" s="622"/>
      <c r="D74" s="69"/>
      <c r="E74" s="69"/>
      <c r="F74" s="69"/>
      <c r="G74" s="69"/>
      <c r="H74" s="72"/>
      <c r="I74" s="73"/>
      <c r="J74" s="69"/>
      <c r="K74" s="69"/>
      <c r="L74" s="69"/>
      <c r="M74" s="66">
        <v>5165.37</v>
      </c>
      <c r="N74" s="69"/>
      <c r="O74" s="69"/>
      <c r="P74" s="69"/>
      <c r="Q74" s="69"/>
      <c r="R74" s="69"/>
      <c r="S74" s="69"/>
      <c r="T74" s="69"/>
      <c r="U74" s="69"/>
      <c r="V74" s="69"/>
      <c r="W74" s="69"/>
      <c r="X74" s="69"/>
      <c r="Y74" s="69"/>
      <c r="Z74" s="69"/>
      <c r="AA74" s="69"/>
      <c r="AB74" s="69"/>
      <c r="AC74" s="67">
        <v>5165.37</v>
      </c>
    </row>
    <row r="75" spans="1:29" ht="12" customHeight="1">
      <c r="A75" s="620" t="s">
        <v>382</v>
      </c>
      <c r="B75" s="621" t="s">
        <v>11</v>
      </c>
      <c r="C75" s="622">
        <v>22458.51</v>
      </c>
      <c r="D75" s="68"/>
      <c r="E75" s="68"/>
      <c r="F75" s="68"/>
      <c r="G75" s="68"/>
      <c r="H75" s="70"/>
      <c r="I75" s="71"/>
      <c r="J75" s="68"/>
      <c r="K75" s="68"/>
      <c r="L75" s="68"/>
      <c r="M75" s="64">
        <v>1</v>
      </c>
      <c r="N75" s="68"/>
      <c r="O75" s="68"/>
      <c r="P75" s="68"/>
      <c r="Q75" s="68"/>
      <c r="R75" s="68"/>
      <c r="S75" s="68"/>
      <c r="T75" s="68"/>
      <c r="U75" s="68"/>
      <c r="V75" s="68"/>
      <c r="W75" s="68"/>
      <c r="X75" s="68"/>
      <c r="Y75" s="68"/>
      <c r="Z75" s="68"/>
      <c r="AA75" s="68"/>
      <c r="AB75" s="68"/>
      <c r="AC75" s="65">
        <v>1</v>
      </c>
    </row>
    <row r="76" spans="1:29" ht="12.95" customHeight="1">
      <c r="A76" s="620"/>
      <c r="B76" s="621"/>
      <c r="C76" s="622"/>
      <c r="D76" s="69"/>
      <c r="E76" s="69"/>
      <c r="F76" s="69"/>
      <c r="G76" s="69"/>
      <c r="H76" s="72"/>
      <c r="I76" s="73"/>
      <c r="J76" s="69"/>
      <c r="K76" s="69"/>
      <c r="L76" s="69"/>
      <c r="M76" s="66">
        <v>22458.51</v>
      </c>
      <c r="N76" s="69"/>
      <c r="O76" s="69"/>
      <c r="P76" s="69"/>
      <c r="Q76" s="69"/>
      <c r="R76" s="69"/>
      <c r="S76" s="69"/>
      <c r="T76" s="69"/>
      <c r="U76" s="69"/>
      <c r="V76" s="69"/>
      <c r="W76" s="69"/>
      <c r="X76" s="69"/>
      <c r="Y76" s="69"/>
      <c r="Z76" s="69"/>
      <c r="AA76" s="69"/>
      <c r="AB76" s="69"/>
      <c r="AC76" s="67">
        <v>22458.51</v>
      </c>
    </row>
    <row r="77" spans="1:29" ht="12" customHeight="1">
      <c r="A77" s="620" t="s">
        <v>399</v>
      </c>
      <c r="B77" s="621" t="s">
        <v>120</v>
      </c>
      <c r="C77" s="622">
        <v>30220.080000000002</v>
      </c>
      <c r="D77" s="68"/>
      <c r="E77" s="68"/>
      <c r="F77" s="68"/>
      <c r="G77" s="68"/>
      <c r="H77" s="70"/>
      <c r="I77" s="71"/>
      <c r="J77" s="68"/>
      <c r="K77" s="68"/>
      <c r="L77" s="68"/>
      <c r="M77" s="64">
        <v>1</v>
      </c>
      <c r="N77" s="68"/>
      <c r="O77" s="68"/>
      <c r="P77" s="68"/>
      <c r="Q77" s="68"/>
      <c r="R77" s="68"/>
      <c r="S77" s="68"/>
      <c r="T77" s="68"/>
      <c r="U77" s="68"/>
      <c r="V77" s="68"/>
      <c r="W77" s="68"/>
      <c r="X77" s="68"/>
      <c r="Y77" s="68"/>
      <c r="Z77" s="68"/>
      <c r="AA77" s="68"/>
      <c r="AB77" s="68"/>
      <c r="AC77" s="65">
        <v>1</v>
      </c>
    </row>
    <row r="78" spans="1:29" ht="12.95" customHeight="1">
      <c r="A78" s="620"/>
      <c r="B78" s="621"/>
      <c r="C78" s="622"/>
      <c r="D78" s="69"/>
      <c r="E78" s="69"/>
      <c r="F78" s="69"/>
      <c r="G78" s="69"/>
      <c r="H78" s="72"/>
      <c r="I78" s="73"/>
      <c r="J78" s="69"/>
      <c r="K78" s="69"/>
      <c r="L78" s="69"/>
      <c r="M78" s="66">
        <v>30220.080000000002</v>
      </c>
      <c r="N78" s="69"/>
      <c r="O78" s="69"/>
      <c r="P78" s="69"/>
      <c r="Q78" s="69"/>
      <c r="R78" s="69"/>
      <c r="S78" s="69"/>
      <c r="T78" s="69"/>
      <c r="U78" s="69"/>
      <c r="V78" s="69"/>
      <c r="W78" s="69"/>
      <c r="X78" s="69"/>
      <c r="Y78" s="69"/>
      <c r="Z78" s="69"/>
      <c r="AA78" s="69"/>
      <c r="AB78" s="69"/>
      <c r="AC78" s="67">
        <v>30220.080000000002</v>
      </c>
    </row>
    <row r="79" spans="1:29" ht="12" customHeight="1">
      <c r="A79" s="620" t="s">
        <v>411</v>
      </c>
      <c r="B79" s="621" t="s">
        <v>158</v>
      </c>
      <c r="C79" s="622">
        <v>3016.92</v>
      </c>
      <c r="D79" s="68"/>
      <c r="E79" s="68"/>
      <c r="F79" s="68"/>
      <c r="G79" s="68"/>
      <c r="H79" s="70"/>
      <c r="I79" s="71"/>
      <c r="J79" s="68"/>
      <c r="K79" s="68"/>
      <c r="L79" s="68"/>
      <c r="M79" s="64">
        <v>1</v>
      </c>
      <c r="N79" s="68"/>
      <c r="O79" s="68"/>
      <c r="P79" s="68"/>
      <c r="Q79" s="68"/>
      <c r="R79" s="68"/>
      <c r="S79" s="68"/>
      <c r="T79" s="68"/>
      <c r="U79" s="68"/>
      <c r="V79" s="68"/>
      <c r="W79" s="68"/>
      <c r="X79" s="68"/>
      <c r="Y79" s="68"/>
      <c r="Z79" s="68"/>
      <c r="AA79" s="68"/>
      <c r="AB79" s="68"/>
      <c r="AC79" s="65">
        <v>1</v>
      </c>
    </row>
    <row r="80" spans="1:29" ht="12.95" customHeight="1">
      <c r="A80" s="620"/>
      <c r="B80" s="621"/>
      <c r="C80" s="622"/>
      <c r="D80" s="69"/>
      <c r="E80" s="69"/>
      <c r="F80" s="69"/>
      <c r="G80" s="69"/>
      <c r="H80" s="72"/>
      <c r="I80" s="73"/>
      <c r="J80" s="69"/>
      <c r="K80" s="69"/>
      <c r="L80" s="69"/>
      <c r="M80" s="66">
        <v>3016.92</v>
      </c>
      <c r="N80" s="69"/>
      <c r="O80" s="69"/>
      <c r="P80" s="69"/>
      <c r="Q80" s="69"/>
      <c r="R80" s="69"/>
      <c r="S80" s="69"/>
      <c r="T80" s="69"/>
      <c r="U80" s="69"/>
      <c r="V80" s="69"/>
      <c r="W80" s="69"/>
      <c r="X80" s="69"/>
      <c r="Y80" s="69"/>
      <c r="Z80" s="69"/>
      <c r="AA80" s="69"/>
      <c r="AB80" s="69"/>
      <c r="AC80" s="67">
        <v>3016.92</v>
      </c>
    </row>
    <row r="81" spans="1:29" ht="12" customHeight="1">
      <c r="A81" s="620" t="s">
        <v>417</v>
      </c>
      <c r="B81" s="621" t="s">
        <v>179</v>
      </c>
      <c r="C81" s="622">
        <v>1221.74</v>
      </c>
      <c r="D81" s="68"/>
      <c r="E81" s="68"/>
      <c r="F81" s="68"/>
      <c r="G81" s="68"/>
      <c r="H81" s="70"/>
      <c r="I81" s="71"/>
      <c r="J81" s="68"/>
      <c r="K81" s="68"/>
      <c r="L81" s="68"/>
      <c r="M81" s="64">
        <v>1</v>
      </c>
      <c r="N81" s="68"/>
      <c r="O81" s="68"/>
      <c r="P81" s="68"/>
      <c r="Q81" s="68"/>
      <c r="R81" s="68"/>
      <c r="S81" s="68"/>
      <c r="T81" s="68"/>
      <c r="U81" s="68"/>
      <c r="V81" s="68"/>
      <c r="W81" s="68"/>
      <c r="X81" s="68"/>
      <c r="Y81" s="68"/>
      <c r="Z81" s="68"/>
      <c r="AA81" s="68"/>
      <c r="AB81" s="68"/>
      <c r="AC81" s="65">
        <v>1</v>
      </c>
    </row>
    <row r="82" spans="1:29" ht="12.95" customHeight="1">
      <c r="A82" s="620"/>
      <c r="B82" s="621"/>
      <c r="C82" s="622"/>
      <c r="D82" s="69"/>
      <c r="E82" s="69"/>
      <c r="F82" s="69"/>
      <c r="G82" s="69"/>
      <c r="H82" s="72"/>
      <c r="I82" s="73"/>
      <c r="J82" s="69"/>
      <c r="K82" s="69"/>
      <c r="L82" s="69"/>
      <c r="M82" s="66">
        <v>1221.74</v>
      </c>
      <c r="N82" s="69"/>
      <c r="O82" s="69"/>
      <c r="P82" s="69"/>
      <c r="Q82" s="69"/>
      <c r="R82" s="69"/>
      <c r="S82" s="69"/>
      <c r="T82" s="69"/>
      <c r="U82" s="69"/>
      <c r="V82" s="69"/>
      <c r="W82" s="69"/>
      <c r="X82" s="69"/>
      <c r="Y82" s="69"/>
      <c r="Z82" s="69"/>
      <c r="AA82" s="69"/>
      <c r="AB82" s="69"/>
      <c r="AC82" s="67">
        <v>1221.74</v>
      </c>
    </row>
    <row r="83" spans="1:29" ht="12" customHeight="1">
      <c r="A83" s="620" t="s">
        <v>419</v>
      </c>
      <c r="B83" s="621" t="s">
        <v>185</v>
      </c>
      <c r="C83" s="622">
        <v>34918.44</v>
      </c>
      <c r="D83" s="68"/>
      <c r="E83" s="68"/>
      <c r="F83" s="68"/>
      <c r="G83" s="68"/>
      <c r="H83" s="70"/>
      <c r="I83" s="71"/>
      <c r="J83" s="68"/>
      <c r="K83" s="68"/>
      <c r="L83" s="68"/>
      <c r="M83" s="64">
        <v>1</v>
      </c>
      <c r="N83" s="68"/>
      <c r="O83" s="68"/>
      <c r="P83" s="68"/>
      <c r="Q83" s="68"/>
      <c r="R83" s="68"/>
      <c r="S83" s="68"/>
      <c r="T83" s="68"/>
      <c r="U83" s="68"/>
      <c r="V83" s="68"/>
      <c r="W83" s="68"/>
      <c r="X83" s="68"/>
      <c r="Y83" s="68"/>
      <c r="Z83" s="68"/>
      <c r="AA83" s="68"/>
      <c r="AB83" s="68"/>
      <c r="AC83" s="65">
        <v>1</v>
      </c>
    </row>
    <row r="84" spans="1:29" ht="12.95" customHeight="1">
      <c r="A84" s="620"/>
      <c r="B84" s="621"/>
      <c r="C84" s="622"/>
      <c r="D84" s="69"/>
      <c r="E84" s="69"/>
      <c r="F84" s="69"/>
      <c r="G84" s="69"/>
      <c r="H84" s="72"/>
      <c r="I84" s="73"/>
      <c r="J84" s="69"/>
      <c r="K84" s="69"/>
      <c r="L84" s="69"/>
      <c r="M84" s="66">
        <v>34918.44</v>
      </c>
      <c r="N84" s="69"/>
      <c r="O84" s="69"/>
      <c r="P84" s="69"/>
      <c r="Q84" s="69"/>
      <c r="R84" s="69"/>
      <c r="S84" s="69"/>
      <c r="T84" s="69"/>
      <c r="U84" s="69"/>
      <c r="V84" s="69"/>
      <c r="W84" s="69"/>
      <c r="X84" s="69"/>
      <c r="Y84" s="69"/>
      <c r="Z84" s="69"/>
      <c r="AA84" s="69"/>
      <c r="AB84" s="69"/>
      <c r="AC84" s="67">
        <v>34918.44</v>
      </c>
    </row>
    <row r="85" spans="1:29" ht="12" customHeight="1">
      <c r="A85" s="620" t="s">
        <v>429</v>
      </c>
      <c r="B85" s="621" t="s">
        <v>430</v>
      </c>
      <c r="C85" s="622">
        <v>548707.43000000005</v>
      </c>
      <c r="D85" s="68"/>
      <c r="E85" s="68"/>
      <c r="F85" s="68"/>
      <c r="G85" s="68"/>
      <c r="H85" s="70"/>
      <c r="I85" s="71"/>
      <c r="J85" s="68"/>
      <c r="K85" s="68"/>
      <c r="L85" s="68"/>
      <c r="M85" s="68"/>
      <c r="N85" s="64">
        <v>0.26069999999999999</v>
      </c>
      <c r="O85" s="64">
        <v>0.40189999999999998</v>
      </c>
      <c r="P85" s="64">
        <v>0.33740000000000003</v>
      </c>
      <c r="Q85" s="68"/>
      <c r="R85" s="68"/>
      <c r="S85" s="68"/>
      <c r="T85" s="68"/>
      <c r="U85" s="68"/>
      <c r="V85" s="68"/>
      <c r="W85" s="68"/>
      <c r="X85" s="68"/>
      <c r="Y85" s="68"/>
      <c r="Z85" s="68"/>
      <c r="AA85" s="68"/>
      <c r="AB85" s="68"/>
      <c r="AC85" s="65">
        <v>1</v>
      </c>
    </row>
    <row r="86" spans="1:29" ht="12.95" customHeight="1">
      <c r="A86" s="620"/>
      <c r="B86" s="621"/>
      <c r="C86" s="622"/>
      <c r="D86" s="69"/>
      <c r="E86" s="69"/>
      <c r="F86" s="69"/>
      <c r="G86" s="69"/>
      <c r="H86" s="72"/>
      <c r="I86" s="73"/>
      <c r="J86" s="69"/>
      <c r="K86" s="69"/>
      <c r="L86" s="69"/>
      <c r="M86" s="69"/>
      <c r="N86" s="66">
        <v>142977.15</v>
      </c>
      <c r="O86" s="66">
        <v>220591.41</v>
      </c>
      <c r="P86" s="66">
        <v>185138.87</v>
      </c>
      <c r="Q86" s="69"/>
      <c r="R86" s="69"/>
      <c r="S86" s="69"/>
      <c r="T86" s="69"/>
      <c r="U86" s="69"/>
      <c r="V86" s="69"/>
      <c r="W86" s="69"/>
      <c r="X86" s="69"/>
      <c r="Y86" s="69"/>
      <c r="Z86" s="69"/>
      <c r="AA86" s="69"/>
      <c r="AB86" s="69"/>
      <c r="AC86" s="67">
        <v>548707.43000000005</v>
      </c>
    </row>
    <row r="87" spans="1:29" ht="12" customHeight="1">
      <c r="A87" s="620" t="s">
        <v>431</v>
      </c>
      <c r="B87" s="621" t="s">
        <v>15</v>
      </c>
      <c r="C87" s="622">
        <v>7783.05</v>
      </c>
      <c r="D87" s="68"/>
      <c r="E87" s="68"/>
      <c r="F87" s="68"/>
      <c r="G87" s="68"/>
      <c r="H87" s="70"/>
      <c r="I87" s="71"/>
      <c r="J87" s="68"/>
      <c r="K87" s="68"/>
      <c r="L87" s="68"/>
      <c r="M87" s="68"/>
      <c r="N87" s="64">
        <v>1</v>
      </c>
      <c r="O87" s="68"/>
      <c r="P87" s="68"/>
      <c r="Q87" s="68"/>
      <c r="R87" s="68"/>
      <c r="S87" s="68"/>
      <c r="T87" s="68"/>
      <c r="U87" s="68"/>
      <c r="V87" s="68"/>
      <c r="W87" s="68"/>
      <c r="X87" s="68"/>
      <c r="Y87" s="68"/>
      <c r="Z87" s="68"/>
      <c r="AA87" s="68"/>
      <c r="AB87" s="68"/>
      <c r="AC87" s="65">
        <v>1</v>
      </c>
    </row>
    <row r="88" spans="1:29" ht="12.95" customHeight="1">
      <c r="A88" s="620"/>
      <c r="B88" s="621"/>
      <c r="C88" s="622"/>
      <c r="D88" s="69"/>
      <c r="E88" s="69"/>
      <c r="F88" s="69"/>
      <c r="G88" s="69"/>
      <c r="H88" s="72"/>
      <c r="I88" s="73"/>
      <c r="J88" s="69"/>
      <c r="K88" s="69"/>
      <c r="L88" s="69"/>
      <c r="M88" s="69"/>
      <c r="N88" s="66">
        <v>7783.05</v>
      </c>
      <c r="O88" s="69"/>
      <c r="P88" s="69"/>
      <c r="Q88" s="69"/>
      <c r="R88" s="69"/>
      <c r="S88" s="69"/>
      <c r="T88" s="69"/>
      <c r="U88" s="69"/>
      <c r="V88" s="69"/>
      <c r="W88" s="69"/>
      <c r="X88" s="69"/>
      <c r="Y88" s="69"/>
      <c r="Z88" s="69"/>
      <c r="AA88" s="69"/>
      <c r="AB88" s="69"/>
      <c r="AC88" s="67">
        <v>7783.05</v>
      </c>
    </row>
    <row r="89" spans="1:29" ht="12" customHeight="1">
      <c r="A89" s="620" t="s">
        <v>434</v>
      </c>
      <c r="B89" s="621" t="s">
        <v>26</v>
      </c>
      <c r="C89" s="622">
        <v>19280.63</v>
      </c>
      <c r="D89" s="68"/>
      <c r="E89" s="68"/>
      <c r="F89" s="68"/>
      <c r="G89" s="68"/>
      <c r="H89" s="70"/>
      <c r="I89" s="71"/>
      <c r="J89" s="68"/>
      <c r="K89" s="68"/>
      <c r="L89" s="68"/>
      <c r="M89" s="68"/>
      <c r="N89" s="64">
        <v>0.33329999999999999</v>
      </c>
      <c r="O89" s="64">
        <v>0.33329999999999999</v>
      </c>
      <c r="P89" s="64">
        <v>0.33340000000000003</v>
      </c>
      <c r="Q89" s="68"/>
      <c r="R89" s="68"/>
      <c r="S89" s="68"/>
      <c r="T89" s="68"/>
      <c r="U89" s="68"/>
      <c r="V89" s="68"/>
      <c r="W89" s="68"/>
      <c r="X89" s="68"/>
      <c r="Y89" s="68"/>
      <c r="Z89" s="68"/>
      <c r="AA89" s="68"/>
      <c r="AB89" s="68"/>
      <c r="AC89" s="65">
        <v>1</v>
      </c>
    </row>
    <row r="90" spans="1:29" ht="12.95" customHeight="1">
      <c r="A90" s="620"/>
      <c r="B90" s="621"/>
      <c r="C90" s="622"/>
      <c r="D90" s="69"/>
      <c r="E90" s="69"/>
      <c r="F90" s="69"/>
      <c r="G90" s="69"/>
      <c r="H90" s="72"/>
      <c r="I90" s="73"/>
      <c r="J90" s="69"/>
      <c r="K90" s="69"/>
      <c r="L90" s="69"/>
      <c r="M90" s="69"/>
      <c r="N90" s="66">
        <v>6426.23</v>
      </c>
      <c r="O90" s="66">
        <v>6426.23</v>
      </c>
      <c r="P90" s="66">
        <v>6428.17</v>
      </c>
      <c r="Q90" s="69"/>
      <c r="R90" s="69"/>
      <c r="S90" s="69"/>
      <c r="T90" s="69"/>
      <c r="U90" s="69"/>
      <c r="V90" s="69"/>
      <c r="W90" s="69"/>
      <c r="X90" s="69"/>
      <c r="Y90" s="69"/>
      <c r="Z90" s="69"/>
      <c r="AA90" s="69"/>
      <c r="AB90" s="69"/>
      <c r="AC90" s="67">
        <v>19280.63</v>
      </c>
    </row>
    <row r="91" spans="1:29" ht="12" customHeight="1">
      <c r="A91" s="620" t="s">
        <v>437</v>
      </c>
      <c r="B91" s="621" t="s">
        <v>36</v>
      </c>
      <c r="C91" s="622">
        <v>14484.16</v>
      </c>
      <c r="D91" s="68"/>
      <c r="E91" s="68"/>
      <c r="F91" s="68"/>
      <c r="G91" s="68"/>
      <c r="H91" s="70"/>
      <c r="I91" s="71"/>
      <c r="J91" s="68"/>
      <c r="K91" s="68"/>
      <c r="L91" s="68"/>
      <c r="M91" s="68"/>
      <c r="N91" s="64">
        <v>1</v>
      </c>
      <c r="O91" s="68"/>
      <c r="P91" s="68"/>
      <c r="Q91" s="68"/>
      <c r="R91" s="68"/>
      <c r="S91" s="68"/>
      <c r="T91" s="68"/>
      <c r="U91" s="68"/>
      <c r="V91" s="68"/>
      <c r="W91" s="68"/>
      <c r="X91" s="68"/>
      <c r="Y91" s="68"/>
      <c r="Z91" s="68"/>
      <c r="AA91" s="68"/>
      <c r="AB91" s="68"/>
      <c r="AC91" s="65">
        <v>1</v>
      </c>
    </row>
    <row r="92" spans="1:29" ht="12.95" customHeight="1">
      <c r="A92" s="620"/>
      <c r="B92" s="621"/>
      <c r="C92" s="622"/>
      <c r="D92" s="69"/>
      <c r="E92" s="69"/>
      <c r="F92" s="69"/>
      <c r="G92" s="69"/>
      <c r="H92" s="72"/>
      <c r="I92" s="73"/>
      <c r="J92" s="69"/>
      <c r="K92" s="69"/>
      <c r="L92" s="69"/>
      <c r="M92" s="69"/>
      <c r="N92" s="66">
        <v>14484.16</v>
      </c>
      <c r="O92" s="69"/>
      <c r="P92" s="69"/>
      <c r="Q92" s="69"/>
      <c r="R92" s="69"/>
      <c r="S92" s="69"/>
      <c r="T92" s="69"/>
      <c r="U92" s="69"/>
      <c r="V92" s="69"/>
      <c r="W92" s="69"/>
      <c r="X92" s="69"/>
      <c r="Y92" s="69"/>
      <c r="Z92" s="69"/>
      <c r="AA92" s="69"/>
      <c r="AB92" s="69"/>
      <c r="AC92" s="67">
        <v>14484.16</v>
      </c>
    </row>
    <row r="93" spans="1:29" ht="12" customHeight="1">
      <c r="A93" s="620" t="s">
        <v>443</v>
      </c>
      <c r="B93" s="621" t="s">
        <v>444</v>
      </c>
      <c r="C93" s="622">
        <v>35620.620000000003</v>
      </c>
      <c r="D93" s="68"/>
      <c r="E93" s="68"/>
      <c r="F93" s="68"/>
      <c r="G93" s="68"/>
      <c r="H93" s="70"/>
      <c r="I93" s="71"/>
      <c r="J93" s="68"/>
      <c r="K93" s="68"/>
      <c r="L93" s="68"/>
      <c r="M93" s="68"/>
      <c r="N93" s="64">
        <v>0.6</v>
      </c>
      <c r="O93" s="64">
        <v>0.4</v>
      </c>
      <c r="P93" s="68"/>
      <c r="Q93" s="68"/>
      <c r="R93" s="68"/>
      <c r="S93" s="68"/>
      <c r="T93" s="68"/>
      <c r="U93" s="68"/>
      <c r="V93" s="68"/>
      <c r="W93" s="68"/>
      <c r="X93" s="68"/>
      <c r="Y93" s="68"/>
      <c r="Z93" s="68"/>
      <c r="AA93" s="68"/>
      <c r="AB93" s="68"/>
      <c r="AC93" s="65">
        <v>1</v>
      </c>
    </row>
    <row r="94" spans="1:29" ht="12.95" customHeight="1">
      <c r="A94" s="620"/>
      <c r="B94" s="621"/>
      <c r="C94" s="622"/>
      <c r="D94" s="69"/>
      <c r="E94" s="69"/>
      <c r="F94" s="69"/>
      <c r="G94" s="69"/>
      <c r="H94" s="72"/>
      <c r="I94" s="73"/>
      <c r="J94" s="69"/>
      <c r="K94" s="69"/>
      <c r="L94" s="69"/>
      <c r="M94" s="69"/>
      <c r="N94" s="66">
        <v>21372.37</v>
      </c>
      <c r="O94" s="66">
        <v>14248.25</v>
      </c>
      <c r="P94" s="69"/>
      <c r="Q94" s="69"/>
      <c r="R94" s="69"/>
      <c r="S94" s="69"/>
      <c r="T94" s="69"/>
      <c r="U94" s="69"/>
      <c r="V94" s="69"/>
      <c r="W94" s="69"/>
      <c r="X94" s="69"/>
      <c r="Y94" s="69"/>
      <c r="Z94" s="69"/>
      <c r="AA94" s="69"/>
      <c r="AB94" s="69"/>
      <c r="AC94" s="67">
        <v>35620.620000000003</v>
      </c>
    </row>
    <row r="95" spans="1:29" ht="12" customHeight="1">
      <c r="A95" s="620" t="s">
        <v>448</v>
      </c>
      <c r="B95" s="621" t="s">
        <v>11</v>
      </c>
      <c r="C95" s="622">
        <v>178342.65</v>
      </c>
      <c r="D95" s="68"/>
      <c r="E95" s="68"/>
      <c r="F95" s="68"/>
      <c r="G95" s="68"/>
      <c r="H95" s="70"/>
      <c r="I95" s="71"/>
      <c r="J95" s="68"/>
      <c r="K95" s="68"/>
      <c r="L95" s="68"/>
      <c r="M95" s="68"/>
      <c r="N95" s="68"/>
      <c r="O95" s="64">
        <v>0.6</v>
      </c>
      <c r="P95" s="64">
        <v>0.4</v>
      </c>
      <c r="Q95" s="68"/>
      <c r="R95" s="68"/>
      <c r="S95" s="68"/>
      <c r="T95" s="68"/>
      <c r="U95" s="68"/>
      <c r="V95" s="68"/>
      <c r="W95" s="68"/>
      <c r="X95" s="68"/>
      <c r="Y95" s="68"/>
      <c r="Z95" s="68"/>
      <c r="AA95" s="68"/>
      <c r="AB95" s="68"/>
      <c r="AC95" s="65">
        <v>1</v>
      </c>
    </row>
    <row r="96" spans="1:29" ht="12.95" customHeight="1">
      <c r="A96" s="620"/>
      <c r="B96" s="621"/>
      <c r="C96" s="622"/>
      <c r="D96" s="69"/>
      <c r="E96" s="69"/>
      <c r="F96" s="69"/>
      <c r="G96" s="69"/>
      <c r="H96" s="72"/>
      <c r="I96" s="73"/>
      <c r="J96" s="69"/>
      <c r="K96" s="69"/>
      <c r="L96" s="69"/>
      <c r="M96" s="69"/>
      <c r="N96" s="69"/>
      <c r="O96" s="66">
        <v>107005.59</v>
      </c>
      <c r="P96" s="66">
        <v>71337.06</v>
      </c>
      <c r="Q96" s="69"/>
      <c r="R96" s="69"/>
      <c r="S96" s="69"/>
      <c r="T96" s="69"/>
      <c r="U96" s="69"/>
      <c r="V96" s="69"/>
      <c r="W96" s="69"/>
      <c r="X96" s="69"/>
      <c r="Y96" s="69"/>
      <c r="Z96" s="69"/>
      <c r="AA96" s="69"/>
      <c r="AB96" s="69"/>
      <c r="AC96" s="67">
        <v>178342.65</v>
      </c>
    </row>
    <row r="97" spans="1:29" ht="12" customHeight="1">
      <c r="A97" s="620" t="s">
        <v>466</v>
      </c>
      <c r="B97" s="621" t="s">
        <v>158</v>
      </c>
      <c r="C97" s="622">
        <v>11345.08</v>
      </c>
      <c r="D97" s="68"/>
      <c r="E97" s="68"/>
      <c r="F97" s="68"/>
      <c r="G97" s="68"/>
      <c r="H97" s="70"/>
      <c r="I97" s="71"/>
      <c r="J97" s="68"/>
      <c r="K97" s="68"/>
      <c r="L97" s="68"/>
      <c r="M97" s="68"/>
      <c r="N97" s="68"/>
      <c r="O97" s="68"/>
      <c r="P97" s="64">
        <v>1</v>
      </c>
      <c r="Q97" s="68"/>
      <c r="R97" s="68"/>
      <c r="S97" s="68"/>
      <c r="T97" s="68"/>
      <c r="U97" s="68"/>
      <c r="V97" s="68"/>
      <c r="W97" s="68"/>
      <c r="X97" s="68"/>
      <c r="Y97" s="68"/>
      <c r="Z97" s="68"/>
      <c r="AA97" s="68"/>
      <c r="AB97" s="68"/>
      <c r="AC97" s="65">
        <v>1</v>
      </c>
    </row>
    <row r="98" spans="1:29" ht="12.95" customHeight="1">
      <c r="A98" s="620"/>
      <c r="B98" s="621"/>
      <c r="C98" s="622"/>
      <c r="D98" s="69"/>
      <c r="E98" s="69"/>
      <c r="F98" s="69"/>
      <c r="G98" s="69"/>
      <c r="H98" s="72"/>
      <c r="I98" s="73"/>
      <c r="J98" s="69"/>
      <c r="K98" s="69"/>
      <c r="L98" s="69"/>
      <c r="M98" s="69"/>
      <c r="N98" s="69"/>
      <c r="O98" s="69"/>
      <c r="P98" s="66">
        <v>11345.08</v>
      </c>
      <c r="Q98" s="69"/>
      <c r="R98" s="69"/>
      <c r="S98" s="69"/>
      <c r="T98" s="69"/>
      <c r="U98" s="69"/>
      <c r="V98" s="69"/>
      <c r="W98" s="69"/>
      <c r="X98" s="69"/>
      <c r="Y98" s="69"/>
      <c r="Z98" s="69"/>
      <c r="AA98" s="69"/>
      <c r="AB98" s="69"/>
      <c r="AC98" s="67">
        <v>11345.08</v>
      </c>
    </row>
    <row r="99" spans="1:29" ht="12" customHeight="1">
      <c r="A99" s="620" t="s">
        <v>472</v>
      </c>
      <c r="B99" s="621" t="s">
        <v>179</v>
      </c>
      <c r="C99" s="622">
        <v>3089.35</v>
      </c>
      <c r="D99" s="68"/>
      <c r="E99" s="68"/>
      <c r="F99" s="68"/>
      <c r="G99" s="68"/>
      <c r="H99" s="70"/>
      <c r="I99" s="71"/>
      <c r="J99" s="68"/>
      <c r="K99" s="68"/>
      <c r="L99" s="68"/>
      <c r="M99" s="68"/>
      <c r="N99" s="68"/>
      <c r="O99" s="68"/>
      <c r="P99" s="64">
        <v>1</v>
      </c>
      <c r="Q99" s="68"/>
      <c r="R99" s="68"/>
      <c r="S99" s="68"/>
      <c r="T99" s="68"/>
      <c r="U99" s="68"/>
      <c r="V99" s="68"/>
      <c r="W99" s="68"/>
      <c r="X99" s="68"/>
      <c r="Y99" s="68"/>
      <c r="Z99" s="68"/>
      <c r="AA99" s="68"/>
      <c r="AB99" s="68"/>
      <c r="AC99" s="65">
        <v>1</v>
      </c>
    </row>
    <row r="100" spans="1:29" ht="12.95" customHeight="1">
      <c r="A100" s="620"/>
      <c r="B100" s="621"/>
      <c r="C100" s="622"/>
      <c r="D100" s="69"/>
      <c r="E100" s="69"/>
      <c r="F100" s="69"/>
      <c r="G100" s="69"/>
      <c r="H100" s="72"/>
      <c r="I100" s="73"/>
      <c r="J100" s="69"/>
      <c r="K100" s="69"/>
      <c r="L100" s="69"/>
      <c r="M100" s="69"/>
      <c r="N100" s="69"/>
      <c r="O100" s="69"/>
      <c r="P100" s="66">
        <v>3089.35</v>
      </c>
      <c r="Q100" s="69"/>
      <c r="R100" s="69"/>
      <c r="S100" s="69"/>
      <c r="T100" s="69"/>
      <c r="U100" s="69"/>
      <c r="V100" s="69"/>
      <c r="W100" s="69"/>
      <c r="X100" s="69"/>
      <c r="Y100" s="69"/>
      <c r="Z100" s="69"/>
      <c r="AA100" s="69"/>
      <c r="AB100" s="69"/>
      <c r="AC100" s="67">
        <v>3089.35</v>
      </c>
    </row>
    <row r="101" spans="1:29" ht="12" customHeight="1">
      <c r="A101" s="620" t="s">
        <v>474</v>
      </c>
      <c r="B101" s="621" t="s">
        <v>185</v>
      </c>
      <c r="C101" s="622">
        <v>278761.89</v>
      </c>
      <c r="D101" s="68"/>
      <c r="E101" s="68"/>
      <c r="F101" s="68"/>
      <c r="G101" s="68"/>
      <c r="H101" s="70"/>
      <c r="I101" s="71"/>
      <c r="J101" s="68"/>
      <c r="K101" s="68"/>
      <c r="L101" s="68"/>
      <c r="M101" s="68"/>
      <c r="N101" s="64">
        <v>0.33329999999999999</v>
      </c>
      <c r="O101" s="64">
        <v>0.33329999999999999</v>
      </c>
      <c r="P101" s="64">
        <v>0.33340000000000003</v>
      </c>
      <c r="Q101" s="68"/>
      <c r="R101" s="68"/>
      <c r="S101" s="68"/>
      <c r="T101" s="68"/>
      <c r="U101" s="68"/>
      <c r="V101" s="68"/>
      <c r="W101" s="68"/>
      <c r="X101" s="68"/>
      <c r="Y101" s="68"/>
      <c r="Z101" s="68"/>
      <c r="AA101" s="68"/>
      <c r="AB101" s="68"/>
      <c r="AC101" s="65">
        <v>1</v>
      </c>
    </row>
    <row r="102" spans="1:29" ht="12.95" customHeight="1">
      <c r="A102" s="620"/>
      <c r="B102" s="621"/>
      <c r="C102" s="622"/>
      <c r="D102" s="69"/>
      <c r="E102" s="69"/>
      <c r="F102" s="69"/>
      <c r="G102" s="69"/>
      <c r="H102" s="72"/>
      <c r="I102" s="73"/>
      <c r="J102" s="69"/>
      <c r="K102" s="69"/>
      <c r="L102" s="69"/>
      <c r="M102" s="69"/>
      <c r="N102" s="66">
        <v>92911.34</v>
      </c>
      <c r="O102" s="66">
        <v>92911.34</v>
      </c>
      <c r="P102" s="66">
        <v>92939.21</v>
      </c>
      <c r="Q102" s="69"/>
      <c r="R102" s="69"/>
      <c r="S102" s="69"/>
      <c r="T102" s="69"/>
      <c r="U102" s="69"/>
      <c r="V102" s="69"/>
      <c r="W102" s="69"/>
      <c r="X102" s="69"/>
      <c r="Y102" s="69"/>
      <c r="Z102" s="69"/>
      <c r="AA102" s="69"/>
      <c r="AB102" s="69"/>
      <c r="AC102" s="67">
        <v>278761.89</v>
      </c>
    </row>
    <row r="103" spans="1:29" ht="12" customHeight="1">
      <c r="A103" s="620" t="s">
        <v>483</v>
      </c>
      <c r="B103" s="621" t="s">
        <v>484</v>
      </c>
      <c r="C103" s="622">
        <v>721603.77</v>
      </c>
      <c r="D103" s="68"/>
      <c r="E103" s="68"/>
      <c r="F103" s="68"/>
      <c r="G103" s="68"/>
      <c r="H103" s="70"/>
      <c r="I103" s="71"/>
      <c r="J103" s="68"/>
      <c r="K103" s="68"/>
      <c r="L103" s="68"/>
      <c r="M103" s="68"/>
      <c r="N103" s="68"/>
      <c r="O103" s="68"/>
      <c r="P103" s="68"/>
      <c r="Q103" s="64">
        <v>0.124</v>
      </c>
      <c r="R103" s="64">
        <v>0.19800000000000001</v>
      </c>
      <c r="S103" s="64">
        <v>0.28000000000000003</v>
      </c>
      <c r="T103" s="64">
        <v>0.2147</v>
      </c>
      <c r="U103" s="64">
        <v>0.1159</v>
      </c>
      <c r="V103" s="64">
        <v>6.7400000000000002E-2</v>
      </c>
      <c r="W103" s="68"/>
      <c r="X103" s="68"/>
      <c r="Y103" s="68"/>
      <c r="Z103" s="68"/>
      <c r="AA103" s="68"/>
      <c r="AB103" s="68"/>
      <c r="AC103" s="65">
        <v>1</v>
      </c>
    </row>
    <row r="104" spans="1:29" ht="12.95" customHeight="1">
      <c r="A104" s="620"/>
      <c r="B104" s="621"/>
      <c r="C104" s="622"/>
      <c r="D104" s="69"/>
      <c r="E104" s="69"/>
      <c r="F104" s="69"/>
      <c r="G104" s="69"/>
      <c r="H104" s="72"/>
      <c r="I104" s="73"/>
      <c r="J104" s="69"/>
      <c r="K104" s="69"/>
      <c r="L104" s="69"/>
      <c r="M104" s="69"/>
      <c r="N104" s="69"/>
      <c r="O104" s="69"/>
      <c r="P104" s="69"/>
      <c r="Q104" s="66">
        <v>89509.77</v>
      </c>
      <c r="R104" s="66">
        <v>142861.42000000001</v>
      </c>
      <c r="S104" s="66">
        <v>202027.85</v>
      </c>
      <c r="T104" s="66">
        <v>154936.43</v>
      </c>
      <c r="U104" s="66">
        <v>83669.2</v>
      </c>
      <c r="V104" s="66">
        <v>48599.1</v>
      </c>
      <c r="W104" s="69"/>
      <c r="X104" s="69"/>
      <c r="Y104" s="69"/>
      <c r="Z104" s="69"/>
      <c r="AA104" s="69"/>
      <c r="AB104" s="69"/>
      <c r="AC104" s="67">
        <v>721603.77</v>
      </c>
    </row>
    <row r="105" spans="1:29" ht="12" customHeight="1">
      <c r="A105" s="620" t="s">
        <v>485</v>
      </c>
      <c r="B105" s="621" t="s">
        <v>15</v>
      </c>
      <c r="C105" s="622">
        <v>10252.02</v>
      </c>
      <c r="D105" s="68"/>
      <c r="E105" s="68"/>
      <c r="F105" s="68"/>
      <c r="G105" s="68"/>
      <c r="H105" s="70"/>
      <c r="I105" s="71"/>
      <c r="J105" s="68"/>
      <c r="K105" s="68"/>
      <c r="L105" s="68"/>
      <c r="M105" s="68"/>
      <c r="N105" s="68"/>
      <c r="O105" s="68"/>
      <c r="P105" s="68"/>
      <c r="Q105" s="64">
        <v>1</v>
      </c>
      <c r="R105" s="68"/>
      <c r="S105" s="68"/>
      <c r="T105" s="68"/>
      <c r="U105" s="68"/>
      <c r="V105" s="68"/>
      <c r="W105" s="68"/>
      <c r="X105" s="68"/>
      <c r="Y105" s="68"/>
      <c r="Z105" s="68"/>
      <c r="AA105" s="68"/>
      <c r="AB105" s="68"/>
      <c r="AC105" s="65">
        <v>1</v>
      </c>
    </row>
    <row r="106" spans="1:29" ht="12.95" customHeight="1">
      <c r="A106" s="620"/>
      <c r="B106" s="621"/>
      <c r="C106" s="622"/>
      <c r="D106" s="69"/>
      <c r="E106" s="69"/>
      <c r="F106" s="69"/>
      <c r="G106" s="69"/>
      <c r="H106" s="72"/>
      <c r="I106" s="73"/>
      <c r="J106" s="69"/>
      <c r="K106" s="69"/>
      <c r="L106" s="69"/>
      <c r="M106" s="69"/>
      <c r="N106" s="69"/>
      <c r="O106" s="69"/>
      <c r="P106" s="69"/>
      <c r="Q106" s="66">
        <v>10252.02</v>
      </c>
      <c r="R106" s="69"/>
      <c r="S106" s="69"/>
      <c r="T106" s="69"/>
      <c r="U106" s="69"/>
      <c r="V106" s="69"/>
      <c r="W106" s="69"/>
      <c r="X106" s="69"/>
      <c r="Y106" s="69"/>
      <c r="Z106" s="69"/>
      <c r="AA106" s="69"/>
      <c r="AB106" s="69"/>
      <c r="AC106" s="67">
        <v>10252.02</v>
      </c>
    </row>
    <row r="107" spans="1:29" ht="12" customHeight="1">
      <c r="A107" s="620" t="s">
        <v>488</v>
      </c>
      <c r="B107" s="621" t="s">
        <v>26</v>
      </c>
      <c r="C107" s="622">
        <v>32480.31</v>
      </c>
      <c r="D107" s="68"/>
      <c r="E107" s="68"/>
      <c r="F107" s="68"/>
      <c r="G107" s="68"/>
      <c r="H107" s="70"/>
      <c r="I107" s="71"/>
      <c r="J107" s="68"/>
      <c r="K107" s="68"/>
      <c r="L107" s="68"/>
      <c r="M107" s="68"/>
      <c r="N107" s="68"/>
      <c r="O107" s="68"/>
      <c r="P107" s="68"/>
      <c r="Q107" s="64">
        <v>0.1666</v>
      </c>
      <c r="R107" s="64">
        <v>0.1666</v>
      </c>
      <c r="S107" s="64">
        <v>0.1666</v>
      </c>
      <c r="T107" s="64">
        <v>0.1666</v>
      </c>
      <c r="U107" s="64">
        <v>0.1666</v>
      </c>
      <c r="V107" s="64">
        <v>0.16699999999999998</v>
      </c>
      <c r="W107" s="68"/>
      <c r="X107" s="68"/>
      <c r="Y107" s="68"/>
      <c r="Z107" s="68"/>
      <c r="AA107" s="68"/>
      <c r="AB107" s="68"/>
      <c r="AC107" s="65">
        <v>1</v>
      </c>
    </row>
    <row r="108" spans="1:29" ht="12.95" customHeight="1">
      <c r="A108" s="620"/>
      <c r="B108" s="621"/>
      <c r="C108" s="622"/>
      <c r="D108" s="69"/>
      <c r="E108" s="69"/>
      <c r="F108" s="69"/>
      <c r="G108" s="69"/>
      <c r="H108" s="72"/>
      <c r="I108" s="73"/>
      <c r="J108" s="69"/>
      <c r="K108" s="69"/>
      <c r="L108" s="69"/>
      <c r="M108" s="69"/>
      <c r="N108" s="69"/>
      <c r="O108" s="69"/>
      <c r="P108" s="69"/>
      <c r="Q108" s="66">
        <v>5411.22</v>
      </c>
      <c r="R108" s="66">
        <v>5411.22</v>
      </c>
      <c r="S108" s="66">
        <v>5411.22</v>
      </c>
      <c r="T108" s="66">
        <v>5411.22</v>
      </c>
      <c r="U108" s="66">
        <v>5411.22</v>
      </c>
      <c r="V108" s="66">
        <v>5424.21</v>
      </c>
      <c r="W108" s="69"/>
      <c r="X108" s="69"/>
      <c r="Y108" s="69"/>
      <c r="Z108" s="69"/>
      <c r="AA108" s="69"/>
      <c r="AB108" s="69"/>
      <c r="AC108" s="67">
        <v>32480.31</v>
      </c>
    </row>
    <row r="109" spans="1:29" ht="12" customHeight="1">
      <c r="A109" s="620" t="s">
        <v>491</v>
      </c>
      <c r="B109" s="621" t="s">
        <v>36</v>
      </c>
      <c r="C109" s="622">
        <v>8949.52</v>
      </c>
      <c r="D109" s="68"/>
      <c r="E109" s="68"/>
      <c r="F109" s="68"/>
      <c r="G109" s="68"/>
      <c r="H109" s="70"/>
      <c r="I109" s="71"/>
      <c r="J109" s="68"/>
      <c r="K109" s="68"/>
      <c r="L109" s="68"/>
      <c r="M109" s="68"/>
      <c r="N109" s="68"/>
      <c r="O109" s="68"/>
      <c r="P109" s="68"/>
      <c r="Q109" s="64">
        <v>0.5</v>
      </c>
      <c r="R109" s="64">
        <v>0.5</v>
      </c>
      <c r="S109" s="68"/>
      <c r="T109" s="68"/>
      <c r="U109" s="68"/>
      <c r="V109" s="68"/>
      <c r="W109" s="68"/>
      <c r="X109" s="68"/>
      <c r="Y109" s="68"/>
      <c r="Z109" s="68"/>
      <c r="AA109" s="68"/>
      <c r="AB109" s="68"/>
      <c r="AC109" s="65">
        <v>1</v>
      </c>
    </row>
    <row r="110" spans="1:29" ht="12.95" customHeight="1">
      <c r="A110" s="620"/>
      <c r="B110" s="621"/>
      <c r="C110" s="622"/>
      <c r="D110" s="69"/>
      <c r="E110" s="69"/>
      <c r="F110" s="69"/>
      <c r="G110" s="69"/>
      <c r="H110" s="72"/>
      <c r="I110" s="73"/>
      <c r="J110" s="69"/>
      <c r="K110" s="69"/>
      <c r="L110" s="69"/>
      <c r="M110" s="69"/>
      <c r="N110" s="69"/>
      <c r="O110" s="69"/>
      <c r="P110" s="69"/>
      <c r="Q110" s="66">
        <v>4474.76</v>
      </c>
      <c r="R110" s="66">
        <v>4474.76</v>
      </c>
      <c r="S110" s="69"/>
      <c r="T110" s="69"/>
      <c r="U110" s="69"/>
      <c r="V110" s="69"/>
      <c r="W110" s="69"/>
      <c r="X110" s="69"/>
      <c r="Y110" s="69"/>
      <c r="Z110" s="69"/>
      <c r="AA110" s="69"/>
      <c r="AB110" s="69"/>
      <c r="AC110" s="67">
        <v>8949.52</v>
      </c>
    </row>
    <row r="111" spans="1:29" ht="12" customHeight="1">
      <c r="A111" s="620" t="s">
        <v>496</v>
      </c>
      <c r="B111" s="621" t="s">
        <v>444</v>
      </c>
      <c r="C111" s="622">
        <v>76447.929999999993</v>
      </c>
      <c r="D111" s="68"/>
      <c r="E111" s="68"/>
      <c r="F111" s="68"/>
      <c r="G111" s="68"/>
      <c r="H111" s="70"/>
      <c r="I111" s="71"/>
      <c r="J111" s="68"/>
      <c r="K111" s="68"/>
      <c r="L111" s="68"/>
      <c r="M111" s="68"/>
      <c r="N111" s="68"/>
      <c r="O111" s="68"/>
      <c r="P111" s="68"/>
      <c r="Q111" s="64">
        <v>0.4</v>
      </c>
      <c r="R111" s="64">
        <v>0.4</v>
      </c>
      <c r="S111" s="64">
        <v>0.2</v>
      </c>
      <c r="T111" s="68"/>
      <c r="U111" s="68"/>
      <c r="V111" s="68"/>
      <c r="W111" s="68"/>
      <c r="X111" s="68"/>
      <c r="Y111" s="68"/>
      <c r="Z111" s="68"/>
      <c r="AA111" s="68"/>
      <c r="AB111" s="68"/>
      <c r="AC111" s="65">
        <v>1</v>
      </c>
    </row>
    <row r="112" spans="1:29" ht="12.95" customHeight="1">
      <c r="A112" s="620"/>
      <c r="B112" s="621"/>
      <c r="C112" s="622"/>
      <c r="D112" s="69"/>
      <c r="E112" s="69"/>
      <c r="F112" s="69"/>
      <c r="G112" s="69"/>
      <c r="H112" s="72"/>
      <c r="I112" s="73"/>
      <c r="J112" s="69"/>
      <c r="K112" s="69"/>
      <c r="L112" s="69"/>
      <c r="M112" s="69"/>
      <c r="N112" s="69"/>
      <c r="O112" s="69"/>
      <c r="P112" s="69"/>
      <c r="Q112" s="66">
        <v>30579.17</v>
      </c>
      <c r="R112" s="66">
        <v>30579.17</v>
      </c>
      <c r="S112" s="66">
        <v>15289.59</v>
      </c>
      <c r="T112" s="69"/>
      <c r="U112" s="69"/>
      <c r="V112" s="69"/>
      <c r="W112" s="69"/>
      <c r="X112" s="69"/>
      <c r="Y112" s="69"/>
      <c r="Z112" s="69"/>
      <c r="AA112" s="69"/>
      <c r="AB112" s="69"/>
      <c r="AC112" s="67">
        <v>76447.929999999993</v>
      </c>
    </row>
    <row r="113" spans="1:29" ht="12" customHeight="1">
      <c r="A113" s="620" t="s">
        <v>503</v>
      </c>
      <c r="B113" s="621" t="s">
        <v>11</v>
      </c>
      <c r="C113" s="622">
        <v>197326.92</v>
      </c>
      <c r="D113" s="68"/>
      <c r="E113" s="68"/>
      <c r="F113" s="68"/>
      <c r="G113" s="68"/>
      <c r="H113" s="70"/>
      <c r="I113" s="71"/>
      <c r="J113" s="68"/>
      <c r="K113" s="68"/>
      <c r="L113" s="68"/>
      <c r="M113" s="68"/>
      <c r="N113" s="68"/>
      <c r="O113" s="68"/>
      <c r="P113" s="68"/>
      <c r="Q113" s="68"/>
      <c r="R113" s="68"/>
      <c r="S113" s="64">
        <v>0.4</v>
      </c>
      <c r="T113" s="64">
        <v>0.4</v>
      </c>
      <c r="U113" s="64">
        <v>0.2</v>
      </c>
      <c r="V113" s="68"/>
      <c r="W113" s="68"/>
      <c r="X113" s="68"/>
      <c r="Y113" s="68"/>
      <c r="Z113" s="68"/>
      <c r="AA113" s="68"/>
      <c r="AB113" s="68"/>
      <c r="AC113" s="65">
        <v>1</v>
      </c>
    </row>
    <row r="114" spans="1:29" ht="12.95" customHeight="1">
      <c r="A114" s="620"/>
      <c r="B114" s="621"/>
      <c r="C114" s="622"/>
      <c r="D114" s="69"/>
      <c r="E114" s="69"/>
      <c r="F114" s="69"/>
      <c r="G114" s="69"/>
      <c r="H114" s="72"/>
      <c r="I114" s="73"/>
      <c r="J114" s="69"/>
      <c r="K114" s="69"/>
      <c r="L114" s="69"/>
      <c r="M114" s="69"/>
      <c r="N114" s="69"/>
      <c r="O114" s="69"/>
      <c r="P114" s="69"/>
      <c r="Q114" s="69"/>
      <c r="R114" s="69"/>
      <c r="S114" s="66">
        <v>78930.77</v>
      </c>
      <c r="T114" s="66">
        <v>78930.77</v>
      </c>
      <c r="U114" s="66">
        <v>39465.379999999997</v>
      </c>
      <c r="V114" s="69"/>
      <c r="W114" s="69"/>
      <c r="X114" s="69"/>
      <c r="Y114" s="69"/>
      <c r="Z114" s="69"/>
      <c r="AA114" s="69"/>
      <c r="AB114" s="69"/>
      <c r="AC114" s="67">
        <v>197326.92</v>
      </c>
    </row>
    <row r="115" spans="1:29" ht="12" customHeight="1">
      <c r="A115" s="620" t="s">
        <v>512</v>
      </c>
      <c r="B115" s="621" t="s">
        <v>120</v>
      </c>
      <c r="C115" s="622">
        <v>159009.18</v>
      </c>
      <c r="D115" s="68"/>
      <c r="E115" s="68"/>
      <c r="F115" s="68"/>
      <c r="G115" s="68"/>
      <c r="H115" s="70"/>
      <c r="I115" s="71"/>
      <c r="J115" s="68"/>
      <c r="K115" s="68"/>
      <c r="L115" s="68"/>
      <c r="M115" s="68"/>
      <c r="N115" s="68"/>
      <c r="O115" s="68"/>
      <c r="P115" s="68"/>
      <c r="Q115" s="68"/>
      <c r="R115" s="64">
        <v>0.4</v>
      </c>
      <c r="S115" s="64">
        <v>0.4</v>
      </c>
      <c r="T115" s="64">
        <v>0.2</v>
      </c>
      <c r="U115" s="68"/>
      <c r="V115" s="68"/>
      <c r="W115" s="68"/>
      <c r="X115" s="68"/>
      <c r="Y115" s="68"/>
      <c r="Z115" s="68"/>
      <c r="AA115" s="68"/>
      <c r="AB115" s="68"/>
      <c r="AC115" s="65">
        <v>1</v>
      </c>
    </row>
    <row r="116" spans="1:29" ht="12.95" customHeight="1">
      <c r="A116" s="620"/>
      <c r="B116" s="621"/>
      <c r="C116" s="622"/>
      <c r="D116" s="69"/>
      <c r="E116" s="69"/>
      <c r="F116" s="69"/>
      <c r="G116" s="69"/>
      <c r="H116" s="72"/>
      <c r="I116" s="73"/>
      <c r="J116" s="69"/>
      <c r="K116" s="69"/>
      <c r="L116" s="69"/>
      <c r="M116" s="69"/>
      <c r="N116" s="69"/>
      <c r="O116" s="69"/>
      <c r="P116" s="69"/>
      <c r="Q116" s="69"/>
      <c r="R116" s="66">
        <v>63603.67</v>
      </c>
      <c r="S116" s="66">
        <v>63603.67</v>
      </c>
      <c r="T116" s="66">
        <v>31801.84</v>
      </c>
      <c r="U116" s="69"/>
      <c r="V116" s="69"/>
      <c r="W116" s="69"/>
      <c r="X116" s="69"/>
      <c r="Y116" s="69"/>
      <c r="Z116" s="69"/>
      <c r="AA116" s="69"/>
      <c r="AB116" s="69"/>
      <c r="AC116" s="67">
        <v>159009.18</v>
      </c>
    </row>
    <row r="117" spans="1:29" ht="12" customHeight="1">
      <c r="A117" s="620" t="s">
        <v>532</v>
      </c>
      <c r="B117" s="621" t="s">
        <v>158</v>
      </c>
      <c r="C117" s="622">
        <v>4289.16</v>
      </c>
      <c r="D117" s="68"/>
      <c r="E117" s="68"/>
      <c r="F117" s="68"/>
      <c r="G117" s="68"/>
      <c r="H117" s="70"/>
      <c r="I117" s="71"/>
      <c r="J117" s="68"/>
      <c r="K117" s="68"/>
      <c r="L117" s="68"/>
      <c r="M117" s="68"/>
      <c r="N117" s="68"/>
      <c r="O117" s="68"/>
      <c r="P117" s="68"/>
      <c r="Q117" s="68"/>
      <c r="R117" s="68"/>
      <c r="S117" s="68"/>
      <c r="T117" s="68"/>
      <c r="U117" s="68"/>
      <c r="V117" s="64">
        <v>1</v>
      </c>
      <c r="W117" s="68"/>
      <c r="X117" s="68"/>
      <c r="Y117" s="68"/>
      <c r="Z117" s="68"/>
      <c r="AA117" s="68"/>
      <c r="AB117" s="68"/>
      <c r="AC117" s="65">
        <v>1</v>
      </c>
    </row>
    <row r="118" spans="1:29" ht="12.95" customHeight="1">
      <c r="A118" s="620"/>
      <c r="B118" s="621"/>
      <c r="C118" s="622"/>
      <c r="D118" s="69"/>
      <c r="E118" s="69"/>
      <c r="F118" s="69"/>
      <c r="G118" s="69"/>
      <c r="H118" s="72"/>
      <c r="I118" s="73"/>
      <c r="J118" s="69"/>
      <c r="K118" s="69"/>
      <c r="L118" s="69"/>
      <c r="M118" s="69"/>
      <c r="N118" s="69"/>
      <c r="O118" s="69"/>
      <c r="P118" s="69"/>
      <c r="Q118" s="69"/>
      <c r="R118" s="69"/>
      <c r="S118" s="69"/>
      <c r="T118" s="69"/>
      <c r="U118" s="69"/>
      <c r="V118" s="66">
        <v>4289.16</v>
      </c>
      <c r="W118" s="69"/>
      <c r="X118" s="69"/>
      <c r="Y118" s="69"/>
      <c r="Z118" s="69"/>
      <c r="AA118" s="69"/>
      <c r="AB118" s="69"/>
      <c r="AC118" s="67">
        <v>4289.16</v>
      </c>
    </row>
    <row r="119" spans="1:29" ht="12" customHeight="1">
      <c r="A119" s="620" t="s">
        <v>542</v>
      </c>
      <c r="B119" s="621" t="s">
        <v>185</v>
      </c>
      <c r="C119" s="622">
        <v>232848.73</v>
      </c>
      <c r="D119" s="68"/>
      <c r="E119" s="68"/>
      <c r="F119" s="68"/>
      <c r="G119" s="68"/>
      <c r="H119" s="70"/>
      <c r="I119" s="71"/>
      <c r="J119" s="68"/>
      <c r="K119" s="68"/>
      <c r="L119" s="68"/>
      <c r="M119" s="68"/>
      <c r="N119" s="68"/>
      <c r="O119" s="68"/>
      <c r="P119" s="68"/>
      <c r="Q119" s="64">
        <v>0.1666</v>
      </c>
      <c r="R119" s="64">
        <v>0.1666</v>
      </c>
      <c r="S119" s="64">
        <v>0.1666</v>
      </c>
      <c r="T119" s="64">
        <v>0.1666</v>
      </c>
      <c r="U119" s="64">
        <v>0.1666</v>
      </c>
      <c r="V119" s="64">
        <v>0.16699999999999998</v>
      </c>
      <c r="W119" s="68"/>
      <c r="X119" s="68"/>
      <c r="Y119" s="68"/>
      <c r="Z119" s="68"/>
      <c r="AA119" s="68"/>
      <c r="AB119" s="68"/>
      <c r="AC119" s="65">
        <v>1</v>
      </c>
    </row>
    <row r="120" spans="1:29" ht="12.95" customHeight="1">
      <c r="A120" s="620"/>
      <c r="B120" s="621"/>
      <c r="C120" s="622"/>
      <c r="D120" s="69"/>
      <c r="E120" s="69"/>
      <c r="F120" s="69"/>
      <c r="G120" s="69"/>
      <c r="H120" s="72"/>
      <c r="I120" s="73"/>
      <c r="J120" s="69"/>
      <c r="K120" s="69"/>
      <c r="L120" s="69"/>
      <c r="M120" s="69"/>
      <c r="N120" s="69"/>
      <c r="O120" s="69"/>
      <c r="P120" s="69"/>
      <c r="Q120" s="66">
        <v>38792.6</v>
      </c>
      <c r="R120" s="66">
        <v>38792.6</v>
      </c>
      <c r="S120" s="66">
        <v>38792.6</v>
      </c>
      <c r="T120" s="66">
        <v>38792.6</v>
      </c>
      <c r="U120" s="66">
        <v>38792.6</v>
      </c>
      <c r="V120" s="66">
        <v>38885.730000000003</v>
      </c>
      <c r="W120" s="69"/>
      <c r="X120" s="69"/>
      <c r="Y120" s="69"/>
      <c r="Z120" s="69"/>
      <c r="AA120" s="69"/>
      <c r="AB120" s="69"/>
      <c r="AC120" s="67">
        <v>232848.73</v>
      </c>
    </row>
    <row r="121" spans="1:29" ht="12" customHeight="1">
      <c r="A121" s="620" t="s">
        <v>553</v>
      </c>
      <c r="B121" s="621" t="s">
        <v>554</v>
      </c>
      <c r="C121" s="622">
        <v>339989.1</v>
      </c>
      <c r="D121" s="68"/>
      <c r="E121" s="68"/>
      <c r="F121" s="68"/>
      <c r="G121" s="68"/>
      <c r="H121" s="70"/>
      <c r="I121" s="71"/>
      <c r="J121" s="68"/>
      <c r="K121" s="68"/>
      <c r="L121" s="68"/>
      <c r="M121" s="68"/>
      <c r="N121" s="68"/>
      <c r="O121" s="68"/>
      <c r="P121" s="68"/>
      <c r="Q121" s="68"/>
      <c r="R121" s="68"/>
      <c r="S121" s="68"/>
      <c r="T121" s="68"/>
      <c r="U121" s="68"/>
      <c r="V121" s="68"/>
      <c r="W121" s="64">
        <v>0.52149999999999996</v>
      </c>
      <c r="X121" s="64">
        <v>0.47850000000000004</v>
      </c>
      <c r="Y121" s="68"/>
      <c r="Z121" s="68"/>
      <c r="AA121" s="68"/>
      <c r="AB121" s="68"/>
      <c r="AC121" s="65">
        <v>1</v>
      </c>
    </row>
    <row r="122" spans="1:29" ht="12.95" customHeight="1">
      <c r="A122" s="620"/>
      <c r="B122" s="621"/>
      <c r="C122" s="622"/>
      <c r="D122" s="69"/>
      <c r="E122" s="69"/>
      <c r="F122" s="69"/>
      <c r="G122" s="69"/>
      <c r="H122" s="72"/>
      <c r="I122" s="73"/>
      <c r="J122" s="69"/>
      <c r="K122" s="69"/>
      <c r="L122" s="69"/>
      <c r="M122" s="69"/>
      <c r="N122" s="69"/>
      <c r="O122" s="69"/>
      <c r="P122" s="69"/>
      <c r="Q122" s="69"/>
      <c r="R122" s="69"/>
      <c r="S122" s="69"/>
      <c r="T122" s="69"/>
      <c r="U122" s="69"/>
      <c r="V122" s="69"/>
      <c r="W122" s="66">
        <v>177312.69</v>
      </c>
      <c r="X122" s="66">
        <v>162676.41</v>
      </c>
      <c r="Y122" s="69"/>
      <c r="Z122" s="69"/>
      <c r="AA122" s="69"/>
      <c r="AB122" s="69"/>
      <c r="AC122" s="67">
        <v>339989.1</v>
      </c>
    </row>
    <row r="123" spans="1:29" ht="12" customHeight="1">
      <c r="A123" s="620" t="s">
        <v>555</v>
      </c>
      <c r="B123" s="621" t="s">
        <v>15</v>
      </c>
      <c r="C123" s="622">
        <v>6960.06</v>
      </c>
      <c r="D123" s="68"/>
      <c r="E123" s="68"/>
      <c r="F123" s="68"/>
      <c r="G123" s="68"/>
      <c r="H123" s="70"/>
      <c r="I123" s="71"/>
      <c r="J123" s="68"/>
      <c r="K123" s="68"/>
      <c r="L123" s="68"/>
      <c r="M123" s="68"/>
      <c r="N123" s="68"/>
      <c r="O123" s="68"/>
      <c r="P123" s="68"/>
      <c r="Q123" s="68"/>
      <c r="R123" s="68"/>
      <c r="S123" s="68"/>
      <c r="T123" s="68"/>
      <c r="U123" s="68"/>
      <c r="V123" s="68"/>
      <c r="W123" s="64">
        <v>1</v>
      </c>
      <c r="X123" s="68"/>
      <c r="Y123" s="68"/>
      <c r="Z123" s="68"/>
      <c r="AA123" s="68"/>
      <c r="AB123" s="68"/>
      <c r="AC123" s="65">
        <v>1</v>
      </c>
    </row>
    <row r="124" spans="1:29" ht="12.95" customHeight="1">
      <c r="A124" s="620"/>
      <c r="B124" s="621"/>
      <c r="C124" s="622"/>
      <c r="D124" s="69"/>
      <c r="E124" s="69"/>
      <c r="F124" s="69"/>
      <c r="G124" s="69"/>
      <c r="H124" s="72"/>
      <c r="I124" s="73"/>
      <c r="J124" s="69"/>
      <c r="K124" s="69"/>
      <c r="L124" s="69"/>
      <c r="M124" s="69"/>
      <c r="N124" s="69"/>
      <c r="O124" s="69"/>
      <c r="P124" s="69"/>
      <c r="Q124" s="69"/>
      <c r="R124" s="69"/>
      <c r="S124" s="69"/>
      <c r="T124" s="69"/>
      <c r="U124" s="69"/>
      <c r="V124" s="69"/>
      <c r="W124" s="66">
        <v>6960.06</v>
      </c>
      <c r="X124" s="69"/>
      <c r="Y124" s="69"/>
      <c r="Z124" s="69"/>
      <c r="AA124" s="69"/>
      <c r="AB124" s="69"/>
      <c r="AC124" s="67">
        <v>6960.06</v>
      </c>
    </row>
    <row r="125" spans="1:29" ht="12" customHeight="1">
      <c r="A125" s="620" t="s">
        <v>558</v>
      </c>
      <c r="B125" s="621" t="s">
        <v>26</v>
      </c>
      <c r="C125" s="622">
        <v>12787.84</v>
      </c>
      <c r="D125" s="68"/>
      <c r="E125" s="68"/>
      <c r="F125" s="68"/>
      <c r="G125" s="68"/>
      <c r="H125" s="70"/>
      <c r="I125" s="71"/>
      <c r="J125" s="68"/>
      <c r="K125" s="68"/>
      <c r="L125" s="68"/>
      <c r="M125" s="68"/>
      <c r="N125" s="68"/>
      <c r="O125" s="68"/>
      <c r="P125" s="68"/>
      <c r="Q125" s="68"/>
      <c r="R125" s="68"/>
      <c r="S125" s="68"/>
      <c r="T125" s="68"/>
      <c r="U125" s="68"/>
      <c r="V125" s="68"/>
      <c r="W125" s="64">
        <v>0.5</v>
      </c>
      <c r="X125" s="64">
        <v>0.5</v>
      </c>
      <c r="Y125" s="68"/>
      <c r="Z125" s="68"/>
      <c r="AA125" s="68"/>
      <c r="AB125" s="68"/>
      <c r="AC125" s="65">
        <v>1</v>
      </c>
    </row>
    <row r="126" spans="1:29" ht="12.95" customHeight="1">
      <c r="A126" s="620"/>
      <c r="B126" s="621"/>
      <c r="C126" s="622"/>
      <c r="D126" s="69"/>
      <c r="E126" s="69"/>
      <c r="F126" s="69"/>
      <c r="G126" s="69"/>
      <c r="H126" s="72"/>
      <c r="I126" s="73"/>
      <c r="J126" s="69"/>
      <c r="K126" s="69"/>
      <c r="L126" s="69"/>
      <c r="M126" s="69"/>
      <c r="N126" s="69"/>
      <c r="O126" s="69"/>
      <c r="P126" s="69"/>
      <c r="Q126" s="69"/>
      <c r="R126" s="69"/>
      <c r="S126" s="69"/>
      <c r="T126" s="69"/>
      <c r="U126" s="69"/>
      <c r="V126" s="69"/>
      <c r="W126" s="66">
        <v>6393.92</v>
      </c>
      <c r="X126" s="66">
        <v>6393.92</v>
      </c>
      <c r="Y126" s="69"/>
      <c r="Z126" s="69"/>
      <c r="AA126" s="69"/>
      <c r="AB126" s="69"/>
      <c r="AC126" s="67">
        <v>12787.84</v>
      </c>
    </row>
    <row r="127" spans="1:29" ht="12" customHeight="1">
      <c r="A127" s="620" t="s">
        <v>561</v>
      </c>
      <c r="B127" s="621" t="s">
        <v>36</v>
      </c>
      <c r="C127" s="622">
        <v>4462.5600000000004</v>
      </c>
      <c r="D127" s="68"/>
      <c r="E127" s="68"/>
      <c r="F127" s="68"/>
      <c r="G127" s="68"/>
      <c r="H127" s="70"/>
      <c r="I127" s="71"/>
      <c r="J127" s="68"/>
      <c r="K127" s="68"/>
      <c r="L127" s="68"/>
      <c r="M127" s="68"/>
      <c r="N127" s="68"/>
      <c r="O127" s="68"/>
      <c r="P127" s="68"/>
      <c r="Q127" s="68"/>
      <c r="R127" s="68"/>
      <c r="S127" s="68"/>
      <c r="T127" s="68"/>
      <c r="U127" s="68"/>
      <c r="V127" s="68"/>
      <c r="W127" s="64">
        <v>1</v>
      </c>
      <c r="X127" s="68"/>
      <c r="Y127" s="68"/>
      <c r="Z127" s="68"/>
      <c r="AA127" s="68"/>
      <c r="AB127" s="68"/>
      <c r="AC127" s="65">
        <v>1</v>
      </c>
    </row>
    <row r="128" spans="1:29" ht="12.95" customHeight="1">
      <c r="A128" s="620"/>
      <c r="B128" s="621"/>
      <c r="C128" s="622"/>
      <c r="D128" s="69"/>
      <c r="E128" s="69"/>
      <c r="F128" s="69"/>
      <c r="G128" s="69"/>
      <c r="H128" s="72"/>
      <c r="I128" s="73"/>
      <c r="J128" s="69"/>
      <c r="K128" s="69"/>
      <c r="L128" s="69"/>
      <c r="M128" s="69"/>
      <c r="N128" s="69"/>
      <c r="O128" s="69"/>
      <c r="P128" s="69"/>
      <c r="Q128" s="69"/>
      <c r="R128" s="69"/>
      <c r="S128" s="69"/>
      <c r="T128" s="69"/>
      <c r="U128" s="69"/>
      <c r="V128" s="69"/>
      <c r="W128" s="66">
        <v>4462.5600000000004</v>
      </c>
      <c r="X128" s="69"/>
      <c r="Y128" s="69"/>
      <c r="Z128" s="69"/>
      <c r="AA128" s="69"/>
      <c r="AB128" s="69"/>
      <c r="AC128" s="67">
        <v>4462.5600000000004</v>
      </c>
    </row>
    <row r="129" spans="1:29" ht="12" customHeight="1">
      <c r="A129" s="620" t="s">
        <v>566</v>
      </c>
      <c r="B129" s="621" t="s">
        <v>444</v>
      </c>
      <c r="C129" s="622">
        <v>34942.160000000003</v>
      </c>
      <c r="D129" s="68"/>
      <c r="E129" s="68"/>
      <c r="F129" s="68"/>
      <c r="G129" s="68"/>
      <c r="H129" s="70"/>
      <c r="I129" s="71"/>
      <c r="J129" s="68"/>
      <c r="K129" s="68"/>
      <c r="L129" s="68"/>
      <c r="M129" s="68"/>
      <c r="N129" s="68"/>
      <c r="O129" s="68"/>
      <c r="P129" s="68"/>
      <c r="Q129" s="68"/>
      <c r="R129" s="68"/>
      <c r="S129" s="68"/>
      <c r="T129" s="68"/>
      <c r="U129" s="68"/>
      <c r="V129" s="68"/>
      <c r="W129" s="64">
        <v>1</v>
      </c>
      <c r="X129" s="68"/>
      <c r="Y129" s="68"/>
      <c r="Z129" s="68"/>
      <c r="AA129" s="68"/>
      <c r="AB129" s="68"/>
      <c r="AC129" s="65">
        <v>1</v>
      </c>
    </row>
    <row r="130" spans="1:29" ht="12.95" customHeight="1">
      <c r="A130" s="620"/>
      <c r="B130" s="621"/>
      <c r="C130" s="622"/>
      <c r="D130" s="69"/>
      <c r="E130" s="69"/>
      <c r="F130" s="69"/>
      <c r="G130" s="69"/>
      <c r="H130" s="72"/>
      <c r="I130" s="73"/>
      <c r="J130" s="69"/>
      <c r="K130" s="69"/>
      <c r="L130" s="69"/>
      <c r="M130" s="69"/>
      <c r="N130" s="69"/>
      <c r="O130" s="69"/>
      <c r="P130" s="69"/>
      <c r="Q130" s="69"/>
      <c r="R130" s="69"/>
      <c r="S130" s="69"/>
      <c r="T130" s="69"/>
      <c r="U130" s="69"/>
      <c r="V130" s="69"/>
      <c r="W130" s="66">
        <v>34942.160000000003</v>
      </c>
      <c r="X130" s="69"/>
      <c r="Y130" s="69"/>
      <c r="Z130" s="69"/>
      <c r="AA130" s="69"/>
      <c r="AB130" s="69"/>
      <c r="AC130" s="67">
        <v>34942.160000000003</v>
      </c>
    </row>
    <row r="131" spans="1:29" ht="12" customHeight="1">
      <c r="A131" s="620" t="s">
        <v>570</v>
      </c>
      <c r="B131" s="621" t="s">
        <v>11</v>
      </c>
      <c r="C131" s="622">
        <v>103277.81</v>
      </c>
      <c r="D131" s="68"/>
      <c r="E131" s="68"/>
      <c r="F131" s="68"/>
      <c r="G131" s="68"/>
      <c r="H131" s="70"/>
      <c r="I131" s="71"/>
      <c r="J131" s="68"/>
      <c r="K131" s="68"/>
      <c r="L131" s="68"/>
      <c r="M131" s="68"/>
      <c r="N131" s="68"/>
      <c r="O131" s="68"/>
      <c r="P131" s="68"/>
      <c r="Q131" s="68"/>
      <c r="R131" s="68"/>
      <c r="S131" s="68"/>
      <c r="T131" s="68"/>
      <c r="U131" s="68"/>
      <c r="V131" s="68"/>
      <c r="W131" s="64">
        <v>0.4</v>
      </c>
      <c r="X131" s="64">
        <v>0.6</v>
      </c>
      <c r="Y131" s="68"/>
      <c r="Z131" s="68"/>
      <c r="AA131" s="68"/>
      <c r="AB131" s="68"/>
      <c r="AC131" s="65">
        <v>1</v>
      </c>
    </row>
    <row r="132" spans="1:29" ht="12.95" customHeight="1">
      <c r="A132" s="620"/>
      <c r="B132" s="621"/>
      <c r="C132" s="622"/>
      <c r="D132" s="69"/>
      <c r="E132" s="69"/>
      <c r="F132" s="69"/>
      <c r="G132" s="69"/>
      <c r="H132" s="72"/>
      <c r="I132" s="73"/>
      <c r="J132" s="69"/>
      <c r="K132" s="69"/>
      <c r="L132" s="69"/>
      <c r="M132" s="69"/>
      <c r="N132" s="69"/>
      <c r="O132" s="69"/>
      <c r="P132" s="69"/>
      <c r="Q132" s="69"/>
      <c r="R132" s="69"/>
      <c r="S132" s="69"/>
      <c r="T132" s="69"/>
      <c r="U132" s="69"/>
      <c r="V132" s="69"/>
      <c r="W132" s="66">
        <v>41311.120000000003</v>
      </c>
      <c r="X132" s="66">
        <v>61966.69</v>
      </c>
      <c r="Y132" s="69"/>
      <c r="Z132" s="69"/>
      <c r="AA132" s="69"/>
      <c r="AB132" s="69"/>
      <c r="AC132" s="67">
        <v>103277.81</v>
      </c>
    </row>
    <row r="133" spans="1:29" ht="12" customHeight="1">
      <c r="A133" s="620" t="s">
        <v>587</v>
      </c>
      <c r="B133" s="621" t="s">
        <v>158</v>
      </c>
      <c r="C133" s="622">
        <v>7733.95</v>
      </c>
      <c r="D133" s="68"/>
      <c r="E133" s="68"/>
      <c r="F133" s="68"/>
      <c r="G133" s="68"/>
      <c r="H133" s="70"/>
      <c r="I133" s="71"/>
      <c r="J133" s="68"/>
      <c r="K133" s="68"/>
      <c r="L133" s="68"/>
      <c r="M133" s="68"/>
      <c r="N133" s="68"/>
      <c r="O133" s="68"/>
      <c r="P133" s="68"/>
      <c r="Q133" s="68"/>
      <c r="R133" s="68"/>
      <c r="S133" s="68"/>
      <c r="T133" s="68"/>
      <c r="U133" s="68"/>
      <c r="V133" s="68"/>
      <c r="W133" s="68"/>
      <c r="X133" s="64">
        <v>1</v>
      </c>
      <c r="Y133" s="68"/>
      <c r="Z133" s="68"/>
      <c r="AA133" s="68"/>
      <c r="AB133" s="68"/>
      <c r="AC133" s="65">
        <v>1</v>
      </c>
    </row>
    <row r="134" spans="1:29" ht="12.95" customHeight="1">
      <c r="A134" s="620"/>
      <c r="B134" s="621"/>
      <c r="C134" s="622"/>
      <c r="D134" s="69"/>
      <c r="E134" s="69"/>
      <c r="F134" s="69"/>
      <c r="G134" s="69"/>
      <c r="H134" s="72"/>
      <c r="I134" s="73"/>
      <c r="J134" s="69"/>
      <c r="K134" s="69"/>
      <c r="L134" s="69"/>
      <c r="M134" s="69"/>
      <c r="N134" s="69"/>
      <c r="O134" s="69"/>
      <c r="P134" s="69"/>
      <c r="Q134" s="69"/>
      <c r="R134" s="69"/>
      <c r="S134" s="69"/>
      <c r="T134" s="69"/>
      <c r="U134" s="69"/>
      <c r="V134" s="69"/>
      <c r="W134" s="69"/>
      <c r="X134" s="66">
        <v>7733.95</v>
      </c>
      <c r="Y134" s="69"/>
      <c r="Z134" s="69"/>
      <c r="AA134" s="69"/>
      <c r="AB134" s="69"/>
      <c r="AC134" s="67">
        <v>7733.95</v>
      </c>
    </row>
    <row r="135" spans="1:29" ht="12" customHeight="1">
      <c r="A135" s="620" t="s">
        <v>594</v>
      </c>
      <c r="B135" s="621" t="s">
        <v>179</v>
      </c>
      <c r="C135" s="622">
        <v>3338.98</v>
      </c>
      <c r="D135" s="68"/>
      <c r="E135" s="68"/>
      <c r="F135" s="68"/>
      <c r="G135" s="68"/>
      <c r="H135" s="70"/>
      <c r="I135" s="71"/>
      <c r="J135" s="68"/>
      <c r="K135" s="68"/>
      <c r="L135" s="68"/>
      <c r="M135" s="68"/>
      <c r="N135" s="68"/>
      <c r="O135" s="68"/>
      <c r="P135" s="68"/>
      <c r="Q135" s="68"/>
      <c r="R135" s="68"/>
      <c r="S135" s="68"/>
      <c r="T135" s="68"/>
      <c r="U135" s="68"/>
      <c r="V135" s="68"/>
      <c r="W135" s="68"/>
      <c r="X135" s="64">
        <v>1</v>
      </c>
      <c r="Y135" s="68"/>
      <c r="Z135" s="68"/>
      <c r="AA135" s="68"/>
      <c r="AB135" s="68"/>
      <c r="AC135" s="65">
        <v>1</v>
      </c>
    </row>
    <row r="136" spans="1:29" ht="12.95" customHeight="1">
      <c r="A136" s="620"/>
      <c r="B136" s="621"/>
      <c r="C136" s="622"/>
      <c r="D136" s="69"/>
      <c r="E136" s="69"/>
      <c r="F136" s="69"/>
      <c r="G136" s="69"/>
      <c r="H136" s="72"/>
      <c r="I136" s="73"/>
      <c r="J136" s="69"/>
      <c r="K136" s="69"/>
      <c r="L136" s="69"/>
      <c r="M136" s="69"/>
      <c r="N136" s="69"/>
      <c r="O136" s="69"/>
      <c r="P136" s="69"/>
      <c r="Q136" s="69"/>
      <c r="R136" s="69"/>
      <c r="S136" s="69"/>
      <c r="T136" s="69"/>
      <c r="U136" s="69"/>
      <c r="V136" s="69"/>
      <c r="W136" s="69"/>
      <c r="X136" s="66">
        <v>3338.98</v>
      </c>
      <c r="Y136" s="69"/>
      <c r="Z136" s="69"/>
      <c r="AA136" s="69"/>
      <c r="AB136" s="69"/>
      <c r="AC136" s="67">
        <v>3338.98</v>
      </c>
    </row>
    <row r="137" spans="1:29" ht="12" customHeight="1">
      <c r="A137" s="620" t="s">
        <v>596</v>
      </c>
      <c r="B137" s="621" t="s">
        <v>185</v>
      </c>
      <c r="C137" s="622">
        <v>166485.74</v>
      </c>
      <c r="D137" s="68"/>
      <c r="E137" s="68"/>
      <c r="F137" s="68"/>
      <c r="G137" s="68"/>
      <c r="H137" s="70"/>
      <c r="I137" s="71"/>
      <c r="J137" s="68"/>
      <c r="K137" s="68"/>
      <c r="L137" s="68"/>
      <c r="M137" s="68"/>
      <c r="N137" s="68"/>
      <c r="O137" s="68"/>
      <c r="P137" s="68"/>
      <c r="Q137" s="68"/>
      <c r="R137" s="68"/>
      <c r="S137" s="68"/>
      <c r="T137" s="68"/>
      <c r="U137" s="68"/>
      <c r="V137" s="68"/>
      <c r="W137" s="64">
        <v>0.5</v>
      </c>
      <c r="X137" s="64">
        <v>0.5</v>
      </c>
      <c r="Y137" s="68"/>
      <c r="Z137" s="68"/>
      <c r="AA137" s="68"/>
      <c r="AB137" s="68"/>
      <c r="AC137" s="65">
        <v>1</v>
      </c>
    </row>
    <row r="138" spans="1:29" ht="12.95" customHeight="1">
      <c r="A138" s="620"/>
      <c r="B138" s="621"/>
      <c r="C138" s="622"/>
      <c r="D138" s="69"/>
      <c r="E138" s="69"/>
      <c r="F138" s="69"/>
      <c r="G138" s="69"/>
      <c r="H138" s="72"/>
      <c r="I138" s="73"/>
      <c r="J138" s="69"/>
      <c r="K138" s="69"/>
      <c r="L138" s="69"/>
      <c r="M138" s="69"/>
      <c r="N138" s="69"/>
      <c r="O138" s="69"/>
      <c r="P138" s="69"/>
      <c r="Q138" s="69"/>
      <c r="R138" s="69"/>
      <c r="S138" s="69"/>
      <c r="T138" s="69"/>
      <c r="U138" s="69"/>
      <c r="V138" s="69"/>
      <c r="W138" s="66">
        <v>83242.87</v>
      </c>
      <c r="X138" s="66">
        <v>83242.87</v>
      </c>
      <c r="Y138" s="69"/>
      <c r="Z138" s="69"/>
      <c r="AA138" s="69"/>
      <c r="AB138" s="69"/>
      <c r="AC138" s="67">
        <v>166485.74</v>
      </c>
    </row>
    <row r="139" spans="1:29" ht="12" customHeight="1">
      <c r="A139" s="620" t="s">
        <v>605</v>
      </c>
      <c r="B139" s="621" t="s">
        <v>606</v>
      </c>
      <c r="C139" s="622">
        <v>236285.57</v>
      </c>
      <c r="D139" s="68"/>
      <c r="E139" s="68"/>
      <c r="F139" s="68"/>
      <c r="G139" s="68"/>
      <c r="H139" s="70"/>
      <c r="I139" s="71"/>
      <c r="J139" s="68"/>
      <c r="K139" s="68"/>
      <c r="L139" s="68"/>
      <c r="M139" s="68"/>
      <c r="N139" s="68"/>
      <c r="O139" s="68"/>
      <c r="P139" s="68"/>
      <c r="Q139" s="68"/>
      <c r="R139" s="68"/>
      <c r="S139" s="68"/>
      <c r="T139" s="68"/>
      <c r="U139" s="68"/>
      <c r="V139" s="68"/>
      <c r="W139" s="68"/>
      <c r="X139" s="64">
        <v>0.54759999999999998</v>
      </c>
      <c r="Y139" s="64">
        <v>0.45240000000000002</v>
      </c>
      <c r="Z139" s="68"/>
      <c r="AA139" s="68"/>
      <c r="AB139" s="68"/>
      <c r="AC139" s="65">
        <v>1</v>
      </c>
    </row>
    <row r="140" spans="1:29" ht="12.95" customHeight="1">
      <c r="A140" s="620"/>
      <c r="B140" s="621"/>
      <c r="C140" s="622"/>
      <c r="D140" s="69"/>
      <c r="E140" s="69"/>
      <c r="F140" s="69"/>
      <c r="G140" s="69"/>
      <c r="H140" s="72"/>
      <c r="I140" s="73"/>
      <c r="J140" s="69"/>
      <c r="K140" s="69"/>
      <c r="L140" s="69"/>
      <c r="M140" s="69"/>
      <c r="N140" s="69"/>
      <c r="O140" s="69"/>
      <c r="P140" s="69"/>
      <c r="Q140" s="69"/>
      <c r="R140" s="69"/>
      <c r="S140" s="69"/>
      <c r="T140" s="69"/>
      <c r="U140" s="69"/>
      <c r="V140" s="69"/>
      <c r="W140" s="69"/>
      <c r="X140" s="66">
        <v>128767.06</v>
      </c>
      <c r="Y140" s="66">
        <v>107518.51</v>
      </c>
      <c r="Z140" s="69"/>
      <c r="AA140" s="69"/>
      <c r="AB140" s="69"/>
      <c r="AC140" s="67">
        <v>236285.57</v>
      </c>
    </row>
    <row r="141" spans="1:29" ht="12" customHeight="1">
      <c r="A141" s="620" t="s">
        <v>607</v>
      </c>
      <c r="B141" s="621" t="s">
        <v>15</v>
      </c>
      <c r="C141" s="622">
        <v>6960.06</v>
      </c>
      <c r="D141" s="68"/>
      <c r="E141" s="68"/>
      <c r="F141" s="68"/>
      <c r="G141" s="68"/>
      <c r="H141" s="70"/>
      <c r="I141" s="71"/>
      <c r="J141" s="68"/>
      <c r="K141" s="68"/>
      <c r="L141" s="68"/>
      <c r="M141" s="68"/>
      <c r="N141" s="68"/>
      <c r="O141" s="68"/>
      <c r="P141" s="68"/>
      <c r="Q141" s="68"/>
      <c r="R141" s="68"/>
      <c r="S141" s="68"/>
      <c r="T141" s="68"/>
      <c r="U141" s="68"/>
      <c r="V141" s="68"/>
      <c r="W141" s="68"/>
      <c r="X141" s="64">
        <v>1</v>
      </c>
      <c r="Y141" s="68"/>
      <c r="Z141" s="68"/>
      <c r="AA141" s="68"/>
      <c r="AB141" s="68"/>
      <c r="AC141" s="65">
        <v>1</v>
      </c>
    </row>
    <row r="142" spans="1:29" ht="12.95" customHeight="1">
      <c r="A142" s="620"/>
      <c r="B142" s="621"/>
      <c r="C142" s="622"/>
      <c r="D142" s="69"/>
      <c r="E142" s="69"/>
      <c r="F142" s="69"/>
      <c r="G142" s="69"/>
      <c r="H142" s="72"/>
      <c r="I142" s="73"/>
      <c r="J142" s="69"/>
      <c r="K142" s="69"/>
      <c r="L142" s="69"/>
      <c r="M142" s="69"/>
      <c r="N142" s="69"/>
      <c r="O142" s="69"/>
      <c r="P142" s="69"/>
      <c r="Q142" s="69"/>
      <c r="R142" s="69"/>
      <c r="S142" s="69"/>
      <c r="T142" s="69"/>
      <c r="U142" s="69"/>
      <c r="V142" s="69"/>
      <c r="W142" s="69"/>
      <c r="X142" s="66">
        <v>6960.06</v>
      </c>
      <c r="Y142" s="69"/>
      <c r="Z142" s="69"/>
      <c r="AA142" s="69"/>
      <c r="AB142" s="69"/>
      <c r="AC142" s="67">
        <v>6960.06</v>
      </c>
    </row>
    <row r="143" spans="1:29" ht="12" customHeight="1">
      <c r="A143" s="620" t="s">
        <v>610</v>
      </c>
      <c r="B143" s="621" t="s">
        <v>26</v>
      </c>
      <c r="C143" s="622">
        <v>10826.77</v>
      </c>
      <c r="D143" s="68"/>
      <c r="E143" s="68"/>
      <c r="F143" s="68"/>
      <c r="G143" s="68"/>
      <c r="H143" s="70"/>
      <c r="I143" s="71"/>
      <c r="J143" s="68"/>
      <c r="K143" s="68"/>
      <c r="L143" s="68"/>
      <c r="M143" s="68"/>
      <c r="N143" s="68"/>
      <c r="O143" s="68"/>
      <c r="P143" s="68"/>
      <c r="Q143" s="68"/>
      <c r="R143" s="68"/>
      <c r="S143" s="68"/>
      <c r="T143" s="68"/>
      <c r="U143" s="68"/>
      <c r="V143" s="68"/>
      <c r="W143" s="68"/>
      <c r="X143" s="64">
        <v>0.5</v>
      </c>
      <c r="Y143" s="64">
        <v>0.5</v>
      </c>
      <c r="Z143" s="68"/>
      <c r="AA143" s="68"/>
      <c r="AB143" s="68"/>
      <c r="AC143" s="65">
        <v>1</v>
      </c>
    </row>
    <row r="144" spans="1:29" ht="12.95" customHeight="1">
      <c r="A144" s="620"/>
      <c r="B144" s="621"/>
      <c r="C144" s="622"/>
      <c r="D144" s="69"/>
      <c r="E144" s="69"/>
      <c r="F144" s="69"/>
      <c r="G144" s="69"/>
      <c r="H144" s="72"/>
      <c r="I144" s="73"/>
      <c r="J144" s="69"/>
      <c r="K144" s="69"/>
      <c r="L144" s="69"/>
      <c r="M144" s="69"/>
      <c r="N144" s="69"/>
      <c r="O144" s="69"/>
      <c r="P144" s="69"/>
      <c r="Q144" s="69"/>
      <c r="R144" s="69"/>
      <c r="S144" s="69"/>
      <c r="T144" s="69"/>
      <c r="U144" s="69"/>
      <c r="V144" s="69"/>
      <c r="W144" s="69"/>
      <c r="X144" s="66">
        <v>5413.39</v>
      </c>
      <c r="Y144" s="66">
        <v>5413.38</v>
      </c>
      <c r="Z144" s="69"/>
      <c r="AA144" s="69"/>
      <c r="AB144" s="69"/>
      <c r="AC144" s="67">
        <v>10826.77</v>
      </c>
    </row>
    <row r="145" spans="1:29" ht="12" customHeight="1">
      <c r="A145" s="620" t="s">
        <v>613</v>
      </c>
      <c r="B145" s="621" t="s">
        <v>36</v>
      </c>
      <c r="C145" s="622">
        <v>2181.81</v>
      </c>
      <c r="D145" s="68"/>
      <c r="E145" s="68"/>
      <c r="F145" s="68"/>
      <c r="G145" s="68"/>
      <c r="H145" s="70"/>
      <c r="I145" s="71"/>
      <c r="J145" s="68"/>
      <c r="K145" s="68"/>
      <c r="L145" s="68"/>
      <c r="M145" s="68"/>
      <c r="N145" s="68"/>
      <c r="O145" s="68"/>
      <c r="P145" s="68"/>
      <c r="Q145" s="68"/>
      <c r="R145" s="68"/>
      <c r="S145" s="68"/>
      <c r="T145" s="68"/>
      <c r="U145" s="68"/>
      <c r="V145" s="68"/>
      <c r="W145" s="68"/>
      <c r="X145" s="64">
        <v>1</v>
      </c>
      <c r="Y145" s="68"/>
      <c r="Z145" s="68"/>
      <c r="AA145" s="68"/>
      <c r="AB145" s="68"/>
      <c r="AC145" s="65">
        <v>1</v>
      </c>
    </row>
    <row r="146" spans="1:29" ht="12.95" customHeight="1">
      <c r="A146" s="620"/>
      <c r="B146" s="621"/>
      <c r="C146" s="622"/>
      <c r="D146" s="69"/>
      <c r="E146" s="69"/>
      <c r="F146" s="69"/>
      <c r="G146" s="69"/>
      <c r="H146" s="72"/>
      <c r="I146" s="73"/>
      <c r="J146" s="69"/>
      <c r="K146" s="69"/>
      <c r="L146" s="69"/>
      <c r="M146" s="69"/>
      <c r="N146" s="69"/>
      <c r="O146" s="69"/>
      <c r="P146" s="69"/>
      <c r="Q146" s="69"/>
      <c r="R146" s="69"/>
      <c r="S146" s="69"/>
      <c r="T146" s="69"/>
      <c r="U146" s="69"/>
      <c r="V146" s="69"/>
      <c r="W146" s="69"/>
      <c r="X146" s="66">
        <v>2181.81</v>
      </c>
      <c r="Y146" s="69"/>
      <c r="Z146" s="69"/>
      <c r="AA146" s="69"/>
      <c r="AB146" s="69"/>
      <c r="AC146" s="67">
        <v>2181.81</v>
      </c>
    </row>
    <row r="147" spans="1:29" ht="12" customHeight="1">
      <c r="A147" s="620" t="s">
        <v>618</v>
      </c>
      <c r="B147" s="621" t="s">
        <v>444</v>
      </c>
      <c r="C147" s="622">
        <v>15104.51</v>
      </c>
      <c r="D147" s="68"/>
      <c r="E147" s="68"/>
      <c r="F147" s="68"/>
      <c r="G147" s="68"/>
      <c r="H147" s="70"/>
      <c r="I147" s="71"/>
      <c r="J147" s="68"/>
      <c r="K147" s="68"/>
      <c r="L147" s="68"/>
      <c r="M147" s="68"/>
      <c r="N147" s="68"/>
      <c r="O147" s="68"/>
      <c r="P147" s="68"/>
      <c r="Q147" s="68"/>
      <c r="R147" s="68"/>
      <c r="S147" s="68"/>
      <c r="T147" s="68"/>
      <c r="U147" s="68"/>
      <c r="V147" s="68"/>
      <c r="W147" s="68"/>
      <c r="X147" s="64">
        <v>1</v>
      </c>
      <c r="Y147" s="68"/>
      <c r="Z147" s="68"/>
      <c r="AA147" s="68"/>
      <c r="AB147" s="68"/>
      <c r="AC147" s="65">
        <v>1</v>
      </c>
    </row>
    <row r="148" spans="1:29" ht="12.95" customHeight="1">
      <c r="A148" s="620"/>
      <c r="B148" s="621"/>
      <c r="C148" s="622"/>
      <c r="D148" s="69"/>
      <c r="E148" s="69"/>
      <c r="F148" s="69"/>
      <c r="G148" s="69"/>
      <c r="H148" s="72"/>
      <c r="I148" s="73"/>
      <c r="J148" s="69"/>
      <c r="K148" s="69"/>
      <c r="L148" s="69"/>
      <c r="M148" s="69"/>
      <c r="N148" s="69"/>
      <c r="O148" s="69"/>
      <c r="P148" s="69"/>
      <c r="Q148" s="69"/>
      <c r="R148" s="69"/>
      <c r="S148" s="69"/>
      <c r="T148" s="69"/>
      <c r="U148" s="69"/>
      <c r="V148" s="69"/>
      <c r="W148" s="69"/>
      <c r="X148" s="66">
        <v>15104.51</v>
      </c>
      <c r="Y148" s="69"/>
      <c r="Z148" s="69"/>
      <c r="AA148" s="69"/>
      <c r="AB148" s="69"/>
      <c r="AC148" s="67">
        <v>15104.51</v>
      </c>
    </row>
    <row r="149" spans="1:29" ht="12" customHeight="1">
      <c r="A149" s="620" t="s">
        <v>623</v>
      </c>
      <c r="B149" s="621" t="s">
        <v>11</v>
      </c>
      <c r="C149" s="622">
        <v>48350.77</v>
      </c>
      <c r="D149" s="68"/>
      <c r="E149" s="68"/>
      <c r="F149" s="68"/>
      <c r="G149" s="68"/>
      <c r="H149" s="70"/>
      <c r="I149" s="71"/>
      <c r="J149" s="68"/>
      <c r="K149" s="68"/>
      <c r="L149" s="68"/>
      <c r="M149" s="68"/>
      <c r="N149" s="68"/>
      <c r="O149" s="68"/>
      <c r="P149" s="68"/>
      <c r="Q149" s="68"/>
      <c r="R149" s="68"/>
      <c r="S149" s="68"/>
      <c r="T149" s="68"/>
      <c r="U149" s="68"/>
      <c r="V149" s="68"/>
      <c r="W149" s="68"/>
      <c r="X149" s="64">
        <v>0.4</v>
      </c>
      <c r="Y149" s="64">
        <v>0.6</v>
      </c>
      <c r="Z149" s="68"/>
      <c r="AA149" s="68"/>
      <c r="AB149" s="68"/>
      <c r="AC149" s="65">
        <v>1</v>
      </c>
    </row>
    <row r="150" spans="1:29" ht="12.95" customHeight="1">
      <c r="A150" s="620"/>
      <c r="B150" s="621"/>
      <c r="C150" s="622"/>
      <c r="D150" s="69"/>
      <c r="E150" s="69"/>
      <c r="F150" s="69"/>
      <c r="G150" s="69"/>
      <c r="H150" s="72"/>
      <c r="I150" s="73"/>
      <c r="J150" s="69"/>
      <c r="K150" s="69"/>
      <c r="L150" s="69"/>
      <c r="M150" s="69"/>
      <c r="N150" s="69"/>
      <c r="O150" s="69"/>
      <c r="P150" s="69"/>
      <c r="Q150" s="69"/>
      <c r="R150" s="69"/>
      <c r="S150" s="69"/>
      <c r="T150" s="69"/>
      <c r="U150" s="69"/>
      <c r="V150" s="69"/>
      <c r="W150" s="69"/>
      <c r="X150" s="66">
        <v>19340.310000000001</v>
      </c>
      <c r="Y150" s="66">
        <v>29010.46</v>
      </c>
      <c r="Z150" s="69"/>
      <c r="AA150" s="69"/>
      <c r="AB150" s="69"/>
      <c r="AC150" s="67">
        <v>48350.77</v>
      </c>
    </row>
    <row r="151" spans="1:29" ht="12" customHeight="1">
      <c r="A151" s="620" t="s">
        <v>637</v>
      </c>
      <c r="B151" s="621" t="s">
        <v>120</v>
      </c>
      <c r="C151" s="622">
        <v>57677.85</v>
      </c>
      <c r="D151" s="68"/>
      <c r="E151" s="68"/>
      <c r="F151" s="68"/>
      <c r="G151" s="68"/>
      <c r="H151" s="70"/>
      <c r="I151" s="71"/>
      <c r="J151" s="68"/>
      <c r="K151" s="68"/>
      <c r="L151" s="68"/>
      <c r="M151" s="68"/>
      <c r="N151" s="68"/>
      <c r="O151" s="68"/>
      <c r="P151" s="68"/>
      <c r="Q151" s="68"/>
      <c r="R151" s="68"/>
      <c r="S151" s="68"/>
      <c r="T151" s="68"/>
      <c r="U151" s="68"/>
      <c r="V151" s="68"/>
      <c r="W151" s="68"/>
      <c r="X151" s="64">
        <v>0.6</v>
      </c>
      <c r="Y151" s="64">
        <v>0.4</v>
      </c>
      <c r="Z151" s="68"/>
      <c r="AA151" s="68"/>
      <c r="AB151" s="68"/>
      <c r="AC151" s="65">
        <v>1</v>
      </c>
    </row>
    <row r="152" spans="1:29" ht="12.95" customHeight="1">
      <c r="A152" s="620"/>
      <c r="B152" s="621"/>
      <c r="C152" s="622"/>
      <c r="D152" s="69"/>
      <c r="E152" s="69"/>
      <c r="F152" s="69"/>
      <c r="G152" s="69"/>
      <c r="H152" s="72"/>
      <c r="I152" s="73"/>
      <c r="J152" s="69"/>
      <c r="K152" s="69"/>
      <c r="L152" s="69"/>
      <c r="M152" s="69"/>
      <c r="N152" s="69"/>
      <c r="O152" s="69"/>
      <c r="P152" s="69"/>
      <c r="Q152" s="69"/>
      <c r="R152" s="69"/>
      <c r="S152" s="69"/>
      <c r="T152" s="69"/>
      <c r="U152" s="69"/>
      <c r="V152" s="69"/>
      <c r="W152" s="69"/>
      <c r="X152" s="66">
        <v>34606.71</v>
      </c>
      <c r="Y152" s="66">
        <v>23071.14</v>
      </c>
      <c r="Z152" s="69"/>
      <c r="AA152" s="69"/>
      <c r="AB152" s="69"/>
      <c r="AC152" s="67">
        <v>57677.85</v>
      </c>
    </row>
    <row r="153" spans="1:29" ht="12" customHeight="1">
      <c r="A153" s="620" t="s">
        <v>647</v>
      </c>
      <c r="B153" s="621" t="s">
        <v>158</v>
      </c>
      <c r="C153" s="622">
        <v>3595.29</v>
      </c>
      <c r="D153" s="68"/>
      <c r="E153" s="68"/>
      <c r="F153" s="68"/>
      <c r="G153" s="68"/>
      <c r="H153" s="70"/>
      <c r="I153" s="71"/>
      <c r="J153" s="68"/>
      <c r="K153" s="68"/>
      <c r="L153" s="68"/>
      <c r="M153" s="68"/>
      <c r="N153" s="68"/>
      <c r="O153" s="68"/>
      <c r="P153" s="68"/>
      <c r="Q153" s="68"/>
      <c r="R153" s="68"/>
      <c r="S153" s="68"/>
      <c r="T153" s="68"/>
      <c r="U153" s="68"/>
      <c r="V153" s="68"/>
      <c r="W153" s="68"/>
      <c r="X153" s="68"/>
      <c r="Y153" s="64">
        <v>1</v>
      </c>
      <c r="Z153" s="68"/>
      <c r="AA153" s="68"/>
      <c r="AB153" s="68"/>
      <c r="AC153" s="65">
        <v>1</v>
      </c>
    </row>
    <row r="154" spans="1:29" ht="12.95" customHeight="1">
      <c r="A154" s="620"/>
      <c r="B154" s="621"/>
      <c r="C154" s="622"/>
      <c r="D154" s="69"/>
      <c r="E154" s="69"/>
      <c r="F154" s="69"/>
      <c r="G154" s="69"/>
      <c r="H154" s="72"/>
      <c r="I154" s="73"/>
      <c r="J154" s="69"/>
      <c r="K154" s="69"/>
      <c r="L154" s="69"/>
      <c r="M154" s="69"/>
      <c r="N154" s="69"/>
      <c r="O154" s="69"/>
      <c r="P154" s="69"/>
      <c r="Q154" s="69"/>
      <c r="R154" s="69"/>
      <c r="S154" s="69"/>
      <c r="T154" s="69"/>
      <c r="U154" s="69"/>
      <c r="V154" s="69"/>
      <c r="W154" s="69"/>
      <c r="X154" s="69"/>
      <c r="Y154" s="66">
        <v>3595.29</v>
      </c>
      <c r="Z154" s="69"/>
      <c r="AA154" s="69"/>
      <c r="AB154" s="69"/>
      <c r="AC154" s="67">
        <v>3595.29</v>
      </c>
    </row>
    <row r="155" spans="1:29" ht="12" customHeight="1">
      <c r="A155" s="620" t="s">
        <v>654</v>
      </c>
      <c r="B155" s="621" t="s">
        <v>179</v>
      </c>
      <c r="C155" s="622">
        <v>1267.97</v>
      </c>
      <c r="D155" s="68"/>
      <c r="E155" s="68"/>
      <c r="F155" s="68"/>
      <c r="G155" s="68"/>
      <c r="H155" s="70"/>
      <c r="I155" s="71"/>
      <c r="J155" s="68"/>
      <c r="K155" s="68"/>
      <c r="L155" s="68"/>
      <c r="M155" s="68"/>
      <c r="N155" s="68"/>
      <c r="O155" s="68"/>
      <c r="P155" s="68"/>
      <c r="Q155" s="68"/>
      <c r="R155" s="68"/>
      <c r="S155" s="68"/>
      <c r="T155" s="68"/>
      <c r="U155" s="68"/>
      <c r="V155" s="68"/>
      <c r="W155" s="68"/>
      <c r="X155" s="68"/>
      <c r="Y155" s="64">
        <v>1</v>
      </c>
      <c r="Z155" s="68"/>
      <c r="AA155" s="68"/>
      <c r="AB155" s="68"/>
      <c r="AC155" s="65">
        <v>1</v>
      </c>
    </row>
    <row r="156" spans="1:29" ht="12.95" customHeight="1">
      <c r="A156" s="620"/>
      <c r="B156" s="621"/>
      <c r="C156" s="622"/>
      <c r="D156" s="69"/>
      <c r="E156" s="69"/>
      <c r="F156" s="69"/>
      <c r="G156" s="69"/>
      <c r="H156" s="72"/>
      <c r="I156" s="73"/>
      <c r="J156" s="69"/>
      <c r="K156" s="69"/>
      <c r="L156" s="69"/>
      <c r="M156" s="69"/>
      <c r="N156" s="69"/>
      <c r="O156" s="69"/>
      <c r="P156" s="69"/>
      <c r="Q156" s="69"/>
      <c r="R156" s="69"/>
      <c r="S156" s="69"/>
      <c r="T156" s="69"/>
      <c r="U156" s="69"/>
      <c r="V156" s="69"/>
      <c r="W156" s="69"/>
      <c r="X156" s="69"/>
      <c r="Y156" s="66">
        <v>1267.97</v>
      </c>
      <c r="Z156" s="69"/>
      <c r="AA156" s="69"/>
      <c r="AB156" s="69"/>
      <c r="AC156" s="67">
        <v>1267.97</v>
      </c>
    </row>
    <row r="157" spans="1:29" ht="12" customHeight="1">
      <c r="A157" s="620" t="s">
        <v>656</v>
      </c>
      <c r="B157" s="621" t="s">
        <v>185</v>
      </c>
      <c r="C157" s="622">
        <v>90320.54</v>
      </c>
      <c r="D157" s="68"/>
      <c r="E157" s="68"/>
      <c r="F157" s="68"/>
      <c r="G157" s="68"/>
      <c r="H157" s="70"/>
      <c r="I157" s="71"/>
      <c r="J157" s="68"/>
      <c r="K157" s="68"/>
      <c r="L157" s="68"/>
      <c r="M157" s="68"/>
      <c r="N157" s="68"/>
      <c r="O157" s="68"/>
      <c r="P157" s="68"/>
      <c r="Q157" s="68"/>
      <c r="R157" s="68"/>
      <c r="S157" s="68"/>
      <c r="T157" s="68"/>
      <c r="U157" s="68"/>
      <c r="V157" s="68"/>
      <c r="W157" s="68"/>
      <c r="X157" s="64">
        <v>0.5</v>
      </c>
      <c r="Y157" s="64">
        <v>0.5</v>
      </c>
      <c r="Z157" s="68"/>
      <c r="AA157" s="68"/>
      <c r="AB157" s="68"/>
      <c r="AC157" s="65">
        <v>1</v>
      </c>
    </row>
    <row r="158" spans="1:29" ht="12.95" customHeight="1">
      <c r="A158" s="620"/>
      <c r="B158" s="621"/>
      <c r="C158" s="622"/>
      <c r="D158" s="69"/>
      <c r="E158" s="69"/>
      <c r="F158" s="69"/>
      <c r="G158" s="69"/>
      <c r="H158" s="72"/>
      <c r="I158" s="73"/>
      <c r="J158" s="69"/>
      <c r="K158" s="69"/>
      <c r="L158" s="69"/>
      <c r="M158" s="69"/>
      <c r="N158" s="69"/>
      <c r="O158" s="69"/>
      <c r="P158" s="69"/>
      <c r="Q158" s="69"/>
      <c r="R158" s="69"/>
      <c r="S158" s="69"/>
      <c r="T158" s="69"/>
      <c r="U158" s="69"/>
      <c r="V158" s="69"/>
      <c r="W158" s="69"/>
      <c r="X158" s="66">
        <v>45160.27</v>
      </c>
      <c r="Y158" s="66">
        <v>45160.27</v>
      </c>
      <c r="Z158" s="69"/>
      <c r="AA158" s="69"/>
      <c r="AB158" s="69"/>
      <c r="AC158" s="67">
        <v>90320.54</v>
      </c>
    </row>
    <row r="159" spans="1:29" ht="12" customHeight="1">
      <c r="A159" s="620" t="s">
        <v>666</v>
      </c>
      <c r="B159" s="621" t="s">
        <v>667</v>
      </c>
      <c r="C159" s="622">
        <v>320478.02</v>
      </c>
      <c r="D159" s="68"/>
      <c r="E159" s="68"/>
      <c r="F159" s="68"/>
      <c r="G159" s="68"/>
      <c r="H159" s="70"/>
      <c r="I159" s="71"/>
      <c r="J159" s="68"/>
      <c r="K159" s="68"/>
      <c r="L159" s="68"/>
      <c r="M159" s="68"/>
      <c r="N159" s="68"/>
      <c r="O159" s="68"/>
      <c r="P159" s="68"/>
      <c r="Q159" s="68"/>
      <c r="R159" s="68"/>
      <c r="S159" s="68"/>
      <c r="T159" s="68"/>
      <c r="U159" s="68"/>
      <c r="V159" s="68"/>
      <c r="W159" s="68"/>
      <c r="X159" s="68"/>
      <c r="Y159" s="68"/>
      <c r="Z159" s="68"/>
      <c r="AA159" s="64">
        <v>0.53600000000000003</v>
      </c>
      <c r="AB159" s="64">
        <v>0.46399999999999997</v>
      </c>
      <c r="AC159" s="65">
        <v>1</v>
      </c>
    </row>
    <row r="160" spans="1:29" ht="12.95" customHeight="1">
      <c r="A160" s="620"/>
      <c r="B160" s="621"/>
      <c r="C160" s="622"/>
      <c r="D160" s="69"/>
      <c r="E160" s="69"/>
      <c r="F160" s="69"/>
      <c r="G160" s="69"/>
      <c r="H160" s="72"/>
      <c r="I160" s="73"/>
      <c r="J160" s="69"/>
      <c r="K160" s="69"/>
      <c r="L160" s="69"/>
      <c r="M160" s="69"/>
      <c r="N160" s="69"/>
      <c r="O160" s="69"/>
      <c r="P160" s="69"/>
      <c r="Q160" s="69"/>
      <c r="R160" s="69"/>
      <c r="S160" s="69"/>
      <c r="T160" s="69"/>
      <c r="U160" s="69"/>
      <c r="V160" s="69"/>
      <c r="W160" s="69"/>
      <c r="X160" s="69"/>
      <c r="Y160" s="69"/>
      <c r="Z160" s="69"/>
      <c r="AA160" s="66">
        <v>171785.31</v>
      </c>
      <c r="AB160" s="66">
        <v>148692.71</v>
      </c>
      <c r="AC160" s="67">
        <v>320478.02</v>
      </c>
    </row>
    <row r="161" spans="1:29" ht="12" customHeight="1">
      <c r="A161" s="620" t="s">
        <v>668</v>
      </c>
      <c r="B161" s="621" t="s">
        <v>15</v>
      </c>
      <c r="C161" s="622">
        <v>6960.06</v>
      </c>
      <c r="D161" s="68"/>
      <c r="E161" s="68"/>
      <c r="F161" s="68"/>
      <c r="G161" s="68"/>
      <c r="H161" s="70"/>
      <c r="I161" s="71"/>
      <c r="J161" s="68"/>
      <c r="K161" s="68"/>
      <c r="L161" s="68"/>
      <c r="M161" s="68"/>
      <c r="N161" s="68"/>
      <c r="O161" s="68"/>
      <c r="P161" s="68"/>
      <c r="Q161" s="68"/>
      <c r="R161" s="68"/>
      <c r="S161" s="68"/>
      <c r="T161" s="68"/>
      <c r="U161" s="68"/>
      <c r="V161" s="68"/>
      <c r="W161" s="68"/>
      <c r="X161" s="68"/>
      <c r="Y161" s="68"/>
      <c r="Z161" s="68"/>
      <c r="AA161" s="64">
        <v>1</v>
      </c>
      <c r="AB161" s="68"/>
      <c r="AC161" s="65">
        <v>1</v>
      </c>
    </row>
    <row r="162" spans="1:29" ht="12.95" customHeight="1">
      <c r="A162" s="620"/>
      <c r="B162" s="621"/>
      <c r="C162" s="622"/>
      <c r="D162" s="69"/>
      <c r="E162" s="69"/>
      <c r="F162" s="69"/>
      <c r="G162" s="69"/>
      <c r="H162" s="72"/>
      <c r="I162" s="73"/>
      <c r="J162" s="69"/>
      <c r="K162" s="69"/>
      <c r="L162" s="69"/>
      <c r="M162" s="69"/>
      <c r="N162" s="69"/>
      <c r="O162" s="69"/>
      <c r="P162" s="69"/>
      <c r="Q162" s="69"/>
      <c r="R162" s="69"/>
      <c r="S162" s="69"/>
      <c r="T162" s="69"/>
      <c r="U162" s="69"/>
      <c r="V162" s="69"/>
      <c r="W162" s="69"/>
      <c r="X162" s="69"/>
      <c r="Y162" s="69"/>
      <c r="Z162" s="69"/>
      <c r="AA162" s="66">
        <v>6960.06</v>
      </c>
      <c r="AB162" s="69"/>
      <c r="AC162" s="67">
        <v>6960.06</v>
      </c>
    </row>
    <row r="163" spans="1:29" ht="12" customHeight="1">
      <c r="A163" s="620" t="s">
        <v>671</v>
      </c>
      <c r="B163" s="621" t="s">
        <v>26</v>
      </c>
      <c r="C163" s="622">
        <v>12787.84</v>
      </c>
      <c r="D163" s="68"/>
      <c r="E163" s="68"/>
      <c r="F163" s="68"/>
      <c r="G163" s="68"/>
      <c r="H163" s="70"/>
      <c r="I163" s="71"/>
      <c r="J163" s="68"/>
      <c r="K163" s="68"/>
      <c r="L163" s="68"/>
      <c r="M163" s="68"/>
      <c r="N163" s="68"/>
      <c r="O163" s="68"/>
      <c r="P163" s="68"/>
      <c r="Q163" s="68"/>
      <c r="R163" s="68"/>
      <c r="S163" s="68"/>
      <c r="T163" s="68"/>
      <c r="U163" s="68"/>
      <c r="V163" s="68"/>
      <c r="W163" s="68"/>
      <c r="X163" s="68"/>
      <c r="Y163" s="68"/>
      <c r="Z163" s="68"/>
      <c r="AA163" s="64">
        <v>0.5</v>
      </c>
      <c r="AB163" s="64">
        <v>0.5</v>
      </c>
      <c r="AC163" s="65">
        <v>1</v>
      </c>
    </row>
    <row r="164" spans="1:29" ht="12.95" customHeight="1">
      <c r="A164" s="620"/>
      <c r="B164" s="621"/>
      <c r="C164" s="622"/>
      <c r="D164" s="69"/>
      <c r="E164" s="69"/>
      <c r="F164" s="69"/>
      <c r="G164" s="69"/>
      <c r="H164" s="72"/>
      <c r="I164" s="73"/>
      <c r="J164" s="69"/>
      <c r="K164" s="69"/>
      <c r="L164" s="69"/>
      <c r="M164" s="69"/>
      <c r="N164" s="69"/>
      <c r="O164" s="69"/>
      <c r="P164" s="69"/>
      <c r="Q164" s="69"/>
      <c r="R164" s="69"/>
      <c r="S164" s="69"/>
      <c r="T164" s="69"/>
      <c r="U164" s="69"/>
      <c r="V164" s="69"/>
      <c r="W164" s="69"/>
      <c r="X164" s="69"/>
      <c r="Y164" s="69"/>
      <c r="Z164" s="69"/>
      <c r="AA164" s="66">
        <v>6393.92</v>
      </c>
      <c r="AB164" s="66">
        <v>6393.92</v>
      </c>
      <c r="AC164" s="67">
        <v>12787.84</v>
      </c>
    </row>
    <row r="165" spans="1:29" ht="12" customHeight="1">
      <c r="A165" s="620" t="s">
        <v>674</v>
      </c>
      <c r="B165" s="621" t="s">
        <v>36</v>
      </c>
      <c r="C165" s="622">
        <v>2782.39</v>
      </c>
      <c r="D165" s="68"/>
      <c r="E165" s="68"/>
      <c r="F165" s="68"/>
      <c r="G165" s="68"/>
      <c r="H165" s="70"/>
      <c r="I165" s="71"/>
      <c r="J165" s="68"/>
      <c r="K165" s="68"/>
      <c r="L165" s="68"/>
      <c r="M165" s="68"/>
      <c r="N165" s="68"/>
      <c r="O165" s="68"/>
      <c r="P165" s="68"/>
      <c r="Q165" s="68"/>
      <c r="R165" s="68"/>
      <c r="S165" s="68"/>
      <c r="T165" s="68"/>
      <c r="U165" s="68"/>
      <c r="V165" s="68"/>
      <c r="W165" s="68"/>
      <c r="X165" s="68"/>
      <c r="Y165" s="68"/>
      <c r="Z165" s="68"/>
      <c r="AA165" s="64">
        <v>1</v>
      </c>
      <c r="AB165" s="68"/>
      <c r="AC165" s="65">
        <v>1</v>
      </c>
    </row>
    <row r="166" spans="1:29" ht="12.95" customHeight="1">
      <c r="A166" s="620"/>
      <c r="B166" s="621"/>
      <c r="C166" s="622"/>
      <c r="D166" s="69"/>
      <c r="E166" s="69"/>
      <c r="F166" s="69"/>
      <c r="G166" s="69"/>
      <c r="H166" s="72"/>
      <c r="I166" s="73"/>
      <c r="J166" s="69"/>
      <c r="K166" s="69"/>
      <c r="L166" s="69"/>
      <c r="M166" s="69"/>
      <c r="N166" s="69"/>
      <c r="O166" s="69"/>
      <c r="P166" s="69"/>
      <c r="Q166" s="69"/>
      <c r="R166" s="69"/>
      <c r="S166" s="69"/>
      <c r="T166" s="69"/>
      <c r="U166" s="69"/>
      <c r="V166" s="69"/>
      <c r="W166" s="69"/>
      <c r="X166" s="69"/>
      <c r="Y166" s="69"/>
      <c r="Z166" s="69"/>
      <c r="AA166" s="66">
        <v>2782.39</v>
      </c>
      <c r="AB166" s="69"/>
      <c r="AC166" s="67">
        <v>2782.39</v>
      </c>
    </row>
    <row r="167" spans="1:29" ht="12" customHeight="1">
      <c r="A167" s="620" t="s">
        <v>680</v>
      </c>
      <c r="B167" s="621" t="s">
        <v>444</v>
      </c>
      <c r="C167" s="622">
        <v>25754.36</v>
      </c>
      <c r="D167" s="68"/>
      <c r="E167" s="68"/>
      <c r="F167" s="68"/>
      <c r="G167" s="68"/>
      <c r="H167" s="70"/>
      <c r="I167" s="71"/>
      <c r="J167" s="68"/>
      <c r="K167" s="68"/>
      <c r="L167" s="68"/>
      <c r="M167" s="68"/>
      <c r="N167" s="68"/>
      <c r="O167" s="68"/>
      <c r="P167" s="68"/>
      <c r="Q167" s="68"/>
      <c r="R167" s="68"/>
      <c r="S167" s="68"/>
      <c r="T167" s="68"/>
      <c r="U167" s="68"/>
      <c r="V167" s="68"/>
      <c r="W167" s="68"/>
      <c r="X167" s="68"/>
      <c r="Y167" s="68"/>
      <c r="Z167" s="68"/>
      <c r="AA167" s="64">
        <v>1</v>
      </c>
      <c r="AB167" s="68"/>
      <c r="AC167" s="65">
        <v>1</v>
      </c>
    </row>
    <row r="168" spans="1:29" ht="12.95" customHeight="1">
      <c r="A168" s="620"/>
      <c r="B168" s="621"/>
      <c r="C168" s="622"/>
      <c r="D168" s="69"/>
      <c r="E168" s="69"/>
      <c r="F168" s="69"/>
      <c r="G168" s="69"/>
      <c r="H168" s="72"/>
      <c r="I168" s="73"/>
      <c r="J168" s="69"/>
      <c r="K168" s="69"/>
      <c r="L168" s="69"/>
      <c r="M168" s="69"/>
      <c r="N168" s="69"/>
      <c r="O168" s="69"/>
      <c r="P168" s="69"/>
      <c r="Q168" s="69"/>
      <c r="R168" s="69"/>
      <c r="S168" s="69"/>
      <c r="T168" s="69"/>
      <c r="U168" s="69"/>
      <c r="V168" s="69"/>
      <c r="W168" s="69"/>
      <c r="X168" s="69"/>
      <c r="Y168" s="69"/>
      <c r="Z168" s="69"/>
      <c r="AA168" s="66">
        <v>25754.36</v>
      </c>
      <c r="AB168" s="69"/>
      <c r="AC168" s="67">
        <v>25754.36</v>
      </c>
    </row>
    <row r="169" spans="1:29" ht="12" customHeight="1">
      <c r="A169" s="620" t="s">
        <v>684</v>
      </c>
      <c r="B169" s="621" t="s">
        <v>11</v>
      </c>
      <c r="C169" s="622">
        <v>75049.03</v>
      </c>
      <c r="D169" s="68"/>
      <c r="E169" s="68"/>
      <c r="F169" s="68"/>
      <c r="G169" s="68"/>
      <c r="H169" s="70"/>
      <c r="I169" s="71"/>
      <c r="J169" s="68"/>
      <c r="K169" s="68"/>
      <c r="L169" s="68"/>
      <c r="M169" s="68"/>
      <c r="N169" s="68"/>
      <c r="O169" s="68"/>
      <c r="P169" s="68"/>
      <c r="Q169" s="68"/>
      <c r="R169" s="68"/>
      <c r="S169" s="68"/>
      <c r="T169" s="68"/>
      <c r="U169" s="68"/>
      <c r="V169" s="68"/>
      <c r="W169" s="68"/>
      <c r="X169" s="68"/>
      <c r="Y169" s="68"/>
      <c r="Z169" s="68"/>
      <c r="AA169" s="64">
        <v>0.4</v>
      </c>
      <c r="AB169" s="64">
        <v>0.6</v>
      </c>
      <c r="AC169" s="65">
        <v>1</v>
      </c>
    </row>
    <row r="170" spans="1:29" ht="12.95" customHeight="1">
      <c r="A170" s="620"/>
      <c r="B170" s="621"/>
      <c r="C170" s="622"/>
      <c r="D170" s="69"/>
      <c r="E170" s="69"/>
      <c r="F170" s="69"/>
      <c r="G170" s="69"/>
      <c r="H170" s="72"/>
      <c r="I170" s="73"/>
      <c r="J170" s="69"/>
      <c r="K170" s="69"/>
      <c r="L170" s="69"/>
      <c r="M170" s="69"/>
      <c r="N170" s="69"/>
      <c r="O170" s="69"/>
      <c r="P170" s="69"/>
      <c r="Q170" s="69"/>
      <c r="R170" s="69"/>
      <c r="S170" s="69"/>
      <c r="T170" s="69"/>
      <c r="U170" s="69"/>
      <c r="V170" s="69"/>
      <c r="W170" s="69"/>
      <c r="X170" s="69"/>
      <c r="Y170" s="69"/>
      <c r="Z170" s="69"/>
      <c r="AA170" s="66">
        <v>30019.61</v>
      </c>
      <c r="AB170" s="66">
        <v>45029.42</v>
      </c>
      <c r="AC170" s="67">
        <v>75049.03</v>
      </c>
    </row>
    <row r="171" spans="1:29" ht="12" customHeight="1">
      <c r="A171" s="620" t="s">
        <v>704</v>
      </c>
      <c r="B171" s="621" t="s">
        <v>120</v>
      </c>
      <c r="C171" s="622">
        <v>73052.97</v>
      </c>
      <c r="D171" s="68"/>
      <c r="E171" s="68"/>
      <c r="F171" s="68"/>
      <c r="G171" s="68"/>
      <c r="H171" s="70"/>
      <c r="I171" s="71"/>
      <c r="J171" s="68"/>
      <c r="K171" s="68"/>
      <c r="L171" s="68"/>
      <c r="M171" s="68"/>
      <c r="N171" s="68"/>
      <c r="O171" s="68"/>
      <c r="P171" s="68"/>
      <c r="Q171" s="68"/>
      <c r="R171" s="68"/>
      <c r="S171" s="68"/>
      <c r="T171" s="68"/>
      <c r="U171" s="68"/>
      <c r="V171" s="68"/>
      <c r="W171" s="68"/>
      <c r="X171" s="68"/>
      <c r="Y171" s="68"/>
      <c r="Z171" s="68"/>
      <c r="AA171" s="64">
        <v>0.6</v>
      </c>
      <c r="AB171" s="64">
        <v>0.4</v>
      </c>
      <c r="AC171" s="65">
        <v>1</v>
      </c>
    </row>
    <row r="172" spans="1:29" ht="12.95" customHeight="1">
      <c r="A172" s="620"/>
      <c r="B172" s="621"/>
      <c r="C172" s="622"/>
      <c r="D172" s="69"/>
      <c r="E172" s="69"/>
      <c r="F172" s="69"/>
      <c r="G172" s="69"/>
      <c r="H172" s="72"/>
      <c r="I172" s="73"/>
      <c r="J172" s="69"/>
      <c r="K172" s="69"/>
      <c r="L172" s="69"/>
      <c r="M172" s="69"/>
      <c r="N172" s="69"/>
      <c r="O172" s="69"/>
      <c r="P172" s="69"/>
      <c r="Q172" s="69"/>
      <c r="R172" s="69"/>
      <c r="S172" s="69"/>
      <c r="T172" s="69"/>
      <c r="U172" s="69"/>
      <c r="V172" s="69"/>
      <c r="W172" s="69"/>
      <c r="X172" s="69"/>
      <c r="Y172" s="69"/>
      <c r="Z172" s="69"/>
      <c r="AA172" s="66">
        <v>43831.78</v>
      </c>
      <c r="AB172" s="66">
        <v>29221.19</v>
      </c>
      <c r="AC172" s="67">
        <v>73052.97</v>
      </c>
    </row>
    <row r="173" spans="1:29" ht="12" customHeight="1">
      <c r="A173" s="620" t="s">
        <v>721</v>
      </c>
      <c r="B173" s="621" t="s">
        <v>158</v>
      </c>
      <c r="C173" s="622">
        <v>5617.61</v>
      </c>
      <c r="D173" s="68"/>
      <c r="E173" s="68"/>
      <c r="F173" s="68"/>
      <c r="G173" s="68"/>
      <c r="H173" s="70"/>
      <c r="I173" s="71"/>
      <c r="J173" s="68"/>
      <c r="K173" s="68"/>
      <c r="L173" s="68"/>
      <c r="M173" s="68"/>
      <c r="N173" s="68"/>
      <c r="O173" s="68"/>
      <c r="P173" s="68"/>
      <c r="Q173" s="68"/>
      <c r="R173" s="68"/>
      <c r="S173" s="68"/>
      <c r="T173" s="68"/>
      <c r="U173" s="68"/>
      <c r="V173" s="68"/>
      <c r="W173" s="68"/>
      <c r="X173" s="68"/>
      <c r="Y173" s="68"/>
      <c r="Z173" s="68"/>
      <c r="AA173" s="68"/>
      <c r="AB173" s="64">
        <v>1</v>
      </c>
      <c r="AC173" s="65">
        <v>1</v>
      </c>
    </row>
    <row r="174" spans="1:29" ht="12.95" customHeight="1">
      <c r="A174" s="620"/>
      <c r="B174" s="621"/>
      <c r="C174" s="622"/>
      <c r="D174" s="69"/>
      <c r="E174" s="69"/>
      <c r="F174" s="69"/>
      <c r="G174" s="69"/>
      <c r="H174" s="72"/>
      <c r="I174" s="73"/>
      <c r="J174" s="69"/>
      <c r="K174" s="69"/>
      <c r="L174" s="69"/>
      <c r="M174" s="69"/>
      <c r="N174" s="69"/>
      <c r="O174" s="69"/>
      <c r="P174" s="69"/>
      <c r="Q174" s="69"/>
      <c r="R174" s="69"/>
      <c r="S174" s="69"/>
      <c r="T174" s="69"/>
      <c r="U174" s="69"/>
      <c r="V174" s="69"/>
      <c r="W174" s="69"/>
      <c r="X174" s="69"/>
      <c r="Y174" s="69"/>
      <c r="Z174" s="69"/>
      <c r="AA174" s="69"/>
      <c r="AB174" s="66">
        <v>5617.61</v>
      </c>
      <c r="AC174" s="67">
        <v>5617.61</v>
      </c>
    </row>
    <row r="175" spans="1:29" ht="12" customHeight="1">
      <c r="A175" s="620" t="s">
        <v>727</v>
      </c>
      <c r="B175" s="621" t="s">
        <v>179</v>
      </c>
      <c r="C175" s="622">
        <v>6387.39</v>
      </c>
      <c r="D175" s="68"/>
      <c r="E175" s="68"/>
      <c r="F175" s="68"/>
      <c r="G175" s="68"/>
      <c r="H175" s="70"/>
      <c r="I175" s="71"/>
      <c r="J175" s="68"/>
      <c r="K175" s="68"/>
      <c r="L175" s="68"/>
      <c r="M175" s="68"/>
      <c r="N175" s="68"/>
      <c r="O175" s="68"/>
      <c r="P175" s="68"/>
      <c r="Q175" s="68"/>
      <c r="R175" s="68"/>
      <c r="S175" s="68"/>
      <c r="T175" s="68"/>
      <c r="U175" s="68"/>
      <c r="V175" s="68"/>
      <c r="W175" s="68"/>
      <c r="X175" s="68"/>
      <c r="Y175" s="68"/>
      <c r="Z175" s="68"/>
      <c r="AA175" s="68"/>
      <c r="AB175" s="64">
        <v>1</v>
      </c>
      <c r="AC175" s="65">
        <v>1</v>
      </c>
    </row>
    <row r="176" spans="1:29" ht="12.95" customHeight="1">
      <c r="A176" s="620"/>
      <c r="B176" s="621"/>
      <c r="C176" s="622"/>
      <c r="D176" s="69"/>
      <c r="E176" s="69"/>
      <c r="F176" s="69"/>
      <c r="G176" s="69"/>
      <c r="H176" s="72"/>
      <c r="I176" s="73"/>
      <c r="J176" s="69"/>
      <c r="K176" s="69"/>
      <c r="L176" s="69"/>
      <c r="M176" s="69"/>
      <c r="N176" s="69"/>
      <c r="O176" s="69"/>
      <c r="P176" s="69"/>
      <c r="Q176" s="69"/>
      <c r="R176" s="69"/>
      <c r="S176" s="69"/>
      <c r="T176" s="69"/>
      <c r="U176" s="69"/>
      <c r="V176" s="69"/>
      <c r="W176" s="69"/>
      <c r="X176" s="69"/>
      <c r="Y176" s="69"/>
      <c r="Z176" s="69"/>
      <c r="AA176" s="69"/>
      <c r="AB176" s="66">
        <v>6387.39</v>
      </c>
      <c r="AC176" s="67">
        <v>6387.39</v>
      </c>
    </row>
    <row r="177" spans="1:29" ht="12" customHeight="1">
      <c r="A177" s="620" t="s">
        <v>729</v>
      </c>
      <c r="B177" s="621" t="s">
        <v>185</v>
      </c>
      <c r="C177" s="622">
        <v>112086.37</v>
      </c>
      <c r="D177" s="68"/>
      <c r="E177" s="68"/>
      <c r="F177" s="68"/>
      <c r="G177" s="68"/>
      <c r="H177" s="70"/>
      <c r="I177" s="71"/>
      <c r="J177" s="68"/>
      <c r="K177" s="68"/>
      <c r="L177" s="68"/>
      <c r="M177" s="68"/>
      <c r="N177" s="68"/>
      <c r="O177" s="68"/>
      <c r="P177" s="68"/>
      <c r="Q177" s="68"/>
      <c r="R177" s="68"/>
      <c r="S177" s="68"/>
      <c r="T177" s="68"/>
      <c r="U177" s="68"/>
      <c r="V177" s="68"/>
      <c r="W177" s="68"/>
      <c r="X177" s="68"/>
      <c r="Y177" s="68"/>
      <c r="Z177" s="68"/>
      <c r="AA177" s="64">
        <v>0.5</v>
      </c>
      <c r="AB177" s="64">
        <v>0.5</v>
      </c>
      <c r="AC177" s="65">
        <v>1</v>
      </c>
    </row>
    <row r="178" spans="1:29" ht="12.95" customHeight="1">
      <c r="A178" s="620"/>
      <c r="B178" s="621"/>
      <c r="C178" s="622"/>
      <c r="D178" s="69"/>
      <c r="E178" s="69"/>
      <c r="F178" s="69"/>
      <c r="G178" s="69"/>
      <c r="H178" s="72"/>
      <c r="I178" s="73"/>
      <c r="J178" s="69"/>
      <c r="K178" s="69"/>
      <c r="L178" s="69"/>
      <c r="M178" s="69"/>
      <c r="N178" s="69"/>
      <c r="O178" s="69"/>
      <c r="P178" s="69"/>
      <c r="Q178" s="69"/>
      <c r="R178" s="69"/>
      <c r="S178" s="69"/>
      <c r="T178" s="69"/>
      <c r="U178" s="69"/>
      <c r="V178" s="69"/>
      <c r="W178" s="69"/>
      <c r="X178" s="69"/>
      <c r="Y178" s="69"/>
      <c r="Z178" s="69"/>
      <c r="AA178" s="66">
        <v>56043.19</v>
      </c>
      <c r="AB178" s="66">
        <v>56043.18</v>
      </c>
      <c r="AC178" s="67">
        <v>112086.37</v>
      </c>
    </row>
    <row r="179" spans="1:29" ht="12" customHeight="1">
      <c r="A179" s="620" t="s">
        <v>739</v>
      </c>
      <c r="B179" s="621" t="s">
        <v>740</v>
      </c>
      <c r="C179" s="622">
        <v>557762.54</v>
      </c>
      <c r="D179" s="68"/>
      <c r="E179" s="64">
        <v>0.3145</v>
      </c>
      <c r="F179" s="64">
        <v>0.4556</v>
      </c>
      <c r="G179" s="64">
        <v>0.22989999999999999</v>
      </c>
      <c r="H179" s="70"/>
      <c r="I179" s="71"/>
      <c r="J179" s="68"/>
      <c r="K179" s="68"/>
      <c r="L179" s="68"/>
      <c r="M179" s="68"/>
      <c r="N179" s="68"/>
      <c r="O179" s="68"/>
      <c r="P179" s="68"/>
      <c r="Q179" s="68"/>
      <c r="R179" s="68"/>
      <c r="S179" s="68"/>
      <c r="T179" s="68"/>
      <c r="U179" s="68"/>
      <c r="V179" s="68"/>
      <c r="W179" s="68"/>
      <c r="X179" s="68"/>
      <c r="Y179" s="68"/>
      <c r="Z179" s="68"/>
      <c r="AA179" s="68"/>
      <c r="AB179" s="68"/>
      <c r="AC179" s="65">
        <v>1</v>
      </c>
    </row>
    <row r="180" spans="1:29" ht="12.95" customHeight="1">
      <c r="A180" s="620"/>
      <c r="B180" s="621"/>
      <c r="C180" s="622"/>
      <c r="D180" s="69"/>
      <c r="E180" s="66">
        <v>174872.4</v>
      </c>
      <c r="F180" s="66">
        <v>253884.32</v>
      </c>
      <c r="G180" s="66">
        <v>129005.82</v>
      </c>
      <c r="H180" s="72"/>
      <c r="I180" s="73"/>
      <c r="J180" s="69"/>
      <c r="K180" s="69"/>
      <c r="L180" s="69"/>
      <c r="M180" s="69"/>
      <c r="N180" s="69"/>
      <c r="O180" s="69"/>
      <c r="P180" s="69"/>
      <c r="Q180" s="69"/>
      <c r="R180" s="69"/>
      <c r="S180" s="69"/>
      <c r="T180" s="69"/>
      <c r="U180" s="69"/>
      <c r="V180" s="69"/>
      <c r="W180" s="69"/>
      <c r="X180" s="69"/>
      <c r="Y180" s="69"/>
      <c r="Z180" s="69"/>
      <c r="AA180" s="69"/>
      <c r="AB180" s="69"/>
      <c r="AC180" s="67">
        <v>557762.54</v>
      </c>
    </row>
    <row r="181" spans="1:29" ht="12" customHeight="1">
      <c r="A181" s="620" t="s">
        <v>741</v>
      </c>
      <c r="B181" s="621" t="s">
        <v>15</v>
      </c>
      <c r="C181" s="622">
        <v>7783.05</v>
      </c>
      <c r="D181" s="68"/>
      <c r="E181" s="64">
        <v>1</v>
      </c>
      <c r="F181" s="68"/>
      <c r="G181" s="68"/>
      <c r="H181" s="70"/>
      <c r="I181" s="71"/>
      <c r="J181" s="68"/>
      <c r="K181" s="68"/>
      <c r="L181" s="68"/>
      <c r="M181" s="68"/>
      <c r="N181" s="68"/>
      <c r="O181" s="68"/>
      <c r="P181" s="68"/>
      <c r="Q181" s="68"/>
      <c r="R181" s="68"/>
      <c r="S181" s="68"/>
      <c r="T181" s="68"/>
      <c r="U181" s="68"/>
      <c r="V181" s="68"/>
      <c r="W181" s="68"/>
      <c r="X181" s="68"/>
      <c r="Y181" s="68"/>
      <c r="Z181" s="68"/>
      <c r="AA181" s="68"/>
      <c r="AB181" s="68"/>
      <c r="AC181" s="65">
        <v>1</v>
      </c>
    </row>
    <row r="182" spans="1:29" ht="12.95" customHeight="1">
      <c r="A182" s="620"/>
      <c r="B182" s="621"/>
      <c r="C182" s="622"/>
      <c r="D182" s="69"/>
      <c r="E182" s="66">
        <v>7783.05</v>
      </c>
      <c r="F182" s="69"/>
      <c r="G182" s="69"/>
      <c r="H182" s="72"/>
      <c r="I182" s="73"/>
      <c r="J182" s="69"/>
      <c r="K182" s="69"/>
      <c r="L182" s="69"/>
      <c r="M182" s="69"/>
      <c r="N182" s="69"/>
      <c r="O182" s="69"/>
      <c r="P182" s="69"/>
      <c r="Q182" s="69"/>
      <c r="R182" s="69"/>
      <c r="S182" s="69"/>
      <c r="T182" s="69"/>
      <c r="U182" s="69"/>
      <c r="V182" s="69"/>
      <c r="W182" s="69"/>
      <c r="X182" s="69"/>
      <c r="Y182" s="69"/>
      <c r="Z182" s="69"/>
      <c r="AA182" s="69"/>
      <c r="AB182" s="69"/>
      <c r="AC182" s="67">
        <v>7783.05</v>
      </c>
    </row>
    <row r="183" spans="1:29" ht="12" customHeight="1">
      <c r="A183" s="620" t="s">
        <v>744</v>
      </c>
      <c r="B183" s="621" t="s">
        <v>26</v>
      </c>
      <c r="C183" s="622">
        <v>19280.63</v>
      </c>
      <c r="D183" s="68"/>
      <c r="E183" s="64">
        <v>0.33329999999999999</v>
      </c>
      <c r="F183" s="64">
        <v>0.33329999999999999</v>
      </c>
      <c r="G183" s="64">
        <v>0.33340000000000003</v>
      </c>
      <c r="H183" s="70"/>
      <c r="I183" s="71"/>
      <c r="J183" s="68"/>
      <c r="K183" s="68"/>
      <c r="L183" s="68"/>
      <c r="M183" s="68"/>
      <c r="N183" s="68"/>
      <c r="O183" s="68"/>
      <c r="P183" s="68"/>
      <c r="Q183" s="68"/>
      <c r="R183" s="68"/>
      <c r="S183" s="68"/>
      <c r="T183" s="68"/>
      <c r="U183" s="68"/>
      <c r="V183" s="68"/>
      <c r="W183" s="68"/>
      <c r="X183" s="68"/>
      <c r="Y183" s="68"/>
      <c r="Z183" s="68"/>
      <c r="AA183" s="68"/>
      <c r="AB183" s="68"/>
      <c r="AC183" s="65">
        <v>1</v>
      </c>
    </row>
    <row r="184" spans="1:29" ht="12.95" customHeight="1">
      <c r="A184" s="620"/>
      <c r="B184" s="621"/>
      <c r="C184" s="622"/>
      <c r="D184" s="69"/>
      <c r="E184" s="66">
        <v>6426.23</v>
      </c>
      <c r="F184" s="66">
        <v>6426.23</v>
      </c>
      <c r="G184" s="66">
        <v>6428.17</v>
      </c>
      <c r="H184" s="72"/>
      <c r="I184" s="73"/>
      <c r="J184" s="69"/>
      <c r="K184" s="69"/>
      <c r="L184" s="69"/>
      <c r="M184" s="69"/>
      <c r="N184" s="69"/>
      <c r="O184" s="69"/>
      <c r="P184" s="69"/>
      <c r="Q184" s="69"/>
      <c r="R184" s="69"/>
      <c r="S184" s="69"/>
      <c r="T184" s="69"/>
      <c r="U184" s="69"/>
      <c r="V184" s="69"/>
      <c r="W184" s="69"/>
      <c r="X184" s="69"/>
      <c r="Y184" s="69"/>
      <c r="Z184" s="69"/>
      <c r="AA184" s="69"/>
      <c r="AB184" s="69"/>
      <c r="AC184" s="67">
        <v>19280.63</v>
      </c>
    </row>
    <row r="185" spans="1:29" ht="12" customHeight="1">
      <c r="A185" s="620" t="s">
        <v>747</v>
      </c>
      <c r="B185" s="621" t="s">
        <v>36</v>
      </c>
      <c r="C185" s="622">
        <v>181.46</v>
      </c>
      <c r="D185" s="68"/>
      <c r="E185" s="64">
        <v>1</v>
      </c>
      <c r="F185" s="68"/>
      <c r="G185" s="68"/>
      <c r="H185" s="70"/>
      <c r="I185" s="71"/>
      <c r="J185" s="68"/>
      <c r="K185" s="68"/>
      <c r="L185" s="68"/>
      <c r="M185" s="68"/>
      <c r="N185" s="68"/>
      <c r="O185" s="68"/>
      <c r="P185" s="68"/>
      <c r="Q185" s="68"/>
      <c r="R185" s="68"/>
      <c r="S185" s="68"/>
      <c r="T185" s="68"/>
      <c r="U185" s="68"/>
      <c r="V185" s="68"/>
      <c r="W185" s="68"/>
      <c r="X185" s="68"/>
      <c r="Y185" s="68"/>
      <c r="Z185" s="68"/>
      <c r="AA185" s="68"/>
      <c r="AB185" s="68"/>
      <c r="AC185" s="65">
        <v>1</v>
      </c>
    </row>
    <row r="186" spans="1:29" ht="12.95" customHeight="1">
      <c r="A186" s="620"/>
      <c r="B186" s="621"/>
      <c r="C186" s="622"/>
      <c r="D186" s="69"/>
      <c r="E186" s="66">
        <v>181.46</v>
      </c>
      <c r="F186" s="69"/>
      <c r="G186" s="69"/>
      <c r="H186" s="72"/>
      <c r="I186" s="73"/>
      <c r="J186" s="69"/>
      <c r="K186" s="69"/>
      <c r="L186" s="69"/>
      <c r="M186" s="69"/>
      <c r="N186" s="69"/>
      <c r="O186" s="69"/>
      <c r="P186" s="69"/>
      <c r="Q186" s="69"/>
      <c r="R186" s="69"/>
      <c r="S186" s="69"/>
      <c r="T186" s="69"/>
      <c r="U186" s="69"/>
      <c r="V186" s="69"/>
      <c r="W186" s="69"/>
      <c r="X186" s="69"/>
      <c r="Y186" s="69"/>
      <c r="Z186" s="69"/>
      <c r="AA186" s="69"/>
      <c r="AB186" s="69"/>
      <c r="AC186" s="67">
        <v>181.46</v>
      </c>
    </row>
    <row r="187" spans="1:29" ht="12" customHeight="1">
      <c r="A187" s="620" t="s">
        <v>749</v>
      </c>
      <c r="B187" s="621" t="s">
        <v>444</v>
      </c>
      <c r="C187" s="622">
        <v>32194.54</v>
      </c>
      <c r="D187" s="68"/>
      <c r="E187" s="64">
        <v>0.6</v>
      </c>
      <c r="F187" s="64">
        <v>0.4</v>
      </c>
      <c r="G187" s="68"/>
      <c r="H187" s="70"/>
      <c r="I187" s="71"/>
      <c r="J187" s="68"/>
      <c r="K187" s="68"/>
      <c r="L187" s="68"/>
      <c r="M187" s="68"/>
      <c r="N187" s="68"/>
      <c r="O187" s="68"/>
      <c r="P187" s="68"/>
      <c r="Q187" s="68"/>
      <c r="R187" s="68"/>
      <c r="S187" s="68"/>
      <c r="T187" s="68"/>
      <c r="U187" s="68"/>
      <c r="V187" s="68"/>
      <c r="W187" s="68"/>
      <c r="X187" s="68"/>
      <c r="Y187" s="68"/>
      <c r="Z187" s="68"/>
      <c r="AA187" s="68"/>
      <c r="AB187" s="68"/>
      <c r="AC187" s="65">
        <v>1</v>
      </c>
    </row>
    <row r="188" spans="1:29" ht="12.95" customHeight="1">
      <c r="A188" s="620"/>
      <c r="B188" s="621"/>
      <c r="C188" s="622"/>
      <c r="D188" s="69"/>
      <c r="E188" s="66">
        <v>19316.72</v>
      </c>
      <c r="F188" s="66">
        <v>12877.82</v>
      </c>
      <c r="G188" s="69"/>
      <c r="H188" s="72"/>
      <c r="I188" s="73"/>
      <c r="J188" s="69"/>
      <c r="K188" s="69"/>
      <c r="L188" s="69"/>
      <c r="M188" s="69"/>
      <c r="N188" s="69"/>
      <c r="O188" s="69"/>
      <c r="P188" s="69"/>
      <c r="Q188" s="69"/>
      <c r="R188" s="69"/>
      <c r="S188" s="69"/>
      <c r="T188" s="69"/>
      <c r="U188" s="69"/>
      <c r="V188" s="69"/>
      <c r="W188" s="69"/>
      <c r="X188" s="69"/>
      <c r="Y188" s="69"/>
      <c r="Z188" s="69"/>
      <c r="AA188" s="69"/>
      <c r="AB188" s="69"/>
      <c r="AC188" s="67">
        <v>32194.54</v>
      </c>
    </row>
    <row r="189" spans="1:29" ht="12" customHeight="1">
      <c r="A189" s="620" t="s">
        <v>753</v>
      </c>
      <c r="B189" s="621" t="s">
        <v>11</v>
      </c>
      <c r="C189" s="622">
        <v>97974.52</v>
      </c>
      <c r="D189" s="68"/>
      <c r="E189" s="68"/>
      <c r="F189" s="64">
        <v>0.6</v>
      </c>
      <c r="G189" s="64">
        <v>0.4</v>
      </c>
      <c r="H189" s="70"/>
      <c r="I189" s="71"/>
      <c r="J189" s="68"/>
      <c r="K189" s="68"/>
      <c r="L189" s="68"/>
      <c r="M189" s="68"/>
      <c r="N189" s="68"/>
      <c r="O189" s="68"/>
      <c r="P189" s="68"/>
      <c r="Q189" s="68"/>
      <c r="R189" s="68"/>
      <c r="S189" s="68"/>
      <c r="T189" s="68"/>
      <c r="U189" s="68"/>
      <c r="V189" s="68"/>
      <c r="W189" s="68"/>
      <c r="X189" s="68"/>
      <c r="Y189" s="68"/>
      <c r="Z189" s="68"/>
      <c r="AA189" s="68"/>
      <c r="AB189" s="68"/>
      <c r="AC189" s="65">
        <v>1</v>
      </c>
    </row>
    <row r="190" spans="1:29" ht="12.95" customHeight="1">
      <c r="A190" s="620"/>
      <c r="B190" s="621"/>
      <c r="C190" s="622"/>
      <c r="D190" s="69"/>
      <c r="E190" s="69"/>
      <c r="F190" s="66">
        <v>58784.71</v>
      </c>
      <c r="G190" s="66">
        <v>39189.81</v>
      </c>
      <c r="H190" s="72"/>
      <c r="I190" s="73"/>
      <c r="J190" s="69"/>
      <c r="K190" s="69"/>
      <c r="L190" s="69"/>
      <c r="M190" s="69"/>
      <c r="N190" s="69"/>
      <c r="O190" s="69"/>
      <c r="P190" s="69"/>
      <c r="Q190" s="69"/>
      <c r="R190" s="69"/>
      <c r="S190" s="69"/>
      <c r="T190" s="69"/>
      <c r="U190" s="69"/>
      <c r="V190" s="69"/>
      <c r="W190" s="69"/>
      <c r="X190" s="69"/>
      <c r="Y190" s="69"/>
      <c r="Z190" s="69"/>
      <c r="AA190" s="69"/>
      <c r="AB190" s="69"/>
      <c r="AC190" s="67">
        <v>97974.52</v>
      </c>
    </row>
    <row r="191" spans="1:29" ht="12" customHeight="1">
      <c r="A191" s="620" t="s">
        <v>769</v>
      </c>
      <c r="B191" s="621" t="s">
        <v>120</v>
      </c>
      <c r="C191" s="622">
        <v>173153.12</v>
      </c>
      <c r="D191" s="68"/>
      <c r="E191" s="64">
        <v>0.4</v>
      </c>
      <c r="F191" s="64">
        <v>0.6</v>
      </c>
      <c r="G191" s="68"/>
      <c r="H191" s="70"/>
      <c r="I191" s="71"/>
      <c r="J191" s="68"/>
      <c r="K191" s="68"/>
      <c r="L191" s="68"/>
      <c r="M191" s="68"/>
      <c r="N191" s="68"/>
      <c r="O191" s="68"/>
      <c r="P191" s="68"/>
      <c r="Q191" s="68"/>
      <c r="R191" s="68"/>
      <c r="S191" s="68"/>
      <c r="T191" s="68"/>
      <c r="U191" s="68"/>
      <c r="V191" s="68"/>
      <c r="W191" s="68"/>
      <c r="X191" s="68"/>
      <c r="Y191" s="68"/>
      <c r="Z191" s="68"/>
      <c r="AA191" s="68"/>
      <c r="AB191" s="68"/>
      <c r="AC191" s="65">
        <v>1</v>
      </c>
    </row>
    <row r="192" spans="1:29" ht="12.95" customHeight="1">
      <c r="A192" s="620"/>
      <c r="B192" s="621"/>
      <c r="C192" s="622"/>
      <c r="D192" s="69"/>
      <c r="E192" s="66">
        <v>69261.25</v>
      </c>
      <c r="F192" s="66">
        <v>103891.87</v>
      </c>
      <c r="G192" s="69"/>
      <c r="H192" s="72"/>
      <c r="I192" s="73"/>
      <c r="J192" s="69"/>
      <c r="K192" s="69"/>
      <c r="L192" s="69"/>
      <c r="M192" s="69"/>
      <c r="N192" s="69"/>
      <c r="O192" s="69"/>
      <c r="P192" s="69"/>
      <c r="Q192" s="69"/>
      <c r="R192" s="69"/>
      <c r="S192" s="69"/>
      <c r="T192" s="69"/>
      <c r="U192" s="69"/>
      <c r="V192" s="69"/>
      <c r="W192" s="69"/>
      <c r="X192" s="69"/>
      <c r="Y192" s="69"/>
      <c r="Z192" s="69"/>
      <c r="AA192" s="69"/>
      <c r="AB192" s="69"/>
      <c r="AC192" s="67">
        <v>173153.12</v>
      </c>
    </row>
    <row r="193" spans="1:29" ht="12" customHeight="1">
      <c r="A193" s="620" t="s">
        <v>783</v>
      </c>
      <c r="B193" s="621" t="s">
        <v>158</v>
      </c>
      <c r="C193" s="622">
        <v>9539.51</v>
      </c>
      <c r="D193" s="68"/>
      <c r="E193" s="68"/>
      <c r="F193" s="68"/>
      <c r="G193" s="64">
        <v>1</v>
      </c>
      <c r="H193" s="70"/>
      <c r="I193" s="71"/>
      <c r="J193" s="68"/>
      <c r="K193" s="68"/>
      <c r="L193" s="68"/>
      <c r="M193" s="68"/>
      <c r="N193" s="68"/>
      <c r="O193" s="68"/>
      <c r="P193" s="68"/>
      <c r="Q193" s="68"/>
      <c r="R193" s="68"/>
      <c r="S193" s="68"/>
      <c r="T193" s="68"/>
      <c r="U193" s="68"/>
      <c r="V193" s="68"/>
      <c r="W193" s="68"/>
      <c r="X193" s="68"/>
      <c r="Y193" s="68"/>
      <c r="Z193" s="68"/>
      <c r="AA193" s="68"/>
      <c r="AB193" s="68"/>
      <c r="AC193" s="65">
        <v>1</v>
      </c>
    </row>
    <row r="194" spans="1:29" ht="12.95" customHeight="1">
      <c r="A194" s="620"/>
      <c r="B194" s="621"/>
      <c r="C194" s="622"/>
      <c r="D194" s="69"/>
      <c r="E194" s="69"/>
      <c r="F194" s="69"/>
      <c r="G194" s="66">
        <v>9539.51</v>
      </c>
      <c r="H194" s="72"/>
      <c r="I194" s="73"/>
      <c r="J194" s="69"/>
      <c r="K194" s="69"/>
      <c r="L194" s="69"/>
      <c r="M194" s="69"/>
      <c r="N194" s="69"/>
      <c r="O194" s="69"/>
      <c r="P194" s="69"/>
      <c r="Q194" s="69"/>
      <c r="R194" s="69"/>
      <c r="S194" s="69"/>
      <c r="T194" s="69"/>
      <c r="U194" s="69"/>
      <c r="V194" s="69"/>
      <c r="W194" s="69"/>
      <c r="X194" s="69"/>
      <c r="Y194" s="69"/>
      <c r="Z194" s="69"/>
      <c r="AA194" s="69"/>
      <c r="AB194" s="69"/>
      <c r="AC194" s="67">
        <v>9539.51</v>
      </c>
    </row>
    <row r="195" spans="1:29" ht="12" customHeight="1">
      <c r="A195" s="620" t="s">
        <v>789</v>
      </c>
      <c r="B195" s="621" t="s">
        <v>179</v>
      </c>
      <c r="C195" s="622">
        <v>1923.08</v>
      </c>
      <c r="D195" s="68"/>
      <c r="E195" s="68"/>
      <c r="F195" s="68"/>
      <c r="G195" s="64">
        <v>1</v>
      </c>
      <c r="H195" s="70"/>
      <c r="I195" s="71"/>
      <c r="J195" s="68"/>
      <c r="K195" s="68"/>
      <c r="L195" s="68"/>
      <c r="M195" s="68"/>
      <c r="N195" s="68"/>
      <c r="O195" s="68"/>
      <c r="P195" s="68"/>
      <c r="Q195" s="68"/>
      <c r="R195" s="68"/>
      <c r="S195" s="68"/>
      <c r="T195" s="68"/>
      <c r="U195" s="68"/>
      <c r="V195" s="68"/>
      <c r="W195" s="68"/>
      <c r="X195" s="68"/>
      <c r="Y195" s="68"/>
      <c r="Z195" s="68"/>
      <c r="AA195" s="68"/>
      <c r="AB195" s="68"/>
      <c r="AC195" s="65">
        <v>1</v>
      </c>
    </row>
    <row r="196" spans="1:29" ht="12.95" customHeight="1">
      <c r="A196" s="620"/>
      <c r="B196" s="621"/>
      <c r="C196" s="622"/>
      <c r="D196" s="69"/>
      <c r="E196" s="69"/>
      <c r="F196" s="69"/>
      <c r="G196" s="66">
        <v>1923.08</v>
      </c>
      <c r="H196" s="72"/>
      <c r="I196" s="73"/>
      <c r="J196" s="69"/>
      <c r="K196" s="69"/>
      <c r="L196" s="69"/>
      <c r="M196" s="69"/>
      <c r="N196" s="69"/>
      <c r="O196" s="69"/>
      <c r="P196" s="69"/>
      <c r="Q196" s="69"/>
      <c r="R196" s="69"/>
      <c r="S196" s="69"/>
      <c r="T196" s="69"/>
      <c r="U196" s="69"/>
      <c r="V196" s="69"/>
      <c r="W196" s="69"/>
      <c r="X196" s="69"/>
      <c r="Y196" s="69"/>
      <c r="Z196" s="69"/>
      <c r="AA196" s="69"/>
      <c r="AB196" s="69"/>
      <c r="AC196" s="67">
        <v>1923.08</v>
      </c>
    </row>
    <row r="197" spans="1:29" ht="12" customHeight="1">
      <c r="A197" s="620" t="s">
        <v>791</v>
      </c>
      <c r="B197" s="621" t="s">
        <v>185</v>
      </c>
      <c r="C197" s="622">
        <v>215732.63</v>
      </c>
      <c r="D197" s="68"/>
      <c r="E197" s="64">
        <v>0.33329999999999999</v>
      </c>
      <c r="F197" s="64">
        <v>0.33329999999999999</v>
      </c>
      <c r="G197" s="64">
        <v>0.33340000000000003</v>
      </c>
      <c r="H197" s="70"/>
      <c r="I197" s="71"/>
      <c r="J197" s="68"/>
      <c r="K197" s="68"/>
      <c r="L197" s="68"/>
      <c r="M197" s="68"/>
      <c r="N197" s="68"/>
      <c r="O197" s="68"/>
      <c r="P197" s="68"/>
      <c r="Q197" s="68"/>
      <c r="R197" s="68"/>
      <c r="S197" s="68"/>
      <c r="T197" s="68"/>
      <c r="U197" s="68"/>
      <c r="V197" s="68"/>
      <c r="W197" s="68"/>
      <c r="X197" s="68"/>
      <c r="Y197" s="68"/>
      <c r="Z197" s="68"/>
      <c r="AA197" s="68"/>
      <c r="AB197" s="68"/>
      <c r="AC197" s="65">
        <v>1</v>
      </c>
    </row>
    <row r="198" spans="1:29" ht="12.95" customHeight="1">
      <c r="A198" s="620"/>
      <c r="B198" s="621"/>
      <c r="C198" s="622"/>
      <c r="D198" s="69"/>
      <c r="E198" s="66">
        <v>71903.69</v>
      </c>
      <c r="F198" s="66">
        <v>71903.69</v>
      </c>
      <c r="G198" s="66">
        <v>71925.25</v>
      </c>
      <c r="H198" s="72"/>
      <c r="I198" s="73"/>
      <c r="J198" s="69"/>
      <c r="K198" s="69"/>
      <c r="L198" s="69"/>
      <c r="M198" s="69"/>
      <c r="N198" s="69"/>
      <c r="O198" s="69"/>
      <c r="P198" s="69"/>
      <c r="Q198" s="69"/>
      <c r="R198" s="69"/>
      <c r="S198" s="69"/>
      <c r="T198" s="69"/>
      <c r="U198" s="69"/>
      <c r="V198" s="69"/>
      <c r="W198" s="69"/>
      <c r="X198" s="69"/>
      <c r="Y198" s="69"/>
      <c r="Z198" s="69"/>
      <c r="AA198" s="69"/>
      <c r="AB198" s="69"/>
      <c r="AC198" s="67">
        <v>215732.63</v>
      </c>
    </row>
    <row r="199" spans="1:29" ht="12" customHeight="1">
      <c r="A199" s="620" t="s">
        <v>801</v>
      </c>
      <c r="B199" s="621" t="s">
        <v>802</v>
      </c>
      <c r="C199" s="622">
        <v>338289.11</v>
      </c>
      <c r="D199" s="68"/>
      <c r="E199" s="68"/>
      <c r="F199" s="68"/>
      <c r="G199" s="68"/>
      <c r="H199" s="623">
        <v>0.52210000000000001</v>
      </c>
      <c r="I199" s="623"/>
      <c r="J199" s="64">
        <v>0.47789999999999999</v>
      </c>
      <c r="K199" s="68"/>
      <c r="L199" s="68"/>
      <c r="M199" s="68"/>
      <c r="N199" s="68"/>
      <c r="O199" s="68"/>
      <c r="P199" s="68"/>
      <c r="Q199" s="68"/>
      <c r="R199" s="68"/>
      <c r="S199" s="68"/>
      <c r="T199" s="68"/>
      <c r="U199" s="68"/>
      <c r="V199" s="68"/>
      <c r="W199" s="68"/>
      <c r="X199" s="68"/>
      <c r="Y199" s="68"/>
      <c r="Z199" s="68"/>
      <c r="AA199" s="68"/>
      <c r="AB199" s="68"/>
      <c r="AC199" s="65">
        <v>1</v>
      </c>
    </row>
    <row r="200" spans="1:29" ht="12.95" customHeight="1">
      <c r="A200" s="620"/>
      <c r="B200" s="621"/>
      <c r="C200" s="622"/>
      <c r="D200" s="69"/>
      <c r="E200" s="69"/>
      <c r="F200" s="69"/>
      <c r="G200" s="69"/>
      <c r="H200" s="624">
        <v>178871.64</v>
      </c>
      <c r="I200" s="624"/>
      <c r="J200" s="66">
        <v>159417.47</v>
      </c>
      <c r="K200" s="69"/>
      <c r="L200" s="69"/>
      <c r="M200" s="69"/>
      <c r="N200" s="69"/>
      <c r="O200" s="69"/>
      <c r="P200" s="69"/>
      <c r="Q200" s="69"/>
      <c r="R200" s="69"/>
      <c r="S200" s="69"/>
      <c r="T200" s="69"/>
      <c r="U200" s="69"/>
      <c r="V200" s="69"/>
      <c r="W200" s="69"/>
      <c r="X200" s="69"/>
      <c r="Y200" s="69"/>
      <c r="Z200" s="69"/>
      <c r="AA200" s="69"/>
      <c r="AB200" s="69"/>
      <c r="AC200" s="67">
        <v>338289.11</v>
      </c>
    </row>
    <row r="201" spans="1:29" ht="12" customHeight="1">
      <c r="A201" s="620" t="s">
        <v>803</v>
      </c>
      <c r="B201" s="621" t="s">
        <v>15</v>
      </c>
      <c r="C201" s="622">
        <v>6960.06</v>
      </c>
      <c r="D201" s="68"/>
      <c r="E201" s="68"/>
      <c r="F201" s="68"/>
      <c r="G201" s="68"/>
      <c r="H201" s="623">
        <v>1</v>
      </c>
      <c r="I201" s="623"/>
      <c r="J201" s="68"/>
      <c r="K201" s="68"/>
      <c r="L201" s="68"/>
      <c r="M201" s="68"/>
      <c r="N201" s="68"/>
      <c r="O201" s="68"/>
      <c r="P201" s="68"/>
      <c r="Q201" s="68"/>
      <c r="R201" s="68"/>
      <c r="S201" s="68"/>
      <c r="T201" s="68"/>
      <c r="U201" s="68"/>
      <c r="V201" s="68"/>
      <c r="W201" s="68"/>
      <c r="X201" s="68"/>
      <c r="Y201" s="68"/>
      <c r="Z201" s="68"/>
      <c r="AA201" s="68"/>
      <c r="AB201" s="68"/>
      <c r="AC201" s="65">
        <v>1</v>
      </c>
    </row>
    <row r="202" spans="1:29" ht="12.95" customHeight="1">
      <c r="A202" s="620"/>
      <c r="B202" s="621"/>
      <c r="C202" s="622"/>
      <c r="D202" s="69"/>
      <c r="E202" s="69"/>
      <c r="F202" s="69"/>
      <c r="G202" s="69"/>
      <c r="H202" s="624">
        <v>6960.06</v>
      </c>
      <c r="I202" s="624"/>
      <c r="J202" s="69"/>
      <c r="K202" s="69"/>
      <c r="L202" s="69"/>
      <c r="M202" s="69"/>
      <c r="N202" s="69"/>
      <c r="O202" s="69"/>
      <c r="P202" s="69"/>
      <c r="Q202" s="69"/>
      <c r="R202" s="69"/>
      <c r="S202" s="69"/>
      <c r="T202" s="69"/>
      <c r="U202" s="69"/>
      <c r="V202" s="69"/>
      <c r="W202" s="69"/>
      <c r="X202" s="69"/>
      <c r="Y202" s="69"/>
      <c r="Z202" s="69"/>
      <c r="AA202" s="69"/>
      <c r="AB202" s="69"/>
      <c r="AC202" s="67">
        <v>6960.06</v>
      </c>
    </row>
    <row r="203" spans="1:29" ht="12" customHeight="1">
      <c r="A203" s="620" t="s">
        <v>806</v>
      </c>
      <c r="B203" s="621" t="s">
        <v>26</v>
      </c>
      <c r="C203" s="622">
        <v>12787.84</v>
      </c>
      <c r="D203" s="68"/>
      <c r="E203" s="68"/>
      <c r="F203" s="68"/>
      <c r="G203" s="68"/>
      <c r="H203" s="623">
        <v>0.5</v>
      </c>
      <c r="I203" s="623"/>
      <c r="J203" s="64">
        <v>0.5</v>
      </c>
      <c r="K203" s="68"/>
      <c r="L203" s="68"/>
      <c r="M203" s="68"/>
      <c r="N203" s="68"/>
      <c r="O203" s="68"/>
      <c r="P203" s="68"/>
      <c r="Q203" s="68"/>
      <c r="R203" s="68"/>
      <c r="S203" s="68"/>
      <c r="T203" s="68"/>
      <c r="U203" s="68"/>
      <c r="V203" s="68"/>
      <c r="W203" s="68"/>
      <c r="X203" s="68"/>
      <c r="Y203" s="68"/>
      <c r="Z203" s="68"/>
      <c r="AA203" s="68"/>
      <c r="AB203" s="68"/>
      <c r="AC203" s="65">
        <v>1</v>
      </c>
    </row>
    <row r="204" spans="1:29" ht="12.95" customHeight="1">
      <c r="A204" s="620"/>
      <c r="B204" s="621"/>
      <c r="C204" s="622"/>
      <c r="D204" s="69"/>
      <c r="E204" s="69"/>
      <c r="F204" s="69"/>
      <c r="G204" s="69"/>
      <c r="H204" s="624">
        <v>6393.92</v>
      </c>
      <c r="I204" s="624"/>
      <c r="J204" s="66">
        <v>6393.92</v>
      </c>
      <c r="K204" s="69"/>
      <c r="L204" s="69"/>
      <c r="M204" s="69"/>
      <c r="N204" s="69"/>
      <c r="O204" s="69"/>
      <c r="P204" s="69"/>
      <c r="Q204" s="69"/>
      <c r="R204" s="69"/>
      <c r="S204" s="69"/>
      <c r="T204" s="69"/>
      <c r="U204" s="69"/>
      <c r="V204" s="69"/>
      <c r="W204" s="69"/>
      <c r="X204" s="69"/>
      <c r="Y204" s="69"/>
      <c r="Z204" s="69"/>
      <c r="AA204" s="69"/>
      <c r="AB204" s="69"/>
      <c r="AC204" s="67">
        <v>12787.84</v>
      </c>
    </row>
    <row r="205" spans="1:29" ht="12" customHeight="1">
      <c r="A205" s="620" t="s">
        <v>809</v>
      </c>
      <c r="B205" s="621" t="s">
        <v>36</v>
      </c>
      <c r="C205" s="622">
        <v>9674.26</v>
      </c>
      <c r="D205" s="68"/>
      <c r="E205" s="68"/>
      <c r="F205" s="68"/>
      <c r="G205" s="68"/>
      <c r="H205" s="623">
        <v>1</v>
      </c>
      <c r="I205" s="623"/>
      <c r="J205" s="68"/>
      <c r="K205" s="68"/>
      <c r="L205" s="68"/>
      <c r="M205" s="68"/>
      <c r="N205" s="68"/>
      <c r="O205" s="68"/>
      <c r="P205" s="68"/>
      <c r="Q205" s="68"/>
      <c r="R205" s="68"/>
      <c r="S205" s="68"/>
      <c r="T205" s="68"/>
      <c r="U205" s="68"/>
      <c r="V205" s="68"/>
      <c r="W205" s="68"/>
      <c r="X205" s="68"/>
      <c r="Y205" s="68"/>
      <c r="Z205" s="68"/>
      <c r="AA205" s="68"/>
      <c r="AB205" s="68"/>
      <c r="AC205" s="65">
        <v>1</v>
      </c>
    </row>
    <row r="206" spans="1:29" ht="12.95" customHeight="1">
      <c r="A206" s="620"/>
      <c r="B206" s="621"/>
      <c r="C206" s="622"/>
      <c r="D206" s="69"/>
      <c r="E206" s="69"/>
      <c r="F206" s="69"/>
      <c r="G206" s="69"/>
      <c r="H206" s="624">
        <v>9674.26</v>
      </c>
      <c r="I206" s="624"/>
      <c r="J206" s="69"/>
      <c r="K206" s="69"/>
      <c r="L206" s="69"/>
      <c r="M206" s="69"/>
      <c r="N206" s="69"/>
      <c r="O206" s="69"/>
      <c r="P206" s="69"/>
      <c r="Q206" s="69"/>
      <c r="R206" s="69"/>
      <c r="S206" s="69"/>
      <c r="T206" s="69"/>
      <c r="U206" s="69"/>
      <c r="V206" s="69"/>
      <c r="W206" s="69"/>
      <c r="X206" s="69"/>
      <c r="Y206" s="69"/>
      <c r="Z206" s="69"/>
      <c r="AA206" s="69"/>
      <c r="AB206" s="69"/>
      <c r="AC206" s="67">
        <v>9674.26</v>
      </c>
    </row>
    <row r="207" spans="1:29" ht="12" customHeight="1">
      <c r="A207" s="620" t="s">
        <v>818</v>
      </c>
      <c r="B207" s="621" t="s">
        <v>444</v>
      </c>
      <c r="C207" s="622">
        <v>13667.19</v>
      </c>
      <c r="D207" s="68"/>
      <c r="E207" s="68"/>
      <c r="F207" s="68"/>
      <c r="G207" s="68"/>
      <c r="H207" s="623">
        <v>1</v>
      </c>
      <c r="I207" s="623"/>
      <c r="J207" s="68"/>
      <c r="K207" s="68"/>
      <c r="L207" s="68"/>
      <c r="M207" s="68"/>
      <c r="N207" s="68"/>
      <c r="O207" s="68"/>
      <c r="P207" s="68"/>
      <c r="Q207" s="68"/>
      <c r="R207" s="68"/>
      <c r="S207" s="68"/>
      <c r="T207" s="68"/>
      <c r="U207" s="68"/>
      <c r="V207" s="68"/>
      <c r="W207" s="68"/>
      <c r="X207" s="68"/>
      <c r="Y207" s="68"/>
      <c r="Z207" s="68"/>
      <c r="AA207" s="68"/>
      <c r="AB207" s="68"/>
      <c r="AC207" s="65">
        <v>1</v>
      </c>
    </row>
    <row r="208" spans="1:29" ht="12.95" customHeight="1">
      <c r="A208" s="620"/>
      <c r="B208" s="621"/>
      <c r="C208" s="622"/>
      <c r="D208" s="69"/>
      <c r="E208" s="69"/>
      <c r="F208" s="69"/>
      <c r="G208" s="69"/>
      <c r="H208" s="624">
        <v>13667.19</v>
      </c>
      <c r="I208" s="624"/>
      <c r="J208" s="69"/>
      <c r="K208" s="69"/>
      <c r="L208" s="69"/>
      <c r="M208" s="69"/>
      <c r="N208" s="69"/>
      <c r="O208" s="69"/>
      <c r="P208" s="69"/>
      <c r="Q208" s="69"/>
      <c r="R208" s="69"/>
      <c r="S208" s="69"/>
      <c r="T208" s="69"/>
      <c r="U208" s="69"/>
      <c r="V208" s="69"/>
      <c r="W208" s="69"/>
      <c r="X208" s="69"/>
      <c r="Y208" s="69"/>
      <c r="Z208" s="69"/>
      <c r="AA208" s="69"/>
      <c r="AB208" s="69"/>
      <c r="AC208" s="67">
        <v>13667.19</v>
      </c>
    </row>
    <row r="209" spans="1:29" ht="12" customHeight="1">
      <c r="A209" s="620" t="s">
        <v>823</v>
      </c>
      <c r="B209" s="621" t="s">
        <v>11</v>
      </c>
      <c r="C209" s="622">
        <v>72934.17</v>
      </c>
      <c r="D209" s="68"/>
      <c r="E209" s="68"/>
      <c r="F209" s="68"/>
      <c r="G209" s="68"/>
      <c r="H209" s="623">
        <v>0.4</v>
      </c>
      <c r="I209" s="623"/>
      <c r="J209" s="64">
        <v>0.6</v>
      </c>
      <c r="K209" s="68"/>
      <c r="L209" s="68"/>
      <c r="M209" s="68"/>
      <c r="N209" s="68"/>
      <c r="O209" s="68"/>
      <c r="P209" s="68"/>
      <c r="Q209" s="68"/>
      <c r="R209" s="68"/>
      <c r="S209" s="68"/>
      <c r="T209" s="68"/>
      <c r="U209" s="68"/>
      <c r="V209" s="68"/>
      <c r="W209" s="68"/>
      <c r="X209" s="68"/>
      <c r="Y209" s="68"/>
      <c r="Z209" s="68"/>
      <c r="AA209" s="68"/>
      <c r="AB209" s="68"/>
      <c r="AC209" s="65">
        <v>1</v>
      </c>
    </row>
    <row r="210" spans="1:29" ht="12.95" customHeight="1">
      <c r="A210" s="620"/>
      <c r="B210" s="621"/>
      <c r="C210" s="622"/>
      <c r="D210" s="69"/>
      <c r="E210" s="69"/>
      <c r="F210" s="69"/>
      <c r="G210" s="69"/>
      <c r="H210" s="624">
        <v>29173.67</v>
      </c>
      <c r="I210" s="624"/>
      <c r="J210" s="66">
        <v>43760.5</v>
      </c>
      <c r="K210" s="69"/>
      <c r="L210" s="69"/>
      <c r="M210" s="69"/>
      <c r="N210" s="69"/>
      <c r="O210" s="69"/>
      <c r="P210" s="69"/>
      <c r="Q210" s="69"/>
      <c r="R210" s="69"/>
      <c r="S210" s="69"/>
      <c r="T210" s="69"/>
      <c r="U210" s="69"/>
      <c r="V210" s="69"/>
      <c r="W210" s="69"/>
      <c r="X210" s="69"/>
      <c r="Y210" s="69"/>
      <c r="Z210" s="69"/>
      <c r="AA210" s="69"/>
      <c r="AB210" s="69"/>
      <c r="AC210" s="67">
        <v>72934.17</v>
      </c>
    </row>
    <row r="211" spans="1:29" ht="12" customHeight="1">
      <c r="A211" s="620" t="s">
        <v>841</v>
      </c>
      <c r="B211" s="621" t="s">
        <v>120</v>
      </c>
      <c r="C211" s="622">
        <v>65847.570000000007</v>
      </c>
      <c r="D211" s="68"/>
      <c r="E211" s="68"/>
      <c r="F211" s="68"/>
      <c r="G211" s="68"/>
      <c r="H211" s="623">
        <v>0.6</v>
      </c>
      <c r="I211" s="623"/>
      <c r="J211" s="64">
        <v>0.4</v>
      </c>
      <c r="K211" s="68"/>
      <c r="L211" s="68"/>
      <c r="M211" s="68"/>
      <c r="N211" s="68"/>
      <c r="O211" s="68"/>
      <c r="P211" s="68"/>
      <c r="Q211" s="68"/>
      <c r="R211" s="68"/>
      <c r="S211" s="68"/>
      <c r="T211" s="68"/>
      <c r="U211" s="68"/>
      <c r="V211" s="68"/>
      <c r="W211" s="68"/>
      <c r="X211" s="68"/>
      <c r="Y211" s="68"/>
      <c r="Z211" s="68"/>
      <c r="AA211" s="68"/>
      <c r="AB211" s="68"/>
      <c r="AC211" s="65">
        <v>1</v>
      </c>
    </row>
    <row r="212" spans="1:29" ht="12.95" customHeight="1">
      <c r="A212" s="620"/>
      <c r="B212" s="621"/>
      <c r="C212" s="622"/>
      <c r="D212" s="69"/>
      <c r="E212" s="69"/>
      <c r="F212" s="69"/>
      <c r="G212" s="69"/>
      <c r="H212" s="624">
        <v>39508.54</v>
      </c>
      <c r="I212" s="624"/>
      <c r="J212" s="66">
        <v>26339.03</v>
      </c>
      <c r="K212" s="69"/>
      <c r="L212" s="69"/>
      <c r="M212" s="69"/>
      <c r="N212" s="69"/>
      <c r="O212" s="69"/>
      <c r="P212" s="69"/>
      <c r="Q212" s="69"/>
      <c r="R212" s="69"/>
      <c r="S212" s="69"/>
      <c r="T212" s="69"/>
      <c r="U212" s="69"/>
      <c r="V212" s="69"/>
      <c r="W212" s="69"/>
      <c r="X212" s="69"/>
      <c r="Y212" s="69"/>
      <c r="Z212" s="69"/>
      <c r="AA212" s="69"/>
      <c r="AB212" s="69"/>
      <c r="AC212" s="67">
        <v>65847.570000000007</v>
      </c>
    </row>
    <row r="213" spans="1:29" ht="12" customHeight="1">
      <c r="A213" s="620" t="s">
        <v>851</v>
      </c>
      <c r="B213" s="621" t="s">
        <v>158</v>
      </c>
      <c r="C213" s="622">
        <v>7900.54</v>
      </c>
      <c r="D213" s="68"/>
      <c r="E213" s="68"/>
      <c r="F213" s="68"/>
      <c r="G213" s="68"/>
      <c r="H213" s="70"/>
      <c r="I213" s="71"/>
      <c r="J213" s="64">
        <v>1</v>
      </c>
      <c r="K213" s="68"/>
      <c r="L213" s="68"/>
      <c r="M213" s="68"/>
      <c r="N213" s="68"/>
      <c r="O213" s="68"/>
      <c r="P213" s="68"/>
      <c r="Q213" s="68"/>
      <c r="R213" s="68"/>
      <c r="S213" s="68"/>
      <c r="T213" s="68"/>
      <c r="U213" s="68"/>
      <c r="V213" s="68"/>
      <c r="W213" s="68"/>
      <c r="X213" s="68"/>
      <c r="Y213" s="68"/>
      <c r="Z213" s="68"/>
      <c r="AA213" s="68"/>
      <c r="AB213" s="68"/>
      <c r="AC213" s="65">
        <v>1</v>
      </c>
    </row>
    <row r="214" spans="1:29" ht="12.95" customHeight="1">
      <c r="A214" s="620"/>
      <c r="B214" s="621"/>
      <c r="C214" s="622"/>
      <c r="D214" s="69"/>
      <c r="E214" s="69"/>
      <c r="F214" s="69"/>
      <c r="G214" s="69"/>
      <c r="H214" s="72"/>
      <c r="I214" s="73"/>
      <c r="J214" s="66">
        <v>7900.54</v>
      </c>
      <c r="K214" s="69"/>
      <c r="L214" s="69"/>
      <c r="M214" s="69"/>
      <c r="N214" s="69"/>
      <c r="O214" s="69"/>
      <c r="P214" s="69"/>
      <c r="Q214" s="69"/>
      <c r="R214" s="69"/>
      <c r="S214" s="69"/>
      <c r="T214" s="69"/>
      <c r="U214" s="69"/>
      <c r="V214" s="69"/>
      <c r="W214" s="69"/>
      <c r="X214" s="69"/>
      <c r="Y214" s="69"/>
      <c r="Z214" s="69"/>
      <c r="AA214" s="69"/>
      <c r="AB214" s="69"/>
      <c r="AC214" s="67">
        <v>7900.54</v>
      </c>
    </row>
    <row r="215" spans="1:29" ht="12" customHeight="1">
      <c r="A215" s="620" t="s">
        <v>857</v>
      </c>
      <c r="B215" s="621" t="s">
        <v>179</v>
      </c>
      <c r="C215" s="622">
        <v>1529.49</v>
      </c>
      <c r="D215" s="68"/>
      <c r="E215" s="68"/>
      <c r="F215" s="68"/>
      <c r="G215" s="68"/>
      <c r="H215" s="70"/>
      <c r="I215" s="71"/>
      <c r="J215" s="64">
        <v>1</v>
      </c>
      <c r="K215" s="68"/>
      <c r="L215" s="68"/>
      <c r="M215" s="68"/>
      <c r="N215" s="68"/>
      <c r="O215" s="68"/>
      <c r="P215" s="68"/>
      <c r="Q215" s="68"/>
      <c r="R215" s="68"/>
      <c r="S215" s="68"/>
      <c r="T215" s="68"/>
      <c r="U215" s="68"/>
      <c r="V215" s="68"/>
      <c r="W215" s="68"/>
      <c r="X215" s="68"/>
      <c r="Y215" s="68"/>
      <c r="Z215" s="68"/>
      <c r="AA215" s="68"/>
      <c r="AB215" s="68"/>
      <c r="AC215" s="65">
        <v>1</v>
      </c>
    </row>
    <row r="216" spans="1:29" ht="12.95" customHeight="1">
      <c r="A216" s="620"/>
      <c r="B216" s="621"/>
      <c r="C216" s="622"/>
      <c r="D216" s="69"/>
      <c r="E216" s="69"/>
      <c r="F216" s="69"/>
      <c r="G216" s="69"/>
      <c r="H216" s="72"/>
      <c r="I216" s="73"/>
      <c r="J216" s="66">
        <v>1529.49</v>
      </c>
      <c r="K216" s="69"/>
      <c r="L216" s="69"/>
      <c r="M216" s="69"/>
      <c r="N216" s="69"/>
      <c r="O216" s="69"/>
      <c r="P216" s="69"/>
      <c r="Q216" s="69"/>
      <c r="R216" s="69"/>
      <c r="S216" s="69"/>
      <c r="T216" s="69"/>
      <c r="U216" s="69"/>
      <c r="V216" s="69"/>
      <c r="W216" s="69"/>
      <c r="X216" s="69"/>
      <c r="Y216" s="69"/>
      <c r="Z216" s="69"/>
      <c r="AA216" s="69"/>
      <c r="AB216" s="69"/>
      <c r="AC216" s="67">
        <v>1529.49</v>
      </c>
    </row>
    <row r="217" spans="1:29" ht="12" customHeight="1">
      <c r="A217" s="620" t="s">
        <v>859</v>
      </c>
      <c r="B217" s="621" t="s">
        <v>185</v>
      </c>
      <c r="C217" s="622">
        <v>146987.99</v>
      </c>
      <c r="D217" s="68"/>
      <c r="E217" s="68"/>
      <c r="F217" s="68"/>
      <c r="G217" s="68"/>
      <c r="H217" s="623">
        <v>0.5</v>
      </c>
      <c r="I217" s="623"/>
      <c r="J217" s="64">
        <v>0.5</v>
      </c>
      <c r="K217" s="68"/>
      <c r="L217" s="68"/>
      <c r="M217" s="68"/>
      <c r="N217" s="68"/>
      <c r="O217" s="68"/>
      <c r="P217" s="68"/>
      <c r="Q217" s="68"/>
      <c r="R217" s="68"/>
      <c r="S217" s="68"/>
      <c r="T217" s="68"/>
      <c r="U217" s="68"/>
      <c r="V217" s="68"/>
      <c r="W217" s="68"/>
      <c r="X217" s="68"/>
      <c r="Y217" s="68"/>
      <c r="Z217" s="68"/>
      <c r="AA217" s="68"/>
      <c r="AB217" s="68"/>
      <c r="AC217" s="65">
        <v>1</v>
      </c>
    </row>
    <row r="218" spans="1:29" ht="12.95" customHeight="1">
      <c r="A218" s="620"/>
      <c r="B218" s="621"/>
      <c r="C218" s="622"/>
      <c r="D218" s="69"/>
      <c r="E218" s="69"/>
      <c r="F218" s="69"/>
      <c r="G218" s="69"/>
      <c r="H218" s="624">
        <v>73494</v>
      </c>
      <c r="I218" s="624"/>
      <c r="J218" s="66">
        <v>73493.990000000005</v>
      </c>
      <c r="K218" s="69"/>
      <c r="L218" s="69"/>
      <c r="M218" s="69"/>
      <c r="N218" s="69"/>
      <c r="O218" s="69"/>
      <c r="P218" s="69"/>
      <c r="Q218" s="69"/>
      <c r="R218" s="69"/>
      <c r="S218" s="69"/>
      <c r="T218" s="69"/>
      <c r="U218" s="69"/>
      <c r="V218" s="69"/>
      <c r="W218" s="69"/>
      <c r="X218" s="69"/>
      <c r="Y218" s="69"/>
      <c r="Z218" s="69"/>
      <c r="AA218" s="69"/>
      <c r="AB218" s="69"/>
      <c r="AC218" s="67">
        <v>146987.99</v>
      </c>
    </row>
    <row r="219" spans="1:29" ht="12" customHeight="1">
      <c r="A219" s="620" t="s">
        <v>869</v>
      </c>
      <c r="B219" s="621" t="s">
        <v>870</v>
      </c>
      <c r="C219" s="622">
        <v>3101802.75</v>
      </c>
      <c r="D219" s="68"/>
      <c r="E219" s="68"/>
      <c r="F219" s="68"/>
      <c r="G219" s="68"/>
      <c r="H219" s="70"/>
      <c r="I219" s="71"/>
      <c r="J219" s="68"/>
      <c r="K219" s="64">
        <v>6.7699999999999996E-2</v>
      </c>
      <c r="L219" s="64">
        <v>5.4800000000000001E-2</v>
      </c>
      <c r="M219" s="64">
        <v>6.9500000000000006E-2</v>
      </c>
      <c r="N219" s="64">
        <v>6.9500000000000006E-2</v>
      </c>
      <c r="O219" s="64">
        <v>8.4100000000000008E-2</v>
      </c>
      <c r="P219" s="64">
        <v>8.4100000000000008E-2</v>
      </c>
      <c r="Q219" s="64">
        <v>0.1125</v>
      </c>
      <c r="R219" s="64">
        <v>0.13970000000000002</v>
      </c>
      <c r="S219" s="64">
        <v>0.13970000000000002</v>
      </c>
      <c r="T219" s="64">
        <v>8.8599999999999998E-2</v>
      </c>
      <c r="U219" s="64">
        <v>6.1399999999999996E-2</v>
      </c>
      <c r="V219" s="64">
        <v>2.8399999999999998E-2</v>
      </c>
      <c r="W219" s="68"/>
      <c r="X219" s="68"/>
      <c r="Y219" s="68"/>
      <c r="Z219" s="68"/>
      <c r="AA219" s="68"/>
      <c r="AB219" s="68"/>
      <c r="AC219" s="65">
        <v>1</v>
      </c>
    </row>
    <row r="220" spans="1:29" ht="12.95" customHeight="1">
      <c r="A220" s="620"/>
      <c r="B220" s="621"/>
      <c r="C220" s="622"/>
      <c r="D220" s="69"/>
      <c r="E220" s="69"/>
      <c r="F220" s="69"/>
      <c r="G220" s="69"/>
      <c r="H220" s="72"/>
      <c r="I220" s="73"/>
      <c r="J220" s="69"/>
      <c r="K220" s="66">
        <v>209923.32</v>
      </c>
      <c r="L220" s="66">
        <v>169787.99</v>
      </c>
      <c r="M220" s="66">
        <v>215509.15</v>
      </c>
      <c r="N220" s="66">
        <v>215509.14</v>
      </c>
      <c r="O220" s="66">
        <v>260744.14</v>
      </c>
      <c r="P220" s="66">
        <v>260744.14</v>
      </c>
      <c r="Q220" s="66">
        <v>348958.18</v>
      </c>
      <c r="R220" s="66">
        <v>433302.83</v>
      </c>
      <c r="S220" s="66">
        <v>433302.83</v>
      </c>
      <c r="T220" s="66">
        <v>274878.36</v>
      </c>
      <c r="U220" s="66">
        <v>190533.7</v>
      </c>
      <c r="V220" s="66">
        <v>88608.97</v>
      </c>
      <c r="W220" s="69"/>
      <c r="X220" s="69"/>
      <c r="Y220" s="69"/>
      <c r="Z220" s="69"/>
      <c r="AA220" s="69"/>
      <c r="AB220" s="69"/>
      <c r="AC220" s="67">
        <v>3101802.75</v>
      </c>
    </row>
    <row r="221" spans="1:29" ht="12" customHeight="1">
      <c r="A221" s="620" t="s">
        <v>871</v>
      </c>
      <c r="B221" s="621" t="s">
        <v>15</v>
      </c>
      <c r="C221" s="622">
        <v>15189.96</v>
      </c>
      <c r="D221" s="68"/>
      <c r="E221" s="68"/>
      <c r="F221" s="68"/>
      <c r="G221" s="68"/>
      <c r="H221" s="70"/>
      <c r="I221" s="71"/>
      <c r="J221" s="68"/>
      <c r="K221" s="64">
        <v>1</v>
      </c>
      <c r="L221" s="68"/>
      <c r="M221" s="68"/>
      <c r="N221" s="68"/>
      <c r="O221" s="68"/>
      <c r="P221" s="68"/>
      <c r="Q221" s="68"/>
      <c r="R221" s="68"/>
      <c r="S221" s="68"/>
      <c r="T221" s="68"/>
      <c r="U221" s="68"/>
      <c r="V221" s="68"/>
      <c r="W221" s="68"/>
      <c r="X221" s="68"/>
      <c r="Y221" s="68"/>
      <c r="Z221" s="68"/>
      <c r="AA221" s="68"/>
      <c r="AB221" s="68"/>
      <c r="AC221" s="65">
        <v>1</v>
      </c>
    </row>
    <row r="222" spans="1:29" ht="12.95" customHeight="1">
      <c r="A222" s="620"/>
      <c r="B222" s="621"/>
      <c r="C222" s="622"/>
      <c r="D222" s="69"/>
      <c r="E222" s="69"/>
      <c r="F222" s="69"/>
      <c r="G222" s="69"/>
      <c r="H222" s="72"/>
      <c r="I222" s="73"/>
      <c r="J222" s="69"/>
      <c r="K222" s="66">
        <v>15189.96</v>
      </c>
      <c r="L222" s="69"/>
      <c r="M222" s="69"/>
      <c r="N222" s="69"/>
      <c r="O222" s="69"/>
      <c r="P222" s="69"/>
      <c r="Q222" s="69"/>
      <c r="R222" s="69"/>
      <c r="S222" s="69"/>
      <c r="T222" s="69"/>
      <c r="U222" s="69"/>
      <c r="V222" s="69"/>
      <c r="W222" s="69"/>
      <c r="X222" s="69"/>
      <c r="Y222" s="69"/>
      <c r="Z222" s="69"/>
      <c r="AA222" s="69"/>
      <c r="AB222" s="69"/>
      <c r="AC222" s="67">
        <v>15189.96</v>
      </c>
    </row>
    <row r="223" spans="1:29" ht="12" customHeight="1">
      <c r="A223" s="620" t="s">
        <v>874</v>
      </c>
      <c r="B223" s="621" t="s">
        <v>26</v>
      </c>
      <c r="C223" s="622">
        <v>106388.4</v>
      </c>
      <c r="D223" s="68"/>
      <c r="E223" s="68"/>
      <c r="F223" s="68"/>
      <c r="G223" s="68"/>
      <c r="H223" s="70"/>
      <c r="I223" s="71"/>
      <c r="J223" s="68"/>
      <c r="K223" s="64">
        <v>8.3299999999999999E-2</v>
      </c>
      <c r="L223" s="64">
        <v>8.3299999999999999E-2</v>
      </c>
      <c r="M223" s="64">
        <v>8.3299999999999999E-2</v>
      </c>
      <c r="N223" s="64">
        <v>8.3299999999999999E-2</v>
      </c>
      <c r="O223" s="64">
        <v>8.3299999999999999E-2</v>
      </c>
      <c r="P223" s="64">
        <v>8.3299999999999999E-2</v>
      </c>
      <c r="Q223" s="64">
        <v>8.3299999999999999E-2</v>
      </c>
      <c r="R223" s="64">
        <v>8.3299999999999999E-2</v>
      </c>
      <c r="S223" s="64">
        <v>8.3299999999999999E-2</v>
      </c>
      <c r="T223" s="64">
        <v>8.3299999999999999E-2</v>
      </c>
      <c r="U223" s="64">
        <v>8.3299999999999999E-2</v>
      </c>
      <c r="V223" s="64">
        <v>8.3699999999999997E-2</v>
      </c>
      <c r="W223" s="68"/>
      <c r="X223" s="68"/>
      <c r="Y223" s="68"/>
      <c r="Z223" s="68"/>
      <c r="AA223" s="68"/>
      <c r="AB223" s="68"/>
      <c r="AC223" s="65">
        <v>1</v>
      </c>
    </row>
    <row r="224" spans="1:29" ht="12.95" customHeight="1">
      <c r="A224" s="620"/>
      <c r="B224" s="621"/>
      <c r="C224" s="622"/>
      <c r="D224" s="69"/>
      <c r="E224" s="69"/>
      <c r="F224" s="69"/>
      <c r="G224" s="69"/>
      <c r="H224" s="72"/>
      <c r="I224" s="73"/>
      <c r="J224" s="69"/>
      <c r="K224" s="66">
        <v>8862.15</v>
      </c>
      <c r="L224" s="66">
        <v>8862.15</v>
      </c>
      <c r="M224" s="66">
        <v>8862.15</v>
      </c>
      <c r="N224" s="66">
        <v>8862.15</v>
      </c>
      <c r="O224" s="66">
        <v>8862.15</v>
      </c>
      <c r="P224" s="66">
        <v>8862.15</v>
      </c>
      <c r="Q224" s="66">
        <v>8862.15</v>
      </c>
      <c r="R224" s="66">
        <v>8862.15</v>
      </c>
      <c r="S224" s="66">
        <v>8862.15</v>
      </c>
      <c r="T224" s="66">
        <v>8862.15</v>
      </c>
      <c r="U224" s="66">
        <v>8862.15</v>
      </c>
      <c r="V224" s="66">
        <v>8904.75</v>
      </c>
      <c r="W224" s="69"/>
      <c r="X224" s="69"/>
      <c r="Y224" s="69"/>
      <c r="Z224" s="69"/>
      <c r="AA224" s="69"/>
      <c r="AB224" s="69"/>
      <c r="AC224" s="67">
        <v>106388.4</v>
      </c>
    </row>
    <row r="225" spans="1:29" ht="12" customHeight="1">
      <c r="A225" s="620" t="s">
        <v>877</v>
      </c>
      <c r="B225" s="621" t="s">
        <v>36</v>
      </c>
      <c r="C225" s="622">
        <v>5638.68</v>
      </c>
      <c r="D225" s="68"/>
      <c r="E225" s="68"/>
      <c r="F225" s="68"/>
      <c r="G225" s="68"/>
      <c r="H225" s="70"/>
      <c r="I225" s="71"/>
      <c r="J225" s="68"/>
      <c r="K225" s="64">
        <v>0.4</v>
      </c>
      <c r="L225" s="64">
        <v>0.6</v>
      </c>
      <c r="M225" s="68"/>
      <c r="N225" s="68"/>
      <c r="O225" s="68"/>
      <c r="P225" s="68"/>
      <c r="Q225" s="68"/>
      <c r="R225" s="68"/>
      <c r="S225" s="68"/>
      <c r="T225" s="68"/>
      <c r="U225" s="68"/>
      <c r="V225" s="68"/>
      <c r="W225" s="68"/>
      <c r="X225" s="68"/>
      <c r="Y225" s="68"/>
      <c r="Z225" s="68"/>
      <c r="AA225" s="68"/>
      <c r="AB225" s="68"/>
      <c r="AC225" s="65">
        <v>1</v>
      </c>
    </row>
    <row r="226" spans="1:29" ht="12.95" customHeight="1">
      <c r="A226" s="620"/>
      <c r="B226" s="621"/>
      <c r="C226" s="622"/>
      <c r="D226" s="69"/>
      <c r="E226" s="69"/>
      <c r="F226" s="69"/>
      <c r="G226" s="69"/>
      <c r="H226" s="72"/>
      <c r="I226" s="73"/>
      <c r="J226" s="69"/>
      <c r="K226" s="66">
        <v>2255.4699999999998</v>
      </c>
      <c r="L226" s="66">
        <v>3383.21</v>
      </c>
      <c r="M226" s="69"/>
      <c r="N226" s="69"/>
      <c r="O226" s="69"/>
      <c r="P226" s="69"/>
      <c r="Q226" s="69"/>
      <c r="R226" s="69"/>
      <c r="S226" s="69"/>
      <c r="T226" s="69"/>
      <c r="U226" s="69"/>
      <c r="V226" s="69"/>
      <c r="W226" s="69"/>
      <c r="X226" s="69"/>
      <c r="Y226" s="69"/>
      <c r="Z226" s="69"/>
      <c r="AA226" s="69"/>
      <c r="AB226" s="69"/>
      <c r="AC226" s="67">
        <v>5638.68</v>
      </c>
    </row>
    <row r="227" spans="1:29" ht="12" customHeight="1">
      <c r="A227" s="620" t="s">
        <v>882</v>
      </c>
      <c r="B227" s="621" t="s">
        <v>444</v>
      </c>
      <c r="C227" s="622">
        <v>260731.12</v>
      </c>
      <c r="D227" s="68"/>
      <c r="E227" s="68"/>
      <c r="F227" s="68"/>
      <c r="G227" s="68"/>
      <c r="H227" s="70"/>
      <c r="I227" s="71"/>
      <c r="J227" s="68"/>
      <c r="K227" s="64">
        <v>0.4</v>
      </c>
      <c r="L227" s="64">
        <v>0.3</v>
      </c>
      <c r="M227" s="64">
        <v>0.15</v>
      </c>
      <c r="N227" s="64">
        <v>0.15</v>
      </c>
      <c r="O227" s="68"/>
      <c r="P227" s="68"/>
      <c r="Q227" s="68"/>
      <c r="R227" s="68"/>
      <c r="S227" s="68"/>
      <c r="T227" s="68"/>
      <c r="U227" s="68"/>
      <c r="V227" s="68"/>
      <c r="W227" s="68"/>
      <c r="X227" s="68"/>
      <c r="Y227" s="68"/>
      <c r="Z227" s="68"/>
      <c r="AA227" s="68"/>
      <c r="AB227" s="68"/>
      <c r="AC227" s="65">
        <v>1</v>
      </c>
    </row>
    <row r="228" spans="1:29" ht="12.95" customHeight="1">
      <c r="A228" s="620"/>
      <c r="B228" s="621"/>
      <c r="C228" s="622"/>
      <c r="D228" s="69"/>
      <c r="E228" s="69"/>
      <c r="F228" s="69"/>
      <c r="G228" s="69"/>
      <c r="H228" s="72"/>
      <c r="I228" s="73"/>
      <c r="J228" s="69"/>
      <c r="K228" s="66">
        <v>104292.45</v>
      </c>
      <c r="L228" s="66">
        <v>78219.34</v>
      </c>
      <c r="M228" s="66">
        <v>39109.67</v>
      </c>
      <c r="N228" s="66">
        <v>39109.660000000003</v>
      </c>
      <c r="O228" s="69"/>
      <c r="P228" s="69"/>
      <c r="Q228" s="69"/>
      <c r="R228" s="69"/>
      <c r="S228" s="69"/>
      <c r="T228" s="69"/>
      <c r="U228" s="69"/>
      <c r="V228" s="69"/>
      <c r="W228" s="69"/>
      <c r="X228" s="69"/>
      <c r="Y228" s="69"/>
      <c r="Z228" s="69"/>
      <c r="AA228" s="69"/>
      <c r="AB228" s="69"/>
      <c r="AC228" s="67">
        <v>260731.12</v>
      </c>
    </row>
    <row r="229" spans="1:29" ht="12" customHeight="1">
      <c r="A229" s="620" t="s">
        <v>887</v>
      </c>
      <c r="B229" s="621" t="s">
        <v>11</v>
      </c>
      <c r="C229" s="622">
        <v>843446.56</v>
      </c>
      <c r="D229" s="68"/>
      <c r="E229" s="68"/>
      <c r="F229" s="68"/>
      <c r="G229" s="68"/>
      <c r="H229" s="70"/>
      <c r="I229" s="71"/>
      <c r="J229" s="68"/>
      <c r="K229" s="68"/>
      <c r="L229" s="68"/>
      <c r="M229" s="68"/>
      <c r="N229" s="68"/>
      <c r="O229" s="64">
        <v>0.1</v>
      </c>
      <c r="P229" s="64">
        <v>0.1</v>
      </c>
      <c r="Q229" s="64">
        <v>0.1</v>
      </c>
      <c r="R229" s="64">
        <v>0.2</v>
      </c>
      <c r="S229" s="64">
        <v>0.2</v>
      </c>
      <c r="T229" s="64">
        <v>0.2</v>
      </c>
      <c r="U229" s="64">
        <v>0.1</v>
      </c>
      <c r="V229" s="68"/>
      <c r="W229" s="68"/>
      <c r="X229" s="68"/>
      <c r="Y229" s="68"/>
      <c r="Z229" s="68"/>
      <c r="AA229" s="68"/>
      <c r="AB229" s="68"/>
      <c r="AC229" s="65">
        <v>1</v>
      </c>
    </row>
    <row r="230" spans="1:29" ht="12.95" customHeight="1">
      <c r="A230" s="620"/>
      <c r="B230" s="621"/>
      <c r="C230" s="622"/>
      <c r="D230" s="69"/>
      <c r="E230" s="69"/>
      <c r="F230" s="69"/>
      <c r="G230" s="69"/>
      <c r="H230" s="72"/>
      <c r="I230" s="73"/>
      <c r="J230" s="69"/>
      <c r="K230" s="69"/>
      <c r="L230" s="69"/>
      <c r="M230" s="69"/>
      <c r="N230" s="69"/>
      <c r="O230" s="66">
        <v>84344.66</v>
      </c>
      <c r="P230" s="66">
        <v>84344.66</v>
      </c>
      <c r="Q230" s="66">
        <v>84344.66</v>
      </c>
      <c r="R230" s="66">
        <v>168689.31</v>
      </c>
      <c r="S230" s="66">
        <v>168689.31</v>
      </c>
      <c r="T230" s="66">
        <v>168689.31</v>
      </c>
      <c r="U230" s="66">
        <v>84344.65</v>
      </c>
      <c r="V230" s="69"/>
      <c r="W230" s="69"/>
      <c r="X230" s="69"/>
      <c r="Y230" s="69"/>
      <c r="Z230" s="69"/>
      <c r="AA230" s="69"/>
      <c r="AB230" s="69"/>
      <c r="AC230" s="67">
        <v>843446.56</v>
      </c>
    </row>
    <row r="231" spans="1:29" ht="12" customHeight="1">
      <c r="A231" s="620" t="s">
        <v>904</v>
      </c>
      <c r="B231" s="621" t="s">
        <v>120</v>
      </c>
      <c r="C231" s="622">
        <v>882140.4</v>
      </c>
      <c r="D231" s="68"/>
      <c r="E231" s="68"/>
      <c r="F231" s="68"/>
      <c r="G231" s="68"/>
      <c r="H231" s="70"/>
      <c r="I231" s="71"/>
      <c r="J231" s="68"/>
      <c r="K231" s="68"/>
      <c r="L231" s="68"/>
      <c r="M231" s="64">
        <v>0.1</v>
      </c>
      <c r="N231" s="64">
        <v>0.1</v>
      </c>
      <c r="O231" s="64">
        <v>0.1</v>
      </c>
      <c r="P231" s="64">
        <v>0.1</v>
      </c>
      <c r="Q231" s="64">
        <v>0.2</v>
      </c>
      <c r="R231" s="64">
        <v>0.2</v>
      </c>
      <c r="S231" s="64">
        <v>0.2</v>
      </c>
      <c r="T231" s="68"/>
      <c r="U231" s="68"/>
      <c r="V231" s="68"/>
      <c r="W231" s="68"/>
      <c r="X231" s="68"/>
      <c r="Y231" s="68"/>
      <c r="Z231" s="68"/>
      <c r="AA231" s="68"/>
      <c r="AB231" s="68"/>
      <c r="AC231" s="65">
        <v>1</v>
      </c>
    </row>
    <row r="232" spans="1:29" ht="12.95" customHeight="1">
      <c r="A232" s="620"/>
      <c r="B232" s="621"/>
      <c r="C232" s="622"/>
      <c r="D232" s="69"/>
      <c r="E232" s="69"/>
      <c r="F232" s="69"/>
      <c r="G232" s="69"/>
      <c r="H232" s="72"/>
      <c r="I232" s="73"/>
      <c r="J232" s="69"/>
      <c r="K232" s="69"/>
      <c r="L232" s="69"/>
      <c r="M232" s="66">
        <v>88214.04</v>
      </c>
      <c r="N232" s="66">
        <v>88214.04</v>
      </c>
      <c r="O232" s="66">
        <v>88214.04</v>
      </c>
      <c r="P232" s="66">
        <v>88214.04</v>
      </c>
      <c r="Q232" s="66">
        <v>176428.08</v>
      </c>
      <c r="R232" s="66">
        <v>176428.08</v>
      </c>
      <c r="S232" s="66">
        <v>176428.08</v>
      </c>
      <c r="T232" s="69"/>
      <c r="U232" s="69"/>
      <c r="V232" s="69"/>
      <c r="W232" s="69"/>
      <c r="X232" s="69"/>
      <c r="Y232" s="69"/>
      <c r="Z232" s="69"/>
      <c r="AA232" s="69"/>
      <c r="AB232" s="69"/>
      <c r="AC232" s="67">
        <v>882140.4</v>
      </c>
    </row>
    <row r="233" spans="1:29" ht="12" customHeight="1">
      <c r="A233" s="620" t="s">
        <v>918</v>
      </c>
      <c r="B233" s="621" t="s">
        <v>158</v>
      </c>
      <c r="C233" s="622">
        <v>33471.279999999999</v>
      </c>
      <c r="D233" s="68"/>
      <c r="E233" s="68"/>
      <c r="F233" s="68"/>
      <c r="G233" s="68"/>
      <c r="H233" s="70"/>
      <c r="I233" s="71"/>
      <c r="J233" s="68"/>
      <c r="K233" s="68"/>
      <c r="L233" s="68"/>
      <c r="M233" s="68"/>
      <c r="N233" s="68"/>
      <c r="O233" s="68"/>
      <c r="P233" s="68"/>
      <c r="Q233" s="68"/>
      <c r="R233" s="68"/>
      <c r="S233" s="68"/>
      <c r="T233" s="64">
        <v>0.5</v>
      </c>
      <c r="U233" s="64">
        <v>0.5</v>
      </c>
      <c r="V233" s="68"/>
      <c r="W233" s="68"/>
      <c r="X233" s="68"/>
      <c r="Y233" s="68"/>
      <c r="Z233" s="68"/>
      <c r="AA233" s="68"/>
      <c r="AB233" s="68"/>
      <c r="AC233" s="65">
        <v>1</v>
      </c>
    </row>
    <row r="234" spans="1:29" ht="12.95" customHeight="1">
      <c r="A234" s="620"/>
      <c r="B234" s="621"/>
      <c r="C234" s="622"/>
      <c r="D234" s="69"/>
      <c r="E234" s="69"/>
      <c r="F234" s="69"/>
      <c r="G234" s="69"/>
      <c r="H234" s="72"/>
      <c r="I234" s="73"/>
      <c r="J234" s="69"/>
      <c r="K234" s="69"/>
      <c r="L234" s="69"/>
      <c r="M234" s="69"/>
      <c r="N234" s="69"/>
      <c r="O234" s="69"/>
      <c r="P234" s="69"/>
      <c r="Q234" s="69"/>
      <c r="R234" s="69"/>
      <c r="S234" s="69"/>
      <c r="T234" s="66">
        <v>16735.64</v>
      </c>
      <c r="U234" s="66">
        <v>16735.64</v>
      </c>
      <c r="V234" s="69"/>
      <c r="W234" s="69"/>
      <c r="X234" s="69"/>
      <c r="Y234" s="69"/>
      <c r="Z234" s="69"/>
      <c r="AA234" s="69"/>
      <c r="AB234" s="69"/>
      <c r="AC234" s="67">
        <v>33471.279999999999</v>
      </c>
    </row>
    <row r="235" spans="1:29" ht="12" customHeight="1">
      <c r="A235" s="620" t="s">
        <v>924</v>
      </c>
      <c r="B235" s="621" t="s">
        <v>179</v>
      </c>
      <c r="C235" s="622">
        <v>2535.94</v>
      </c>
      <c r="D235" s="68"/>
      <c r="E235" s="68"/>
      <c r="F235" s="68"/>
      <c r="G235" s="68"/>
      <c r="H235" s="70"/>
      <c r="I235" s="71"/>
      <c r="J235" s="68"/>
      <c r="K235" s="68"/>
      <c r="L235" s="68"/>
      <c r="M235" s="68"/>
      <c r="N235" s="68"/>
      <c r="O235" s="68"/>
      <c r="P235" s="68"/>
      <c r="Q235" s="68"/>
      <c r="R235" s="68"/>
      <c r="S235" s="68"/>
      <c r="T235" s="64">
        <v>0.5</v>
      </c>
      <c r="U235" s="64">
        <v>0.5</v>
      </c>
      <c r="V235" s="68"/>
      <c r="W235" s="68"/>
      <c r="X235" s="68"/>
      <c r="Y235" s="68"/>
      <c r="Z235" s="68"/>
      <c r="AA235" s="68"/>
      <c r="AB235" s="68"/>
      <c r="AC235" s="65">
        <v>1</v>
      </c>
    </row>
    <row r="236" spans="1:29" ht="12.95" customHeight="1">
      <c r="A236" s="620"/>
      <c r="B236" s="621"/>
      <c r="C236" s="622"/>
      <c r="D236" s="69"/>
      <c r="E236" s="69"/>
      <c r="F236" s="69"/>
      <c r="G236" s="69"/>
      <c r="H236" s="72"/>
      <c r="I236" s="73"/>
      <c r="J236" s="69"/>
      <c r="K236" s="69"/>
      <c r="L236" s="69"/>
      <c r="M236" s="69"/>
      <c r="N236" s="69"/>
      <c r="O236" s="69"/>
      <c r="P236" s="69"/>
      <c r="Q236" s="69"/>
      <c r="R236" s="69"/>
      <c r="S236" s="69"/>
      <c r="T236" s="66">
        <v>1267.97</v>
      </c>
      <c r="U236" s="66">
        <v>1267.97</v>
      </c>
      <c r="V236" s="69"/>
      <c r="W236" s="69"/>
      <c r="X236" s="69"/>
      <c r="Y236" s="69"/>
      <c r="Z236" s="69"/>
      <c r="AA236" s="69"/>
      <c r="AB236" s="69"/>
      <c r="AC236" s="67">
        <v>2535.94</v>
      </c>
    </row>
    <row r="237" spans="1:29" ht="12" customHeight="1">
      <c r="A237" s="620" t="s">
        <v>926</v>
      </c>
      <c r="B237" s="621" t="s">
        <v>185</v>
      </c>
      <c r="C237" s="622">
        <v>952260.41</v>
      </c>
      <c r="D237" s="68"/>
      <c r="E237" s="68"/>
      <c r="F237" s="68"/>
      <c r="G237" s="68"/>
      <c r="H237" s="70"/>
      <c r="I237" s="71"/>
      <c r="J237" s="68"/>
      <c r="K237" s="64">
        <v>8.3299999999999999E-2</v>
      </c>
      <c r="L237" s="64">
        <v>8.3299999999999999E-2</v>
      </c>
      <c r="M237" s="64">
        <v>8.3299999999999999E-2</v>
      </c>
      <c r="N237" s="64">
        <v>8.3299999999999999E-2</v>
      </c>
      <c r="O237" s="64">
        <v>8.3299999999999999E-2</v>
      </c>
      <c r="P237" s="64">
        <v>8.3299999999999999E-2</v>
      </c>
      <c r="Q237" s="64">
        <v>8.3299999999999999E-2</v>
      </c>
      <c r="R237" s="64">
        <v>8.3299999999999999E-2</v>
      </c>
      <c r="S237" s="64">
        <v>8.3299999999999999E-2</v>
      </c>
      <c r="T237" s="64">
        <v>8.3299999999999999E-2</v>
      </c>
      <c r="U237" s="64">
        <v>8.3299999999999999E-2</v>
      </c>
      <c r="V237" s="64">
        <v>8.3699999999999997E-2</v>
      </c>
      <c r="W237" s="68"/>
      <c r="X237" s="68"/>
      <c r="Y237" s="68"/>
      <c r="Z237" s="68"/>
      <c r="AA237" s="68"/>
      <c r="AB237" s="68"/>
      <c r="AC237" s="65">
        <v>1</v>
      </c>
    </row>
    <row r="238" spans="1:29" ht="12.95" customHeight="1">
      <c r="A238" s="620"/>
      <c r="B238" s="621"/>
      <c r="C238" s="622"/>
      <c r="D238" s="69"/>
      <c r="E238" s="69"/>
      <c r="F238" s="69"/>
      <c r="G238" s="69"/>
      <c r="H238" s="72"/>
      <c r="I238" s="73"/>
      <c r="J238" s="69"/>
      <c r="K238" s="66">
        <v>79323.289999999994</v>
      </c>
      <c r="L238" s="66">
        <v>79323.289999999994</v>
      </c>
      <c r="M238" s="66">
        <v>79323.289999999994</v>
      </c>
      <c r="N238" s="66">
        <v>79323.289999999994</v>
      </c>
      <c r="O238" s="66">
        <v>79323.289999999994</v>
      </c>
      <c r="P238" s="66">
        <v>79323.289999999994</v>
      </c>
      <c r="Q238" s="66">
        <v>79323.289999999994</v>
      </c>
      <c r="R238" s="66">
        <v>79323.289999999994</v>
      </c>
      <c r="S238" s="66">
        <v>79323.289999999994</v>
      </c>
      <c r="T238" s="66">
        <v>79323.289999999994</v>
      </c>
      <c r="U238" s="66">
        <v>79323.289999999994</v>
      </c>
      <c r="V238" s="66">
        <v>79704.22</v>
      </c>
      <c r="W238" s="69"/>
      <c r="X238" s="69"/>
      <c r="Y238" s="69"/>
      <c r="Z238" s="69"/>
      <c r="AA238" s="69"/>
      <c r="AB238" s="69"/>
      <c r="AC238" s="67">
        <v>952260.41</v>
      </c>
    </row>
    <row r="239" spans="1:29" ht="12" customHeight="1">
      <c r="A239" s="620" t="s">
        <v>936</v>
      </c>
      <c r="B239" s="621" t="s">
        <v>937</v>
      </c>
      <c r="C239" s="622">
        <v>3190412.9</v>
      </c>
      <c r="D239" s="68"/>
      <c r="E239" s="68"/>
      <c r="F239" s="68"/>
      <c r="G239" s="68"/>
      <c r="H239" s="70"/>
      <c r="I239" s="71"/>
      <c r="J239" s="68"/>
      <c r="K239" s="68"/>
      <c r="L239" s="68"/>
      <c r="M239" s="68"/>
      <c r="N239" s="68"/>
      <c r="O239" s="64">
        <v>7.7800000000000008E-2</v>
      </c>
      <c r="P239" s="64">
        <v>6.7699999999999996E-2</v>
      </c>
      <c r="Q239" s="64">
        <v>6.88E-2</v>
      </c>
      <c r="R239" s="64">
        <v>6.88E-2</v>
      </c>
      <c r="S239" s="64">
        <v>8.0299999999999996E-2</v>
      </c>
      <c r="T239" s="64">
        <v>8.0299999999999996E-2</v>
      </c>
      <c r="U239" s="64">
        <v>9.5299999999999996E-2</v>
      </c>
      <c r="V239" s="64">
        <v>7.400000000000001E-2</v>
      </c>
      <c r="W239" s="64">
        <v>0.1167</v>
      </c>
      <c r="X239" s="64">
        <v>8.6599999999999996E-2</v>
      </c>
      <c r="Y239" s="64">
        <v>0.1024</v>
      </c>
      <c r="Z239" s="64">
        <v>8.1300000000000011E-2</v>
      </c>
      <c r="AA239" s="68"/>
      <c r="AB239" s="68"/>
      <c r="AC239" s="65">
        <v>1</v>
      </c>
    </row>
    <row r="240" spans="1:29" ht="12.95" customHeight="1">
      <c r="A240" s="620"/>
      <c r="B240" s="621"/>
      <c r="C240" s="622"/>
      <c r="D240" s="69"/>
      <c r="E240" s="69"/>
      <c r="F240" s="69"/>
      <c r="G240" s="69"/>
      <c r="H240" s="72"/>
      <c r="I240" s="73"/>
      <c r="J240" s="69"/>
      <c r="K240" s="69"/>
      <c r="L240" s="69"/>
      <c r="M240" s="69"/>
      <c r="N240" s="69"/>
      <c r="O240" s="66">
        <v>248052.62</v>
      </c>
      <c r="P240" s="66">
        <v>216066.78</v>
      </c>
      <c r="Q240" s="66">
        <v>219572.66</v>
      </c>
      <c r="R240" s="66">
        <v>219572.66</v>
      </c>
      <c r="S240" s="66">
        <v>256121.76</v>
      </c>
      <c r="T240" s="66">
        <v>256121.76</v>
      </c>
      <c r="U240" s="66">
        <v>304213.89</v>
      </c>
      <c r="V240" s="66">
        <v>236006.83</v>
      </c>
      <c r="W240" s="66">
        <v>372420.95</v>
      </c>
      <c r="X240" s="66">
        <v>276236.7</v>
      </c>
      <c r="Y240" s="66">
        <v>326780.92</v>
      </c>
      <c r="Z240" s="66">
        <v>259245.37</v>
      </c>
      <c r="AA240" s="69"/>
      <c r="AB240" s="69"/>
      <c r="AC240" s="67">
        <v>3190412.9</v>
      </c>
    </row>
    <row r="241" spans="1:29" ht="12" customHeight="1">
      <c r="A241" s="620" t="s">
        <v>938</v>
      </c>
      <c r="B241" s="621" t="s">
        <v>15</v>
      </c>
      <c r="C241" s="622">
        <v>15189.96</v>
      </c>
      <c r="D241" s="68"/>
      <c r="E241" s="68"/>
      <c r="F241" s="68"/>
      <c r="G241" s="68"/>
      <c r="H241" s="70"/>
      <c r="I241" s="71"/>
      <c r="J241" s="68"/>
      <c r="K241" s="68"/>
      <c r="L241" s="68"/>
      <c r="M241" s="68"/>
      <c r="N241" s="68"/>
      <c r="O241" s="64">
        <v>1</v>
      </c>
      <c r="P241" s="68"/>
      <c r="Q241" s="68"/>
      <c r="R241" s="68"/>
      <c r="S241" s="68"/>
      <c r="T241" s="68"/>
      <c r="U241" s="68"/>
      <c r="V241" s="68"/>
      <c r="W241" s="68"/>
      <c r="X241" s="68"/>
      <c r="Y241" s="68"/>
      <c r="Z241" s="68"/>
      <c r="AA241" s="68"/>
      <c r="AB241" s="68"/>
      <c r="AC241" s="65">
        <v>1</v>
      </c>
    </row>
    <row r="242" spans="1:29" ht="12.95" customHeight="1">
      <c r="A242" s="620"/>
      <c r="B242" s="621"/>
      <c r="C242" s="622"/>
      <c r="D242" s="69"/>
      <c r="E242" s="69"/>
      <c r="F242" s="69"/>
      <c r="G242" s="69"/>
      <c r="H242" s="72"/>
      <c r="I242" s="73"/>
      <c r="J242" s="69"/>
      <c r="K242" s="69"/>
      <c r="L242" s="69"/>
      <c r="M242" s="69"/>
      <c r="N242" s="69"/>
      <c r="O242" s="66">
        <v>15189.96</v>
      </c>
      <c r="P242" s="69"/>
      <c r="Q242" s="69"/>
      <c r="R242" s="69"/>
      <c r="S242" s="69"/>
      <c r="T242" s="69"/>
      <c r="U242" s="69"/>
      <c r="V242" s="69"/>
      <c r="W242" s="69"/>
      <c r="X242" s="69"/>
      <c r="Y242" s="69"/>
      <c r="Z242" s="69"/>
      <c r="AA242" s="69"/>
      <c r="AB242" s="69"/>
      <c r="AC242" s="67">
        <v>15189.96</v>
      </c>
    </row>
    <row r="243" spans="1:29" ht="12" customHeight="1">
      <c r="A243" s="620" t="s">
        <v>941</v>
      </c>
      <c r="B243" s="621" t="s">
        <v>26</v>
      </c>
      <c r="C243" s="622">
        <v>106388.4</v>
      </c>
      <c r="D243" s="68"/>
      <c r="E243" s="68"/>
      <c r="F243" s="68"/>
      <c r="G243" s="68"/>
      <c r="H243" s="70"/>
      <c r="I243" s="71"/>
      <c r="J243" s="68"/>
      <c r="K243" s="68"/>
      <c r="L243" s="68"/>
      <c r="M243" s="68"/>
      <c r="N243" s="68"/>
      <c r="O243" s="64">
        <v>8.3299999999999999E-2</v>
      </c>
      <c r="P243" s="64">
        <v>8.3299999999999999E-2</v>
      </c>
      <c r="Q243" s="64">
        <v>8.3299999999999999E-2</v>
      </c>
      <c r="R243" s="64">
        <v>8.3299999999999999E-2</v>
      </c>
      <c r="S243" s="64">
        <v>8.3299999999999999E-2</v>
      </c>
      <c r="T243" s="64">
        <v>8.3299999999999999E-2</v>
      </c>
      <c r="U243" s="64">
        <v>8.3299999999999999E-2</v>
      </c>
      <c r="V243" s="64">
        <v>8.3299999999999999E-2</v>
      </c>
      <c r="W243" s="64">
        <v>8.3299999999999999E-2</v>
      </c>
      <c r="X243" s="64">
        <v>8.3299999999999999E-2</v>
      </c>
      <c r="Y243" s="64">
        <v>8.3299999999999999E-2</v>
      </c>
      <c r="Z243" s="64">
        <v>8.3699999999999997E-2</v>
      </c>
      <c r="AA243" s="68"/>
      <c r="AB243" s="68"/>
      <c r="AC243" s="65">
        <v>1</v>
      </c>
    </row>
    <row r="244" spans="1:29" ht="12.95" customHeight="1">
      <c r="A244" s="620"/>
      <c r="B244" s="621"/>
      <c r="C244" s="622"/>
      <c r="D244" s="69"/>
      <c r="E244" s="69"/>
      <c r="F244" s="69"/>
      <c r="G244" s="69"/>
      <c r="H244" s="72"/>
      <c r="I244" s="73"/>
      <c r="J244" s="69"/>
      <c r="K244" s="69"/>
      <c r="L244" s="69"/>
      <c r="M244" s="69"/>
      <c r="N244" s="69"/>
      <c r="O244" s="66">
        <v>8862.15</v>
      </c>
      <c r="P244" s="66">
        <v>8862.15</v>
      </c>
      <c r="Q244" s="66">
        <v>8862.15</v>
      </c>
      <c r="R244" s="66">
        <v>8862.15</v>
      </c>
      <c r="S244" s="66">
        <v>8862.15</v>
      </c>
      <c r="T244" s="66">
        <v>8862.15</v>
      </c>
      <c r="U244" s="66">
        <v>8862.15</v>
      </c>
      <c r="V244" s="66">
        <v>8862.15</v>
      </c>
      <c r="W244" s="66">
        <v>8862.15</v>
      </c>
      <c r="X244" s="66">
        <v>8862.15</v>
      </c>
      <c r="Y244" s="66">
        <v>8862.15</v>
      </c>
      <c r="Z244" s="66">
        <v>8904.75</v>
      </c>
      <c r="AA244" s="69"/>
      <c r="AB244" s="69"/>
      <c r="AC244" s="67">
        <v>106388.4</v>
      </c>
    </row>
    <row r="245" spans="1:29" ht="12" customHeight="1">
      <c r="A245" s="620" t="s">
        <v>944</v>
      </c>
      <c r="B245" s="621" t="s">
        <v>36</v>
      </c>
      <c r="C245" s="622">
        <v>21547.15</v>
      </c>
      <c r="D245" s="68"/>
      <c r="E245" s="68"/>
      <c r="F245" s="68"/>
      <c r="G245" s="68"/>
      <c r="H245" s="70"/>
      <c r="I245" s="71"/>
      <c r="J245" s="68"/>
      <c r="K245" s="68"/>
      <c r="L245" s="68"/>
      <c r="M245" s="68"/>
      <c r="N245" s="68"/>
      <c r="O245" s="64">
        <v>0.4</v>
      </c>
      <c r="P245" s="64">
        <v>0.6</v>
      </c>
      <c r="Q245" s="68"/>
      <c r="R245" s="68"/>
      <c r="S245" s="68"/>
      <c r="T245" s="68"/>
      <c r="U245" s="68"/>
      <c r="V245" s="68"/>
      <c r="W245" s="68"/>
      <c r="X245" s="68"/>
      <c r="Y245" s="68"/>
      <c r="Z245" s="68"/>
      <c r="AA245" s="68"/>
      <c r="AB245" s="68"/>
      <c r="AC245" s="65">
        <v>1</v>
      </c>
    </row>
    <row r="246" spans="1:29" ht="12.95" customHeight="1">
      <c r="A246" s="620"/>
      <c r="B246" s="621"/>
      <c r="C246" s="622"/>
      <c r="D246" s="69"/>
      <c r="E246" s="69"/>
      <c r="F246" s="69"/>
      <c r="G246" s="69"/>
      <c r="H246" s="72"/>
      <c r="I246" s="73"/>
      <c r="J246" s="69"/>
      <c r="K246" s="69"/>
      <c r="L246" s="69"/>
      <c r="M246" s="69"/>
      <c r="N246" s="69"/>
      <c r="O246" s="66">
        <v>8618.86</v>
      </c>
      <c r="P246" s="66">
        <v>12928.29</v>
      </c>
      <c r="Q246" s="69"/>
      <c r="R246" s="69"/>
      <c r="S246" s="69"/>
      <c r="T246" s="69"/>
      <c r="U246" s="69"/>
      <c r="V246" s="69"/>
      <c r="W246" s="69"/>
      <c r="X246" s="69"/>
      <c r="Y246" s="69"/>
      <c r="Z246" s="69"/>
      <c r="AA246" s="69"/>
      <c r="AB246" s="69"/>
      <c r="AC246" s="67">
        <v>21547.15</v>
      </c>
    </row>
    <row r="247" spans="1:29" ht="12" customHeight="1">
      <c r="A247" s="620" t="s">
        <v>949</v>
      </c>
      <c r="B247" s="621" t="s">
        <v>444</v>
      </c>
      <c r="C247" s="622">
        <v>211053.07</v>
      </c>
      <c r="D247" s="68"/>
      <c r="E247" s="68"/>
      <c r="F247" s="68"/>
      <c r="G247" s="68"/>
      <c r="H247" s="70"/>
      <c r="I247" s="71"/>
      <c r="J247" s="68"/>
      <c r="K247" s="68"/>
      <c r="L247" s="68"/>
      <c r="M247" s="68"/>
      <c r="N247" s="68"/>
      <c r="O247" s="64">
        <v>0.4</v>
      </c>
      <c r="P247" s="64">
        <v>0.3</v>
      </c>
      <c r="Q247" s="64">
        <v>0.15</v>
      </c>
      <c r="R247" s="64">
        <v>0.15</v>
      </c>
      <c r="S247" s="68"/>
      <c r="T247" s="68"/>
      <c r="U247" s="68"/>
      <c r="V247" s="68"/>
      <c r="W247" s="68"/>
      <c r="X247" s="68"/>
      <c r="Y247" s="68"/>
      <c r="Z247" s="68"/>
      <c r="AA247" s="68"/>
      <c r="AB247" s="68"/>
      <c r="AC247" s="65">
        <v>1</v>
      </c>
    </row>
    <row r="248" spans="1:29" ht="12.95" customHeight="1">
      <c r="A248" s="620"/>
      <c r="B248" s="621"/>
      <c r="C248" s="622"/>
      <c r="D248" s="69"/>
      <c r="E248" s="69"/>
      <c r="F248" s="69"/>
      <c r="G248" s="69"/>
      <c r="H248" s="72"/>
      <c r="I248" s="73"/>
      <c r="J248" s="69"/>
      <c r="K248" s="69"/>
      <c r="L248" s="69"/>
      <c r="M248" s="69"/>
      <c r="N248" s="69"/>
      <c r="O248" s="66">
        <v>84421.23</v>
      </c>
      <c r="P248" s="66">
        <v>63315.92</v>
      </c>
      <c r="Q248" s="66">
        <v>31657.96</v>
      </c>
      <c r="R248" s="66">
        <v>31657.96</v>
      </c>
      <c r="S248" s="69"/>
      <c r="T248" s="69"/>
      <c r="U248" s="69"/>
      <c r="V248" s="69"/>
      <c r="W248" s="69"/>
      <c r="X248" s="69"/>
      <c r="Y248" s="69"/>
      <c r="Z248" s="69"/>
      <c r="AA248" s="69"/>
      <c r="AB248" s="69"/>
      <c r="AC248" s="67">
        <v>211053.07</v>
      </c>
    </row>
    <row r="249" spans="1:29" ht="12" customHeight="1">
      <c r="A249" s="620" t="s">
        <v>954</v>
      </c>
      <c r="B249" s="621" t="s">
        <v>11</v>
      </c>
      <c r="C249" s="622">
        <v>682070.64</v>
      </c>
      <c r="D249" s="68"/>
      <c r="E249" s="68"/>
      <c r="F249" s="68"/>
      <c r="G249" s="68"/>
      <c r="H249" s="70"/>
      <c r="I249" s="71"/>
      <c r="J249" s="68"/>
      <c r="K249" s="68"/>
      <c r="L249" s="68"/>
      <c r="M249" s="68"/>
      <c r="N249" s="68"/>
      <c r="O249" s="68"/>
      <c r="P249" s="68"/>
      <c r="Q249" s="68"/>
      <c r="R249" s="68"/>
      <c r="S249" s="64">
        <v>0.1</v>
      </c>
      <c r="T249" s="64">
        <v>0.1</v>
      </c>
      <c r="U249" s="64">
        <v>0.1</v>
      </c>
      <c r="V249" s="68"/>
      <c r="W249" s="64">
        <v>0.2</v>
      </c>
      <c r="X249" s="64">
        <v>0.2</v>
      </c>
      <c r="Y249" s="64">
        <v>0.2</v>
      </c>
      <c r="Z249" s="64">
        <v>0.1</v>
      </c>
      <c r="AA249" s="68"/>
      <c r="AB249" s="68"/>
      <c r="AC249" s="65">
        <v>1</v>
      </c>
    </row>
    <row r="250" spans="1:29" ht="12.95" customHeight="1">
      <c r="A250" s="620"/>
      <c r="B250" s="621"/>
      <c r="C250" s="622"/>
      <c r="D250" s="69"/>
      <c r="E250" s="69"/>
      <c r="F250" s="69"/>
      <c r="G250" s="69"/>
      <c r="H250" s="72"/>
      <c r="I250" s="73"/>
      <c r="J250" s="69"/>
      <c r="K250" s="69"/>
      <c r="L250" s="69"/>
      <c r="M250" s="69"/>
      <c r="N250" s="69"/>
      <c r="O250" s="69"/>
      <c r="P250" s="69"/>
      <c r="Q250" s="69"/>
      <c r="R250" s="69"/>
      <c r="S250" s="66">
        <v>68207.06</v>
      </c>
      <c r="T250" s="66">
        <v>68207.06</v>
      </c>
      <c r="U250" s="66">
        <v>68207.06</v>
      </c>
      <c r="V250" s="69"/>
      <c r="W250" s="66">
        <v>136414.13</v>
      </c>
      <c r="X250" s="66">
        <v>136414.13</v>
      </c>
      <c r="Y250" s="66">
        <v>136414.13</v>
      </c>
      <c r="Z250" s="66">
        <v>68207.070000000007</v>
      </c>
      <c r="AA250" s="69"/>
      <c r="AB250" s="69"/>
      <c r="AC250" s="67">
        <v>682070.64</v>
      </c>
    </row>
    <row r="251" spans="1:29" ht="12" customHeight="1">
      <c r="A251" s="620" t="s">
        <v>980</v>
      </c>
      <c r="B251" s="621" t="s">
        <v>120</v>
      </c>
      <c r="C251" s="622">
        <v>480921.29</v>
      </c>
      <c r="D251" s="68"/>
      <c r="E251" s="68"/>
      <c r="F251" s="68"/>
      <c r="G251" s="68"/>
      <c r="H251" s="70"/>
      <c r="I251" s="71"/>
      <c r="J251" s="68"/>
      <c r="K251" s="68"/>
      <c r="L251" s="68"/>
      <c r="M251" s="68"/>
      <c r="N251" s="68"/>
      <c r="O251" s="68"/>
      <c r="P251" s="68"/>
      <c r="Q251" s="64">
        <v>0.1</v>
      </c>
      <c r="R251" s="64">
        <v>0.1</v>
      </c>
      <c r="S251" s="64">
        <v>0.1</v>
      </c>
      <c r="T251" s="64">
        <v>0.1</v>
      </c>
      <c r="U251" s="64">
        <v>0.2</v>
      </c>
      <c r="V251" s="64">
        <v>0.2</v>
      </c>
      <c r="W251" s="64">
        <v>0.2</v>
      </c>
      <c r="X251" s="68"/>
      <c r="Y251" s="68"/>
      <c r="Z251" s="68"/>
      <c r="AA251" s="68"/>
      <c r="AB251" s="68"/>
      <c r="AC251" s="65">
        <v>1</v>
      </c>
    </row>
    <row r="252" spans="1:29" ht="12.95" customHeight="1">
      <c r="A252" s="620"/>
      <c r="B252" s="621"/>
      <c r="C252" s="622"/>
      <c r="D252" s="69"/>
      <c r="E252" s="69"/>
      <c r="F252" s="69"/>
      <c r="G252" s="69"/>
      <c r="H252" s="72"/>
      <c r="I252" s="73"/>
      <c r="J252" s="69"/>
      <c r="K252" s="69"/>
      <c r="L252" s="69"/>
      <c r="M252" s="69"/>
      <c r="N252" s="69"/>
      <c r="O252" s="69"/>
      <c r="P252" s="69"/>
      <c r="Q252" s="66">
        <v>48092.13</v>
      </c>
      <c r="R252" s="66">
        <v>48092.13</v>
      </c>
      <c r="S252" s="66">
        <v>48092.13</v>
      </c>
      <c r="T252" s="66">
        <v>48092.13</v>
      </c>
      <c r="U252" s="66">
        <v>96184.26</v>
      </c>
      <c r="V252" s="66">
        <v>96184.26</v>
      </c>
      <c r="W252" s="66">
        <v>96184.25</v>
      </c>
      <c r="X252" s="69"/>
      <c r="Y252" s="69"/>
      <c r="Z252" s="69"/>
      <c r="AA252" s="69"/>
      <c r="AB252" s="69"/>
      <c r="AC252" s="67">
        <v>480921.29</v>
      </c>
    </row>
    <row r="253" spans="1:29" ht="12" customHeight="1">
      <c r="A253" s="620" t="s">
        <v>1001</v>
      </c>
      <c r="B253" s="621" t="s">
        <v>158</v>
      </c>
      <c r="C253" s="622">
        <v>49947.05</v>
      </c>
      <c r="D253" s="68"/>
      <c r="E253" s="68"/>
      <c r="F253" s="68"/>
      <c r="G253" s="68"/>
      <c r="H253" s="70"/>
      <c r="I253" s="71"/>
      <c r="J253" s="68"/>
      <c r="K253" s="68"/>
      <c r="L253" s="68"/>
      <c r="M253" s="68"/>
      <c r="N253" s="68"/>
      <c r="O253" s="68"/>
      <c r="P253" s="68"/>
      <c r="Q253" s="68"/>
      <c r="R253" s="68"/>
      <c r="S253" s="68"/>
      <c r="T253" s="68"/>
      <c r="U253" s="68"/>
      <c r="V253" s="68"/>
      <c r="W253" s="68"/>
      <c r="X253" s="68"/>
      <c r="Y253" s="64">
        <v>0.5</v>
      </c>
      <c r="Z253" s="64">
        <v>0.5</v>
      </c>
      <c r="AA253" s="68"/>
      <c r="AB253" s="68"/>
      <c r="AC253" s="65">
        <v>1</v>
      </c>
    </row>
    <row r="254" spans="1:29" ht="12.95" customHeight="1">
      <c r="A254" s="620"/>
      <c r="B254" s="621"/>
      <c r="C254" s="622"/>
      <c r="D254" s="69"/>
      <c r="E254" s="69"/>
      <c r="F254" s="69"/>
      <c r="G254" s="69"/>
      <c r="H254" s="72"/>
      <c r="I254" s="73"/>
      <c r="J254" s="69"/>
      <c r="K254" s="69"/>
      <c r="L254" s="69"/>
      <c r="M254" s="69"/>
      <c r="N254" s="69"/>
      <c r="O254" s="69"/>
      <c r="P254" s="69"/>
      <c r="Q254" s="69"/>
      <c r="R254" s="69"/>
      <c r="S254" s="69"/>
      <c r="T254" s="69"/>
      <c r="U254" s="69"/>
      <c r="V254" s="69"/>
      <c r="W254" s="69"/>
      <c r="X254" s="69"/>
      <c r="Y254" s="66">
        <v>24973.53</v>
      </c>
      <c r="Z254" s="66">
        <v>24973.52</v>
      </c>
      <c r="AA254" s="69"/>
      <c r="AB254" s="69"/>
      <c r="AC254" s="67">
        <v>49947.05</v>
      </c>
    </row>
    <row r="255" spans="1:29" ht="12" customHeight="1">
      <c r="A255" s="620" t="s">
        <v>1009</v>
      </c>
      <c r="B255" s="621" t="s">
        <v>179</v>
      </c>
      <c r="C255" s="622">
        <v>51141.38</v>
      </c>
      <c r="D255" s="68"/>
      <c r="E255" s="68"/>
      <c r="F255" s="68"/>
      <c r="G255" s="68"/>
      <c r="H255" s="70"/>
      <c r="I255" s="71"/>
      <c r="J255" s="68"/>
      <c r="K255" s="68"/>
      <c r="L255" s="68"/>
      <c r="M255" s="68"/>
      <c r="N255" s="68"/>
      <c r="O255" s="68"/>
      <c r="P255" s="68"/>
      <c r="Q255" s="68"/>
      <c r="R255" s="68"/>
      <c r="S255" s="68"/>
      <c r="T255" s="68"/>
      <c r="U255" s="68"/>
      <c r="V255" s="68"/>
      <c r="W255" s="68"/>
      <c r="X255" s="68"/>
      <c r="Y255" s="64">
        <v>0.5</v>
      </c>
      <c r="Z255" s="64">
        <v>0.5</v>
      </c>
      <c r="AA255" s="68"/>
      <c r="AB255" s="68"/>
      <c r="AC255" s="65">
        <v>1</v>
      </c>
    </row>
    <row r="256" spans="1:29" ht="12.95" customHeight="1">
      <c r="A256" s="620"/>
      <c r="B256" s="621"/>
      <c r="C256" s="622"/>
      <c r="D256" s="69"/>
      <c r="E256" s="69"/>
      <c r="F256" s="69"/>
      <c r="G256" s="69"/>
      <c r="H256" s="72"/>
      <c r="I256" s="73"/>
      <c r="J256" s="69"/>
      <c r="K256" s="69"/>
      <c r="L256" s="69"/>
      <c r="M256" s="69"/>
      <c r="N256" s="69"/>
      <c r="O256" s="69"/>
      <c r="P256" s="69"/>
      <c r="Q256" s="69"/>
      <c r="R256" s="69"/>
      <c r="S256" s="69"/>
      <c r="T256" s="69"/>
      <c r="U256" s="69"/>
      <c r="V256" s="69"/>
      <c r="W256" s="69"/>
      <c r="X256" s="69"/>
      <c r="Y256" s="66">
        <v>25570.69</v>
      </c>
      <c r="Z256" s="66">
        <v>25570.69</v>
      </c>
      <c r="AA256" s="69"/>
      <c r="AB256" s="69"/>
      <c r="AC256" s="67">
        <v>51141.38</v>
      </c>
    </row>
    <row r="257" spans="1:29" ht="12" customHeight="1">
      <c r="A257" s="620" t="s">
        <v>1011</v>
      </c>
      <c r="B257" s="621" t="s">
        <v>185</v>
      </c>
      <c r="C257" s="622">
        <v>1572153.96</v>
      </c>
      <c r="D257" s="68"/>
      <c r="E257" s="68"/>
      <c r="F257" s="68"/>
      <c r="G257" s="68"/>
      <c r="H257" s="70"/>
      <c r="I257" s="71"/>
      <c r="J257" s="68"/>
      <c r="K257" s="68"/>
      <c r="L257" s="68"/>
      <c r="M257" s="68"/>
      <c r="N257" s="68"/>
      <c r="O257" s="64">
        <v>8.3299999999999999E-2</v>
      </c>
      <c r="P257" s="64">
        <v>8.3299999999999999E-2</v>
      </c>
      <c r="Q257" s="64">
        <v>8.3299999999999999E-2</v>
      </c>
      <c r="R257" s="64">
        <v>8.3299999999999999E-2</v>
      </c>
      <c r="S257" s="64">
        <v>8.3299999999999999E-2</v>
      </c>
      <c r="T257" s="64">
        <v>8.3299999999999999E-2</v>
      </c>
      <c r="U257" s="64">
        <v>8.3299999999999999E-2</v>
      </c>
      <c r="V257" s="64">
        <v>8.3299999999999999E-2</v>
      </c>
      <c r="W257" s="64">
        <v>8.3299999999999999E-2</v>
      </c>
      <c r="X257" s="64">
        <v>8.3299999999999999E-2</v>
      </c>
      <c r="Y257" s="64">
        <v>8.3299999999999999E-2</v>
      </c>
      <c r="Z257" s="64">
        <v>8.3699999999999997E-2</v>
      </c>
      <c r="AA257" s="68"/>
      <c r="AB257" s="68"/>
      <c r="AC257" s="65">
        <v>1</v>
      </c>
    </row>
    <row r="258" spans="1:29" ht="12.95" customHeight="1">
      <c r="A258" s="620"/>
      <c r="B258" s="621"/>
      <c r="C258" s="622"/>
      <c r="D258" s="69"/>
      <c r="E258" s="69"/>
      <c r="F258" s="69"/>
      <c r="G258" s="69"/>
      <c r="H258" s="72"/>
      <c r="I258" s="73"/>
      <c r="J258" s="69"/>
      <c r="K258" s="69"/>
      <c r="L258" s="69"/>
      <c r="M258" s="69"/>
      <c r="N258" s="69"/>
      <c r="O258" s="66">
        <v>130960.42</v>
      </c>
      <c r="P258" s="66">
        <v>130960.42</v>
      </c>
      <c r="Q258" s="66">
        <v>130960.42</v>
      </c>
      <c r="R258" s="66">
        <v>130960.42</v>
      </c>
      <c r="S258" s="66">
        <v>130960.42</v>
      </c>
      <c r="T258" s="66">
        <v>130960.42</v>
      </c>
      <c r="U258" s="66">
        <v>130960.42</v>
      </c>
      <c r="V258" s="66">
        <v>130960.42</v>
      </c>
      <c r="W258" s="66">
        <v>130960.42</v>
      </c>
      <c r="X258" s="66">
        <v>130960.42</v>
      </c>
      <c r="Y258" s="66">
        <v>130960.42</v>
      </c>
      <c r="Z258" s="66">
        <v>131589.34</v>
      </c>
      <c r="AA258" s="69"/>
      <c r="AB258" s="69"/>
      <c r="AC258" s="67">
        <v>1572153.96</v>
      </c>
    </row>
    <row r="259" spans="1:29" ht="12" customHeight="1">
      <c r="A259" s="620" t="s">
        <v>1023</v>
      </c>
      <c r="B259" s="621" t="s">
        <v>1024</v>
      </c>
      <c r="C259" s="622">
        <v>590339.88</v>
      </c>
      <c r="D259" s="64">
        <v>0.26839999999999997</v>
      </c>
      <c r="E259" s="64">
        <v>0.37929999999999997</v>
      </c>
      <c r="F259" s="64">
        <v>0.35229999999999995</v>
      </c>
      <c r="G259" s="68"/>
      <c r="H259" s="70"/>
      <c r="I259" s="71"/>
      <c r="J259" s="68"/>
      <c r="K259" s="68"/>
      <c r="L259" s="68"/>
      <c r="M259" s="68"/>
      <c r="N259" s="68"/>
      <c r="O259" s="68"/>
      <c r="P259" s="68"/>
      <c r="Q259" s="68"/>
      <c r="R259" s="68"/>
      <c r="S259" s="68"/>
      <c r="T259" s="68"/>
      <c r="U259" s="68"/>
      <c r="V259" s="68"/>
      <c r="W259" s="68"/>
      <c r="X259" s="68"/>
      <c r="Y259" s="68"/>
      <c r="Z259" s="68"/>
      <c r="AA259" s="68"/>
      <c r="AB259" s="68"/>
      <c r="AC259" s="65">
        <v>1</v>
      </c>
    </row>
    <row r="260" spans="1:29" ht="12.95" customHeight="1">
      <c r="A260" s="620"/>
      <c r="B260" s="621"/>
      <c r="C260" s="622"/>
      <c r="D260" s="66">
        <v>159166.79999999999</v>
      </c>
      <c r="E260" s="66">
        <v>223391.43</v>
      </c>
      <c r="F260" s="66">
        <v>207781.65</v>
      </c>
      <c r="G260" s="69"/>
      <c r="H260" s="72"/>
      <c r="I260" s="73"/>
      <c r="J260" s="69"/>
      <c r="K260" s="69"/>
      <c r="L260" s="69"/>
      <c r="M260" s="69"/>
      <c r="N260" s="69"/>
      <c r="O260" s="69"/>
      <c r="P260" s="69"/>
      <c r="Q260" s="69"/>
      <c r="R260" s="69"/>
      <c r="S260" s="69"/>
      <c r="T260" s="69"/>
      <c r="U260" s="69"/>
      <c r="V260" s="69"/>
      <c r="W260" s="69"/>
      <c r="X260" s="69"/>
      <c r="Y260" s="69"/>
      <c r="Z260" s="69"/>
      <c r="AA260" s="69"/>
      <c r="AB260" s="69"/>
      <c r="AC260" s="67">
        <v>590339.88</v>
      </c>
    </row>
    <row r="261" spans="1:29" ht="12" customHeight="1">
      <c r="A261" s="620" t="s">
        <v>1025</v>
      </c>
      <c r="B261" s="621" t="s">
        <v>15</v>
      </c>
      <c r="C261" s="622">
        <v>7783.05</v>
      </c>
      <c r="D261" s="64">
        <v>1</v>
      </c>
      <c r="E261" s="68"/>
      <c r="F261" s="68"/>
      <c r="G261" s="68"/>
      <c r="H261" s="70"/>
      <c r="I261" s="71"/>
      <c r="J261" s="68"/>
      <c r="K261" s="68"/>
      <c r="L261" s="68"/>
      <c r="M261" s="68"/>
      <c r="N261" s="68"/>
      <c r="O261" s="68"/>
      <c r="P261" s="68"/>
      <c r="Q261" s="68"/>
      <c r="R261" s="68"/>
      <c r="S261" s="68"/>
      <c r="T261" s="68"/>
      <c r="U261" s="68"/>
      <c r="V261" s="68"/>
      <c r="W261" s="68"/>
      <c r="X261" s="68"/>
      <c r="Y261" s="68"/>
      <c r="Z261" s="68"/>
      <c r="AA261" s="68"/>
      <c r="AB261" s="68"/>
      <c r="AC261" s="65">
        <v>1</v>
      </c>
    </row>
    <row r="262" spans="1:29" ht="12.95" customHeight="1">
      <c r="A262" s="620"/>
      <c r="B262" s="621"/>
      <c r="C262" s="622"/>
      <c r="D262" s="66">
        <v>7783.05</v>
      </c>
      <c r="E262" s="69"/>
      <c r="F262" s="69"/>
      <c r="G262" s="69"/>
      <c r="H262" s="72"/>
      <c r="I262" s="73"/>
      <c r="J262" s="69"/>
      <c r="K262" s="69"/>
      <c r="L262" s="69"/>
      <c r="M262" s="69"/>
      <c r="N262" s="69"/>
      <c r="O262" s="69"/>
      <c r="P262" s="69"/>
      <c r="Q262" s="69"/>
      <c r="R262" s="69"/>
      <c r="S262" s="69"/>
      <c r="T262" s="69"/>
      <c r="U262" s="69"/>
      <c r="V262" s="69"/>
      <c r="W262" s="69"/>
      <c r="X262" s="69"/>
      <c r="Y262" s="69"/>
      <c r="Z262" s="69"/>
      <c r="AA262" s="69"/>
      <c r="AB262" s="69"/>
      <c r="AC262" s="67">
        <v>7783.05</v>
      </c>
    </row>
    <row r="263" spans="1:29" ht="12" customHeight="1">
      <c r="A263" s="620" t="s">
        <v>1028</v>
      </c>
      <c r="B263" s="621" t="s">
        <v>26</v>
      </c>
      <c r="C263" s="622">
        <v>26597.11</v>
      </c>
      <c r="D263" s="64">
        <v>0.33329999999999999</v>
      </c>
      <c r="E263" s="64">
        <v>0.33329999999999999</v>
      </c>
      <c r="F263" s="64">
        <v>0.33340000000000003</v>
      </c>
      <c r="G263" s="68"/>
      <c r="H263" s="70"/>
      <c r="I263" s="71"/>
      <c r="J263" s="68"/>
      <c r="K263" s="68"/>
      <c r="L263" s="68"/>
      <c r="M263" s="68"/>
      <c r="N263" s="68"/>
      <c r="O263" s="68"/>
      <c r="P263" s="68"/>
      <c r="Q263" s="68"/>
      <c r="R263" s="68"/>
      <c r="S263" s="68"/>
      <c r="T263" s="68"/>
      <c r="U263" s="68"/>
      <c r="V263" s="68"/>
      <c r="W263" s="68"/>
      <c r="X263" s="68"/>
      <c r="Y263" s="68"/>
      <c r="Z263" s="68"/>
      <c r="AA263" s="68"/>
      <c r="AB263" s="68"/>
      <c r="AC263" s="65">
        <v>1</v>
      </c>
    </row>
    <row r="264" spans="1:29" ht="12.95" customHeight="1">
      <c r="A264" s="620"/>
      <c r="B264" s="621"/>
      <c r="C264" s="622"/>
      <c r="D264" s="66">
        <v>8864.82</v>
      </c>
      <c r="E264" s="66">
        <v>8864.82</v>
      </c>
      <c r="F264" s="66">
        <v>8867.4699999999993</v>
      </c>
      <c r="G264" s="69"/>
      <c r="H264" s="72"/>
      <c r="I264" s="73"/>
      <c r="J264" s="69"/>
      <c r="K264" s="69"/>
      <c r="L264" s="69"/>
      <c r="M264" s="69"/>
      <c r="N264" s="69"/>
      <c r="O264" s="69"/>
      <c r="P264" s="69"/>
      <c r="Q264" s="69"/>
      <c r="R264" s="69"/>
      <c r="S264" s="69"/>
      <c r="T264" s="69"/>
      <c r="U264" s="69"/>
      <c r="V264" s="69"/>
      <c r="W264" s="69"/>
      <c r="X264" s="69"/>
      <c r="Y264" s="69"/>
      <c r="Z264" s="69"/>
      <c r="AA264" s="69"/>
      <c r="AB264" s="69"/>
      <c r="AC264" s="67">
        <v>26597.11</v>
      </c>
    </row>
    <row r="265" spans="1:29" ht="12" customHeight="1">
      <c r="A265" s="620" t="s">
        <v>1031</v>
      </c>
      <c r="B265" s="621" t="s">
        <v>36</v>
      </c>
      <c r="C265" s="622">
        <v>25285</v>
      </c>
      <c r="D265" s="64">
        <v>1</v>
      </c>
      <c r="E265" s="68"/>
      <c r="F265" s="68"/>
      <c r="G265" s="68"/>
      <c r="H265" s="70"/>
      <c r="I265" s="71"/>
      <c r="J265" s="68"/>
      <c r="K265" s="68"/>
      <c r="L265" s="68"/>
      <c r="M265" s="68"/>
      <c r="N265" s="68"/>
      <c r="O265" s="68"/>
      <c r="P265" s="68"/>
      <c r="Q265" s="68"/>
      <c r="R265" s="68"/>
      <c r="S265" s="68"/>
      <c r="T265" s="68"/>
      <c r="U265" s="68"/>
      <c r="V265" s="68"/>
      <c r="W265" s="68"/>
      <c r="X265" s="68"/>
      <c r="Y265" s="68"/>
      <c r="Z265" s="68"/>
      <c r="AA265" s="68"/>
      <c r="AB265" s="68"/>
      <c r="AC265" s="65">
        <v>1</v>
      </c>
    </row>
    <row r="266" spans="1:29" ht="12.95" customHeight="1">
      <c r="A266" s="620"/>
      <c r="B266" s="621"/>
      <c r="C266" s="622"/>
      <c r="D266" s="66">
        <v>25285</v>
      </c>
      <c r="E266" s="69"/>
      <c r="F266" s="69"/>
      <c r="G266" s="69"/>
      <c r="H266" s="72"/>
      <c r="I266" s="73"/>
      <c r="J266" s="69"/>
      <c r="K266" s="69"/>
      <c r="L266" s="69"/>
      <c r="M266" s="69"/>
      <c r="N266" s="69"/>
      <c r="O266" s="69"/>
      <c r="P266" s="69"/>
      <c r="Q266" s="69"/>
      <c r="R266" s="69"/>
      <c r="S266" s="69"/>
      <c r="T266" s="69"/>
      <c r="U266" s="69"/>
      <c r="V266" s="69"/>
      <c r="W266" s="69"/>
      <c r="X266" s="69"/>
      <c r="Y266" s="69"/>
      <c r="Z266" s="69"/>
      <c r="AA266" s="69"/>
      <c r="AB266" s="69"/>
      <c r="AC266" s="67">
        <v>25285</v>
      </c>
    </row>
    <row r="267" spans="1:29" ht="12" customHeight="1">
      <c r="A267" s="620" t="s">
        <v>1037</v>
      </c>
      <c r="B267" s="621" t="s">
        <v>444</v>
      </c>
      <c r="C267" s="622">
        <v>7482.46</v>
      </c>
      <c r="D267" s="64">
        <v>0.6</v>
      </c>
      <c r="E267" s="64">
        <v>0.4</v>
      </c>
      <c r="F267" s="68"/>
      <c r="G267" s="68"/>
      <c r="H267" s="70"/>
      <c r="I267" s="71"/>
      <c r="J267" s="68"/>
      <c r="K267" s="68"/>
      <c r="L267" s="68"/>
      <c r="M267" s="68"/>
      <c r="N267" s="68"/>
      <c r="O267" s="68"/>
      <c r="P267" s="68"/>
      <c r="Q267" s="68"/>
      <c r="R267" s="68"/>
      <c r="S267" s="68"/>
      <c r="T267" s="68"/>
      <c r="U267" s="68"/>
      <c r="V267" s="68"/>
      <c r="W267" s="68"/>
      <c r="X267" s="68"/>
      <c r="Y267" s="68"/>
      <c r="Z267" s="68"/>
      <c r="AA267" s="68"/>
      <c r="AB267" s="68"/>
      <c r="AC267" s="65">
        <v>1</v>
      </c>
    </row>
    <row r="268" spans="1:29" ht="12.95" customHeight="1">
      <c r="A268" s="620"/>
      <c r="B268" s="621"/>
      <c r="C268" s="622"/>
      <c r="D268" s="66">
        <v>4489.4799999999996</v>
      </c>
      <c r="E268" s="66">
        <v>2992.98</v>
      </c>
      <c r="F268" s="69"/>
      <c r="G268" s="69"/>
      <c r="H268" s="72"/>
      <c r="I268" s="73"/>
      <c r="J268" s="69"/>
      <c r="K268" s="69"/>
      <c r="L268" s="69"/>
      <c r="M268" s="69"/>
      <c r="N268" s="69"/>
      <c r="O268" s="69"/>
      <c r="P268" s="69"/>
      <c r="Q268" s="69"/>
      <c r="R268" s="69"/>
      <c r="S268" s="69"/>
      <c r="T268" s="69"/>
      <c r="U268" s="69"/>
      <c r="V268" s="69"/>
      <c r="W268" s="69"/>
      <c r="X268" s="69"/>
      <c r="Y268" s="69"/>
      <c r="Z268" s="69"/>
      <c r="AA268" s="69"/>
      <c r="AB268" s="69"/>
      <c r="AC268" s="67">
        <v>7482.46</v>
      </c>
    </row>
    <row r="269" spans="1:29" ht="12" customHeight="1">
      <c r="A269" s="620" t="s">
        <v>1041</v>
      </c>
      <c r="B269" s="621" t="s">
        <v>11</v>
      </c>
      <c r="C269" s="622">
        <v>164648.63</v>
      </c>
      <c r="D269" s="68"/>
      <c r="E269" s="64">
        <v>0.6</v>
      </c>
      <c r="F269" s="64">
        <v>0.4</v>
      </c>
      <c r="G269" s="68"/>
      <c r="H269" s="70"/>
      <c r="I269" s="71"/>
      <c r="J269" s="68"/>
      <c r="K269" s="68"/>
      <c r="L269" s="68"/>
      <c r="M269" s="68"/>
      <c r="N269" s="68"/>
      <c r="O269" s="68"/>
      <c r="P269" s="68"/>
      <c r="Q269" s="68"/>
      <c r="R269" s="68"/>
      <c r="S269" s="68"/>
      <c r="T269" s="68"/>
      <c r="U269" s="68"/>
      <c r="V269" s="68"/>
      <c r="W269" s="68"/>
      <c r="X269" s="68"/>
      <c r="Y269" s="68"/>
      <c r="Z269" s="68"/>
      <c r="AA269" s="68"/>
      <c r="AB269" s="68"/>
      <c r="AC269" s="65">
        <v>1</v>
      </c>
    </row>
    <row r="270" spans="1:29" ht="12.95" customHeight="1">
      <c r="A270" s="620"/>
      <c r="B270" s="621"/>
      <c r="C270" s="622"/>
      <c r="D270" s="69"/>
      <c r="E270" s="66">
        <v>98789.18</v>
      </c>
      <c r="F270" s="66">
        <v>65859.45</v>
      </c>
      <c r="G270" s="69"/>
      <c r="H270" s="72"/>
      <c r="I270" s="73"/>
      <c r="J270" s="69"/>
      <c r="K270" s="69"/>
      <c r="L270" s="69"/>
      <c r="M270" s="69"/>
      <c r="N270" s="69"/>
      <c r="O270" s="69"/>
      <c r="P270" s="69"/>
      <c r="Q270" s="69"/>
      <c r="R270" s="69"/>
      <c r="S270" s="69"/>
      <c r="T270" s="69"/>
      <c r="U270" s="69"/>
      <c r="V270" s="69"/>
      <c r="W270" s="69"/>
      <c r="X270" s="69"/>
      <c r="Y270" s="69"/>
      <c r="Z270" s="69"/>
      <c r="AA270" s="69"/>
      <c r="AB270" s="69"/>
      <c r="AC270" s="67">
        <v>164648.63</v>
      </c>
    </row>
    <row r="271" spans="1:29" ht="12" customHeight="1">
      <c r="A271" s="620" t="s">
        <v>1061</v>
      </c>
      <c r="B271" s="621" t="s">
        <v>158</v>
      </c>
      <c r="C271" s="622">
        <v>16776.330000000002</v>
      </c>
      <c r="D271" s="68"/>
      <c r="E271" s="68"/>
      <c r="F271" s="64">
        <v>1</v>
      </c>
      <c r="G271" s="68"/>
      <c r="H271" s="70"/>
      <c r="I271" s="71"/>
      <c r="J271" s="68"/>
      <c r="K271" s="68"/>
      <c r="L271" s="68"/>
      <c r="M271" s="68"/>
      <c r="N271" s="68"/>
      <c r="O271" s="68"/>
      <c r="P271" s="68"/>
      <c r="Q271" s="68"/>
      <c r="R271" s="68"/>
      <c r="S271" s="68"/>
      <c r="T271" s="68"/>
      <c r="U271" s="68"/>
      <c r="V271" s="68"/>
      <c r="W271" s="68"/>
      <c r="X271" s="68"/>
      <c r="Y271" s="68"/>
      <c r="Z271" s="68"/>
      <c r="AA271" s="68"/>
      <c r="AB271" s="68"/>
      <c r="AC271" s="65">
        <v>1</v>
      </c>
    </row>
    <row r="272" spans="1:29" ht="12.95" customHeight="1">
      <c r="A272" s="620"/>
      <c r="B272" s="621"/>
      <c r="C272" s="622"/>
      <c r="D272" s="69"/>
      <c r="E272" s="69"/>
      <c r="F272" s="66">
        <v>16776.330000000002</v>
      </c>
      <c r="G272" s="69"/>
      <c r="H272" s="72"/>
      <c r="I272" s="73"/>
      <c r="J272" s="69"/>
      <c r="K272" s="69"/>
      <c r="L272" s="69"/>
      <c r="M272" s="69"/>
      <c r="N272" s="69"/>
      <c r="O272" s="69"/>
      <c r="P272" s="69"/>
      <c r="Q272" s="69"/>
      <c r="R272" s="69"/>
      <c r="S272" s="69"/>
      <c r="T272" s="69"/>
      <c r="U272" s="69"/>
      <c r="V272" s="69"/>
      <c r="W272" s="69"/>
      <c r="X272" s="69"/>
      <c r="Y272" s="69"/>
      <c r="Z272" s="69"/>
      <c r="AA272" s="69"/>
      <c r="AB272" s="69"/>
      <c r="AC272" s="67">
        <v>16776.330000000002</v>
      </c>
    </row>
    <row r="273" spans="1:29" ht="12" customHeight="1">
      <c r="A273" s="620" t="s">
        <v>1068</v>
      </c>
      <c r="B273" s="621" t="s">
        <v>179</v>
      </c>
      <c r="C273" s="622">
        <v>3500.12</v>
      </c>
      <c r="D273" s="68"/>
      <c r="E273" s="68"/>
      <c r="F273" s="64">
        <v>1</v>
      </c>
      <c r="G273" s="68"/>
      <c r="H273" s="70"/>
      <c r="I273" s="71"/>
      <c r="J273" s="68"/>
      <c r="K273" s="68"/>
      <c r="L273" s="68"/>
      <c r="M273" s="68"/>
      <c r="N273" s="68"/>
      <c r="O273" s="68"/>
      <c r="P273" s="68"/>
      <c r="Q273" s="68"/>
      <c r="R273" s="68"/>
      <c r="S273" s="68"/>
      <c r="T273" s="68"/>
      <c r="U273" s="68"/>
      <c r="V273" s="68"/>
      <c r="W273" s="68"/>
      <c r="X273" s="68"/>
      <c r="Y273" s="68"/>
      <c r="Z273" s="68"/>
      <c r="AA273" s="68"/>
      <c r="AB273" s="68"/>
      <c r="AC273" s="65">
        <v>1</v>
      </c>
    </row>
    <row r="274" spans="1:29" ht="12.95" customHeight="1">
      <c r="A274" s="620"/>
      <c r="B274" s="621"/>
      <c r="C274" s="622"/>
      <c r="D274" s="69"/>
      <c r="E274" s="69"/>
      <c r="F274" s="66">
        <v>3500.12</v>
      </c>
      <c r="G274" s="69"/>
      <c r="H274" s="72"/>
      <c r="I274" s="73"/>
      <c r="J274" s="69"/>
      <c r="K274" s="69"/>
      <c r="L274" s="69"/>
      <c r="M274" s="69"/>
      <c r="N274" s="69"/>
      <c r="O274" s="69"/>
      <c r="P274" s="69"/>
      <c r="Q274" s="69"/>
      <c r="R274" s="69"/>
      <c r="S274" s="69"/>
      <c r="T274" s="69"/>
      <c r="U274" s="69"/>
      <c r="V274" s="69"/>
      <c r="W274" s="69"/>
      <c r="X274" s="69"/>
      <c r="Y274" s="69"/>
      <c r="Z274" s="69"/>
      <c r="AA274" s="69"/>
      <c r="AB274" s="69"/>
      <c r="AC274" s="67">
        <v>3500.12</v>
      </c>
    </row>
    <row r="275" spans="1:29" ht="12" customHeight="1">
      <c r="A275" s="620" t="s">
        <v>1070</v>
      </c>
      <c r="B275" s="621" t="s">
        <v>185</v>
      </c>
      <c r="C275" s="622">
        <v>338267.18</v>
      </c>
      <c r="D275" s="64">
        <v>0.33329999999999999</v>
      </c>
      <c r="E275" s="64">
        <v>0.33329999999999999</v>
      </c>
      <c r="F275" s="64">
        <v>0.33340000000000003</v>
      </c>
      <c r="G275" s="68"/>
      <c r="H275" s="70"/>
      <c r="I275" s="71"/>
      <c r="J275" s="68"/>
      <c r="K275" s="68"/>
      <c r="L275" s="68"/>
      <c r="M275" s="68"/>
      <c r="N275" s="68"/>
      <c r="O275" s="68"/>
      <c r="P275" s="68"/>
      <c r="Q275" s="68"/>
      <c r="R275" s="68"/>
      <c r="S275" s="68"/>
      <c r="T275" s="68"/>
      <c r="U275" s="68"/>
      <c r="V275" s="68"/>
      <c r="W275" s="68"/>
      <c r="X275" s="68"/>
      <c r="Y275" s="68"/>
      <c r="Z275" s="68"/>
      <c r="AA275" s="68"/>
      <c r="AB275" s="68"/>
      <c r="AC275" s="65">
        <v>1</v>
      </c>
    </row>
    <row r="276" spans="1:29" ht="12.95" customHeight="1">
      <c r="A276" s="620"/>
      <c r="B276" s="621"/>
      <c r="C276" s="622"/>
      <c r="D276" s="66">
        <v>112744.45</v>
      </c>
      <c r="E276" s="66">
        <v>112744.45</v>
      </c>
      <c r="F276" s="66">
        <v>112778.28</v>
      </c>
      <c r="G276" s="69"/>
      <c r="H276" s="72"/>
      <c r="I276" s="73"/>
      <c r="J276" s="69"/>
      <c r="K276" s="69"/>
      <c r="L276" s="69"/>
      <c r="M276" s="69"/>
      <c r="N276" s="69"/>
      <c r="O276" s="69"/>
      <c r="P276" s="69"/>
      <c r="Q276" s="69"/>
      <c r="R276" s="69"/>
      <c r="S276" s="69"/>
      <c r="T276" s="69"/>
      <c r="U276" s="69"/>
      <c r="V276" s="69"/>
      <c r="W276" s="69"/>
      <c r="X276" s="69"/>
      <c r="Y276" s="69"/>
      <c r="Z276" s="69"/>
      <c r="AA276" s="69"/>
      <c r="AB276" s="69"/>
      <c r="AC276" s="67">
        <v>338267.18</v>
      </c>
    </row>
    <row r="277" spans="1:29" ht="12" customHeight="1">
      <c r="A277" s="620" t="s">
        <v>1079</v>
      </c>
      <c r="B277" s="621" t="s">
        <v>1080</v>
      </c>
      <c r="C277" s="622">
        <v>1933447.72</v>
      </c>
      <c r="D277" s="68"/>
      <c r="E277" s="68"/>
      <c r="F277" s="68"/>
      <c r="G277" s="68"/>
      <c r="H277" s="70"/>
      <c r="I277" s="71"/>
      <c r="J277" s="68"/>
      <c r="K277" s="68"/>
      <c r="L277" s="68"/>
      <c r="M277" s="68"/>
      <c r="N277" s="68"/>
      <c r="O277" s="68"/>
      <c r="P277" s="68"/>
      <c r="Q277" s="68"/>
      <c r="R277" s="68"/>
      <c r="S277" s="64">
        <v>0.11109999999999999</v>
      </c>
      <c r="T277" s="64">
        <v>0.12990000000000002</v>
      </c>
      <c r="U277" s="64">
        <v>0.1333</v>
      </c>
      <c r="V277" s="64">
        <v>8.8100000000000012E-2</v>
      </c>
      <c r="W277" s="64">
        <v>0.10890000000000001</v>
      </c>
      <c r="X277" s="64">
        <v>0.10890000000000001</v>
      </c>
      <c r="Y277" s="64">
        <v>0.10890000000000001</v>
      </c>
      <c r="Z277" s="64">
        <v>7.3800000000000004E-2</v>
      </c>
      <c r="AA277" s="64">
        <v>8.5699999999999998E-2</v>
      </c>
      <c r="AB277" s="64">
        <v>5.1399999999999994E-2</v>
      </c>
      <c r="AC277" s="65">
        <v>1</v>
      </c>
    </row>
    <row r="278" spans="1:29" ht="12.95" customHeight="1">
      <c r="A278" s="620"/>
      <c r="B278" s="621"/>
      <c r="C278" s="622"/>
      <c r="D278" s="69"/>
      <c r="E278" s="69"/>
      <c r="F278" s="69"/>
      <c r="G278" s="69"/>
      <c r="H278" s="72"/>
      <c r="I278" s="73"/>
      <c r="J278" s="69"/>
      <c r="K278" s="69"/>
      <c r="L278" s="69"/>
      <c r="M278" s="69"/>
      <c r="N278" s="69"/>
      <c r="O278" s="69"/>
      <c r="P278" s="69"/>
      <c r="Q278" s="69"/>
      <c r="R278" s="69"/>
      <c r="S278" s="66">
        <v>197940.03</v>
      </c>
      <c r="T278" s="66">
        <v>230850.03</v>
      </c>
      <c r="U278" s="66">
        <v>236654.21</v>
      </c>
      <c r="V278" s="66">
        <v>157609.78</v>
      </c>
      <c r="W278" s="66">
        <v>223748.99</v>
      </c>
      <c r="X278" s="66">
        <v>223748.99</v>
      </c>
      <c r="Y278" s="66">
        <v>223749.01</v>
      </c>
      <c r="Z278" s="66">
        <v>162411.1</v>
      </c>
      <c r="AA278" s="66">
        <v>183192.75</v>
      </c>
      <c r="AB278" s="66">
        <v>93542.83</v>
      </c>
      <c r="AC278" s="67">
        <v>1933447.72</v>
      </c>
    </row>
    <row r="279" spans="1:29" ht="12" customHeight="1">
      <c r="A279" s="620" t="s">
        <v>1081</v>
      </c>
      <c r="B279" s="621" t="s">
        <v>15</v>
      </c>
      <c r="C279" s="622">
        <v>13543.98</v>
      </c>
      <c r="D279" s="68"/>
      <c r="E279" s="68"/>
      <c r="F279" s="68"/>
      <c r="G279" s="68"/>
      <c r="H279" s="70"/>
      <c r="I279" s="71"/>
      <c r="J279" s="68"/>
      <c r="K279" s="68"/>
      <c r="L279" s="68"/>
      <c r="M279" s="68"/>
      <c r="N279" s="68"/>
      <c r="O279" s="68"/>
      <c r="P279" s="68"/>
      <c r="Q279" s="68"/>
      <c r="R279" s="68"/>
      <c r="S279" s="64">
        <v>1</v>
      </c>
      <c r="T279" s="68"/>
      <c r="U279" s="68"/>
      <c r="V279" s="68"/>
      <c r="W279" s="68"/>
      <c r="X279" s="68"/>
      <c r="Y279" s="68"/>
      <c r="Z279" s="68"/>
      <c r="AA279" s="68"/>
      <c r="AB279" s="68"/>
      <c r="AC279" s="65">
        <v>1</v>
      </c>
    </row>
    <row r="280" spans="1:29" ht="12.95" customHeight="1">
      <c r="A280" s="620"/>
      <c r="B280" s="621"/>
      <c r="C280" s="622"/>
      <c r="D280" s="69"/>
      <c r="E280" s="69"/>
      <c r="F280" s="69"/>
      <c r="G280" s="69"/>
      <c r="H280" s="72"/>
      <c r="I280" s="73"/>
      <c r="J280" s="69"/>
      <c r="K280" s="69"/>
      <c r="L280" s="69"/>
      <c r="M280" s="69"/>
      <c r="N280" s="69"/>
      <c r="O280" s="69"/>
      <c r="P280" s="69"/>
      <c r="Q280" s="69"/>
      <c r="R280" s="69"/>
      <c r="S280" s="66">
        <v>13543.98</v>
      </c>
      <c r="T280" s="69"/>
      <c r="U280" s="69"/>
      <c r="V280" s="69"/>
      <c r="W280" s="69"/>
      <c r="X280" s="69"/>
      <c r="Y280" s="69"/>
      <c r="Z280" s="69"/>
      <c r="AA280" s="69"/>
      <c r="AB280" s="69"/>
      <c r="AC280" s="67">
        <v>13543.98</v>
      </c>
    </row>
    <row r="281" spans="1:29" ht="12" customHeight="1">
      <c r="A281" s="620" t="s">
        <v>1084</v>
      </c>
      <c r="B281" s="621" t="s">
        <v>26</v>
      </c>
      <c r="C281" s="622">
        <v>63939.18</v>
      </c>
      <c r="D281" s="68"/>
      <c r="E281" s="68"/>
      <c r="F281" s="68"/>
      <c r="G281" s="68"/>
      <c r="H281" s="70"/>
      <c r="I281" s="71"/>
      <c r="J281" s="68"/>
      <c r="K281" s="68"/>
      <c r="L281" s="68"/>
      <c r="M281" s="68"/>
      <c r="N281" s="68"/>
      <c r="O281" s="68"/>
      <c r="P281" s="68"/>
      <c r="Q281" s="68"/>
      <c r="R281" s="68"/>
      <c r="S281" s="64">
        <v>0.1</v>
      </c>
      <c r="T281" s="64">
        <v>0.1</v>
      </c>
      <c r="U281" s="64">
        <v>0.1</v>
      </c>
      <c r="V281" s="64">
        <v>0.1</v>
      </c>
      <c r="W281" s="64">
        <v>0.1</v>
      </c>
      <c r="X281" s="64">
        <v>0.1</v>
      </c>
      <c r="Y281" s="64">
        <v>0.1</v>
      </c>
      <c r="Z281" s="64">
        <v>0.1</v>
      </c>
      <c r="AA281" s="64">
        <v>0.1</v>
      </c>
      <c r="AB281" s="64">
        <v>0.1</v>
      </c>
      <c r="AC281" s="65">
        <v>1</v>
      </c>
    </row>
    <row r="282" spans="1:29" ht="12.95" customHeight="1">
      <c r="A282" s="620"/>
      <c r="B282" s="621"/>
      <c r="C282" s="622"/>
      <c r="D282" s="69"/>
      <c r="E282" s="69"/>
      <c r="F282" s="69"/>
      <c r="G282" s="69"/>
      <c r="H282" s="72"/>
      <c r="I282" s="73"/>
      <c r="J282" s="69"/>
      <c r="K282" s="69"/>
      <c r="L282" s="69"/>
      <c r="M282" s="69"/>
      <c r="N282" s="69"/>
      <c r="O282" s="69"/>
      <c r="P282" s="69"/>
      <c r="Q282" s="69"/>
      <c r="R282" s="69"/>
      <c r="S282" s="66">
        <v>6393.92</v>
      </c>
      <c r="T282" s="66">
        <v>6393.92</v>
      </c>
      <c r="U282" s="66">
        <v>6393.92</v>
      </c>
      <c r="V282" s="66">
        <v>6393.92</v>
      </c>
      <c r="W282" s="66">
        <v>6393.92</v>
      </c>
      <c r="X282" s="66">
        <v>6393.92</v>
      </c>
      <c r="Y282" s="66">
        <v>6393.92</v>
      </c>
      <c r="Z282" s="66">
        <v>6393.92</v>
      </c>
      <c r="AA282" s="66">
        <v>6393.92</v>
      </c>
      <c r="AB282" s="66">
        <v>6393.9</v>
      </c>
      <c r="AC282" s="67">
        <v>63939.18</v>
      </c>
    </row>
    <row r="283" spans="1:29" ht="12" customHeight="1">
      <c r="A283" s="620" t="s">
        <v>1087</v>
      </c>
      <c r="B283" s="621" t="s">
        <v>36</v>
      </c>
      <c r="C283" s="622">
        <v>567.41999999999996</v>
      </c>
      <c r="D283" s="68"/>
      <c r="E283" s="68"/>
      <c r="F283" s="68"/>
      <c r="G283" s="68"/>
      <c r="H283" s="70"/>
      <c r="I283" s="71"/>
      <c r="J283" s="68"/>
      <c r="K283" s="68"/>
      <c r="L283" s="68"/>
      <c r="M283" s="68"/>
      <c r="N283" s="68"/>
      <c r="O283" s="68"/>
      <c r="P283" s="68"/>
      <c r="Q283" s="68"/>
      <c r="R283" s="68"/>
      <c r="S283" s="64">
        <v>1</v>
      </c>
      <c r="T283" s="68"/>
      <c r="U283" s="68"/>
      <c r="V283" s="68"/>
      <c r="W283" s="68"/>
      <c r="X283" s="68"/>
      <c r="Y283" s="68"/>
      <c r="Z283" s="68"/>
      <c r="AA283" s="68"/>
      <c r="AB283" s="68"/>
      <c r="AC283" s="65">
        <v>1</v>
      </c>
    </row>
    <row r="284" spans="1:29" ht="12.95" customHeight="1">
      <c r="A284" s="620"/>
      <c r="B284" s="621"/>
      <c r="C284" s="622"/>
      <c r="D284" s="69"/>
      <c r="E284" s="69"/>
      <c r="F284" s="69"/>
      <c r="G284" s="69"/>
      <c r="H284" s="72"/>
      <c r="I284" s="73"/>
      <c r="J284" s="69"/>
      <c r="K284" s="69"/>
      <c r="L284" s="69"/>
      <c r="M284" s="69"/>
      <c r="N284" s="69"/>
      <c r="O284" s="69"/>
      <c r="P284" s="69"/>
      <c r="Q284" s="69"/>
      <c r="R284" s="69"/>
      <c r="S284" s="66">
        <v>567.41999999999996</v>
      </c>
      <c r="T284" s="69"/>
      <c r="U284" s="69"/>
      <c r="V284" s="69"/>
      <c r="W284" s="69"/>
      <c r="X284" s="69"/>
      <c r="Y284" s="69"/>
      <c r="Z284" s="69"/>
      <c r="AA284" s="69"/>
      <c r="AB284" s="69"/>
      <c r="AC284" s="67">
        <v>567.41999999999996</v>
      </c>
    </row>
    <row r="285" spans="1:29" ht="12" customHeight="1">
      <c r="A285" s="620" t="s">
        <v>1089</v>
      </c>
      <c r="B285" s="621" t="s">
        <v>444</v>
      </c>
      <c r="C285" s="622">
        <v>117553.49</v>
      </c>
      <c r="D285" s="68"/>
      <c r="E285" s="68"/>
      <c r="F285" s="68"/>
      <c r="G285" s="68"/>
      <c r="H285" s="70"/>
      <c r="I285" s="71"/>
      <c r="J285" s="68"/>
      <c r="K285" s="68"/>
      <c r="L285" s="68"/>
      <c r="M285" s="68"/>
      <c r="N285" s="68"/>
      <c r="O285" s="68"/>
      <c r="P285" s="68"/>
      <c r="Q285" s="68"/>
      <c r="R285" s="68"/>
      <c r="S285" s="68"/>
      <c r="T285" s="64">
        <v>0.4</v>
      </c>
      <c r="U285" s="64">
        <v>0.4</v>
      </c>
      <c r="V285" s="64">
        <v>0.2</v>
      </c>
      <c r="W285" s="68"/>
      <c r="X285" s="68"/>
      <c r="Y285" s="68"/>
      <c r="Z285" s="68"/>
      <c r="AA285" s="68"/>
      <c r="AB285" s="68"/>
      <c r="AC285" s="65">
        <v>1</v>
      </c>
    </row>
    <row r="286" spans="1:29" ht="12.95" customHeight="1">
      <c r="A286" s="620"/>
      <c r="B286" s="621"/>
      <c r="C286" s="622"/>
      <c r="D286" s="69"/>
      <c r="E286" s="69"/>
      <c r="F286" s="69"/>
      <c r="G286" s="69"/>
      <c r="H286" s="72"/>
      <c r="I286" s="73"/>
      <c r="J286" s="69"/>
      <c r="K286" s="69"/>
      <c r="L286" s="69"/>
      <c r="M286" s="69"/>
      <c r="N286" s="69"/>
      <c r="O286" s="69"/>
      <c r="P286" s="69"/>
      <c r="Q286" s="69"/>
      <c r="R286" s="69"/>
      <c r="S286" s="69"/>
      <c r="T286" s="66">
        <v>47021.4</v>
      </c>
      <c r="U286" s="66">
        <v>47021.4</v>
      </c>
      <c r="V286" s="66">
        <v>23510.69</v>
      </c>
      <c r="W286" s="69"/>
      <c r="X286" s="69"/>
      <c r="Y286" s="69"/>
      <c r="Z286" s="69"/>
      <c r="AA286" s="69"/>
      <c r="AB286" s="69"/>
      <c r="AC286" s="67">
        <v>117553.49</v>
      </c>
    </row>
    <row r="287" spans="1:29" ht="12" customHeight="1">
      <c r="A287" s="620" t="s">
        <v>1093</v>
      </c>
      <c r="B287" s="621" t="s">
        <v>11</v>
      </c>
      <c r="C287" s="622">
        <v>448249.48</v>
      </c>
      <c r="D287" s="68"/>
      <c r="E287" s="68"/>
      <c r="F287" s="68"/>
      <c r="G287" s="68"/>
      <c r="H287" s="70"/>
      <c r="I287" s="71"/>
      <c r="J287" s="68"/>
      <c r="K287" s="68"/>
      <c r="L287" s="68"/>
      <c r="M287" s="68"/>
      <c r="N287" s="68"/>
      <c r="O287" s="68"/>
      <c r="P287" s="68"/>
      <c r="Q287" s="68"/>
      <c r="R287" s="68"/>
      <c r="S287" s="68"/>
      <c r="T287" s="68"/>
      <c r="U287" s="68"/>
      <c r="V287" s="68"/>
      <c r="W287" s="64">
        <v>0.2</v>
      </c>
      <c r="X287" s="64">
        <v>0.2</v>
      </c>
      <c r="Y287" s="64">
        <v>0.2</v>
      </c>
      <c r="Z287" s="64">
        <v>0.2</v>
      </c>
      <c r="AA287" s="64">
        <v>0.2</v>
      </c>
      <c r="AB287" s="68"/>
      <c r="AC287" s="65">
        <v>1</v>
      </c>
    </row>
    <row r="288" spans="1:29" ht="12.95" customHeight="1">
      <c r="A288" s="620"/>
      <c r="B288" s="621"/>
      <c r="C288" s="622"/>
      <c r="D288" s="69"/>
      <c r="E288" s="69"/>
      <c r="F288" s="69"/>
      <c r="G288" s="69"/>
      <c r="H288" s="72"/>
      <c r="I288" s="73"/>
      <c r="J288" s="69"/>
      <c r="K288" s="69"/>
      <c r="L288" s="69"/>
      <c r="M288" s="69"/>
      <c r="N288" s="69"/>
      <c r="O288" s="69"/>
      <c r="P288" s="69"/>
      <c r="Q288" s="69"/>
      <c r="R288" s="69"/>
      <c r="S288" s="69"/>
      <c r="T288" s="69"/>
      <c r="U288" s="69"/>
      <c r="V288" s="69"/>
      <c r="W288" s="66">
        <v>89649.9</v>
      </c>
      <c r="X288" s="66">
        <v>89649.9</v>
      </c>
      <c r="Y288" s="66">
        <v>89649.9</v>
      </c>
      <c r="Z288" s="66">
        <v>89649.9</v>
      </c>
      <c r="AA288" s="66">
        <v>89649.88</v>
      </c>
      <c r="AB288" s="69"/>
      <c r="AC288" s="67">
        <v>448249.48</v>
      </c>
    </row>
    <row r="289" spans="1:29" ht="12" customHeight="1">
      <c r="A289" s="620" t="s">
        <v>1111</v>
      </c>
      <c r="B289" s="621" t="s">
        <v>1112</v>
      </c>
      <c r="C289" s="622">
        <v>277668.58</v>
      </c>
      <c r="D289" s="68"/>
      <c r="E289" s="68"/>
      <c r="F289" s="68"/>
      <c r="G289" s="68"/>
      <c r="H289" s="70"/>
      <c r="I289" s="71"/>
      <c r="J289" s="68"/>
      <c r="K289" s="68"/>
      <c r="L289" s="68"/>
      <c r="M289" s="68"/>
      <c r="N289" s="68"/>
      <c r="O289" s="68"/>
      <c r="P289" s="68"/>
      <c r="Q289" s="68"/>
      <c r="R289" s="68"/>
      <c r="S289" s="64">
        <v>0.4</v>
      </c>
      <c r="T289" s="64">
        <v>0.4</v>
      </c>
      <c r="U289" s="64">
        <v>0.2</v>
      </c>
      <c r="V289" s="68"/>
      <c r="W289" s="68"/>
      <c r="X289" s="68"/>
      <c r="Y289" s="68"/>
      <c r="Z289" s="68"/>
      <c r="AA289" s="68"/>
      <c r="AB289" s="68"/>
      <c r="AC289" s="65">
        <v>1</v>
      </c>
    </row>
    <row r="290" spans="1:29" ht="12.95" customHeight="1">
      <c r="A290" s="620"/>
      <c r="B290" s="621"/>
      <c r="C290" s="622"/>
      <c r="D290" s="69"/>
      <c r="E290" s="69"/>
      <c r="F290" s="69"/>
      <c r="G290" s="69"/>
      <c r="H290" s="72"/>
      <c r="I290" s="73"/>
      <c r="J290" s="69"/>
      <c r="K290" s="69"/>
      <c r="L290" s="69"/>
      <c r="M290" s="69"/>
      <c r="N290" s="69"/>
      <c r="O290" s="69"/>
      <c r="P290" s="69"/>
      <c r="Q290" s="69"/>
      <c r="R290" s="69"/>
      <c r="S290" s="66">
        <v>111067.43</v>
      </c>
      <c r="T290" s="66">
        <v>111067.43</v>
      </c>
      <c r="U290" s="66">
        <v>55533.72</v>
      </c>
      <c r="V290" s="69"/>
      <c r="W290" s="69"/>
      <c r="X290" s="69"/>
      <c r="Y290" s="69"/>
      <c r="Z290" s="69"/>
      <c r="AA290" s="69"/>
      <c r="AB290" s="69"/>
      <c r="AC290" s="67">
        <v>277668.58</v>
      </c>
    </row>
    <row r="291" spans="1:29" ht="12" customHeight="1">
      <c r="A291" s="620" t="s">
        <v>1125</v>
      </c>
      <c r="B291" s="621" t="s">
        <v>120</v>
      </c>
      <c r="C291" s="622">
        <v>306689.46999999997</v>
      </c>
      <c r="D291" s="68"/>
      <c r="E291" s="68"/>
      <c r="F291" s="68"/>
      <c r="G291" s="68"/>
      <c r="H291" s="70"/>
      <c r="I291" s="71"/>
      <c r="J291" s="68"/>
      <c r="K291" s="68"/>
      <c r="L291" s="68"/>
      <c r="M291" s="68"/>
      <c r="N291" s="68"/>
      <c r="O291" s="68"/>
      <c r="P291" s="68"/>
      <c r="Q291" s="68"/>
      <c r="R291" s="68"/>
      <c r="S291" s="68"/>
      <c r="T291" s="68"/>
      <c r="U291" s="64">
        <v>0.2</v>
      </c>
      <c r="V291" s="64">
        <v>0.2</v>
      </c>
      <c r="W291" s="64">
        <v>0.2</v>
      </c>
      <c r="X291" s="64">
        <v>0.2</v>
      </c>
      <c r="Y291" s="64">
        <v>0.2</v>
      </c>
      <c r="Z291" s="68"/>
      <c r="AA291" s="68"/>
      <c r="AB291" s="68"/>
      <c r="AC291" s="65">
        <v>1</v>
      </c>
    </row>
    <row r="292" spans="1:29" ht="12.95" customHeight="1">
      <c r="A292" s="620"/>
      <c r="B292" s="621"/>
      <c r="C292" s="622"/>
      <c r="D292" s="69"/>
      <c r="E292" s="69"/>
      <c r="F292" s="69"/>
      <c r="G292" s="69"/>
      <c r="H292" s="72"/>
      <c r="I292" s="73"/>
      <c r="J292" s="69"/>
      <c r="K292" s="69"/>
      <c r="L292" s="69"/>
      <c r="M292" s="69"/>
      <c r="N292" s="69"/>
      <c r="O292" s="69"/>
      <c r="P292" s="69"/>
      <c r="Q292" s="69"/>
      <c r="R292" s="69"/>
      <c r="S292" s="69"/>
      <c r="T292" s="69"/>
      <c r="U292" s="66">
        <v>61337.89</v>
      </c>
      <c r="V292" s="66">
        <v>61337.89</v>
      </c>
      <c r="W292" s="66">
        <v>61337.89</v>
      </c>
      <c r="X292" s="66">
        <v>61337.89</v>
      </c>
      <c r="Y292" s="66">
        <v>61337.91</v>
      </c>
      <c r="Z292" s="69"/>
      <c r="AA292" s="69"/>
      <c r="AB292" s="69"/>
      <c r="AC292" s="67">
        <v>306689.46999999997</v>
      </c>
    </row>
    <row r="293" spans="1:29" ht="12" customHeight="1">
      <c r="A293" s="620" t="s">
        <v>1145</v>
      </c>
      <c r="B293" s="621" t="s">
        <v>158</v>
      </c>
      <c r="C293" s="622">
        <v>31235.99</v>
      </c>
      <c r="D293" s="68"/>
      <c r="E293" s="68"/>
      <c r="F293" s="68"/>
      <c r="G293" s="68"/>
      <c r="H293" s="70"/>
      <c r="I293" s="71"/>
      <c r="J293" s="68"/>
      <c r="K293" s="68"/>
      <c r="L293" s="68"/>
      <c r="M293" s="68"/>
      <c r="N293" s="68"/>
      <c r="O293" s="68"/>
      <c r="P293" s="68"/>
      <c r="Q293" s="68"/>
      <c r="R293" s="68"/>
      <c r="S293" s="68"/>
      <c r="T293" s="68"/>
      <c r="U293" s="68"/>
      <c r="V293" s="68"/>
      <c r="W293" s="68"/>
      <c r="X293" s="68"/>
      <c r="Y293" s="68"/>
      <c r="Z293" s="68"/>
      <c r="AA293" s="64">
        <v>0.5</v>
      </c>
      <c r="AB293" s="64">
        <v>0.5</v>
      </c>
      <c r="AC293" s="65">
        <v>1</v>
      </c>
    </row>
    <row r="294" spans="1:29" ht="12.95" customHeight="1">
      <c r="A294" s="620"/>
      <c r="B294" s="621"/>
      <c r="C294" s="622"/>
      <c r="D294" s="69"/>
      <c r="E294" s="69"/>
      <c r="F294" s="69"/>
      <c r="G294" s="69"/>
      <c r="H294" s="72"/>
      <c r="I294" s="73"/>
      <c r="J294" s="69"/>
      <c r="K294" s="69"/>
      <c r="L294" s="69"/>
      <c r="M294" s="69"/>
      <c r="N294" s="69"/>
      <c r="O294" s="69"/>
      <c r="P294" s="69"/>
      <c r="Q294" s="69"/>
      <c r="R294" s="69"/>
      <c r="S294" s="69"/>
      <c r="T294" s="69"/>
      <c r="U294" s="69"/>
      <c r="V294" s="69"/>
      <c r="W294" s="69"/>
      <c r="X294" s="69"/>
      <c r="Y294" s="69"/>
      <c r="Z294" s="69"/>
      <c r="AA294" s="66">
        <v>15618</v>
      </c>
      <c r="AB294" s="66">
        <v>15617.99</v>
      </c>
      <c r="AC294" s="67">
        <v>31235.99</v>
      </c>
    </row>
    <row r="295" spans="1:29" ht="12" customHeight="1">
      <c r="A295" s="620" t="s">
        <v>1151</v>
      </c>
      <c r="B295" s="621" t="s">
        <v>179</v>
      </c>
      <c r="C295" s="622">
        <v>10327.34</v>
      </c>
      <c r="D295" s="68"/>
      <c r="E295" s="68"/>
      <c r="F295" s="68"/>
      <c r="G295" s="68"/>
      <c r="H295" s="70"/>
      <c r="I295" s="71"/>
      <c r="J295" s="68"/>
      <c r="K295" s="68"/>
      <c r="L295" s="68"/>
      <c r="M295" s="68"/>
      <c r="N295" s="68"/>
      <c r="O295" s="68"/>
      <c r="P295" s="68"/>
      <c r="Q295" s="68"/>
      <c r="R295" s="68"/>
      <c r="S295" s="68"/>
      <c r="T295" s="68"/>
      <c r="U295" s="68"/>
      <c r="V295" s="68"/>
      <c r="W295" s="68"/>
      <c r="X295" s="68"/>
      <c r="Y295" s="68"/>
      <c r="Z295" s="68"/>
      <c r="AA295" s="64">
        <v>0.5</v>
      </c>
      <c r="AB295" s="64">
        <v>0.5</v>
      </c>
      <c r="AC295" s="65">
        <v>1</v>
      </c>
    </row>
    <row r="296" spans="1:29" ht="12.95" customHeight="1">
      <c r="A296" s="620"/>
      <c r="B296" s="621"/>
      <c r="C296" s="622"/>
      <c r="D296" s="69"/>
      <c r="E296" s="69"/>
      <c r="F296" s="69"/>
      <c r="G296" s="69"/>
      <c r="H296" s="72"/>
      <c r="I296" s="73"/>
      <c r="J296" s="69"/>
      <c r="K296" s="69"/>
      <c r="L296" s="69"/>
      <c r="M296" s="69"/>
      <c r="N296" s="69"/>
      <c r="O296" s="69"/>
      <c r="P296" s="69"/>
      <c r="Q296" s="69"/>
      <c r="R296" s="69"/>
      <c r="S296" s="69"/>
      <c r="T296" s="69"/>
      <c r="U296" s="69"/>
      <c r="V296" s="69"/>
      <c r="W296" s="69"/>
      <c r="X296" s="69"/>
      <c r="Y296" s="69"/>
      <c r="Z296" s="69"/>
      <c r="AA296" s="66">
        <v>5163.67</v>
      </c>
      <c r="AB296" s="66">
        <v>5163.67</v>
      </c>
      <c r="AC296" s="67">
        <v>10327.34</v>
      </c>
    </row>
    <row r="297" spans="1:29" ht="12" customHeight="1">
      <c r="A297" s="620" t="s">
        <v>1153</v>
      </c>
      <c r="B297" s="621" t="s">
        <v>185</v>
      </c>
      <c r="C297" s="622">
        <v>663672.79</v>
      </c>
      <c r="D297" s="68"/>
      <c r="E297" s="68"/>
      <c r="F297" s="68"/>
      <c r="G297" s="68"/>
      <c r="H297" s="70"/>
      <c r="I297" s="71"/>
      <c r="J297" s="68"/>
      <c r="K297" s="68"/>
      <c r="L297" s="68"/>
      <c r="M297" s="68"/>
      <c r="N297" s="68"/>
      <c r="O297" s="68"/>
      <c r="P297" s="68"/>
      <c r="Q297" s="68"/>
      <c r="R297" s="68"/>
      <c r="S297" s="64">
        <v>0.1</v>
      </c>
      <c r="T297" s="64">
        <v>0.1</v>
      </c>
      <c r="U297" s="64">
        <v>0.1</v>
      </c>
      <c r="V297" s="64">
        <v>0.1</v>
      </c>
      <c r="W297" s="64">
        <v>0.1</v>
      </c>
      <c r="X297" s="64">
        <v>0.1</v>
      </c>
      <c r="Y297" s="64">
        <v>0.1</v>
      </c>
      <c r="Z297" s="64">
        <v>0.1</v>
      </c>
      <c r="AA297" s="64">
        <v>0.1</v>
      </c>
      <c r="AB297" s="64">
        <v>0.1</v>
      </c>
      <c r="AC297" s="65">
        <v>1</v>
      </c>
    </row>
    <row r="298" spans="1:29" ht="12.95" customHeight="1">
      <c r="A298" s="620"/>
      <c r="B298" s="621"/>
      <c r="C298" s="622"/>
      <c r="D298" s="69"/>
      <c r="E298" s="69"/>
      <c r="F298" s="69"/>
      <c r="G298" s="69"/>
      <c r="H298" s="72"/>
      <c r="I298" s="73"/>
      <c r="J298" s="69"/>
      <c r="K298" s="69"/>
      <c r="L298" s="69"/>
      <c r="M298" s="69"/>
      <c r="N298" s="69"/>
      <c r="O298" s="69"/>
      <c r="P298" s="69"/>
      <c r="Q298" s="69"/>
      <c r="R298" s="69"/>
      <c r="S298" s="66">
        <v>66367.28</v>
      </c>
      <c r="T298" s="66">
        <v>66367.28</v>
      </c>
      <c r="U298" s="66">
        <v>66367.28</v>
      </c>
      <c r="V298" s="66">
        <v>66367.28</v>
      </c>
      <c r="W298" s="66">
        <v>66367.28</v>
      </c>
      <c r="X298" s="66">
        <v>66367.28</v>
      </c>
      <c r="Y298" s="66">
        <v>66367.28</v>
      </c>
      <c r="Z298" s="66">
        <v>66367.28</v>
      </c>
      <c r="AA298" s="66">
        <v>66367.28</v>
      </c>
      <c r="AB298" s="66">
        <v>66367.27</v>
      </c>
      <c r="AC298" s="67">
        <v>663672.79</v>
      </c>
    </row>
    <row r="299" spans="1:29" ht="12" customHeight="1">
      <c r="A299" s="620" t="s">
        <v>1164</v>
      </c>
      <c r="B299" s="621" t="s">
        <v>1165</v>
      </c>
      <c r="C299" s="622">
        <v>43327</v>
      </c>
      <c r="D299" s="68"/>
      <c r="E299" s="68"/>
      <c r="F299" s="68"/>
      <c r="G299" s="68"/>
      <c r="H299" s="70"/>
      <c r="I299" s="71"/>
      <c r="J299" s="68"/>
      <c r="K299" s="68"/>
      <c r="L299" s="68"/>
      <c r="M299" s="68"/>
      <c r="N299" s="68"/>
      <c r="O299" s="68"/>
      <c r="P299" s="68"/>
      <c r="Q299" s="68"/>
      <c r="R299" s="68"/>
      <c r="S299" s="68"/>
      <c r="T299" s="68"/>
      <c r="U299" s="68"/>
      <c r="V299" s="68"/>
      <c r="W299" s="68"/>
      <c r="X299" s="68"/>
      <c r="Y299" s="68"/>
      <c r="Z299" s="68"/>
      <c r="AA299" s="64">
        <v>0.54110000000000003</v>
      </c>
      <c r="AB299" s="64">
        <v>0.45890000000000003</v>
      </c>
      <c r="AC299" s="65">
        <v>1</v>
      </c>
    </row>
    <row r="300" spans="1:29" ht="12.95" customHeight="1">
      <c r="A300" s="620"/>
      <c r="B300" s="621"/>
      <c r="C300" s="622"/>
      <c r="D300" s="69"/>
      <c r="E300" s="69"/>
      <c r="F300" s="69"/>
      <c r="G300" s="69"/>
      <c r="H300" s="72"/>
      <c r="I300" s="73"/>
      <c r="J300" s="69"/>
      <c r="K300" s="69"/>
      <c r="L300" s="69"/>
      <c r="M300" s="69"/>
      <c r="N300" s="69"/>
      <c r="O300" s="69"/>
      <c r="P300" s="69"/>
      <c r="Q300" s="69"/>
      <c r="R300" s="69"/>
      <c r="S300" s="69"/>
      <c r="T300" s="69"/>
      <c r="U300" s="69"/>
      <c r="V300" s="69"/>
      <c r="W300" s="69"/>
      <c r="X300" s="69"/>
      <c r="Y300" s="69"/>
      <c r="Z300" s="69"/>
      <c r="AA300" s="66">
        <v>23443.03</v>
      </c>
      <c r="AB300" s="66">
        <v>19883.97</v>
      </c>
      <c r="AC300" s="67">
        <v>43327</v>
      </c>
    </row>
    <row r="301" spans="1:29" ht="12" customHeight="1">
      <c r="A301" s="620" t="s">
        <v>1166</v>
      </c>
      <c r="B301" s="621" t="s">
        <v>1167</v>
      </c>
      <c r="C301" s="622">
        <v>43327</v>
      </c>
      <c r="D301" s="68"/>
      <c r="E301" s="68"/>
      <c r="F301" s="68"/>
      <c r="G301" s="68"/>
      <c r="H301" s="70"/>
      <c r="I301" s="71"/>
      <c r="J301" s="68"/>
      <c r="K301" s="68"/>
      <c r="L301" s="68"/>
      <c r="M301" s="68"/>
      <c r="N301" s="68"/>
      <c r="O301" s="68"/>
      <c r="P301" s="68"/>
      <c r="Q301" s="68"/>
      <c r="R301" s="68"/>
      <c r="S301" s="68"/>
      <c r="T301" s="68"/>
      <c r="U301" s="68"/>
      <c r="V301" s="68"/>
      <c r="W301" s="68"/>
      <c r="X301" s="68"/>
      <c r="Y301" s="68"/>
      <c r="Z301" s="68"/>
      <c r="AA301" s="64">
        <v>0.54110000000000003</v>
      </c>
      <c r="AB301" s="64">
        <v>0.45890000000000003</v>
      </c>
      <c r="AC301" s="65">
        <v>1</v>
      </c>
    </row>
    <row r="302" spans="1:29" ht="12.95" customHeight="1">
      <c r="A302" s="620"/>
      <c r="B302" s="621"/>
      <c r="C302" s="622"/>
      <c r="D302" s="69"/>
      <c r="E302" s="69"/>
      <c r="F302" s="69"/>
      <c r="G302" s="69"/>
      <c r="H302" s="72"/>
      <c r="I302" s="73"/>
      <c r="J302" s="69"/>
      <c r="K302" s="69"/>
      <c r="L302" s="69"/>
      <c r="M302" s="69"/>
      <c r="N302" s="69"/>
      <c r="O302" s="69"/>
      <c r="P302" s="69"/>
      <c r="Q302" s="69"/>
      <c r="R302" s="69"/>
      <c r="S302" s="69"/>
      <c r="T302" s="69"/>
      <c r="U302" s="69"/>
      <c r="V302" s="69"/>
      <c r="W302" s="69"/>
      <c r="X302" s="69"/>
      <c r="Y302" s="69"/>
      <c r="Z302" s="69"/>
      <c r="AA302" s="66">
        <v>23443.03</v>
      </c>
      <c r="AB302" s="66">
        <v>19883.97</v>
      </c>
      <c r="AC302" s="67">
        <v>43327</v>
      </c>
    </row>
    <row r="303" spans="1:29" ht="12" customHeight="1">
      <c r="A303" s="620" t="s">
        <v>1168</v>
      </c>
      <c r="B303" s="621" t="s">
        <v>15</v>
      </c>
      <c r="C303" s="622">
        <v>3559.05</v>
      </c>
      <c r="D303" s="68"/>
      <c r="E303" s="68"/>
      <c r="F303" s="68"/>
      <c r="G303" s="68"/>
      <c r="H303" s="70"/>
      <c r="I303" s="71"/>
      <c r="J303" s="68"/>
      <c r="K303" s="68"/>
      <c r="L303" s="68"/>
      <c r="M303" s="68"/>
      <c r="N303" s="68"/>
      <c r="O303" s="68"/>
      <c r="P303" s="68"/>
      <c r="Q303" s="68"/>
      <c r="R303" s="68"/>
      <c r="S303" s="68"/>
      <c r="T303" s="68"/>
      <c r="U303" s="68"/>
      <c r="V303" s="68"/>
      <c r="W303" s="68"/>
      <c r="X303" s="68"/>
      <c r="Y303" s="68"/>
      <c r="Z303" s="68"/>
      <c r="AA303" s="64">
        <v>1</v>
      </c>
      <c r="AB303" s="68"/>
      <c r="AC303" s="65">
        <v>1</v>
      </c>
    </row>
    <row r="304" spans="1:29" ht="12.95" customHeight="1">
      <c r="A304" s="620"/>
      <c r="B304" s="621"/>
      <c r="C304" s="622"/>
      <c r="D304" s="69"/>
      <c r="E304" s="69"/>
      <c r="F304" s="69"/>
      <c r="G304" s="69"/>
      <c r="H304" s="72"/>
      <c r="I304" s="73"/>
      <c r="J304" s="69"/>
      <c r="K304" s="69"/>
      <c r="L304" s="69"/>
      <c r="M304" s="69"/>
      <c r="N304" s="69"/>
      <c r="O304" s="69"/>
      <c r="P304" s="69"/>
      <c r="Q304" s="69"/>
      <c r="R304" s="69"/>
      <c r="S304" s="69"/>
      <c r="T304" s="69"/>
      <c r="U304" s="69"/>
      <c r="V304" s="69"/>
      <c r="W304" s="69"/>
      <c r="X304" s="69"/>
      <c r="Y304" s="69"/>
      <c r="Z304" s="69"/>
      <c r="AA304" s="66">
        <v>3559.05</v>
      </c>
      <c r="AB304" s="69"/>
      <c r="AC304" s="67">
        <v>3559.05</v>
      </c>
    </row>
    <row r="305" spans="1:29" ht="12" customHeight="1">
      <c r="A305" s="620" t="s">
        <v>1171</v>
      </c>
      <c r="B305" s="621" t="s">
        <v>26</v>
      </c>
      <c r="C305" s="622">
        <v>1961.07</v>
      </c>
      <c r="D305" s="68"/>
      <c r="E305" s="68"/>
      <c r="F305" s="68"/>
      <c r="G305" s="68"/>
      <c r="H305" s="70"/>
      <c r="I305" s="71"/>
      <c r="J305" s="68"/>
      <c r="K305" s="68"/>
      <c r="L305" s="68"/>
      <c r="M305" s="68"/>
      <c r="N305" s="68"/>
      <c r="O305" s="68"/>
      <c r="P305" s="68"/>
      <c r="Q305" s="68"/>
      <c r="R305" s="68"/>
      <c r="S305" s="68"/>
      <c r="T305" s="68"/>
      <c r="U305" s="68"/>
      <c r="V305" s="68"/>
      <c r="W305" s="68"/>
      <c r="X305" s="68"/>
      <c r="Y305" s="68"/>
      <c r="Z305" s="68"/>
      <c r="AA305" s="64">
        <v>0.5</v>
      </c>
      <c r="AB305" s="64">
        <v>0.5</v>
      </c>
      <c r="AC305" s="65">
        <v>1</v>
      </c>
    </row>
    <row r="306" spans="1:29" ht="12.95" customHeight="1">
      <c r="A306" s="620"/>
      <c r="B306" s="621"/>
      <c r="C306" s="622"/>
      <c r="D306" s="69"/>
      <c r="E306" s="69"/>
      <c r="F306" s="69"/>
      <c r="G306" s="69"/>
      <c r="H306" s="72"/>
      <c r="I306" s="73"/>
      <c r="J306" s="69"/>
      <c r="K306" s="69"/>
      <c r="L306" s="69"/>
      <c r="M306" s="69"/>
      <c r="N306" s="69"/>
      <c r="O306" s="69"/>
      <c r="P306" s="69"/>
      <c r="Q306" s="69"/>
      <c r="R306" s="69"/>
      <c r="S306" s="69"/>
      <c r="T306" s="69"/>
      <c r="U306" s="69"/>
      <c r="V306" s="69"/>
      <c r="W306" s="69"/>
      <c r="X306" s="69"/>
      <c r="Y306" s="69"/>
      <c r="Z306" s="69"/>
      <c r="AA306" s="66">
        <v>980.54</v>
      </c>
      <c r="AB306" s="66">
        <v>980.53</v>
      </c>
      <c r="AC306" s="67">
        <v>1961.07</v>
      </c>
    </row>
    <row r="307" spans="1:29" ht="12" customHeight="1">
      <c r="A307" s="620" t="s">
        <v>1173</v>
      </c>
      <c r="B307" s="621" t="s">
        <v>1174</v>
      </c>
      <c r="C307" s="622">
        <v>37806.879999999997</v>
      </c>
      <c r="D307" s="68"/>
      <c r="E307" s="68"/>
      <c r="F307" s="68"/>
      <c r="G307" s="68"/>
      <c r="H307" s="70"/>
      <c r="I307" s="71"/>
      <c r="J307" s="68"/>
      <c r="K307" s="68"/>
      <c r="L307" s="68"/>
      <c r="M307" s="68"/>
      <c r="N307" s="68"/>
      <c r="O307" s="68"/>
      <c r="P307" s="68"/>
      <c r="Q307" s="68"/>
      <c r="R307" s="68"/>
      <c r="S307" s="68"/>
      <c r="T307" s="68"/>
      <c r="U307" s="68"/>
      <c r="V307" s="68"/>
      <c r="W307" s="68"/>
      <c r="X307" s="68"/>
      <c r="Y307" s="68"/>
      <c r="Z307" s="68"/>
      <c r="AA307" s="64">
        <v>0.5</v>
      </c>
      <c r="AB307" s="64">
        <v>0.5</v>
      </c>
      <c r="AC307" s="65">
        <v>1</v>
      </c>
    </row>
    <row r="308" spans="1:29" ht="12.95" customHeight="1">
      <c r="A308" s="620"/>
      <c r="B308" s="621"/>
      <c r="C308" s="622"/>
      <c r="D308" s="69"/>
      <c r="E308" s="69"/>
      <c r="F308" s="69"/>
      <c r="G308" s="69"/>
      <c r="H308" s="72"/>
      <c r="I308" s="73"/>
      <c r="J308" s="69"/>
      <c r="K308" s="69"/>
      <c r="L308" s="69"/>
      <c r="M308" s="69"/>
      <c r="N308" s="69"/>
      <c r="O308" s="69"/>
      <c r="P308" s="69"/>
      <c r="Q308" s="69"/>
      <c r="R308" s="69"/>
      <c r="S308" s="69"/>
      <c r="T308" s="69"/>
      <c r="U308" s="69"/>
      <c r="V308" s="69"/>
      <c r="W308" s="69"/>
      <c r="X308" s="69"/>
      <c r="Y308" s="69"/>
      <c r="Z308" s="69"/>
      <c r="AA308" s="66">
        <v>18903.439999999999</v>
      </c>
      <c r="AB308" s="66">
        <v>18903.439999999999</v>
      </c>
      <c r="AC308" s="67">
        <v>37806.879999999997</v>
      </c>
    </row>
    <row r="309" spans="1:29" ht="12" customHeight="1">
      <c r="A309" s="74"/>
      <c r="B309" s="75"/>
      <c r="C309" s="625">
        <v>13316941.82</v>
      </c>
      <c r="D309" s="76">
        <v>309055.96999999997</v>
      </c>
      <c r="E309" s="76">
        <v>537900.97</v>
      </c>
      <c r="F309" s="76">
        <v>664323.13</v>
      </c>
      <c r="G309" s="76">
        <v>371740.81</v>
      </c>
      <c r="H309" s="626">
        <v>391906.34</v>
      </c>
      <c r="I309" s="626"/>
      <c r="J309" s="76">
        <v>273303.09999999998</v>
      </c>
      <c r="K309" s="76">
        <v>287971.14</v>
      </c>
      <c r="L309" s="76">
        <v>316025.69</v>
      </c>
      <c r="M309" s="76">
        <v>323880.87</v>
      </c>
      <c r="N309" s="76">
        <v>358486.29</v>
      </c>
      <c r="O309" s="76">
        <v>729388.17</v>
      </c>
      <c r="P309" s="76">
        <v>661949.79</v>
      </c>
      <c r="Q309" s="76">
        <v>658040.61</v>
      </c>
      <c r="R309" s="76">
        <v>795736.91</v>
      </c>
      <c r="S309" s="76">
        <v>1089392.47</v>
      </c>
      <c r="T309" s="76">
        <v>916786.58</v>
      </c>
      <c r="U309" s="76">
        <v>815071</v>
      </c>
      <c r="V309" s="76">
        <v>530824.68000000005</v>
      </c>
      <c r="W309" s="76">
        <v>773482.63</v>
      </c>
      <c r="X309" s="76">
        <v>791429.16</v>
      </c>
      <c r="Y309" s="76">
        <v>658048.43999999994</v>
      </c>
      <c r="Z309" s="76">
        <v>421656.47</v>
      </c>
      <c r="AA309" s="76">
        <v>378421.09</v>
      </c>
      <c r="AB309" s="76">
        <v>262119.51</v>
      </c>
      <c r="AC309" s="624">
        <v>13316941.82</v>
      </c>
    </row>
    <row r="310" spans="1:29" ht="12.95" customHeight="1">
      <c r="A310" s="77"/>
      <c r="B310" s="78"/>
      <c r="C310" s="625"/>
      <c r="D310" s="66">
        <v>309055.96999999997</v>
      </c>
      <c r="E310" s="66">
        <v>846956.94</v>
      </c>
      <c r="F310" s="66">
        <v>1511280.07</v>
      </c>
      <c r="G310" s="66">
        <v>1883020.88</v>
      </c>
      <c r="H310" s="624">
        <v>2274927.2200000002</v>
      </c>
      <c r="I310" s="624"/>
      <c r="J310" s="66">
        <v>2548230.3199999998</v>
      </c>
      <c r="K310" s="66">
        <v>2836201.46</v>
      </c>
      <c r="L310" s="66">
        <v>3152227.15</v>
      </c>
      <c r="M310" s="66">
        <v>3476108.02</v>
      </c>
      <c r="N310" s="66">
        <v>3834594.31</v>
      </c>
      <c r="O310" s="66">
        <v>4563982.4800000004</v>
      </c>
      <c r="P310" s="66">
        <v>5225932.2699999996</v>
      </c>
      <c r="Q310" s="66">
        <v>5883972.8799999999</v>
      </c>
      <c r="R310" s="66">
        <v>6679709.79</v>
      </c>
      <c r="S310" s="66">
        <v>7769102.2599999998</v>
      </c>
      <c r="T310" s="66">
        <v>8685888.8399999999</v>
      </c>
      <c r="U310" s="66">
        <v>9500959.8399999999</v>
      </c>
      <c r="V310" s="66">
        <v>10031784.52</v>
      </c>
      <c r="W310" s="66">
        <v>10805267.15</v>
      </c>
      <c r="X310" s="66">
        <v>11596696.310000001</v>
      </c>
      <c r="Y310" s="66">
        <v>12254744.75</v>
      </c>
      <c r="Z310" s="66">
        <v>12676401.220000001</v>
      </c>
      <c r="AA310" s="66">
        <v>13054822.310000001</v>
      </c>
      <c r="AB310" s="66">
        <v>13316941.82</v>
      </c>
      <c r="AC310" s="624"/>
    </row>
  </sheetData>
  <mergeCells count="493">
    <mergeCell ref="A307:A308"/>
    <mergeCell ref="B307:B308"/>
    <mergeCell ref="C307:C308"/>
    <mergeCell ref="C309:C310"/>
    <mergeCell ref="H309:I309"/>
    <mergeCell ref="AC309:AC310"/>
    <mergeCell ref="H310:I310"/>
    <mergeCell ref="A303:A304"/>
    <mergeCell ref="B303:B304"/>
    <mergeCell ref="C303:C304"/>
    <mergeCell ref="A305:A306"/>
    <mergeCell ref="B305:B306"/>
    <mergeCell ref="C305:C306"/>
    <mergeCell ref="A299:A300"/>
    <mergeCell ref="B299:B300"/>
    <mergeCell ref="C299:C300"/>
    <mergeCell ref="A301:A302"/>
    <mergeCell ref="B301:B302"/>
    <mergeCell ref="C301:C302"/>
    <mergeCell ref="A295:A296"/>
    <mergeCell ref="B295:B296"/>
    <mergeCell ref="C295:C296"/>
    <mergeCell ref="A297:A298"/>
    <mergeCell ref="B297:B298"/>
    <mergeCell ref="C297:C298"/>
    <mergeCell ref="A291:A292"/>
    <mergeCell ref="B291:B292"/>
    <mergeCell ref="C291:C292"/>
    <mergeCell ref="A293:A294"/>
    <mergeCell ref="B293:B294"/>
    <mergeCell ref="C293:C294"/>
    <mergeCell ref="A287:A288"/>
    <mergeCell ref="B287:B288"/>
    <mergeCell ref="C287:C288"/>
    <mergeCell ref="A289:A290"/>
    <mergeCell ref="B289:B290"/>
    <mergeCell ref="C289:C290"/>
    <mergeCell ref="A283:A284"/>
    <mergeCell ref="B283:B284"/>
    <mergeCell ref="C283:C284"/>
    <mergeCell ref="A285:A286"/>
    <mergeCell ref="B285:B286"/>
    <mergeCell ref="C285:C286"/>
    <mergeCell ref="A279:A280"/>
    <mergeCell ref="B279:B280"/>
    <mergeCell ref="C279:C280"/>
    <mergeCell ref="A281:A282"/>
    <mergeCell ref="B281:B282"/>
    <mergeCell ref="C281:C282"/>
    <mergeCell ref="A275:A276"/>
    <mergeCell ref="B275:B276"/>
    <mergeCell ref="C275:C276"/>
    <mergeCell ref="A277:A278"/>
    <mergeCell ref="B277:B278"/>
    <mergeCell ref="C277:C278"/>
    <mergeCell ref="A271:A272"/>
    <mergeCell ref="B271:B272"/>
    <mergeCell ref="C271:C272"/>
    <mergeCell ref="A273:A274"/>
    <mergeCell ref="B273:B274"/>
    <mergeCell ref="C273:C274"/>
    <mergeCell ref="A267:A268"/>
    <mergeCell ref="B267:B268"/>
    <mergeCell ref="C267:C268"/>
    <mergeCell ref="A269:A270"/>
    <mergeCell ref="B269:B270"/>
    <mergeCell ref="C269:C270"/>
    <mergeCell ref="A263:A264"/>
    <mergeCell ref="B263:B264"/>
    <mergeCell ref="C263:C264"/>
    <mergeCell ref="A265:A266"/>
    <mergeCell ref="B265:B266"/>
    <mergeCell ref="C265:C266"/>
    <mergeCell ref="A259:A260"/>
    <mergeCell ref="B259:B260"/>
    <mergeCell ref="C259:C260"/>
    <mergeCell ref="A261:A262"/>
    <mergeCell ref="B261:B262"/>
    <mergeCell ref="C261:C262"/>
    <mergeCell ref="A255:A256"/>
    <mergeCell ref="B255:B256"/>
    <mergeCell ref="C255:C256"/>
    <mergeCell ref="A257:A258"/>
    <mergeCell ref="B257:B258"/>
    <mergeCell ref="C257:C258"/>
    <mergeCell ref="A251:A252"/>
    <mergeCell ref="B251:B252"/>
    <mergeCell ref="C251:C252"/>
    <mergeCell ref="A253:A254"/>
    <mergeCell ref="B253:B254"/>
    <mergeCell ref="C253:C254"/>
    <mergeCell ref="A247:A248"/>
    <mergeCell ref="B247:B248"/>
    <mergeCell ref="C247:C248"/>
    <mergeCell ref="A249:A250"/>
    <mergeCell ref="B249:B250"/>
    <mergeCell ref="C249:C250"/>
    <mergeCell ref="A243:A244"/>
    <mergeCell ref="B243:B244"/>
    <mergeCell ref="C243:C244"/>
    <mergeCell ref="A245:A246"/>
    <mergeCell ref="B245:B246"/>
    <mergeCell ref="C245:C246"/>
    <mergeCell ref="A239:A240"/>
    <mergeCell ref="B239:B240"/>
    <mergeCell ref="C239:C240"/>
    <mergeCell ref="A241:A242"/>
    <mergeCell ref="B241:B242"/>
    <mergeCell ref="C241:C242"/>
    <mergeCell ref="A235:A236"/>
    <mergeCell ref="B235:B236"/>
    <mergeCell ref="C235:C236"/>
    <mergeCell ref="A237:A238"/>
    <mergeCell ref="B237:B238"/>
    <mergeCell ref="C237:C238"/>
    <mergeCell ref="A231:A232"/>
    <mergeCell ref="B231:B232"/>
    <mergeCell ref="C231:C232"/>
    <mergeCell ref="A233:A234"/>
    <mergeCell ref="B233:B234"/>
    <mergeCell ref="C233:C234"/>
    <mergeCell ref="A227:A228"/>
    <mergeCell ref="B227:B228"/>
    <mergeCell ref="C227:C228"/>
    <mergeCell ref="A229:A230"/>
    <mergeCell ref="B229:B230"/>
    <mergeCell ref="C229:C230"/>
    <mergeCell ref="A223:A224"/>
    <mergeCell ref="B223:B224"/>
    <mergeCell ref="C223:C224"/>
    <mergeCell ref="A225:A226"/>
    <mergeCell ref="B225:B226"/>
    <mergeCell ref="C225:C226"/>
    <mergeCell ref="H217:I217"/>
    <mergeCell ref="H218:I218"/>
    <mergeCell ref="A219:A220"/>
    <mergeCell ref="B219:B220"/>
    <mergeCell ref="C219:C220"/>
    <mergeCell ref="A221:A222"/>
    <mergeCell ref="B221:B222"/>
    <mergeCell ref="C221:C222"/>
    <mergeCell ref="A215:A216"/>
    <mergeCell ref="B215:B216"/>
    <mergeCell ref="C215:C216"/>
    <mergeCell ref="A217:A218"/>
    <mergeCell ref="B217:B218"/>
    <mergeCell ref="C217:C218"/>
    <mergeCell ref="A211:A212"/>
    <mergeCell ref="B211:B212"/>
    <mergeCell ref="C211:C212"/>
    <mergeCell ref="H211:I211"/>
    <mergeCell ref="H212:I212"/>
    <mergeCell ref="A213:A214"/>
    <mergeCell ref="B213:B214"/>
    <mergeCell ref="C213:C214"/>
    <mergeCell ref="A207:A208"/>
    <mergeCell ref="B207:B208"/>
    <mergeCell ref="C207:C208"/>
    <mergeCell ref="H207:I207"/>
    <mergeCell ref="H208:I208"/>
    <mergeCell ref="A209:A210"/>
    <mergeCell ref="B209:B210"/>
    <mergeCell ref="C209:C210"/>
    <mergeCell ref="H209:I209"/>
    <mergeCell ref="H210:I210"/>
    <mergeCell ref="A203:A204"/>
    <mergeCell ref="B203:B204"/>
    <mergeCell ref="C203:C204"/>
    <mergeCell ref="H203:I203"/>
    <mergeCell ref="H204:I204"/>
    <mergeCell ref="A205:A206"/>
    <mergeCell ref="B205:B206"/>
    <mergeCell ref="C205:C206"/>
    <mergeCell ref="H205:I205"/>
    <mergeCell ref="H206:I206"/>
    <mergeCell ref="A199:A200"/>
    <mergeCell ref="B199:B200"/>
    <mergeCell ref="C199:C200"/>
    <mergeCell ref="H199:I199"/>
    <mergeCell ref="H200:I200"/>
    <mergeCell ref="A201:A202"/>
    <mergeCell ref="B201:B202"/>
    <mergeCell ref="C201:C202"/>
    <mergeCell ref="H201:I201"/>
    <mergeCell ref="H202:I202"/>
    <mergeCell ref="A195:A196"/>
    <mergeCell ref="B195:B196"/>
    <mergeCell ref="C195:C196"/>
    <mergeCell ref="A197:A198"/>
    <mergeCell ref="B197:B198"/>
    <mergeCell ref="C197:C198"/>
    <mergeCell ref="A191:A192"/>
    <mergeCell ref="B191:B192"/>
    <mergeCell ref="C191:C192"/>
    <mergeCell ref="A193:A194"/>
    <mergeCell ref="B193:B194"/>
    <mergeCell ref="C193:C194"/>
    <mergeCell ref="A187:A188"/>
    <mergeCell ref="B187:B188"/>
    <mergeCell ref="C187:C188"/>
    <mergeCell ref="A189:A190"/>
    <mergeCell ref="B189:B190"/>
    <mergeCell ref="C189:C190"/>
    <mergeCell ref="A183:A184"/>
    <mergeCell ref="B183:B184"/>
    <mergeCell ref="C183:C184"/>
    <mergeCell ref="A185:A186"/>
    <mergeCell ref="B185:B186"/>
    <mergeCell ref="C185:C186"/>
    <mergeCell ref="A179:A180"/>
    <mergeCell ref="B179:B180"/>
    <mergeCell ref="C179:C180"/>
    <mergeCell ref="A181:A182"/>
    <mergeCell ref="B181:B182"/>
    <mergeCell ref="C181:C182"/>
    <mergeCell ref="A175:A176"/>
    <mergeCell ref="B175:B176"/>
    <mergeCell ref="C175:C176"/>
    <mergeCell ref="A177:A178"/>
    <mergeCell ref="B177:B178"/>
    <mergeCell ref="C177:C178"/>
    <mergeCell ref="A171:A172"/>
    <mergeCell ref="B171:B172"/>
    <mergeCell ref="C171:C172"/>
    <mergeCell ref="A173:A174"/>
    <mergeCell ref="B173:B174"/>
    <mergeCell ref="C173:C174"/>
    <mergeCell ref="A167:A168"/>
    <mergeCell ref="B167:B168"/>
    <mergeCell ref="C167:C168"/>
    <mergeCell ref="A169:A170"/>
    <mergeCell ref="B169:B170"/>
    <mergeCell ref="C169:C170"/>
    <mergeCell ref="A163:A164"/>
    <mergeCell ref="B163:B164"/>
    <mergeCell ref="C163:C164"/>
    <mergeCell ref="A165:A166"/>
    <mergeCell ref="B165:B166"/>
    <mergeCell ref="C165:C166"/>
    <mergeCell ref="A159:A160"/>
    <mergeCell ref="B159:B160"/>
    <mergeCell ref="C159:C160"/>
    <mergeCell ref="A161:A162"/>
    <mergeCell ref="B161:B162"/>
    <mergeCell ref="C161:C162"/>
    <mergeCell ref="A155:A156"/>
    <mergeCell ref="B155:B156"/>
    <mergeCell ref="C155:C156"/>
    <mergeCell ref="A157:A158"/>
    <mergeCell ref="B157:B158"/>
    <mergeCell ref="C157:C158"/>
    <mergeCell ref="A151:A152"/>
    <mergeCell ref="B151:B152"/>
    <mergeCell ref="C151:C152"/>
    <mergeCell ref="A153:A154"/>
    <mergeCell ref="B153:B154"/>
    <mergeCell ref="C153:C154"/>
    <mergeCell ref="A147:A148"/>
    <mergeCell ref="B147:B148"/>
    <mergeCell ref="C147:C148"/>
    <mergeCell ref="A149:A150"/>
    <mergeCell ref="B149:B150"/>
    <mergeCell ref="C149:C150"/>
    <mergeCell ref="A143:A144"/>
    <mergeCell ref="B143:B144"/>
    <mergeCell ref="C143:C144"/>
    <mergeCell ref="A145:A146"/>
    <mergeCell ref="B145:B146"/>
    <mergeCell ref="C145:C146"/>
    <mergeCell ref="A139:A140"/>
    <mergeCell ref="B139:B140"/>
    <mergeCell ref="C139:C140"/>
    <mergeCell ref="A141:A142"/>
    <mergeCell ref="B141:B142"/>
    <mergeCell ref="C141:C142"/>
    <mergeCell ref="A135:A136"/>
    <mergeCell ref="B135:B136"/>
    <mergeCell ref="C135:C136"/>
    <mergeCell ref="A137:A138"/>
    <mergeCell ref="B137:B138"/>
    <mergeCell ref="C137:C138"/>
    <mergeCell ref="A131:A132"/>
    <mergeCell ref="B131:B132"/>
    <mergeCell ref="C131:C132"/>
    <mergeCell ref="A133:A134"/>
    <mergeCell ref="B133:B134"/>
    <mergeCell ref="C133:C134"/>
    <mergeCell ref="A127:A128"/>
    <mergeCell ref="B127:B128"/>
    <mergeCell ref="C127:C128"/>
    <mergeCell ref="A129:A130"/>
    <mergeCell ref="B129:B130"/>
    <mergeCell ref="C129:C130"/>
    <mergeCell ref="A123:A124"/>
    <mergeCell ref="B123:B124"/>
    <mergeCell ref="C123:C124"/>
    <mergeCell ref="A125:A126"/>
    <mergeCell ref="B125:B126"/>
    <mergeCell ref="C125:C126"/>
    <mergeCell ref="A119:A120"/>
    <mergeCell ref="B119:B120"/>
    <mergeCell ref="C119:C120"/>
    <mergeCell ref="A121:A122"/>
    <mergeCell ref="B121:B122"/>
    <mergeCell ref="C121:C122"/>
    <mergeCell ref="A115:A116"/>
    <mergeCell ref="B115:B116"/>
    <mergeCell ref="C115:C116"/>
    <mergeCell ref="A117:A118"/>
    <mergeCell ref="B117:B118"/>
    <mergeCell ref="C117:C118"/>
    <mergeCell ref="A111:A112"/>
    <mergeCell ref="B111:B112"/>
    <mergeCell ref="C111:C112"/>
    <mergeCell ref="A113:A114"/>
    <mergeCell ref="B113:B114"/>
    <mergeCell ref="C113:C114"/>
    <mergeCell ref="A107:A108"/>
    <mergeCell ref="B107:B108"/>
    <mergeCell ref="C107:C108"/>
    <mergeCell ref="A109:A110"/>
    <mergeCell ref="B109:B110"/>
    <mergeCell ref="C109:C110"/>
    <mergeCell ref="A103:A104"/>
    <mergeCell ref="B103:B104"/>
    <mergeCell ref="C103:C104"/>
    <mergeCell ref="A105:A106"/>
    <mergeCell ref="B105:B106"/>
    <mergeCell ref="C105:C106"/>
    <mergeCell ref="A99:A100"/>
    <mergeCell ref="B99:B100"/>
    <mergeCell ref="C99:C100"/>
    <mergeCell ref="A101:A102"/>
    <mergeCell ref="B101:B102"/>
    <mergeCell ref="C101:C102"/>
    <mergeCell ref="A95:A96"/>
    <mergeCell ref="B95:B96"/>
    <mergeCell ref="C95:C96"/>
    <mergeCell ref="A97:A98"/>
    <mergeCell ref="B97:B98"/>
    <mergeCell ref="C97:C98"/>
    <mergeCell ref="A91:A92"/>
    <mergeCell ref="B91:B92"/>
    <mergeCell ref="C91:C92"/>
    <mergeCell ref="A93:A94"/>
    <mergeCell ref="B93:B94"/>
    <mergeCell ref="C93:C94"/>
    <mergeCell ref="A87:A88"/>
    <mergeCell ref="B87:B88"/>
    <mergeCell ref="C87:C88"/>
    <mergeCell ref="A89:A90"/>
    <mergeCell ref="B89:B90"/>
    <mergeCell ref="C89:C90"/>
    <mergeCell ref="A83:A84"/>
    <mergeCell ref="B83:B84"/>
    <mergeCell ref="C83:C84"/>
    <mergeCell ref="A85:A86"/>
    <mergeCell ref="B85:B86"/>
    <mergeCell ref="C85:C86"/>
    <mergeCell ref="A79:A80"/>
    <mergeCell ref="B79:B80"/>
    <mergeCell ref="C79:C80"/>
    <mergeCell ref="A81:A82"/>
    <mergeCell ref="B81:B82"/>
    <mergeCell ref="C81:C82"/>
    <mergeCell ref="A75:A76"/>
    <mergeCell ref="B75:B76"/>
    <mergeCell ref="C75:C76"/>
    <mergeCell ref="A77:A78"/>
    <mergeCell ref="B77:B78"/>
    <mergeCell ref="C77:C78"/>
    <mergeCell ref="A71:A72"/>
    <mergeCell ref="B71:B72"/>
    <mergeCell ref="C71:C72"/>
    <mergeCell ref="A73:A74"/>
    <mergeCell ref="B73:B74"/>
    <mergeCell ref="C73:C74"/>
    <mergeCell ref="A67:A68"/>
    <mergeCell ref="B67:B68"/>
    <mergeCell ref="C67:C68"/>
    <mergeCell ref="A69:A70"/>
    <mergeCell ref="B69:B70"/>
    <mergeCell ref="C69:C70"/>
    <mergeCell ref="A63:A64"/>
    <mergeCell ref="B63:B64"/>
    <mergeCell ref="C63:C64"/>
    <mergeCell ref="A65:A66"/>
    <mergeCell ref="B65:B66"/>
    <mergeCell ref="C65:C66"/>
    <mergeCell ref="A59:A60"/>
    <mergeCell ref="B59:B60"/>
    <mergeCell ref="C59:C60"/>
    <mergeCell ref="A61:A62"/>
    <mergeCell ref="B61:B62"/>
    <mergeCell ref="C61:C62"/>
    <mergeCell ref="A55:A56"/>
    <mergeCell ref="B55:B56"/>
    <mergeCell ref="C55:C56"/>
    <mergeCell ref="A57:A58"/>
    <mergeCell ref="B57:B58"/>
    <mergeCell ref="C57:C58"/>
    <mergeCell ref="A51:A52"/>
    <mergeCell ref="B51:B52"/>
    <mergeCell ref="C51:C52"/>
    <mergeCell ref="A53:A54"/>
    <mergeCell ref="B53:B54"/>
    <mergeCell ref="C53:C54"/>
    <mergeCell ref="A47:A48"/>
    <mergeCell ref="B47:B48"/>
    <mergeCell ref="C47:C48"/>
    <mergeCell ref="A49:A50"/>
    <mergeCell ref="B49:B50"/>
    <mergeCell ref="C49:C50"/>
    <mergeCell ref="A43:A44"/>
    <mergeCell ref="B43:B44"/>
    <mergeCell ref="C43:C44"/>
    <mergeCell ref="A45:A46"/>
    <mergeCell ref="B45:B46"/>
    <mergeCell ref="C45:C46"/>
    <mergeCell ref="A39:A40"/>
    <mergeCell ref="B39:B40"/>
    <mergeCell ref="C39:C40"/>
    <mergeCell ref="A41:A42"/>
    <mergeCell ref="B41:B42"/>
    <mergeCell ref="C41:C42"/>
    <mergeCell ref="A35:A36"/>
    <mergeCell ref="B35:B36"/>
    <mergeCell ref="C35:C36"/>
    <mergeCell ref="A37:A38"/>
    <mergeCell ref="B37:B38"/>
    <mergeCell ref="C37:C38"/>
    <mergeCell ref="A31:A32"/>
    <mergeCell ref="B31:B32"/>
    <mergeCell ref="C31:C32"/>
    <mergeCell ref="A33:A34"/>
    <mergeCell ref="B33:B34"/>
    <mergeCell ref="C33:C34"/>
    <mergeCell ref="A27:A28"/>
    <mergeCell ref="B27:B28"/>
    <mergeCell ref="C27:C28"/>
    <mergeCell ref="A29:A30"/>
    <mergeCell ref="B29:B30"/>
    <mergeCell ref="C29:C30"/>
    <mergeCell ref="A23:A24"/>
    <mergeCell ref="B23:B24"/>
    <mergeCell ref="C23:C24"/>
    <mergeCell ref="H23:I23"/>
    <mergeCell ref="H24:I24"/>
    <mergeCell ref="A25:A26"/>
    <mergeCell ref="B25:B26"/>
    <mergeCell ref="C25:C26"/>
    <mergeCell ref="A19:A20"/>
    <mergeCell ref="B19:B20"/>
    <mergeCell ref="C19:C20"/>
    <mergeCell ref="A21:A22"/>
    <mergeCell ref="B21:B22"/>
    <mergeCell ref="C21:C22"/>
    <mergeCell ref="H15:I15"/>
    <mergeCell ref="H16:I16"/>
    <mergeCell ref="A17:A18"/>
    <mergeCell ref="B17:B18"/>
    <mergeCell ref="C17:C18"/>
    <mergeCell ref="H17:I17"/>
    <mergeCell ref="H18:I18"/>
    <mergeCell ref="A13:A14"/>
    <mergeCell ref="B13:B14"/>
    <mergeCell ref="C13:C14"/>
    <mergeCell ref="A15:A16"/>
    <mergeCell ref="B15:B16"/>
    <mergeCell ref="C15:C16"/>
    <mergeCell ref="A11:A12"/>
    <mergeCell ref="B11:B12"/>
    <mergeCell ref="C11:C12"/>
    <mergeCell ref="A5:A6"/>
    <mergeCell ref="B5:B6"/>
    <mergeCell ref="C5:C6"/>
    <mergeCell ref="H5:I5"/>
    <mergeCell ref="H6:I6"/>
    <mergeCell ref="A7:A8"/>
    <mergeCell ref="B7:B8"/>
    <mergeCell ref="C7:C8"/>
    <mergeCell ref="A1:H1"/>
    <mergeCell ref="H2:I2"/>
    <mergeCell ref="A3:A4"/>
    <mergeCell ref="B3:B4"/>
    <mergeCell ref="C3:C4"/>
    <mergeCell ref="H3:I3"/>
    <mergeCell ref="H4:I4"/>
    <mergeCell ref="A9:A10"/>
    <mergeCell ref="B9:B10"/>
    <mergeCell ref="C9:C10"/>
    <mergeCell ref="H9:I9"/>
    <mergeCell ref="H10:I10"/>
  </mergeCells>
  <printOptions horizontalCentered="1"/>
  <pageMargins left="0" right="0" top="0.39370078740157483" bottom="0.78740157480314965" header="0" footer="0"/>
  <pageSetup scale="48" orientation="landscape" r:id="rId1"/>
  <headerFooter>
    <oddFooter>&amp;C&amp;P/&amp;N&amp;R&amp;G</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D48"/>
  <sheetViews>
    <sheetView view="pageBreakPreview" zoomScale="60" zoomScaleNormal="100" workbookViewId="0">
      <selection activeCell="G13" sqref="G13"/>
    </sheetView>
  </sheetViews>
  <sheetFormatPr defaultRowHeight="15"/>
  <cols>
    <col min="1" max="1" width="9.28515625" customWidth="1"/>
    <col min="2" max="2" width="60.28515625" customWidth="1"/>
    <col min="3" max="3" width="8.28515625" customWidth="1"/>
    <col min="4" max="4" width="37.42578125" customWidth="1"/>
  </cols>
  <sheetData>
    <row r="1" spans="1:4" ht="113.1" customHeight="1">
      <c r="A1" s="627"/>
      <c r="B1" s="627"/>
      <c r="C1" s="627"/>
      <c r="D1" s="627"/>
    </row>
    <row r="2" spans="1:4" ht="12" customHeight="1">
      <c r="A2" s="1"/>
      <c r="B2" s="628" t="s">
        <v>1443</v>
      </c>
      <c r="C2" s="628"/>
      <c r="D2" s="628"/>
    </row>
    <row r="3" spans="1:4" ht="15" customHeight="1">
      <c r="A3" s="2" t="s">
        <v>1935</v>
      </c>
      <c r="B3" s="2" t="s">
        <v>3</v>
      </c>
      <c r="C3" s="2" t="s">
        <v>1448</v>
      </c>
      <c r="D3" s="1"/>
    </row>
    <row r="4" spans="1:4" ht="8.1" customHeight="1">
      <c r="A4" s="1"/>
      <c r="B4" s="628"/>
      <c r="C4" s="628"/>
      <c r="D4" s="1"/>
    </row>
    <row r="5" spans="1:4" ht="12.95" customHeight="1">
      <c r="A5" s="1"/>
      <c r="B5" s="3" t="s">
        <v>1936</v>
      </c>
      <c r="C5" s="1"/>
      <c r="D5" s="1"/>
    </row>
    <row r="6" spans="1:4" ht="12.95" customHeight="1">
      <c r="A6" s="4" t="s">
        <v>1937</v>
      </c>
      <c r="B6" s="5" t="s">
        <v>1938</v>
      </c>
      <c r="C6" s="6">
        <v>0.32</v>
      </c>
      <c r="D6" s="1"/>
    </row>
    <row r="7" spans="1:4" ht="12.95" customHeight="1">
      <c r="A7" s="4" t="s">
        <v>1338</v>
      </c>
      <c r="B7" s="5" t="s">
        <v>1939</v>
      </c>
      <c r="C7" s="6">
        <v>2.73</v>
      </c>
      <c r="D7" s="1"/>
    </row>
    <row r="8" spans="1:4" ht="15" customHeight="1">
      <c r="A8" s="1"/>
      <c r="B8" s="7" t="s">
        <v>1194</v>
      </c>
      <c r="C8" s="8">
        <v>3.05</v>
      </c>
      <c r="D8" s="1"/>
    </row>
    <row r="9" spans="1:4" ht="15" customHeight="1">
      <c r="A9" s="1"/>
      <c r="B9" s="628" t="s">
        <v>1443</v>
      </c>
      <c r="C9" s="628"/>
      <c r="D9" s="1"/>
    </row>
    <row r="10" spans="1:4" ht="8.1" customHeight="1">
      <c r="A10" s="1"/>
      <c r="B10" s="628"/>
      <c r="C10" s="628"/>
      <c r="D10" s="1"/>
    </row>
    <row r="11" spans="1:4" ht="12.95" customHeight="1">
      <c r="A11" s="1"/>
      <c r="B11" s="3" t="s">
        <v>1940</v>
      </c>
      <c r="C11" s="1"/>
      <c r="D11" s="1"/>
    </row>
    <row r="12" spans="1:4" ht="12.95" customHeight="1">
      <c r="A12" s="4" t="s">
        <v>1941</v>
      </c>
      <c r="B12" s="5" t="s">
        <v>1942</v>
      </c>
      <c r="C12" s="6">
        <v>3.8</v>
      </c>
      <c r="D12" s="1"/>
    </row>
    <row r="13" spans="1:4" ht="12.95" customHeight="1">
      <c r="A13" s="4" t="s">
        <v>1943</v>
      </c>
      <c r="B13" s="5" t="s">
        <v>1944</v>
      </c>
      <c r="C13" s="6">
        <v>1.02</v>
      </c>
      <c r="D13" s="1"/>
    </row>
    <row r="14" spans="1:4" ht="12.95" customHeight="1">
      <c r="A14" s="4" t="s">
        <v>1945</v>
      </c>
      <c r="B14" s="5" t="s">
        <v>1946</v>
      </c>
      <c r="C14" s="6">
        <v>0.5</v>
      </c>
      <c r="D14" s="1"/>
    </row>
    <row r="15" spans="1:4" ht="15" customHeight="1">
      <c r="A15" s="1"/>
      <c r="B15" s="7" t="s">
        <v>1194</v>
      </c>
      <c r="C15" s="8">
        <v>5.32</v>
      </c>
      <c r="D15" s="1"/>
    </row>
    <row r="16" spans="1:4" ht="15" customHeight="1">
      <c r="A16" s="1"/>
      <c r="B16" s="628" t="s">
        <v>1443</v>
      </c>
      <c r="C16" s="628"/>
      <c r="D16" s="1"/>
    </row>
    <row r="17" spans="1:4" ht="8.1" customHeight="1">
      <c r="A17" s="1"/>
      <c r="B17" s="628"/>
      <c r="C17" s="628"/>
      <c r="D17" s="1"/>
    </row>
    <row r="18" spans="1:4" ht="12.95" customHeight="1">
      <c r="A18" s="9" t="s">
        <v>1947</v>
      </c>
      <c r="B18" s="3" t="s">
        <v>1948</v>
      </c>
      <c r="C18" s="1"/>
      <c r="D18" s="1"/>
    </row>
    <row r="19" spans="1:4" ht="12.95" customHeight="1">
      <c r="A19" s="4"/>
      <c r="B19" s="5" t="s">
        <v>1949</v>
      </c>
      <c r="C19" s="6">
        <v>3</v>
      </c>
      <c r="D19" s="1"/>
    </row>
    <row r="20" spans="1:4" ht="12.95" customHeight="1">
      <c r="A20" s="4"/>
      <c r="B20" s="5" t="s">
        <v>1950</v>
      </c>
      <c r="C20" s="6">
        <v>4</v>
      </c>
      <c r="D20" s="1"/>
    </row>
    <row r="21" spans="1:4" ht="12.95" customHeight="1">
      <c r="A21" s="4"/>
      <c r="B21" s="5" t="s">
        <v>1951</v>
      </c>
      <c r="C21" s="6">
        <v>0.65</v>
      </c>
      <c r="D21" s="1"/>
    </row>
    <row r="22" spans="1:4" ht="15" customHeight="1">
      <c r="A22" s="1"/>
      <c r="B22" s="7" t="s">
        <v>1194</v>
      </c>
      <c r="C22" s="8">
        <v>7.65</v>
      </c>
      <c r="D22" s="1"/>
    </row>
    <row r="23" spans="1:4" ht="15" customHeight="1">
      <c r="A23" s="1"/>
      <c r="B23" s="628" t="s">
        <v>1443</v>
      </c>
      <c r="C23" s="628"/>
      <c r="D23" s="1"/>
    </row>
    <row r="24" spans="1:4" ht="26.1" customHeight="1">
      <c r="A24" s="1"/>
      <c r="B24" s="629" t="s">
        <v>1952</v>
      </c>
      <c r="C24" s="629"/>
      <c r="D24" s="1"/>
    </row>
    <row r="25" spans="1:4" ht="24" customHeight="1">
      <c r="A25" s="1"/>
      <c r="B25" s="629" t="s">
        <v>1953</v>
      </c>
      <c r="C25" s="629"/>
      <c r="D25" s="629"/>
    </row>
    <row r="26" spans="1:4" ht="12" customHeight="1">
      <c r="A26" s="1"/>
      <c r="B26" s="628" t="s">
        <v>1443</v>
      </c>
      <c r="C26" s="628"/>
      <c r="D26" s="628"/>
    </row>
    <row r="27" spans="1:4" ht="15" customHeight="1">
      <c r="A27" s="2" t="s">
        <v>1935</v>
      </c>
      <c r="B27" s="2" t="s">
        <v>3</v>
      </c>
      <c r="C27" s="2" t="s">
        <v>1448</v>
      </c>
      <c r="D27" s="1"/>
    </row>
    <row r="28" spans="1:4" ht="8.1" customHeight="1">
      <c r="A28" s="1"/>
      <c r="B28" s="628"/>
      <c r="C28" s="628"/>
      <c r="D28" s="1"/>
    </row>
    <row r="29" spans="1:4" ht="12.95" customHeight="1">
      <c r="A29" s="1"/>
      <c r="B29" s="3" t="s">
        <v>1936</v>
      </c>
      <c r="C29" s="1"/>
      <c r="D29" s="1"/>
    </row>
    <row r="30" spans="1:4" ht="12.95" customHeight="1">
      <c r="A30" s="4" t="s">
        <v>1937</v>
      </c>
      <c r="B30" s="5" t="s">
        <v>1938</v>
      </c>
      <c r="C30" s="6">
        <v>0.3</v>
      </c>
      <c r="D30" s="1"/>
    </row>
    <row r="31" spans="1:4" ht="12.95" customHeight="1">
      <c r="A31" s="4" t="s">
        <v>1338</v>
      </c>
      <c r="B31" s="5" t="s">
        <v>1939</v>
      </c>
      <c r="C31" s="6">
        <v>2.73</v>
      </c>
      <c r="D31" s="1"/>
    </row>
    <row r="32" spans="1:4" ht="15" customHeight="1">
      <c r="A32" s="1"/>
      <c r="B32" s="7" t="s">
        <v>1194</v>
      </c>
      <c r="C32" s="8">
        <v>3.03</v>
      </c>
      <c r="D32" s="1"/>
    </row>
    <row r="33" spans="1:4" ht="15" customHeight="1">
      <c r="A33" s="1"/>
      <c r="B33" s="628" t="s">
        <v>1443</v>
      </c>
      <c r="C33" s="628"/>
      <c r="D33" s="1"/>
    </row>
    <row r="34" spans="1:4" ht="8.1" customHeight="1">
      <c r="A34" s="1"/>
      <c r="B34" s="628"/>
      <c r="C34" s="628"/>
      <c r="D34" s="1"/>
    </row>
    <row r="35" spans="1:4" ht="12.95" customHeight="1">
      <c r="A35" s="1"/>
      <c r="B35" s="3" t="s">
        <v>1940</v>
      </c>
      <c r="C35" s="1"/>
      <c r="D35" s="1"/>
    </row>
    <row r="36" spans="1:4" ht="12.95" customHeight="1">
      <c r="A36" s="4" t="s">
        <v>1941</v>
      </c>
      <c r="B36" s="5" t="s">
        <v>1942</v>
      </c>
      <c r="C36" s="6">
        <v>1.5</v>
      </c>
      <c r="D36" s="1"/>
    </row>
    <row r="37" spans="1:4" ht="12.95" customHeight="1">
      <c r="A37" s="4" t="s">
        <v>1943</v>
      </c>
      <c r="B37" s="5" t="s">
        <v>1944</v>
      </c>
      <c r="C37" s="6">
        <v>0.85</v>
      </c>
      <c r="D37" s="1"/>
    </row>
    <row r="38" spans="1:4" ht="12.95" customHeight="1">
      <c r="A38" s="4" t="s">
        <v>1945</v>
      </c>
      <c r="B38" s="5" t="s">
        <v>1946</v>
      </c>
      <c r="C38" s="6">
        <v>0.56000000000000005</v>
      </c>
      <c r="D38" s="1"/>
    </row>
    <row r="39" spans="1:4" ht="15" customHeight="1">
      <c r="A39" s="1"/>
      <c r="B39" s="7" t="s">
        <v>1194</v>
      </c>
      <c r="C39" s="8">
        <v>2.91</v>
      </c>
      <c r="D39" s="1"/>
    </row>
    <row r="40" spans="1:4" ht="15" customHeight="1">
      <c r="A40" s="1"/>
      <c r="B40" s="628" t="s">
        <v>1443</v>
      </c>
      <c r="C40" s="628"/>
      <c r="D40" s="1"/>
    </row>
    <row r="41" spans="1:4" ht="8.1" customHeight="1">
      <c r="A41" s="1"/>
      <c r="B41" s="628"/>
      <c r="C41" s="628"/>
      <c r="D41" s="1"/>
    </row>
    <row r="42" spans="1:4" ht="12.95" customHeight="1">
      <c r="A42" s="9" t="s">
        <v>1947</v>
      </c>
      <c r="B42" s="3" t="s">
        <v>1948</v>
      </c>
      <c r="C42" s="1"/>
      <c r="D42" s="1"/>
    </row>
    <row r="43" spans="1:4" ht="12.95" customHeight="1">
      <c r="A43" s="4"/>
      <c r="B43" s="5" t="s">
        <v>1949</v>
      </c>
      <c r="C43" s="6">
        <v>3</v>
      </c>
      <c r="D43" s="1"/>
    </row>
    <row r="44" spans="1:4" ht="12.95" customHeight="1">
      <c r="A44" s="4"/>
      <c r="B44" s="5" t="s">
        <v>1951</v>
      </c>
      <c r="C44" s="6">
        <v>0.65</v>
      </c>
      <c r="D44" s="1"/>
    </row>
    <row r="45" spans="1:4" ht="15" customHeight="1">
      <c r="A45" s="1"/>
      <c r="B45" s="7" t="s">
        <v>1194</v>
      </c>
      <c r="C45" s="8">
        <v>3.65</v>
      </c>
      <c r="D45" s="1"/>
    </row>
    <row r="46" spans="1:4" ht="15" customHeight="1">
      <c r="A46" s="1"/>
      <c r="B46" s="628" t="s">
        <v>1443</v>
      </c>
      <c r="C46" s="628"/>
      <c r="D46" s="1"/>
    </row>
    <row r="47" spans="1:4" ht="26.1" customHeight="1">
      <c r="A47" s="1"/>
      <c r="B47" s="629" t="s">
        <v>1954</v>
      </c>
      <c r="C47" s="629"/>
      <c r="D47" s="1"/>
    </row>
    <row r="48" spans="1:4" ht="24" customHeight="1">
      <c r="A48" s="1"/>
      <c r="B48" s="629" t="s">
        <v>1953</v>
      </c>
      <c r="C48" s="629"/>
      <c r="D48" s="629"/>
    </row>
  </sheetData>
  <mergeCells count="19">
    <mergeCell ref="B41:C41"/>
    <mergeCell ref="B46:C46"/>
    <mergeCell ref="B47:C47"/>
    <mergeCell ref="B48:D48"/>
    <mergeCell ref="B26:D26"/>
    <mergeCell ref="B28:C28"/>
    <mergeCell ref="B33:C33"/>
    <mergeCell ref="B34:C34"/>
    <mergeCell ref="B40:C40"/>
    <mergeCell ref="B16:C16"/>
    <mergeCell ref="B17:C17"/>
    <mergeCell ref="B23:C23"/>
    <mergeCell ref="B24:C24"/>
    <mergeCell ref="B25:D25"/>
    <mergeCell ref="A1:D1"/>
    <mergeCell ref="B2:D2"/>
    <mergeCell ref="B4:C4"/>
    <mergeCell ref="B9:C9"/>
    <mergeCell ref="B10:C10"/>
  </mergeCells>
  <pageMargins left="0" right="0" top="0.39370078740157483" bottom="0.78740157480314965" header="0" footer="0"/>
  <pageSetup scale="85" orientation="portrait" r:id="rId1"/>
  <headerFooter>
    <oddFooter>&amp;C&amp;P/&amp;N&amp;R&amp;G</oddFoot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16261-EE77-412B-A033-2ED4525D719A}">
  <dimension ref="A1:H58"/>
  <sheetViews>
    <sheetView view="pageBreakPreview" topLeftCell="A30" zoomScale="90" zoomScaleNormal="100" zoomScaleSheetLayoutView="90" workbookViewId="0">
      <selection activeCell="B119" sqref="B119:D119"/>
    </sheetView>
  </sheetViews>
  <sheetFormatPr defaultColWidth="9.140625" defaultRowHeight="12.75"/>
  <cols>
    <col min="1" max="1" width="15" style="477" customWidth="1"/>
    <col min="2" max="2" width="35" style="477" customWidth="1"/>
    <col min="3" max="3" width="9.140625" style="477"/>
    <col min="4" max="4" width="16.140625" style="477" customWidth="1"/>
    <col min="5" max="5" width="22" style="477" customWidth="1"/>
    <col min="6" max="6" width="25.7109375" style="477" customWidth="1"/>
    <col min="7" max="7" width="32.140625" style="477" customWidth="1"/>
    <col min="8" max="8" width="41" style="477" bestFit="1" customWidth="1"/>
    <col min="9" max="16384" width="9.140625" style="477"/>
  </cols>
  <sheetData>
    <row r="1" spans="1:8" ht="15.75">
      <c r="A1" s="476"/>
      <c r="B1" s="476"/>
      <c r="C1" s="476"/>
      <c r="D1" s="476"/>
      <c r="E1" s="476"/>
      <c r="F1" s="476"/>
      <c r="G1" s="476"/>
      <c r="H1" s="476"/>
    </row>
    <row r="2" spans="1:8" ht="15.75">
      <c r="A2" s="476"/>
      <c r="B2" s="476"/>
      <c r="C2" s="476"/>
      <c r="D2" s="476"/>
      <c r="E2" s="476"/>
      <c r="F2" s="476"/>
      <c r="G2" s="476"/>
      <c r="H2" s="476"/>
    </row>
    <row r="3" spans="1:8" ht="15.75">
      <c r="A3" s="476"/>
      <c r="B3" s="476"/>
      <c r="C3" s="476"/>
      <c r="D3" s="476"/>
      <c r="E3" s="476"/>
      <c r="F3" s="476"/>
      <c r="G3" s="476"/>
      <c r="H3" s="476"/>
    </row>
    <row r="4" spans="1:8" ht="15.75">
      <c r="A4" s="476"/>
      <c r="B4" s="476"/>
      <c r="C4" s="476"/>
      <c r="D4" s="476"/>
      <c r="E4" s="476"/>
      <c r="F4" s="476"/>
      <c r="G4" s="476"/>
      <c r="H4" s="476"/>
    </row>
    <row r="5" spans="1:8" ht="15.75">
      <c r="A5" s="476"/>
      <c r="B5" s="476"/>
      <c r="C5" s="476"/>
      <c r="D5" s="476"/>
      <c r="E5" s="476"/>
      <c r="F5" s="476"/>
      <c r="G5" s="476"/>
      <c r="H5" s="476"/>
    </row>
    <row r="6" spans="1:8" ht="15.75">
      <c r="A6" s="641" t="s">
        <v>2430</v>
      </c>
      <c r="B6" s="641"/>
      <c r="C6" s="641"/>
      <c r="D6" s="641"/>
      <c r="E6" s="641"/>
      <c r="F6" s="641"/>
      <c r="G6" s="641"/>
      <c r="H6" s="641"/>
    </row>
    <row r="7" spans="1:8" ht="15.75">
      <c r="A7" s="478"/>
      <c r="B7" s="479"/>
      <c r="C7" s="480"/>
      <c r="D7" s="480"/>
      <c r="E7" s="480"/>
      <c r="F7" s="480"/>
      <c r="G7" s="480"/>
      <c r="H7" s="481"/>
    </row>
    <row r="8" spans="1:8" ht="15.75" hidden="1">
      <c r="A8" s="482" t="s">
        <v>2431</v>
      </c>
      <c r="B8" s="482" t="s">
        <v>2432</v>
      </c>
      <c r="C8" s="647" t="s">
        <v>2433</v>
      </c>
      <c r="D8" s="647"/>
      <c r="E8" s="483" t="s">
        <v>2434</v>
      </c>
      <c r="F8" s="483" t="s">
        <v>2435</v>
      </c>
      <c r="G8" s="483" t="s">
        <v>2436</v>
      </c>
      <c r="H8" s="483" t="s">
        <v>2437</v>
      </c>
    </row>
    <row r="9" spans="1:8" ht="15.75" hidden="1">
      <c r="A9" s="484" t="s">
        <v>2438</v>
      </c>
      <c r="B9" s="485" t="s">
        <v>2439</v>
      </c>
      <c r="C9" s="639" t="s">
        <v>2440</v>
      </c>
      <c r="D9" s="640"/>
      <c r="E9" s="486" t="s">
        <v>2441</v>
      </c>
      <c r="F9" s="486" t="s">
        <v>2442</v>
      </c>
      <c r="G9" s="486"/>
      <c r="H9" s="487"/>
    </row>
    <row r="10" spans="1:8" ht="47.25" hidden="1">
      <c r="A10" s="484" t="s">
        <v>2443</v>
      </c>
      <c r="B10" s="488" t="s">
        <v>2444</v>
      </c>
      <c r="C10" s="648" t="s">
        <v>2445</v>
      </c>
      <c r="D10" s="649"/>
      <c r="E10" s="486"/>
      <c r="F10" s="486" t="s">
        <v>2446</v>
      </c>
      <c r="G10" s="486"/>
      <c r="H10" s="487"/>
    </row>
    <row r="11" spans="1:8" ht="47.25" hidden="1">
      <c r="A11" s="484" t="s">
        <v>2447</v>
      </c>
      <c r="B11" s="488" t="s">
        <v>2448</v>
      </c>
      <c r="C11" s="648" t="s">
        <v>2449</v>
      </c>
      <c r="D11" s="649"/>
      <c r="E11" s="486"/>
      <c r="F11" s="486" t="s">
        <v>2450</v>
      </c>
      <c r="G11" s="486"/>
      <c r="H11" s="489" t="s">
        <v>2451</v>
      </c>
    </row>
    <row r="12" spans="1:8" ht="15.75" hidden="1">
      <c r="A12" s="490"/>
      <c r="B12" s="480"/>
      <c r="C12" s="480"/>
      <c r="D12" s="480"/>
      <c r="E12" s="480"/>
      <c r="F12" s="480"/>
      <c r="G12" s="480"/>
      <c r="H12" s="481"/>
    </row>
    <row r="13" spans="1:8" ht="15.75" hidden="1">
      <c r="A13" s="641" t="s">
        <v>2452</v>
      </c>
      <c r="B13" s="641"/>
      <c r="C13" s="641"/>
      <c r="D13" s="641"/>
      <c r="E13" s="641"/>
      <c r="F13" s="641"/>
      <c r="G13" s="641"/>
      <c r="H13" s="641"/>
    </row>
    <row r="14" spans="1:8" ht="15.75" hidden="1">
      <c r="A14" s="478"/>
      <c r="B14" s="479"/>
      <c r="C14" s="480"/>
      <c r="D14" s="480"/>
      <c r="E14" s="480"/>
      <c r="F14" s="480"/>
      <c r="G14" s="480"/>
      <c r="H14" s="481"/>
    </row>
    <row r="15" spans="1:8" ht="15.75" hidden="1">
      <c r="A15" s="482" t="s">
        <v>1</v>
      </c>
      <c r="B15" s="482" t="s">
        <v>3</v>
      </c>
      <c r="C15" s="483" t="s">
        <v>1192</v>
      </c>
      <c r="D15" s="483" t="s">
        <v>2453</v>
      </c>
      <c r="E15" s="483" t="s">
        <v>2454</v>
      </c>
      <c r="F15" s="483" t="s">
        <v>2455</v>
      </c>
      <c r="G15" s="483" t="s">
        <v>2456</v>
      </c>
      <c r="H15" s="483" t="s">
        <v>2457</v>
      </c>
    </row>
    <row r="16" spans="1:8" ht="15.75" hidden="1">
      <c r="A16" s="491"/>
      <c r="B16" s="492"/>
      <c r="C16" s="493"/>
      <c r="D16" s="494"/>
      <c r="E16" s="495"/>
      <c r="F16" s="496"/>
      <c r="G16" s="496"/>
      <c r="H16" s="496"/>
    </row>
    <row r="17" spans="1:8" ht="47.25" hidden="1">
      <c r="A17" s="642" t="s">
        <v>2458</v>
      </c>
      <c r="B17" s="643" t="s">
        <v>2459</v>
      </c>
      <c r="C17" s="644" t="s">
        <v>2460</v>
      </c>
      <c r="D17" s="645">
        <f>MEDIAN(F24:H24)</f>
        <v>495</v>
      </c>
      <c r="E17" s="498" t="s">
        <v>2461</v>
      </c>
      <c r="F17" s="497" t="str">
        <f>B9</f>
        <v>TERPAV ENGENHARIA LTDA</v>
      </c>
      <c r="G17" s="497" t="str">
        <f>B10</f>
        <v>BRASILAR COMÉRCIO, INDÚSTRIA E SERVIÇOS DE CONSTRUÇÃO LTDA</v>
      </c>
      <c r="H17" s="497" t="str">
        <f>B11</f>
        <v>SÓPEDRA TRANSPORTE COMÉRCIO E CONSTRUÇÃO LTDA</v>
      </c>
    </row>
    <row r="18" spans="1:8" ht="15.75" hidden="1">
      <c r="A18" s="642"/>
      <c r="B18" s="643"/>
      <c r="C18" s="644"/>
      <c r="D18" s="646"/>
      <c r="E18" s="498" t="s">
        <v>2462</v>
      </c>
      <c r="F18" s="497" t="str">
        <f>C9</f>
        <v>19.993.011/0001-48</v>
      </c>
      <c r="G18" s="497" t="str">
        <f>C10</f>
        <v>02.173.244/0001-00</v>
      </c>
      <c r="H18" s="497" t="str">
        <f>C11</f>
        <v>07.305.450/0001-31</v>
      </c>
    </row>
    <row r="19" spans="1:8" ht="15.75" hidden="1">
      <c r="A19" s="642"/>
      <c r="B19" s="643"/>
      <c r="C19" s="644"/>
      <c r="D19" s="646"/>
      <c r="E19" s="498" t="s">
        <v>2434</v>
      </c>
      <c r="F19" s="497" t="str">
        <f>E9</f>
        <v>Fernando Odilon</v>
      </c>
      <c r="G19" s="497">
        <f>E10</f>
        <v>0</v>
      </c>
      <c r="H19" s="497">
        <f>E11</f>
        <v>0</v>
      </c>
    </row>
    <row r="20" spans="1:8" ht="15.75" hidden="1">
      <c r="A20" s="642"/>
      <c r="B20" s="643"/>
      <c r="C20" s="644"/>
      <c r="D20" s="646"/>
      <c r="E20" s="498" t="s">
        <v>2463</v>
      </c>
      <c r="F20" s="499" t="s">
        <v>2464</v>
      </c>
      <c r="G20" s="499" t="s">
        <v>2465</v>
      </c>
      <c r="H20" s="499" t="s">
        <v>2465</v>
      </c>
    </row>
    <row r="21" spans="1:8" ht="15.75" hidden="1">
      <c r="A21" s="642"/>
      <c r="B21" s="643"/>
      <c r="C21" s="644"/>
      <c r="D21" s="646"/>
      <c r="E21" s="498" t="s">
        <v>2466</v>
      </c>
      <c r="F21" s="497" t="str">
        <f>F9</f>
        <v>(81) 9.8501-4732</v>
      </c>
      <c r="G21" s="497" t="str">
        <f>F10</f>
        <v>(81) 3429-2902</v>
      </c>
      <c r="H21" s="497" t="str">
        <f>F11</f>
        <v>(81) 9.9961-1833</v>
      </c>
    </row>
    <row r="22" spans="1:8" ht="15.75" hidden="1">
      <c r="A22" s="642"/>
      <c r="B22" s="643"/>
      <c r="C22" s="644"/>
      <c r="D22" s="646"/>
      <c r="E22" s="498" t="s">
        <v>2467</v>
      </c>
      <c r="F22" s="500">
        <v>420</v>
      </c>
      <c r="G22" s="500">
        <v>450</v>
      </c>
      <c r="H22" s="500">
        <v>450</v>
      </c>
    </row>
    <row r="23" spans="1:8" ht="15.75" hidden="1">
      <c r="A23" s="642"/>
      <c r="B23" s="643"/>
      <c r="C23" s="644"/>
      <c r="D23" s="646"/>
      <c r="E23" s="498" t="s">
        <v>2468</v>
      </c>
      <c r="F23" s="500">
        <f>F22*0.1</f>
        <v>42</v>
      </c>
      <c r="G23" s="500">
        <f>G22*0.1</f>
        <v>45</v>
      </c>
      <c r="H23" s="500">
        <f>H22*0.1</f>
        <v>45</v>
      </c>
    </row>
    <row r="24" spans="1:8" ht="15.75" hidden="1">
      <c r="A24" s="642"/>
      <c r="B24" s="643"/>
      <c r="C24" s="644"/>
      <c r="D24" s="646"/>
      <c r="E24" s="498" t="s">
        <v>2469</v>
      </c>
      <c r="F24" s="500">
        <f>F22+F23</f>
        <v>462</v>
      </c>
      <c r="G24" s="500">
        <f>G22+G23</f>
        <v>495</v>
      </c>
      <c r="H24" s="500">
        <f>H22+H23</f>
        <v>495</v>
      </c>
    </row>
    <row r="25" spans="1:8" ht="15.75" hidden="1">
      <c r="A25" s="501"/>
      <c r="B25" s="501"/>
      <c r="C25" s="501"/>
      <c r="D25" s="501"/>
      <c r="E25" s="501"/>
      <c r="F25" s="501"/>
      <c r="G25" s="501"/>
      <c r="H25" s="501"/>
    </row>
    <row r="26" spans="1:8" ht="15.75">
      <c r="A26" s="482" t="s">
        <v>2431</v>
      </c>
      <c r="B26" s="482" t="s">
        <v>2432</v>
      </c>
      <c r="C26" s="647" t="s">
        <v>2433</v>
      </c>
      <c r="D26" s="647"/>
      <c r="E26" s="483" t="s">
        <v>2434</v>
      </c>
      <c r="F26" s="483" t="s">
        <v>2435</v>
      </c>
      <c r="G26" s="483" t="s">
        <v>2436</v>
      </c>
      <c r="H26" s="483" t="s">
        <v>2437</v>
      </c>
    </row>
    <row r="27" spans="1:8" ht="15.75">
      <c r="A27" s="484" t="s">
        <v>2438</v>
      </c>
      <c r="B27" s="485" t="s">
        <v>2470</v>
      </c>
      <c r="C27" s="639" t="s">
        <v>2471</v>
      </c>
      <c r="D27" s="640"/>
      <c r="E27" s="486" t="str">
        <f>F37</f>
        <v>IANA</v>
      </c>
      <c r="F27" s="486" t="s">
        <v>2472</v>
      </c>
      <c r="G27" s="486" t="s">
        <v>2473</v>
      </c>
      <c r="H27" s="502" t="s">
        <v>2474</v>
      </c>
    </row>
    <row r="28" spans="1:8" ht="15.75">
      <c r="A28" s="484" t="s">
        <v>2443</v>
      </c>
      <c r="B28" s="485" t="s">
        <v>2475</v>
      </c>
      <c r="C28" s="639" t="str">
        <f>G36</f>
        <v>11.356.463/0001-07</v>
      </c>
      <c r="D28" s="640"/>
      <c r="E28" s="486" t="s">
        <v>2476</v>
      </c>
      <c r="F28" s="486" t="s">
        <v>2477</v>
      </c>
      <c r="G28" s="486"/>
      <c r="H28" s="503" t="s">
        <v>2478</v>
      </c>
    </row>
    <row r="29" spans="1:8" ht="15.75">
      <c r="A29" s="484" t="s">
        <v>2447</v>
      </c>
      <c r="B29" s="485" t="s">
        <v>2479</v>
      </c>
      <c r="C29" s="639" t="s">
        <v>2480</v>
      </c>
      <c r="D29" s="640"/>
      <c r="E29" s="486" t="s">
        <v>2481</v>
      </c>
      <c r="F29" s="486" t="s">
        <v>2482</v>
      </c>
      <c r="G29" s="486" t="s">
        <v>2483</v>
      </c>
      <c r="H29" s="489" t="s">
        <v>2484</v>
      </c>
    </row>
    <row r="30" spans="1:8" ht="15.75">
      <c r="A30" s="490"/>
      <c r="B30" s="480"/>
      <c r="C30" s="480"/>
      <c r="D30" s="480"/>
      <c r="E30" s="480"/>
      <c r="F30" s="480"/>
      <c r="G30" s="480"/>
      <c r="H30" s="481"/>
    </row>
    <row r="31" spans="1:8" ht="15.75">
      <c r="A31" s="641" t="s">
        <v>2452</v>
      </c>
      <c r="B31" s="641"/>
      <c r="C31" s="641"/>
      <c r="D31" s="641"/>
      <c r="E31" s="641"/>
      <c r="F31" s="641"/>
      <c r="G31" s="641"/>
      <c r="H31" s="641"/>
    </row>
    <row r="32" spans="1:8" ht="15.75">
      <c r="A32" s="478"/>
      <c r="B32" s="479"/>
      <c r="C32" s="480"/>
      <c r="D32" s="480"/>
      <c r="E32" s="480"/>
      <c r="F32" s="480"/>
      <c r="G32" s="480"/>
      <c r="H32" s="481"/>
    </row>
    <row r="33" spans="1:8" ht="15.75">
      <c r="A33" s="482" t="s">
        <v>1</v>
      </c>
      <c r="B33" s="482" t="s">
        <v>3</v>
      </c>
      <c r="C33" s="483" t="s">
        <v>1192</v>
      </c>
      <c r="D33" s="483" t="s">
        <v>2453</v>
      </c>
      <c r="E33" s="483" t="s">
        <v>2454</v>
      </c>
      <c r="F33" s="483" t="s">
        <v>2455</v>
      </c>
      <c r="G33" s="483" t="s">
        <v>2456</v>
      </c>
      <c r="H33" s="483" t="s">
        <v>2457</v>
      </c>
    </row>
    <row r="34" spans="1:8" ht="15.75">
      <c r="A34" s="491"/>
      <c r="B34" s="492"/>
      <c r="C34" s="493"/>
      <c r="D34" s="494"/>
      <c r="E34" s="495"/>
      <c r="F34" s="496"/>
      <c r="G34" s="496"/>
      <c r="H34" s="496"/>
    </row>
    <row r="35" spans="1:8" ht="15.75">
      <c r="A35" s="642" t="s">
        <v>2485</v>
      </c>
      <c r="B35" s="643" t="s">
        <v>23</v>
      </c>
      <c r="C35" s="644" t="s">
        <v>24</v>
      </c>
      <c r="D35" s="636">
        <f>MIN(F42:H42)</f>
        <v>700</v>
      </c>
      <c r="E35" s="498" t="s">
        <v>2461</v>
      </c>
      <c r="F35" s="497" t="str">
        <f>B27</f>
        <v>Litoral banheiros quimicos</v>
      </c>
      <c r="G35" s="504" t="s">
        <v>2486</v>
      </c>
      <c r="H35" s="497" t="str">
        <f>B29</f>
        <v>BW LOCAÇÕES</v>
      </c>
    </row>
    <row r="36" spans="1:8" ht="15.75">
      <c r="A36" s="642"/>
      <c r="B36" s="643"/>
      <c r="C36" s="644"/>
      <c r="D36" s="637"/>
      <c r="E36" s="498" t="s">
        <v>2462</v>
      </c>
      <c r="F36" s="497" t="str">
        <f>C27</f>
        <v>11.761.604/0001-77</v>
      </c>
      <c r="G36" s="497" t="s">
        <v>2487</v>
      </c>
      <c r="H36" s="497" t="str">
        <f>C29</f>
        <v>03.609.5070001-35</v>
      </c>
    </row>
    <row r="37" spans="1:8" ht="15.75">
      <c r="A37" s="642"/>
      <c r="B37" s="643"/>
      <c r="C37" s="644"/>
      <c r="D37" s="637"/>
      <c r="E37" s="498" t="s">
        <v>2434</v>
      </c>
      <c r="F37" s="497" t="s">
        <v>2488</v>
      </c>
      <c r="G37" s="497" t="str">
        <f>E28</f>
        <v xml:space="preserve">Brisa Luanna </v>
      </c>
      <c r="H37" s="497" t="str">
        <f>E29</f>
        <v>Luiz Bezerra</v>
      </c>
    </row>
    <row r="38" spans="1:8" ht="15.75">
      <c r="A38" s="642"/>
      <c r="B38" s="643"/>
      <c r="C38" s="644"/>
      <c r="D38" s="637"/>
      <c r="E38" s="498" t="s">
        <v>2463</v>
      </c>
      <c r="F38" s="505">
        <v>44637</v>
      </c>
      <c r="G38" s="505">
        <v>44608</v>
      </c>
      <c r="H38" s="505">
        <v>44608</v>
      </c>
    </row>
    <row r="39" spans="1:8" ht="15.75">
      <c r="A39" s="642"/>
      <c r="B39" s="643"/>
      <c r="C39" s="644"/>
      <c r="D39" s="637"/>
      <c r="E39" s="498" t="s">
        <v>2466</v>
      </c>
      <c r="F39" s="497" t="str">
        <f>F27</f>
        <v xml:space="preserve">(81) 99812-5679 </v>
      </c>
      <c r="G39" s="497" t="s">
        <v>2489</v>
      </c>
      <c r="H39" s="497" t="str">
        <f>F29</f>
        <v>(81) 3339-1469</v>
      </c>
    </row>
    <row r="40" spans="1:8" ht="15.75">
      <c r="A40" s="642"/>
      <c r="B40" s="643"/>
      <c r="C40" s="644"/>
      <c r="D40" s="637"/>
      <c r="E40" s="498" t="s">
        <v>2467</v>
      </c>
      <c r="F40" s="506">
        <v>700</v>
      </c>
      <c r="G40" s="506">
        <v>700</v>
      </c>
      <c r="H40" s="506">
        <v>800</v>
      </c>
    </row>
    <row r="41" spans="1:8" ht="31.5">
      <c r="A41" s="642"/>
      <c r="B41" s="643"/>
      <c r="C41" s="644"/>
      <c r="D41" s="637"/>
      <c r="E41" s="498" t="s">
        <v>2490</v>
      </c>
      <c r="F41" s="506">
        <v>0</v>
      </c>
      <c r="G41" s="506">
        <v>0</v>
      </c>
      <c r="H41" s="506">
        <v>0</v>
      </c>
    </row>
    <row r="42" spans="1:8" ht="15.75">
      <c r="A42" s="642"/>
      <c r="B42" s="643"/>
      <c r="C42" s="644"/>
      <c r="D42" s="638"/>
      <c r="E42" s="498" t="s">
        <v>2469</v>
      </c>
      <c r="F42" s="500">
        <f>F40+F41</f>
        <v>700</v>
      </c>
      <c r="G42" s="500">
        <f>G40+G41</f>
        <v>700</v>
      </c>
      <c r="H42" s="500">
        <f>H40+H41</f>
        <v>800</v>
      </c>
    </row>
    <row r="43" spans="1:8" ht="31.5">
      <c r="A43" s="630" t="s">
        <v>206</v>
      </c>
      <c r="B43" s="633" t="s">
        <v>1373</v>
      </c>
      <c r="C43" s="633" t="s">
        <v>138</v>
      </c>
      <c r="D43" s="636">
        <f>MIN(F50:H50)</f>
        <v>5.32</v>
      </c>
      <c r="E43" s="507" t="s">
        <v>2461</v>
      </c>
      <c r="F43" s="508" t="s">
        <v>2491</v>
      </c>
      <c r="G43" s="508" t="s">
        <v>2492</v>
      </c>
      <c r="H43" s="508" t="s">
        <v>2493</v>
      </c>
    </row>
    <row r="44" spans="1:8" ht="15.75">
      <c r="A44" s="631"/>
      <c r="B44" s="634"/>
      <c r="C44" s="634"/>
      <c r="D44" s="637"/>
      <c r="E44" s="507" t="s">
        <v>2462</v>
      </c>
      <c r="F44" s="509" t="s">
        <v>2494</v>
      </c>
      <c r="G44" s="509" t="s">
        <v>2495</v>
      </c>
      <c r="H44" s="509"/>
    </row>
    <row r="45" spans="1:8" ht="15">
      <c r="A45" s="631"/>
      <c r="B45" s="634"/>
      <c r="C45" s="634"/>
      <c r="D45" s="637"/>
      <c r="E45" s="507" t="s">
        <v>2434</v>
      </c>
      <c r="F45" s="510">
        <v>6.16</v>
      </c>
      <c r="G45" s="510">
        <v>7.49</v>
      </c>
      <c r="H45" s="510">
        <v>5.32</v>
      </c>
    </row>
    <row r="46" spans="1:8" ht="15.75">
      <c r="A46" s="631"/>
      <c r="B46" s="634"/>
      <c r="C46" s="634"/>
      <c r="D46" s="637"/>
      <c r="E46" s="507" t="s">
        <v>2463</v>
      </c>
      <c r="F46" s="509">
        <v>44777</v>
      </c>
      <c r="G46" s="509">
        <v>44679</v>
      </c>
      <c r="H46" s="509">
        <v>44777</v>
      </c>
    </row>
    <row r="47" spans="1:8" ht="15">
      <c r="A47" s="631"/>
      <c r="B47" s="634"/>
      <c r="C47" s="634"/>
      <c r="D47" s="637"/>
      <c r="E47" s="507" t="s">
        <v>2496</v>
      </c>
      <c r="F47" s="511"/>
      <c r="G47" s="512"/>
      <c r="H47" s="513"/>
    </row>
    <row r="48" spans="1:8" ht="15">
      <c r="A48" s="631"/>
      <c r="B48" s="634"/>
      <c r="C48" s="634"/>
      <c r="D48" s="637"/>
      <c r="E48" s="507" t="s">
        <v>2467</v>
      </c>
      <c r="F48" s="510">
        <f>F45</f>
        <v>6.16</v>
      </c>
      <c r="G48" s="510">
        <f>G45</f>
        <v>7.49</v>
      </c>
      <c r="H48" s="510">
        <f>H45</f>
        <v>5.32</v>
      </c>
    </row>
    <row r="49" spans="1:8" ht="15">
      <c r="A49" s="631"/>
      <c r="B49" s="634"/>
      <c r="C49" s="634"/>
      <c r="D49" s="637"/>
      <c r="E49" s="507" t="s">
        <v>2497</v>
      </c>
      <c r="F49" s="514"/>
      <c r="G49" s="514"/>
      <c r="H49" s="515"/>
    </row>
    <row r="50" spans="1:8" ht="15">
      <c r="A50" s="632"/>
      <c r="B50" s="635"/>
      <c r="C50" s="635"/>
      <c r="D50" s="638"/>
      <c r="E50" s="507" t="s">
        <v>2498</v>
      </c>
      <c r="F50" s="516">
        <f>F48+F49</f>
        <v>6.16</v>
      </c>
      <c r="G50" s="516">
        <f>G48+G49</f>
        <v>7.49</v>
      </c>
      <c r="H50" s="516">
        <f>H48+H49</f>
        <v>5.32</v>
      </c>
    </row>
    <row r="51" spans="1:8" ht="15.75">
      <c r="A51" s="630" t="s">
        <v>197</v>
      </c>
      <c r="B51" s="633" t="s">
        <v>1371</v>
      </c>
      <c r="C51" s="633" t="s">
        <v>60</v>
      </c>
      <c r="D51" s="636">
        <f>MIN(F58:H58)</f>
        <v>56.099999999999994</v>
      </c>
      <c r="E51" s="507" t="s">
        <v>2461</v>
      </c>
      <c r="F51" s="508" t="s">
        <v>2499</v>
      </c>
      <c r="G51" s="508" t="s">
        <v>2500</v>
      </c>
      <c r="H51" s="508" t="s">
        <v>2501</v>
      </c>
    </row>
    <row r="52" spans="1:8" ht="15.75">
      <c r="A52" s="631"/>
      <c r="B52" s="634"/>
      <c r="C52" s="634"/>
      <c r="D52" s="637"/>
      <c r="E52" s="507" t="s">
        <v>2462</v>
      </c>
      <c r="F52" s="509"/>
      <c r="G52" s="509"/>
      <c r="H52" s="509"/>
    </row>
    <row r="53" spans="1:8" ht="15">
      <c r="A53" s="631"/>
      <c r="B53" s="634"/>
      <c r="C53" s="634"/>
      <c r="D53" s="637"/>
      <c r="E53" s="507" t="s">
        <v>2434</v>
      </c>
      <c r="F53" s="510"/>
      <c r="G53" s="510"/>
      <c r="H53" s="510"/>
    </row>
    <row r="54" spans="1:8" ht="15.75">
      <c r="A54" s="631"/>
      <c r="B54" s="634"/>
      <c r="C54" s="634"/>
      <c r="D54" s="637"/>
      <c r="E54" s="507" t="s">
        <v>2463</v>
      </c>
      <c r="F54" s="509">
        <v>44825</v>
      </c>
      <c r="G54" s="509">
        <v>44825</v>
      </c>
      <c r="H54" s="509">
        <v>44825</v>
      </c>
    </row>
    <row r="55" spans="1:8" ht="15">
      <c r="A55" s="631"/>
      <c r="B55" s="634"/>
      <c r="C55" s="634"/>
      <c r="D55" s="637"/>
      <c r="E55" s="507" t="s">
        <v>2496</v>
      </c>
      <c r="F55" s="511"/>
      <c r="G55" s="512"/>
      <c r="H55" s="513"/>
    </row>
    <row r="56" spans="1:8" ht="15">
      <c r="A56" s="631"/>
      <c r="B56" s="634"/>
      <c r="C56" s="634"/>
      <c r="D56" s="637"/>
      <c r="E56" s="507" t="s">
        <v>2467</v>
      </c>
      <c r="F56" s="510">
        <v>64.349999999999994</v>
      </c>
      <c r="G56" s="510">
        <f>34*1.65</f>
        <v>56.099999999999994</v>
      </c>
      <c r="H56" s="510">
        <f>40*1.65</f>
        <v>66</v>
      </c>
    </row>
    <row r="57" spans="1:8" ht="15">
      <c r="A57" s="631"/>
      <c r="B57" s="634"/>
      <c r="C57" s="634"/>
      <c r="D57" s="637"/>
      <c r="E57" s="507" t="s">
        <v>2497</v>
      </c>
      <c r="F57" s="514"/>
      <c r="G57" s="514"/>
      <c r="H57" s="515"/>
    </row>
    <row r="58" spans="1:8" ht="15">
      <c r="A58" s="632"/>
      <c r="B58" s="635"/>
      <c r="C58" s="635"/>
      <c r="D58" s="638"/>
      <c r="E58" s="507" t="s">
        <v>2498</v>
      </c>
      <c r="F58" s="516">
        <f>F56+F57</f>
        <v>64.349999999999994</v>
      </c>
      <c r="G58" s="516">
        <f>G56+G57</f>
        <v>56.099999999999994</v>
      </c>
      <c r="H58" s="516">
        <f>H56+H57</f>
        <v>66</v>
      </c>
    </row>
  </sheetData>
  <mergeCells count="27">
    <mergeCell ref="C27:D27"/>
    <mergeCell ref="A6:H6"/>
    <mergeCell ref="C8:D8"/>
    <mergeCell ref="C9:D9"/>
    <mergeCell ref="C10:D10"/>
    <mergeCell ref="C11:D11"/>
    <mergeCell ref="A13:H13"/>
    <mergeCell ref="A17:A24"/>
    <mergeCell ref="B17:B24"/>
    <mergeCell ref="C17:C24"/>
    <mergeCell ref="D17:D24"/>
    <mergeCell ref="C26:D26"/>
    <mergeCell ref="C28:D28"/>
    <mergeCell ref="C29:D29"/>
    <mergeCell ref="A31:H31"/>
    <mergeCell ref="A35:A42"/>
    <mergeCell ref="B35:B42"/>
    <mergeCell ref="C35:C42"/>
    <mergeCell ref="D35:D42"/>
    <mergeCell ref="A43:A50"/>
    <mergeCell ref="B43:B50"/>
    <mergeCell ref="C43:C50"/>
    <mergeCell ref="D43:D50"/>
    <mergeCell ref="A51:A58"/>
    <mergeCell ref="B51:B58"/>
    <mergeCell ref="C51:C58"/>
    <mergeCell ref="D51:D58"/>
  </mergeCells>
  <conditionalFormatting sqref="D43">
    <cfRule type="cellIs" dxfId="2" priority="3" operator="equal">
      <formula>0</formula>
    </cfRule>
  </conditionalFormatting>
  <conditionalFormatting sqref="D35">
    <cfRule type="cellIs" dxfId="1" priority="2" operator="equal">
      <formula>0</formula>
    </cfRule>
  </conditionalFormatting>
  <conditionalFormatting sqref="D51">
    <cfRule type="cellIs" dxfId="0" priority="1" operator="equal">
      <formula>0</formula>
    </cfRule>
  </conditionalFormatting>
  <hyperlinks>
    <hyperlink ref="H11" r:id="rId1" xr:uid="{C5E0D478-E105-49BA-8D48-2C6AD106D527}"/>
    <hyperlink ref="H29" r:id="rId2" xr:uid="{7FD31975-5C06-4CDC-B5EB-289A7964A8A2}"/>
    <hyperlink ref="H28" r:id="rId3" xr:uid="{06D6169D-DDE9-4319-A38C-05FB469FDF4F}"/>
    <hyperlink ref="H27" r:id="rId4" display="mailto:litoralbanheirosquimicos@gmail.com" xr:uid="{8047769C-A655-4FB4-9110-BBD7D9C42E4F}"/>
  </hyperlinks>
  <pageMargins left="0.511811024" right="0.511811024" top="0.78740157499999996" bottom="0.78740157499999996" header="0.31496062000000002" footer="0.31496062000000002"/>
  <pageSetup paperSize="9" scale="47" orientation="portrait"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20</vt:i4>
      </vt:variant>
    </vt:vector>
  </HeadingPairs>
  <TitlesOfParts>
    <vt:vector size="30" baseType="lpstr">
      <vt:lpstr>RESUMO</vt:lpstr>
      <vt:lpstr>PLANILHA ORCAMENTARIA</vt:lpstr>
      <vt:lpstr>Memória de Cálculo</vt:lpstr>
      <vt:lpstr>COMPOSICOES PROPRIAS</vt:lpstr>
      <vt:lpstr>CURVA ABC SERVIÇOS</vt:lpstr>
      <vt:lpstr>CURVA ABC ADM</vt:lpstr>
      <vt:lpstr>CURVA ABC INSUMOS</vt:lpstr>
      <vt:lpstr>CRONOGRAMA</vt:lpstr>
      <vt:lpstr>BDI</vt:lpstr>
      <vt:lpstr>mapa cotação</vt:lpstr>
      <vt:lpstr>BDI!Area_de_impressao</vt:lpstr>
      <vt:lpstr>'CURVA ABC INSUMOS'!Area_de_impressao</vt:lpstr>
      <vt:lpstr>'CURVA ABC SERVIÇOS'!Area_de_impressao</vt:lpstr>
      <vt:lpstr>'Memória de Cálculo'!Area_de_impressao</vt:lpstr>
      <vt:lpstr>RESUMO!Area_de_impressao</vt:lpstr>
      <vt:lpstr>CRONOGRAMA!JR_PAGE_ANCHOR_0_1</vt:lpstr>
      <vt:lpstr>'CURVA ABC SERVIÇOS'!JR_PAGE_ANCHOR_0_1</vt:lpstr>
      <vt:lpstr>JR_PAGE_ANCHOR_0_1</vt:lpstr>
      <vt:lpstr>JR_PAGE_ANCHOR_1_1</vt:lpstr>
      <vt:lpstr>JR_PAGE_ANCHOR_2_1</vt:lpstr>
      <vt:lpstr>JR_PAGE_ANCHOR_4_1</vt:lpstr>
      <vt:lpstr>JR_PAGE_ANCHOR_6_1</vt:lpstr>
      <vt:lpstr>'Memória de Cálculo'!Print_Area</vt:lpstr>
      <vt:lpstr>'COMPOSICOES PROPRIAS'!Titulos_de_impressao</vt:lpstr>
      <vt:lpstr>CRONOGRAMA!Titulos_de_impressao</vt:lpstr>
      <vt:lpstr>'CURVA ABC INSUMOS'!Titulos_de_impressao</vt:lpstr>
      <vt:lpstr>'CURVA ABC SERVIÇOS'!Titulos_de_impressao</vt:lpstr>
      <vt:lpstr>'Memória de Cálculo'!Titulos_de_impressao</vt:lpstr>
      <vt:lpstr>'PLANILHA ORCAMENTARIA'!Titulos_de_impressao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2023-03-09T13:14:06Z</dcterms:modified>
</cp:coreProperties>
</file>