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FDF48DA4-7D02-44D5-B6BA-62DB11C83D4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RESUMO" sheetId="2" r:id="rId1"/>
    <sheet name="PLANILHA ORCAMENTARIA" sheetId="1" r:id="rId2"/>
    <sheet name="Memória de Cálculo" sheetId="9" r:id="rId3"/>
    <sheet name="COMPOSICOES PROPRIAS" sheetId="3" r:id="rId4"/>
    <sheet name="CURVA ABC SERVICOS" sheetId="4" r:id="rId5"/>
    <sheet name="CRONOGRAMA" sheetId="5" r:id="rId6"/>
    <sheet name="BDI" sheetId="6" r:id="rId7"/>
    <sheet name="ENCARGOS SOCIAIS" sheetId="7" r:id="rId8"/>
    <sheet name="MAPA COTAÇÃO" sheetId="8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">NA()</definedName>
    <definedName name="_____TOT2">NA()</definedName>
    <definedName name="____ACA25">NA()</definedName>
    <definedName name="____ACA50">NA()</definedName>
    <definedName name="____CCM30">NA()</definedName>
    <definedName name="____CMM30">NA()</definedName>
    <definedName name="____KM406407">NA()</definedName>
    <definedName name="____la2">NA()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TB10">NA()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ACA25">NA()</definedName>
    <definedName name="___ACA50">NA()</definedName>
    <definedName name="___CCM30">NA()</definedName>
    <definedName name="___CMM30">NA()</definedName>
    <definedName name="___KM406407">NA()</definedName>
    <definedName name="___la2">NA()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TB10">NA()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ACA25">NA()</definedName>
    <definedName name="__ACA50">NA()</definedName>
    <definedName name="__CCM30">NA()</definedName>
    <definedName name="__CMM30">NA()</definedName>
    <definedName name="__KM406407">NA()</definedName>
    <definedName name="__la2">NA()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TB10">NA()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SD2">NA()</definedName>
    <definedName name="_01_09_96">NA()</definedName>
    <definedName name="_08_302_01">NA()</definedName>
    <definedName name="_ACA25">NA()</definedName>
    <definedName name="_ACA50">NA()</definedName>
    <definedName name="_CCM30">NA()</definedName>
    <definedName name="_CMM30">NA()</definedName>
    <definedName name="_I">NA()</definedName>
    <definedName name="_Key1">NA()</definedName>
    <definedName name="_Key2">NA()</definedName>
    <definedName name="_KM406407">NA()</definedName>
    <definedName name="_la2">NA()</definedName>
    <definedName name="_Order1" hidden="1">255</definedName>
    <definedName name="_Order2">0</definedName>
    <definedName name="_PCM30">NA()</definedName>
    <definedName name="_PL1">NA()</definedName>
    <definedName name="_PLA2">NA()</definedName>
    <definedName name="_PNV2002">NA()</definedName>
    <definedName name="_PNV2003">NA()</definedName>
    <definedName name="_PNV2009">NA()</definedName>
    <definedName name="_PTB10">NA()</definedName>
    <definedName name="_S">NA()</definedName>
    <definedName name="_Sort">NA()</definedName>
    <definedName name="_TB10">NA()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SD2">NA()</definedName>
    <definedName name="_xlnm_Database">NA()</definedName>
    <definedName name="_xlnm_Print_Area">NA()</definedName>
    <definedName name="_xlnm_Recorder">NA()</definedName>
    <definedName name="a">NA()</definedName>
    <definedName name="AA">NA()</definedName>
    <definedName name="aaaa">NA()</definedName>
    <definedName name="aauf">NA()</definedName>
    <definedName name="aauq">NA()</definedName>
    <definedName name="aauqs">NA()</definedName>
    <definedName name="ABC_ATUAL">NA()</definedName>
    <definedName name="ABC_LAGOA">NA()</definedName>
    <definedName name="ac">NA()</definedName>
    <definedName name="ACAP20">NA()</definedName>
    <definedName name="acumulado">NA()</definedName>
    <definedName name="adfedfds">NA()</definedName>
    <definedName name="alcool">NA()</definedName>
    <definedName name="ALTA">NA()</definedName>
    <definedName name="amarela">NA()</definedName>
    <definedName name="AMBIENTE">NA()</definedName>
    <definedName name="anscount">3</definedName>
    <definedName name="area">NA()</definedName>
    <definedName name="_xlnm.Print_Area" localSheetId="7">'ENCARGOS SOCIAIS'!$A$1:$G$43</definedName>
    <definedName name="_xlnm.Print_Area" localSheetId="8">'MAPA COTAÇÃO'!$A$1:$J$49</definedName>
    <definedName name="_xlnm.Print_Area" localSheetId="2">'Memória de Cálculo'!$A$1:$J$307</definedName>
    <definedName name="Área_impressão_IM">NA()</definedName>
    <definedName name="AREC">NA()</definedName>
    <definedName name="AREIA">NA()</definedName>
    <definedName name="AREIACS">NA()</definedName>
    <definedName name="ASS" localSheetId="2">_PL1</definedName>
    <definedName name="ASS">_PL1</definedName>
    <definedName name="ATERRO">#REF!</definedName>
    <definedName name="azul">NA()</definedName>
    <definedName name="AZULSINAL">NA()</definedName>
    <definedName name="B">NA()</definedName>
    <definedName name="BANCO_1_INSUMO">#REF!</definedName>
    <definedName name="BANCO_1_SERVICO">#REF!</definedName>
    <definedName name="BANCO_10_SERVICO">#REF!</definedName>
    <definedName name="BANCO_2_INSUMO">#REF!</definedName>
    <definedName name="BANCO_2_SERVICO">#REF!</definedName>
    <definedName name="BANCO_3_INSUMO">#REF!</definedName>
    <definedName name="BANCO_3_SERVICO">#REF!</definedName>
    <definedName name="BANCO_4_INSUMO">#REF!</definedName>
    <definedName name="BANCO_4_SERVICO">#REF!</definedName>
    <definedName name="BANCO_5_SERVICO">#REF!</definedName>
    <definedName name="BANCO_6_SERVICO">#REF!</definedName>
    <definedName name="BANCO_7_SERVICO">#REF!</definedName>
    <definedName name="BANCO_8_SERVICO">#REF!</definedName>
    <definedName name="BANCO_9_SERVICO">#REF!</definedName>
    <definedName name="BASE">NA()</definedName>
    <definedName name="BASE_PRE">#REF!</definedName>
    <definedName name="bb">NA()</definedName>
    <definedName name="bbbbbb">NA()</definedName>
    <definedName name="BD">NA()</definedName>
    <definedName name="BDI">NA()</definedName>
    <definedName name="BDI.Opcao" localSheetId="8" hidden="1">#REF!</definedName>
    <definedName name="BDI.Opcao" hidden="1">[1]DADOS!$F$18</definedName>
    <definedName name="BDI.TipoObra" localSheetId="8" hidden="1">#REF!</definedName>
    <definedName name="BDI.TipoObra" hidden="1">[1]BDI!$A$138:$A$146</definedName>
    <definedName name="BDI_DIF">NA()</definedName>
    <definedName name="BETE">NA()</definedName>
    <definedName name="BG">NA()</definedName>
    <definedName name="bgbg">NA()</definedName>
    <definedName name="BGU">NA()</definedName>
    <definedName name="BIO">NA()</definedName>
    <definedName name="BRITA">NA()</definedName>
    <definedName name="BU">NA()</definedName>
    <definedName name="BuiltIn_Print_Area">NA()</definedName>
    <definedName name="CAIB">NA()</definedName>
    <definedName name="CAL">NA()</definedName>
    <definedName name="calculo">NA()</definedName>
    <definedName name="CAPA">NA()</definedName>
    <definedName name="CAPÁ2">NA()</definedName>
    <definedName name="CAR_ARE_PRE">#REF!</definedName>
    <definedName name="CAR_DEM">#REF!</definedName>
    <definedName name="CARGA_BOTAFORA">#REF!</definedName>
    <definedName name="CARGA_EMPRE">#REF!</definedName>
    <definedName name="CARGA_SB_PRE">#REF!</definedName>
    <definedName name="CBU">NA()</definedName>
    <definedName name="CBUII">NA()</definedName>
    <definedName name="cbuq">NA()</definedName>
    <definedName name="CBUQB">NA()</definedName>
    <definedName name="CBUQc">NA()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CCARR">NA()</definedName>
    <definedName name="CCC">NA()</definedName>
    <definedName name="CCCCCCC">NA()</definedName>
    <definedName name="CD">NA()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IM">NA()</definedName>
    <definedName name="compeqp">NA()</definedName>
    <definedName name="COMPOSIÇÕES">#REF!</definedName>
    <definedName name="Consumodemateriais">NA()</definedName>
    <definedName name="Consumodemateriais___0">NA()</definedName>
    <definedName name="COR_ARV_20">#REF!</definedName>
    <definedName name="COR_ARV_40">#REF!</definedName>
    <definedName name="COR_ARV_60">#REF!</definedName>
    <definedName name="CORTE_EMPR">#REF!</definedName>
    <definedName name="CORTE_PRI">#REF!</definedName>
    <definedName name="COTACAO">#REF!</definedName>
    <definedName name="cotação">NA()</definedName>
    <definedName name="CSA">NA()</definedName>
    <definedName name="CST">NA()</definedName>
    <definedName name="CURRENCY">NA()</definedName>
    <definedName name="custo">NA()</definedName>
    <definedName name="CUSTO_BDI_SERVICO">TRUNC(#REF!*(1+#REF!),2)</definedName>
    <definedName name="CUSTO_TOTAL_SERVICO">TRUNC(#REF!*#REF!,2)</definedName>
    <definedName name="d">NA()</definedName>
    <definedName name="DA">NA()</definedName>
    <definedName name="dadinho">NA()</definedName>
    <definedName name="DADOS">NA()</definedName>
    <definedName name="DATA">NA()</definedName>
    <definedName name="Data_Final">NA()</definedName>
    <definedName name="Data_Início">NA()</definedName>
    <definedName name="ddd">NA()</definedName>
    <definedName name="ddddddd">NA()</definedName>
    <definedName name="defensa">NA()</definedName>
    <definedName name="DEM_CONC_ARM">#REF!</definedName>
    <definedName name="DEM_CONC_SIM">#REF!</definedName>
    <definedName name="DEM_SARJ">#REF!</definedName>
    <definedName name="Desenbolso_2">NA()</definedName>
    <definedName name="desenbolso2">NA()</definedName>
    <definedName name="DESM">NA()</definedName>
    <definedName name="DESONERACAO" localSheetId="8" hidden="1">IF(OR('MAPA COTAÇÃO'!Import.Desoneracao="DESONERADO",'MAPA COTAÇÃO'!Import.Desoneracao="SIM"),"SIM","NÃO")</definedName>
    <definedName name="DESONERACAO" localSheetId="2" hidden="1">IF(OR(Import.Desoneracao="DESONERADO",Import.Desoneracao="SIM"),"SIM","NÃO")</definedName>
    <definedName name="DESONERACAO" hidden="1">IF(OR(Import.Desoneracao="DESONERADO",Import.Desoneracao="SIM"),"SIM","NÃO")</definedName>
    <definedName name="DGA">NA()</definedName>
    <definedName name="Diagrama">NA()</definedName>
    <definedName name="DISTA">NA()</definedName>
    <definedName name="DISTP">NA()</definedName>
    <definedName name="DISTS">NA()</definedName>
    <definedName name="DJ">NA()</definedName>
    <definedName name="DMT">2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ois">NA()</definedName>
    <definedName name="ECJ">NA()</definedName>
    <definedName name="EDEDEDE">NA()</definedName>
    <definedName name="EJ">NA()</definedName>
    <definedName name="EMN">NA()</definedName>
    <definedName name="EmpAux">""</definedName>
    <definedName name="ENSAIO_PRE">#REF!</definedName>
    <definedName name="equip">NA()</definedName>
    <definedName name="equipamento">NA()</definedName>
    <definedName name="esc">NA()</definedName>
    <definedName name="ESC_DREN">#REF!</definedName>
    <definedName name="escada">NA()</definedName>
    <definedName name="ett">NA()</definedName>
    <definedName name="ex">NA()</definedName>
    <definedName name="EXA">NA()</definedName>
    <definedName name="Excel_BuiltIn__FilterDatabase_6">NA()</definedName>
    <definedName name="Excel_BuiltIn_Print_Area_4">NA()</definedName>
    <definedName name="exte">NA()</definedName>
    <definedName name="Extenso">NA()</definedName>
    <definedName name="f">NA()</definedName>
    <definedName name="fc1a">NA()</definedName>
    <definedName name="FC2A">NA()</definedName>
    <definedName name="FC3A">NA()</definedName>
    <definedName name="FE">NA()</definedName>
    <definedName name="fer_cristo">NA()</definedName>
    <definedName name="ferna">NA()</definedName>
    <definedName name="FEV">NA()</definedName>
    <definedName name="FEVERE">NA()</definedName>
    <definedName name="fin">NA()</definedName>
    <definedName name="firma2">NA()</definedName>
    <definedName name="fluxo">NA()</definedName>
    <definedName name="fr">NA()</definedName>
    <definedName name="francis">NA()</definedName>
    <definedName name="fre">NA()</definedName>
    <definedName name="FRETE">NA()</definedName>
    <definedName name="FS">NA()</definedName>
    <definedName name="fthju">NA()</definedName>
    <definedName name="fuel">NA()</definedName>
    <definedName name="fv">NA()</definedName>
    <definedName name="gas">NA()</definedName>
    <definedName name="GAST">NA()</definedName>
    <definedName name="GF">NA()</definedName>
    <definedName name="GP">NA()</definedName>
    <definedName name="H">NA()</definedName>
    <definedName name="há">NA()</definedName>
    <definedName name="HC">NA()</definedName>
    <definedName name="hi">NA()</definedName>
    <definedName name="hora">NA()</definedName>
    <definedName name="hrf">NA()</definedName>
    <definedName name="hthj">NA()</definedName>
    <definedName name="HTML_CodePage">1252</definedName>
    <definedName name="HTML_Control" localSheetId="2">{"'1'!$A$2:$G$13"}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Before">TRUE()</definedName>
    <definedName name="HTML_Name">"PCRJ-SMO-CGC"</definedName>
    <definedName name="HTML_OBDlg2">TRUE()</definedName>
    <definedName name="HTML_OBDlg4">TRUE()</definedName>
    <definedName name="HTML_OS">0</definedName>
    <definedName name="HTML_PathFile">"C:\0marcos\MeuHTML.htm"</definedName>
    <definedName name="HTML_Title">"factoring"</definedName>
    <definedName name="IM">NA()</definedName>
    <definedName name="IMAGEM">INDEX(#REF!,MATCH(#REF!,#REF!,0))</definedName>
    <definedName name="IMAGEM_PREF_MEM">INDEX(#REF!,MATCH(#REF!,#REF!,0))</definedName>
    <definedName name="IMAGEM_PREFEITURA">INDEX(#REF!,MATCH(#REF!,#REF!,0))</definedName>
    <definedName name="IMAGEM_RODAPE">INDEX(#REF!,MATCH(#REF!,#REF!,0))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 localSheetId="8" hidden="1">#REF!</definedName>
    <definedName name="Import.Apelido" hidden="1">[1]DADOS!$F$16</definedName>
    <definedName name="Import.CR" localSheetId="8" hidden="1">#REF!</definedName>
    <definedName name="Import.CR" hidden="1">[1]DADOS!$F$7</definedName>
    <definedName name="Import.DescLote" localSheetId="8" hidden="1">#REF!</definedName>
    <definedName name="Import.DescLote" hidden="1">[1]DADOS!$F$17</definedName>
    <definedName name="Import.Desoneracao" localSheetId="8" hidden="1">OFFSET(#REF!,0,-1)</definedName>
    <definedName name="Import.Desoneracao" hidden="1">OFFSET([1]DADOS!$G$18,0,-1)</definedName>
    <definedName name="Import.Município" localSheetId="8" hidden="1">#REF!</definedName>
    <definedName name="Import.Município" hidden="1">[1]DADOS!$F$6</definedName>
    <definedName name="Import.Proponente" localSheetId="8" hidden="1">#REF!</definedName>
    <definedName name="Import.Proponente" hidden="1">[1]DADOS!$F$5</definedName>
    <definedName name="Import.RespOrçamento" localSheetId="8" hidden="1">#REF!</definedName>
    <definedName name="Import.RespOrçamento" hidden="1">[1]DADOS!$F$22:$F$24</definedName>
    <definedName name="Import.SICONV" localSheetId="8" hidden="1">#REF!</definedName>
    <definedName name="Import.SICONV" hidden="1">[1]DADOS!$F$8</definedName>
    <definedName name="IMPRIMAÇÃO">NA()</definedName>
    <definedName name="IOPES_INSUMO">#REF!</definedName>
    <definedName name="IOPES_SERVICO">#REF!</definedName>
    <definedName name="Item">NA()</definedName>
    <definedName name="jkjkj">NA()</definedName>
    <definedName name="JR_PAGE_ANCHOR_0_1" localSheetId="2">'[2]orcamento teste'!#REF!</definedName>
    <definedName name="JR_PAGE_ANCHOR_0_1">'PLANILHA ORCAMENTARIA'!$A$1</definedName>
    <definedName name="JR_PAGE_ANCHOR_1_1">RESUMO!$A$1</definedName>
    <definedName name="JR_PAGE_ANCHOR_2_1">'COMPOSICOES PROPRIAS'!$A$1</definedName>
    <definedName name="JR_PAGE_ANCHOR_3_1">'CURVA ABC SERVICOS'!$A$1</definedName>
    <definedName name="JR_PAGE_ANCHOR_4_1">CRONOGRAMA!$A$1</definedName>
    <definedName name="JR_PAGE_ANCHOR_5_1">BDI!$A$1</definedName>
    <definedName name="JR_PAGE_ANCHOR_6_1">'ENCARGOS SOCIAIS'!$A$1</definedName>
    <definedName name="JR_PAGE_ANCHOR_8_1">#REF!</definedName>
    <definedName name="k">NA()</definedName>
    <definedName name="kf">NA()</definedName>
    <definedName name="kjkhjkh">NA()</definedName>
    <definedName name="km">NA()</definedName>
    <definedName name="KM_406_407">NA()</definedName>
    <definedName name="kwh">NA()</definedName>
    <definedName name="LDI">NA()</definedName>
    <definedName name="Leste">NA()</definedName>
    <definedName name="lias">NA()</definedName>
    <definedName name="LILASDRENA">NA()</definedName>
    <definedName name="LIMP_TER">#REF!</definedName>
    <definedName name="ll">NA()</definedName>
    <definedName name="LOC">NA()</definedName>
    <definedName name="LOCAL">NA()</definedName>
    <definedName name="LS">"S"</definedName>
    <definedName name="LVC">NA()</definedName>
    <definedName name="LVD">NA()</definedName>
    <definedName name="MAPA">NA()</definedName>
    <definedName name="Mapas">NA()</definedName>
    <definedName name="marcos">NA()</definedName>
    <definedName name="Materiais" localSheetId="2">_PL1</definedName>
    <definedName name="Materiais">_PL1</definedName>
    <definedName name="Materiais2" localSheetId="2">_PL1</definedName>
    <definedName name="Materiais2">_PL1</definedName>
    <definedName name="Materiais3" localSheetId="2">_PL1</definedName>
    <definedName name="Materiais3">_PL1</definedName>
    <definedName name="material">NA()</definedName>
    <definedName name="Máximo" localSheetId="2">{"'Índice'!$A$1:$K$49"}</definedName>
    <definedName name="Máximo">{"'Índice'!$A$1:$K$49"}</definedName>
    <definedName name="MBQ">NA()</definedName>
    <definedName name="MBQA">NA()</definedName>
    <definedName name="MBQT">NA()</definedName>
    <definedName name="MED">NA()</definedName>
    <definedName name="Medição">NA()</definedName>
    <definedName name="medidas" localSheetId="8">#REF!</definedName>
    <definedName name="medidas" localSheetId="2">#REF!</definedName>
    <definedName name="medidas">#REF!</definedName>
    <definedName name="MF">NA()</definedName>
    <definedName name="MFio">NA()</definedName>
    <definedName name="mmmm">NA()</definedName>
    <definedName name="MMMMM">NA()</definedName>
    <definedName name="MMMMMM">NA()</definedName>
    <definedName name="módulo1_Extenso">NA()</definedName>
    <definedName name="MUro">NA()</definedName>
    <definedName name="n">NA()</definedName>
    <definedName name="N_">NA()</definedName>
    <definedName name="NLant">5</definedName>
    <definedName name="NLEq">4</definedName>
    <definedName name="NLmin">5</definedName>
    <definedName name="NLMo">6</definedName>
    <definedName name="NLMp">5</definedName>
    <definedName name="NLTr">3</definedName>
    <definedName name="NOME_BI_1">#REF!</definedName>
    <definedName name="NOME_BI_2">#REF!</definedName>
    <definedName name="NOME_BI_3">#REF!</definedName>
    <definedName name="NOME_BI_4">#REF!</definedName>
    <definedName name="NOME_BS_1">#REF!</definedName>
    <definedName name="NOME_BS_10">#REF!</definedName>
    <definedName name="NOME_BS_2">#REF!</definedName>
    <definedName name="NOME_BS_3">#REF!</definedName>
    <definedName name="NOME_BS_4">#REF!</definedName>
    <definedName name="NOME_BS_5">#REF!</definedName>
    <definedName name="NOME_BS_6">#REF!</definedName>
    <definedName name="NOME_BS_7">#REF!</definedName>
    <definedName name="NOME_BS_8">#REF!</definedName>
    <definedName name="NOME_BS_9">#REF!</definedName>
    <definedName name="NTEI">NA()</definedName>
    <definedName name="O">NA()</definedName>
    <definedName name="OLEO">NA()</definedName>
    <definedName name="OPA">NA()</definedName>
    <definedName name="OUTR">NA()</definedName>
    <definedName name="p">NA()</definedName>
    <definedName name="PACAP20MBQ">NA()</definedName>
    <definedName name="PACM30RP">NA()</definedName>
    <definedName name="PAEMULCS">NA()</definedName>
    <definedName name="PAEMULTSS">NA()</definedName>
    <definedName name="parametros">NA()</definedName>
    <definedName name="PARR1CST">NA()</definedName>
    <definedName name="pass">NA()</definedName>
    <definedName name="PassaExtenso">NA()</definedName>
    <definedName name="PASSEIO_PRE">#REF!</definedName>
    <definedName name="PAVIMENTACAO_PRE">#REF!</definedName>
    <definedName name="PCCARR">NA()</definedName>
    <definedName name="PCDF">NA()</definedName>
    <definedName name="PCSA">NA()</definedName>
    <definedName name="PCST">NA()</definedName>
    <definedName name="PDM">NA()</definedName>
    <definedName name="PEMN">NA()</definedName>
    <definedName name="PEN">NA()</definedName>
    <definedName name="pesquisa">NA()</definedName>
    <definedName name="pessoal">NA()</definedName>
    <definedName name="PG">NA()</definedName>
    <definedName name="PGP">NA()</definedName>
    <definedName name="PINTLIG">NA()</definedName>
    <definedName name="Pintura">NA()</definedName>
    <definedName name="PIS_TAT_ALE_20">#REF!</definedName>
    <definedName name="PIS_TAT_ALE_40">#REF!</definedName>
    <definedName name="PIS_TAT_ALE_5MM">#REF!</definedName>
    <definedName name="PIS_TAT_ALE_SIN">#REF!</definedName>
    <definedName name="PIS_TAT_DIR_20">#REF!</definedName>
    <definedName name="PIS_TAT_DIR_40">#REF!</definedName>
    <definedName name="PIS_TAT_DIR_5MM">#REF!</definedName>
    <definedName name="PIS_TAT_DIR_SIN">#REF!</definedName>
    <definedName name="PL">NA()</definedName>
    <definedName name="PLA">NA()</definedName>
    <definedName name="PLACA">NA()</definedName>
    <definedName name="placas">NA()</definedName>
    <definedName name="PLACAS2">#REF!</definedName>
    <definedName name="PLACAS3">#REF!</definedName>
    <definedName name="planilha">NA()</definedName>
    <definedName name="PLT">NA()</definedName>
    <definedName name="PLVC">NA()</definedName>
    <definedName name="PLVD">NA()</definedName>
    <definedName name="PMBQ">NA()</definedName>
    <definedName name="PMBQA">NA()</definedName>
    <definedName name="PMBQT">NA()</definedName>
    <definedName name="PONTE">NA()</definedName>
    <definedName name="PPEN">NA()</definedName>
    <definedName name="PPLA">NA()</definedName>
    <definedName name="PPLT">NA()</definedName>
    <definedName name="PRBQ">NA()</definedName>
    <definedName name="PRCC">NA()</definedName>
    <definedName name="PRDM">NA()</definedName>
    <definedName name="PREÇOS_FEV_2015">NA()</definedName>
    <definedName name="PRECP">NA()</definedName>
    <definedName name="PREGO">NA()</definedName>
    <definedName name="Print_Area" localSheetId="2">'Memória de Cálculo'!$A$1:$J$9</definedName>
    <definedName name="Print_Area_MI">NA()</definedName>
    <definedName name="PRINT_TITLES_MI">NA()</definedName>
    <definedName name="PRM1C">NA()</definedName>
    <definedName name="PROC_DESC_COMP">IFERROR(IF(#REF!="SERVIÇO",INDEX(#REF!,MATCH(#REF!&amp;#REF!,#REF!,0),3),INDEX(#REF!,MATCH(#REF!&amp;#REF!,#REF!,0),3)),"ITEM E OU CÓDIGO ERRADO")</definedName>
    <definedName name="PROC_PREÇO_COMP">IFERROR(IF(#REF! = "SERVIÇO", INDEX(#REF!,MATCH(#REF!&amp;#REF!,#REF!,0),2),INDEX(#REF!,MATCH(#REF!&amp;#REF!,#REF!,0),2)),"")</definedName>
    <definedName name="PROCURA_ART">VLOOKUP(#REF!,#REF!,2,FALSE)</definedName>
    <definedName name="PROCURA_DESCRICAO_COMPOSIÇÃO">#N/A</definedName>
    <definedName name="PROCURA_DESCRICAO_SERVICO" localSheetId="2">IFERROR( IF(AND([3]COMPOSIÇÕES!$B1="",[3]COMPOSIÇÕES!$C1=""),0, IF([3]COMPOSIÇÕES!$B1="SINAPI",VLOOKUP([3]COMPOSIÇÕES!$C1,SINAPI_SERVICO,2,0), IF([3]COMPOSIÇÕES!$B1="COMPOSIÇÃO",VLOOKUP([3]COMPOSIÇÕES!$C1,COMPOSIÇÕES,2,0), IF([3]COMPOSIÇÕES!$B1="IOPES",VLOOKUP([3]COMPOSIÇÕES!$C1,IOPES_SERVICO,2,0), IF([3]COMPOSIÇÕES!$B1="SETOP",VLOOKUP([3]COMPOSIÇÕES!$C1,SETOP_SERVICO,2,0), IF([3]COMPOSIÇÕES!$B1="SUDECAP",VLOOKUP([3]COMPOSIÇÕES!$C1,SUDECAP_SERVICO,2,0), IF([3]COMPOSIÇÕES!$B1="TCPO",VLOOKUP([3]COMPOSIÇÕES!$C1,TCPO_SERVICO,2,0), IF([3]COMPOSIÇÕES!$B1="COTAÇÃO",VLOOKUP([3]COMPOSIÇÕES!$C1,COTACAO,2,0), IF([3]COMPOSIÇÕES!$B1=NOME_BS_1,VLOOKUP([3]COMPOSIÇÕES!$C1,BANCO_1_SERVICO,2,0), IF([3]COMPOSIÇÕES!$B1=NOME_BS_2,VLOOKUP([3]COMPOSIÇÕES!$C1,BANCO_2_SERVICO,2,0), IF([3]COMPOSIÇÕES!$B1=NOME_BS_3,VLOOKUP([3]COMPOSIÇÕES!$C1,BANCO_3_SERVICO,2,0), IF([3]COMPOSIÇÕES!$B1=NOME_BS_4,VLOOKUP([3]COMPOSIÇÕES!$C1,BANCO_4_SERVICO,2,0), IF([3]COMPOSIÇÕES!$B1=NOME_BS_5,VLOOKUP([3]COMPOSIÇÕES!$C1,BANCO_5_SERVICO,2,0), IF([3]COMPOSIÇÕES!$B1=NOME_BS_6,VLOOKUP([3]COMPOSIÇÕES!$C1,BANCO_6_SERVICO,2,0), IF([3]COMPOSIÇÕES!$B1=NOME_BS_7,VLOOKUP([3]COMPOSIÇÕES!$C1,BANCO_7_SERVICO,2,0), IF([3]COMPOSIÇÕES!$B1=NOME_BS_8,VLOOKUP([3]COMPOSIÇÕES!$C1,BANCO_8_SERVICO,2,0), IF([3]COMPOSIÇÕES!$B1=NOME_BS_9,VLOOKUP([3]COMPOSIÇÕES!$C1,BANCO_9_SERVICO,2,0), IF([3]COMPOSIÇÕES!$B1=NOME_BS_10,VLOOKUP([3]COMPOSIÇÕES!$C1,BANCO_10_SERVICO,2,0), 0) ))))))))))))))))), 0)</definedName>
    <definedName name="PROCURA_DESCRICAO_SERVICO">IFERROR( IF(AND([3]COMPOSIÇÕES!$B1="",[3]COMPOSIÇÕES!$C1=""),0, IF([3]COMPOSIÇÕES!$B1="SINAPI",VLOOKUP([3]COMPOSIÇÕES!$C1,SINAPI_SERVICO,2,0), IF([3]COMPOSIÇÕES!$B1="COMPOSIÇÃO",VLOOKUP([3]COMPOSIÇÕES!$C1,COMPOSIÇÕES,2,0), IF([3]COMPOSIÇÕES!$B1="IOPES",VLOOKUP([3]COMPOSIÇÕES!$C1,IOPES_SERVICO,2,0), IF([3]COMPOSIÇÕES!$B1="SETOP",VLOOKUP([3]COMPOSIÇÕES!$C1,SETOP_SERVICO,2,0), IF([3]COMPOSIÇÕES!$B1="SUDECAP",VLOOKUP([3]COMPOSIÇÕES!$C1,SUDECAP_SERVICO,2,0), IF([3]COMPOSIÇÕES!$B1="TCPO",VLOOKUP([3]COMPOSIÇÕES!$C1,TCPO_SERVICO,2,0), IF([3]COMPOSIÇÕES!$B1="COTAÇÃO",VLOOKUP([3]COMPOSIÇÕES!$C1,COTACAO,2,0), IF([3]COMPOSIÇÕES!$B1=NOME_BS_1,VLOOKUP([3]COMPOSIÇÕES!$C1,BANCO_1_SERVICO,2,0), IF([3]COMPOSIÇÕES!$B1=NOME_BS_2,VLOOKUP([3]COMPOSIÇÕES!$C1,BANCO_2_SERVICO,2,0), IF([3]COMPOSIÇÕES!$B1=NOME_BS_3,VLOOKUP([3]COMPOSIÇÕES!$C1,BANCO_3_SERVICO,2,0), IF([3]COMPOSIÇÕES!$B1=NOME_BS_4,VLOOKUP([3]COMPOSIÇÕES!$C1,BANCO_4_SERVICO,2,0), IF([3]COMPOSIÇÕES!$B1=NOME_BS_5,VLOOKUP([3]COMPOSIÇÕES!$C1,BANCO_5_SERVICO,2,0), IF([3]COMPOSIÇÕES!$B1=NOME_BS_6,VLOOKUP([3]COMPOSIÇÕES!$C1,BANCO_6_SERVICO,2,0), IF([3]COMPOSIÇÕES!$B1=NOME_BS_7,VLOOKUP([3]COMPOSIÇÕES!$C1,BANCO_7_SERVICO,2,0), IF([3]COMPOSIÇÕES!$B1=NOME_BS_8,VLOOKUP([3]COMPOSIÇÕES!$C1,BANCO_8_SERVICO,2,0), IF([3]COMPOSIÇÕES!$B1=NOME_BS_9,VLOOKUP([3]COMPOSIÇÕES!$C1,BANCO_9_SERVICO,2,0), IF([3]COMPOSIÇÕES!$B1=NOME_BS_10,VLOOKUP([3]COMPOSIÇÕES!$C1,BANCO_10_SERVICO,2,0), 0) ))))))))))))))))), 0)</definedName>
    <definedName name="PROCURA_PREÇO_COMP_INS">#N/A</definedName>
    <definedName name="PROCURA_PREÇO_COMP_SER">#N/A</definedName>
    <definedName name="PROCURA_PRECO_COMPOSICAO" localSheetId="2">IFERROR(IF(#REF!="SERVIÇO",PROCURA_PREÇO_COMP_SER,IF(#REF!="INSUMO",PROCURA_PREÇO_COMP_INS,0)),0)</definedName>
    <definedName name="PROCURA_PRECO_COMPOSICAO">IFERROR(IF(#REF!="SERVIÇO",PROCURA_PREÇO_COMP_SER,IF(#REF!="INSUMO",PROCURA_PREÇO_COMP_INS,0)),0)</definedName>
    <definedName name="PROCURA_PRECO_SERVICO">#N/A</definedName>
    <definedName name="PROCURA_UNIDADE_COMPOSICAO">#N/A</definedName>
    <definedName name="PROCURA_UNIDADE_SERVICO">#N/A</definedName>
    <definedName name="PRPA">NA()</definedName>
    <definedName name="PRPL">NA()</definedName>
    <definedName name="PRPT">NA()</definedName>
    <definedName name="PRRP">NA()</definedName>
    <definedName name="PTBA">NA()</definedName>
    <definedName name="PTBT">NA()</definedName>
    <definedName name="PTCAP20">NA()</definedName>
    <definedName name="PTCAP20MBQ">NA()</definedName>
    <definedName name="PTCM30">NA()</definedName>
    <definedName name="PTCM30RP">NA()</definedName>
    <definedName name="PTEMULCS">NA()</definedName>
    <definedName name="PTEMULTSS">NA()</definedName>
    <definedName name="PTLCB10">NA()</definedName>
    <definedName name="PTRM1C">NA()</definedName>
    <definedName name="PTRR1C">NA()</definedName>
    <definedName name="PTRR1CST">NA()</definedName>
    <definedName name="PTSD2">NA()</definedName>
    <definedName name="PVP_A">#REF!</definedName>
    <definedName name="PVP_B">#REF!</definedName>
    <definedName name="PVP_C">#REF!</definedName>
    <definedName name="PVP_D">#REF!</definedName>
    <definedName name="PVP_E">#REF!</definedName>
    <definedName name="PVP_F">#REF!</definedName>
    <definedName name="PVP_G">#REF!</definedName>
    <definedName name="PVP_H">#REF!</definedName>
    <definedName name="PVP_I">#REF!</definedName>
    <definedName name="PVP_J">#REF!</definedName>
    <definedName name="PVS">#REF!</definedName>
    <definedName name="PVS_B">#REF!</definedName>
    <definedName name="PVS_C">#REF!</definedName>
    <definedName name="PVS_D">#REF!</definedName>
    <definedName name="PVS_E">#REF!</definedName>
    <definedName name="PVS_F">#REF!</definedName>
    <definedName name="PVS_G">#REF!</definedName>
    <definedName name="PVS_H">#REF!</definedName>
    <definedName name="PVS_I">#REF!</definedName>
    <definedName name="PVS_J">#REF!</definedName>
    <definedName name="q">NA()</definedName>
    <definedName name="qq">NA()</definedName>
    <definedName name="QQ_2">NA()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UANT">NA()</definedName>
    <definedName name="QUANTIDADES">NA()</definedName>
    <definedName name="RBQ">NA()</definedName>
    <definedName name="RCC">NA()</definedName>
    <definedName name="rcgp">NA()</definedName>
    <definedName name="RDM">NA()</definedName>
    <definedName name="rearos2">NA()</definedName>
    <definedName name="RECAPEAMENTO">NA()</definedName>
    <definedName name="RECP">NA()</definedName>
    <definedName name="REG">NA()</definedName>
    <definedName name="REGULA">NA()</definedName>
    <definedName name="REGULAR_PRE">#REF!</definedName>
    <definedName name="relatorio">NA()</definedName>
    <definedName name="relequip">NA()</definedName>
    <definedName name="REM_MF_PED">#REF!</definedName>
    <definedName name="REM_MF_PRE">#REF!</definedName>
    <definedName name="REM_RA_20">#REF!</definedName>
    <definedName name="REM_RA_40">#REF!</definedName>
    <definedName name="REM_RA_60">#REF!</definedName>
    <definedName name="REM_TUB_1000">#REF!</definedName>
    <definedName name="REM_TUB_1200">#REF!</definedName>
    <definedName name="REM_TUB_1500">#REF!</definedName>
    <definedName name="REM_TUB_400">#REF!</definedName>
    <definedName name="REM_TUB_500">#REF!</definedName>
    <definedName name="REM_TUB_600">#REF!</definedName>
    <definedName name="REM_TUB_800">#REF!</definedName>
    <definedName name="RES">NA()</definedName>
    <definedName name="RESP">NA()</definedName>
    <definedName name="RESUMO">NA()</definedName>
    <definedName name="resumo2">NA()</definedName>
    <definedName name="RM1C">NA()</definedName>
    <definedName name="RMA">NA()</definedName>
    <definedName name="RMAN">NA()</definedName>
    <definedName name="RMEC">NA()</definedName>
    <definedName name="rp">NA()</definedName>
    <definedName name="RPA">NA()</definedName>
    <definedName name="RPL">NA()</definedName>
    <definedName name="RPT">NA()</definedName>
    <definedName name="RPZ">NA()</definedName>
    <definedName name="RR2C">NA()</definedName>
    <definedName name="rraauf">NA()</definedName>
    <definedName name="rraauq">NA()</definedName>
    <definedName name="RRP">NA()</definedName>
    <definedName name="RRQ">NA()</definedName>
    <definedName name="RS">NA()</definedName>
    <definedName name="Salario">1</definedName>
    <definedName name="SB">NA()</definedName>
    <definedName name="sbg">NA()</definedName>
    <definedName name="SBTC">NA()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>1</definedName>
    <definedName name="serviço">NA()</definedName>
    <definedName name="Serviços">NA()</definedName>
    <definedName name="SETOP_INSUMO">#REF!</definedName>
    <definedName name="SETOP_SERVICO">#REF!</definedName>
    <definedName name="SIN_HOR_LIN">#REF!</definedName>
    <definedName name="SIN_HOR_MARC">#REF!</definedName>
    <definedName name="SINAPI_INSUMO">#REF!</definedName>
    <definedName name="SINAPI_SERVICO">#REF!</definedName>
    <definedName name="SJ">NA()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pre">0.000001</definedName>
    <definedName name="solver_scl">2</definedName>
    <definedName name="solver_sho">2</definedName>
    <definedName name="solver_tim">100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 localSheetId="8">#REF!</definedName>
    <definedName name="SOMA2">NA()</definedName>
    <definedName name="SOMA2_13">NA()</definedName>
    <definedName name="SOMA2_14">NA()</definedName>
    <definedName name="SOMA3" localSheetId="8">#REF!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ssa">NA()</definedName>
    <definedName name="SUB_TRECHO">NA()</definedName>
    <definedName name="SUBBASE_PRE">#REF!</definedName>
    <definedName name="SUBTOT">NA()</definedName>
    <definedName name="SUDECAP_INSUMO">#REF!</definedName>
    <definedName name="SUDECAP_SERVICO">#REF!</definedName>
    <definedName name="SUMMERY">NA()</definedName>
    <definedName name="TABELA" localSheetId="8">#REF!</definedName>
    <definedName name="TABELA">'[4]PLANILHA FONTE'!$B$2:$G$290</definedName>
    <definedName name="TABELA_1">NA()</definedName>
    <definedName name="TABMAT">NA()</definedName>
    <definedName name="tabserv">NA()</definedName>
    <definedName name="TABUA">NA()</definedName>
    <definedName name="tb">NA()</definedName>
    <definedName name="TB_ALT_PVA">#REF!</definedName>
    <definedName name="TB_ALT_PVB">#REF!</definedName>
    <definedName name="TB_ALT_PVC">#REF!</definedName>
    <definedName name="TBA">NA()</definedName>
    <definedName name="TBT">NA()</definedName>
    <definedName name="TCAP20">NA()</definedName>
    <definedName name="TCPO_INSUMO">#REF!</definedName>
    <definedName name="TCPO_SERVICO">#REF!</definedName>
    <definedName name="TER">NA()</definedName>
    <definedName name="terra">NA()</definedName>
    <definedName name="TESTE">NA()</definedName>
    <definedName name="TipoObra">2</definedName>
    <definedName name="TipoRel">"Vale"</definedName>
    <definedName name="_xlnm.Print_Titles" localSheetId="2">'Memória de Cálculo'!$1:$9</definedName>
    <definedName name="TOT">NA()</definedName>
    <definedName name="TOTAL">NA()</definedName>
    <definedName name="TPM">NA()</definedName>
    <definedName name="TRANS_ARE_PRE">#REF!</definedName>
    <definedName name="TRANS_BASE_PRE">#REF!</definedName>
    <definedName name="TRANSP_EMPR">#REF!</definedName>
    <definedName name="TRANSP_PAV_PRE">#REF!</definedName>
    <definedName name="transporte">NA()</definedName>
    <definedName name="trut">NA()</definedName>
    <definedName name="TSD">NA()</definedName>
    <definedName name="um">NA()</definedName>
    <definedName name="UNIT">NA()</definedName>
    <definedName name="uuuuuty">NA()</definedName>
    <definedName name="VALOR_TOTAL" localSheetId="8">'[5]PLANILHA ORCAMENTARIA'!$J$66</definedName>
    <definedName name="VALOR_TOTAL" localSheetId="2">'[6]PLANILHA ORCAMENTARIA'!$J$89</definedName>
    <definedName name="VALOR_TOTAL">'PLANILHA ORCAMENTARIA'!$J$66</definedName>
    <definedName name="VCRT">NA()</definedName>
    <definedName name="VEG_TAL">#REF!</definedName>
    <definedName name="verde">NA()</definedName>
    <definedName name="verdepav">NA()</definedName>
    <definedName name="vfvr">NA()</definedName>
    <definedName name="VR">NA()</definedName>
    <definedName name="VSR">NA()</definedName>
    <definedName name="VVVV">NA()</definedName>
    <definedName name="w">NA()</definedName>
    <definedName name="wer">NA()</definedName>
    <definedName name="WEWRWR">NA()</definedName>
    <definedName name="wrn_impresión_">NA()</definedName>
    <definedName name="wrn_impresión_1">NA()</definedName>
    <definedName name="wrn_VENTAS_">NA()</definedName>
    <definedName name="wrn_ventas_1">NA()</definedName>
    <definedName name="wvu_Print_Todo_">NA()</definedName>
    <definedName name="wvu_Socios___95_">NA()</definedName>
    <definedName name="xx">NA()</definedName>
    <definedName name="XXX">NA()</definedName>
    <definedName name="xxxx">NA()</definedName>
    <definedName name="xxxxx">NA()</definedName>
    <definedName name="XXXXXXXX">NA()</definedName>
    <definedName name="Y">NA()</definedName>
    <definedName name="Z">NA()</definedName>
    <definedName name="zzzzz">NA()</definedName>
    <definedName name="ZZZZZZZZZZZZZZ">NA()</definedName>
    <definedName name="zzzzzzzzzzzzzzzzzzzzzzzzzzzzzzzzzz">NA()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05" i="9" l="1"/>
  <c r="D305" i="9" s="1"/>
  <c r="J303" i="9"/>
  <c r="J301" i="9"/>
  <c r="D301" i="9"/>
  <c r="C301" i="9"/>
  <c r="B301" i="9"/>
  <c r="A301" i="9"/>
  <c r="J299" i="9"/>
  <c r="J297" i="9"/>
  <c r="A297" i="9"/>
  <c r="D297" i="9" s="1"/>
  <c r="A296" i="9"/>
  <c r="C296" i="9" s="1"/>
  <c r="L293" i="9"/>
  <c r="F293" i="9"/>
  <c r="F307" i="9" s="1"/>
  <c r="J307" i="9" s="1"/>
  <c r="J305" i="9" s="1"/>
  <c r="A292" i="9"/>
  <c r="B292" i="9" s="1"/>
  <c r="C291" i="9"/>
  <c r="A291" i="9"/>
  <c r="J289" i="9"/>
  <c r="J287" i="9"/>
  <c r="D287" i="9"/>
  <c r="C287" i="9"/>
  <c r="B287" i="9"/>
  <c r="A287" i="9"/>
  <c r="E285" i="9"/>
  <c r="J285" i="9" s="1"/>
  <c r="E284" i="9"/>
  <c r="J284" i="9" s="1"/>
  <c r="E283" i="9"/>
  <c r="J283" i="9" s="1"/>
  <c r="E282" i="9"/>
  <c r="J282" i="9" s="1"/>
  <c r="E281" i="9"/>
  <c r="J281" i="9" s="1"/>
  <c r="J280" i="9"/>
  <c r="E280" i="9"/>
  <c r="E279" i="9"/>
  <c r="J279" i="9" s="1"/>
  <c r="A277" i="9"/>
  <c r="E275" i="9"/>
  <c r="J275" i="9" s="1"/>
  <c r="E274" i="9"/>
  <c r="J274" i="9" s="1"/>
  <c r="E273" i="9"/>
  <c r="J273" i="9" s="1"/>
  <c r="E272" i="9"/>
  <c r="J272" i="9" s="1"/>
  <c r="E271" i="9"/>
  <c r="J271" i="9" s="1"/>
  <c r="E270" i="9"/>
  <c r="J270" i="9" s="1"/>
  <c r="E269" i="9"/>
  <c r="J269" i="9" s="1"/>
  <c r="D267" i="9"/>
  <c r="A267" i="9"/>
  <c r="C267" i="9" s="1"/>
  <c r="E265" i="9"/>
  <c r="J265" i="9" s="1"/>
  <c r="E264" i="9"/>
  <c r="J264" i="9" s="1"/>
  <c r="E263" i="9"/>
  <c r="J263" i="9" s="1"/>
  <c r="E262" i="9"/>
  <c r="J262" i="9" s="1"/>
  <c r="J261" i="9"/>
  <c r="E261" i="9"/>
  <c r="E260" i="9"/>
  <c r="J260" i="9" s="1"/>
  <c r="E259" i="9"/>
  <c r="J259" i="9" s="1"/>
  <c r="J257" i="9" s="1"/>
  <c r="A257" i="9"/>
  <c r="D257" i="9" s="1"/>
  <c r="E255" i="9"/>
  <c r="J255" i="9" s="1"/>
  <c r="E254" i="9"/>
  <c r="J254" i="9" s="1"/>
  <c r="E253" i="9"/>
  <c r="J253" i="9" s="1"/>
  <c r="E252" i="9"/>
  <c r="J252" i="9" s="1"/>
  <c r="E251" i="9"/>
  <c r="J251" i="9" s="1"/>
  <c r="E250" i="9"/>
  <c r="J250" i="9" s="1"/>
  <c r="E249" i="9"/>
  <c r="J249" i="9" s="1"/>
  <c r="J247" i="9" s="1"/>
  <c r="A247" i="9"/>
  <c r="C246" i="9"/>
  <c r="A246" i="9"/>
  <c r="D243" i="9"/>
  <c r="C243" i="9"/>
  <c r="A243" i="9"/>
  <c r="B243" i="9" s="1"/>
  <c r="F241" i="9"/>
  <c r="J241" i="9" s="1"/>
  <c r="J239" i="9"/>
  <c r="I244" i="9" s="1"/>
  <c r="J244" i="9" s="1"/>
  <c r="J243" i="9" s="1"/>
  <c r="D239" i="9"/>
  <c r="C239" i="9"/>
  <c r="B239" i="9"/>
  <c r="A239" i="9"/>
  <c r="L238" i="9"/>
  <c r="F237" i="9"/>
  <c r="J237" i="9" s="1"/>
  <c r="J235" i="9" s="1"/>
  <c r="A235" i="9"/>
  <c r="F233" i="9"/>
  <c r="J233" i="9" s="1"/>
  <c r="J231" i="9" s="1"/>
  <c r="D231" i="9"/>
  <c r="C231" i="9"/>
  <c r="B231" i="9"/>
  <c r="A231" i="9"/>
  <c r="J229" i="9"/>
  <c r="J227" i="9"/>
  <c r="A227" i="9"/>
  <c r="D227" i="9" s="1"/>
  <c r="A226" i="9"/>
  <c r="C226" i="9" s="1"/>
  <c r="F224" i="9"/>
  <c r="J224" i="9" s="1"/>
  <c r="J223" i="9" s="1"/>
  <c r="D223" i="9"/>
  <c r="A223" i="9"/>
  <c r="C223" i="9" s="1"/>
  <c r="A220" i="9"/>
  <c r="D220" i="9" s="1"/>
  <c r="G218" i="9"/>
  <c r="J218" i="9" s="1"/>
  <c r="G217" i="9"/>
  <c r="F217" i="9"/>
  <c r="J217" i="9" s="1"/>
  <c r="J215" i="9" s="1"/>
  <c r="I221" i="9" s="1"/>
  <c r="J221" i="9" s="1"/>
  <c r="J220" i="9" s="1"/>
  <c r="A215" i="9"/>
  <c r="D215" i="9" s="1"/>
  <c r="F213" i="9"/>
  <c r="F218" i="9" s="1"/>
  <c r="J212" i="9"/>
  <c r="A210" i="9"/>
  <c r="D210" i="9" s="1"/>
  <c r="J208" i="9"/>
  <c r="F208" i="9"/>
  <c r="F207" i="9"/>
  <c r="F212" i="9" s="1"/>
  <c r="D205" i="9"/>
  <c r="A205" i="9"/>
  <c r="C205" i="9" s="1"/>
  <c r="J203" i="9"/>
  <c r="J202" i="9"/>
  <c r="J200" i="9"/>
  <c r="D200" i="9"/>
  <c r="C200" i="9"/>
  <c r="B200" i="9"/>
  <c r="A200" i="9"/>
  <c r="A199" i="9"/>
  <c r="C199" i="9" s="1"/>
  <c r="F197" i="9"/>
  <c r="J197" i="9" s="1"/>
  <c r="J195" i="9" s="1"/>
  <c r="A195" i="9"/>
  <c r="D195" i="9" s="1"/>
  <c r="A194" i="9"/>
  <c r="C194" i="9" s="1"/>
  <c r="A193" i="9"/>
  <c r="C193" i="9" s="1"/>
  <c r="I191" i="9"/>
  <c r="I190" i="9"/>
  <c r="I189" i="9"/>
  <c r="I188" i="9"/>
  <c r="F188" i="9"/>
  <c r="J188" i="9" s="1"/>
  <c r="I187" i="9"/>
  <c r="A184" i="9"/>
  <c r="D184" i="9" s="1"/>
  <c r="I182" i="9"/>
  <c r="F182" i="9"/>
  <c r="J182" i="9" s="1"/>
  <c r="J180" i="9" s="1"/>
  <c r="D180" i="9"/>
  <c r="A180" i="9"/>
  <c r="C180" i="9" s="1"/>
  <c r="G178" i="9"/>
  <c r="G177" i="9"/>
  <c r="F177" i="9"/>
  <c r="F190" i="9" s="1"/>
  <c r="J190" i="9" s="1"/>
  <c r="G176" i="9"/>
  <c r="F176" i="9"/>
  <c r="J176" i="9" s="1"/>
  <c r="G175" i="9"/>
  <c r="F175" i="9"/>
  <c r="J175" i="9" s="1"/>
  <c r="G174" i="9"/>
  <c r="F174" i="9"/>
  <c r="A171" i="9"/>
  <c r="B171" i="9" s="1"/>
  <c r="F166" i="9"/>
  <c r="J166" i="9" s="1"/>
  <c r="F165" i="9"/>
  <c r="J165" i="9" s="1"/>
  <c r="D162" i="9"/>
  <c r="C162" i="9"/>
  <c r="A162" i="9"/>
  <c r="B162" i="9" s="1"/>
  <c r="G160" i="9"/>
  <c r="F160" i="9"/>
  <c r="G159" i="9"/>
  <c r="F159" i="9"/>
  <c r="F168" i="9" s="1"/>
  <c r="J168" i="9" s="1"/>
  <c r="G158" i="9"/>
  <c r="F158" i="9"/>
  <c r="J157" i="9"/>
  <c r="G157" i="9"/>
  <c r="F157" i="9"/>
  <c r="G156" i="9"/>
  <c r="F156" i="9"/>
  <c r="J156" i="9" s="1"/>
  <c r="A153" i="9"/>
  <c r="D153" i="9" s="1"/>
  <c r="A149" i="9"/>
  <c r="J147" i="9"/>
  <c r="J146" i="9"/>
  <c r="J145" i="9"/>
  <c r="J144" i="9"/>
  <c r="J143" i="9"/>
  <c r="J140" i="9"/>
  <c r="I111" i="9" s="1"/>
  <c r="D140" i="9"/>
  <c r="A140" i="9"/>
  <c r="C140" i="9" s="1"/>
  <c r="J138" i="9"/>
  <c r="J137" i="9"/>
  <c r="J131" i="9" s="1"/>
  <c r="J136" i="9"/>
  <c r="J135" i="9"/>
  <c r="J134" i="9"/>
  <c r="D131" i="9"/>
  <c r="C131" i="9"/>
  <c r="B131" i="9"/>
  <c r="A131" i="9"/>
  <c r="D127" i="9"/>
  <c r="C127" i="9"/>
  <c r="B127" i="9"/>
  <c r="A127" i="9"/>
  <c r="J125" i="9"/>
  <c r="J124" i="9"/>
  <c r="J123" i="9"/>
  <c r="J122" i="9"/>
  <c r="J118" i="9" s="1"/>
  <c r="J121" i="9"/>
  <c r="A118" i="9"/>
  <c r="D118" i="9" s="1"/>
  <c r="I116" i="9"/>
  <c r="F116" i="9"/>
  <c r="J116" i="9" s="1"/>
  <c r="J114" i="9" s="1"/>
  <c r="D114" i="9"/>
  <c r="C114" i="9"/>
  <c r="A114" i="9"/>
  <c r="B114" i="9" s="1"/>
  <c r="F110" i="9"/>
  <c r="A108" i="9"/>
  <c r="A107" i="9"/>
  <c r="C107" i="9" s="1"/>
  <c r="E105" i="9"/>
  <c r="D103" i="9"/>
  <c r="C103" i="9"/>
  <c r="A103" i="9"/>
  <c r="B103" i="9" s="1"/>
  <c r="I101" i="9"/>
  <c r="J101" i="9" s="1"/>
  <c r="J99" i="9" s="1"/>
  <c r="I105" i="9" s="1"/>
  <c r="A99" i="9"/>
  <c r="D99" i="9" s="1"/>
  <c r="I97" i="9"/>
  <c r="F97" i="9"/>
  <c r="J97" i="9" s="1"/>
  <c r="J95" i="9" s="1"/>
  <c r="A95" i="9"/>
  <c r="J93" i="9"/>
  <c r="J90" i="9"/>
  <c r="A90" i="9"/>
  <c r="D90" i="9" s="1"/>
  <c r="J88" i="9"/>
  <c r="J85" i="9" s="1"/>
  <c r="A85" i="9"/>
  <c r="A84" i="9"/>
  <c r="C84" i="9" s="1"/>
  <c r="E79" i="9"/>
  <c r="J79" i="9" s="1"/>
  <c r="J75" i="9"/>
  <c r="E75" i="9"/>
  <c r="J71" i="9"/>
  <c r="E71" i="9"/>
  <c r="E67" i="9"/>
  <c r="J67" i="9" s="1"/>
  <c r="J63" i="9"/>
  <c r="J62" i="9"/>
  <c r="A62" i="9"/>
  <c r="C62" i="9" s="1"/>
  <c r="A61" i="9"/>
  <c r="C61" i="9" s="1"/>
  <c r="A57" i="9"/>
  <c r="D57" i="9" s="1"/>
  <c r="I55" i="9"/>
  <c r="J55" i="9" s="1"/>
  <c r="H54" i="9"/>
  <c r="A52" i="9"/>
  <c r="F50" i="9"/>
  <c r="A48" i="9"/>
  <c r="C48" i="9" s="1"/>
  <c r="J46" i="9"/>
  <c r="J45" i="9"/>
  <c r="D45" i="9"/>
  <c r="C45" i="9"/>
  <c r="B45" i="9"/>
  <c r="A45" i="9"/>
  <c r="E43" i="9"/>
  <c r="J43" i="9" s="1"/>
  <c r="E42" i="9"/>
  <c r="J42" i="9" s="1"/>
  <c r="E41" i="9"/>
  <c r="J41" i="9" s="1"/>
  <c r="E40" i="9"/>
  <c r="J40" i="9" s="1"/>
  <c r="E39" i="9"/>
  <c r="J39" i="9" s="1"/>
  <c r="J38" i="9"/>
  <c r="E38" i="9"/>
  <c r="E37" i="9"/>
  <c r="J37" i="9" s="1"/>
  <c r="J35" i="9"/>
  <c r="D34" i="9"/>
  <c r="C34" i="9"/>
  <c r="A34" i="9"/>
  <c r="B34" i="9" s="1"/>
  <c r="J32" i="9"/>
  <c r="J30" i="9"/>
  <c r="D30" i="9"/>
  <c r="C30" i="9"/>
  <c r="B30" i="9"/>
  <c r="A30" i="9"/>
  <c r="A29" i="9"/>
  <c r="C29" i="9" s="1"/>
  <c r="J26" i="9"/>
  <c r="J25" i="9"/>
  <c r="A25" i="9"/>
  <c r="B25" i="9" s="1"/>
  <c r="J21" i="9"/>
  <c r="J20" i="9"/>
  <c r="D20" i="9"/>
  <c r="C20" i="9"/>
  <c r="B20" i="9"/>
  <c r="A20" i="9"/>
  <c r="J16" i="9"/>
  <c r="J15" i="9"/>
  <c r="A15" i="9"/>
  <c r="B15" i="9" s="1"/>
  <c r="J12" i="9"/>
  <c r="J11" i="9"/>
  <c r="A11" i="9"/>
  <c r="C10" i="9"/>
  <c r="A10" i="9"/>
  <c r="J8" i="9" a="1"/>
  <c r="A6" i="9"/>
  <c r="A3" i="9"/>
  <c r="A2" i="9"/>
  <c r="J48" i="8"/>
  <c r="I48" i="8"/>
  <c r="H48" i="8"/>
  <c r="E41" i="8"/>
  <c r="D41" i="8"/>
  <c r="F41" i="8" s="1"/>
  <c r="J38" i="8"/>
  <c r="I38" i="8"/>
  <c r="H38" i="8"/>
  <c r="E31" i="8"/>
  <c r="D31" i="8"/>
  <c r="F31" i="8" s="1"/>
  <c r="J28" i="8"/>
  <c r="I28" i="8"/>
  <c r="H28" i="8"/>
  <c r="E21" i="8"/>
  <c r="D21" i="8"/>
  <c r="F21" i="8" s="1"/>
  <c r="J18" i="8"/>
  <c r="I18" i="8"/>
  <c r="H18" i="8"/>
  <c r="E11" i="8"/>
  <c r="D11" i="8"/>
  <c r="F11" i="8" s="1"/>
  <c r="D52" i="9" l="1"/>
  <c r="C52" i="9"/>
  <c r="B52" i="9"/>
  <c r="F167" i="9"/>
  <c r="J167" i="9" s="1"/>
  <c r="J158" i="9"/>
  <c r="F187" i="9"/>
  <c r="J187" i="9" s="1"/>
  <c r="J174" i="9"/>
  <c r="C277" i="9"/>
  <c r="D277" i="9"/>
  <c r="B277" i="9"/>
  <c r="J105" i="9"/>
  <c r="J103" i="9" s="1"/>
  <c r="J277" i="9"/>
  <c r="J34" i="9"/>
  <c r="I129" i="9"/>
  <c r="J129" i="9" s="1"/>
  <c r="J127" i="9" s="1"/>
  <c r="I110" i="9"/>
  <c r="J267" i="9"/>
  <c r="D11" i="9"/>
  <c r="C11" i="9"/>
  <c r="B11" i="9"/>
  <c r="J110" i="9"/>
  <c r="F111" i="9"/>
  <c r="D247" i="9"/>
  <c r="C247" i="9"/>
  <c r="D95" i="9"/>
  <c r="C95" i="9"/>
  <c r="B153" i="9"/>
  <c r="C210" i="9"/>
  <c r="B257" i="9"/>
  <c r="J293" i="9"/>
  <c r="J292" i="9" s="1"/>
  <c r="D62" i="9"/>
  <c r="D85" i="9"/>
  <c r="C85" i="9"/>
  <c r="C118" i="9"/>
  <c r="B48" i="9"/>
  <c r="B85" i="9"/>
  <c r="F169" i="9"/>
  <c r="J160" i="9"/>
  <c r="C195" i="9"/>
  <c r="M8" i="9"/>
  <c r="L8" i="9"/>
  <c r="D48" i="9"/>
  <c r="B99" i="9"/>
  <c r="B215" i="9"/>
  <c r="C227" i="9"/>
  <c r="J8" i="9"/>
  <c r="B57" i="9"/>
  <c r="B90" i="9"/>
  <c r="C99" i="9"/>
  <c r="C171" i="9"/>
  <c r="B184" i="9"/>
  <c r="C215" i="9"/>
  <c r="B305" i="9"/>
  <c r="K8" i="9"/>
  <c r="C57" i="9"/>
  <c r="C90" i="9"/>
  <c r="D108" i="9"/>
  <c r="C108" i="9"/>
  <c r="B108" i="9"/>
  <c r="D171" i="9"/>
  <c r="J177" i="9"/>
  <c r="C184" i="9"/>
  <c r="J207" i="9"/>
  <c r="J205" i="9" s="1"/>
  <c r="C297" i="9"/>
  <c r="C305" i="9"/>
  <c r="D292" i="9"/>
  <c r="C292" i="9"/>
  <c r="B210" i="9"/>
  <c r="B247" i="9"/>
  <c r="B62" i="9"/>
  <c r="B95" i="9"/>
  <c r="B118" i="9"/>
  <c r="C153" i="9"/>
  <c r="D25" i="9"/>
  <c r="C25" i="9"/>
  <c r="J159" i="9"/>
  <c r="F189" i="9"/>
  <c r="J189" i="9" s="1"/>
  <c r="B195" i="9"/>
  <c r="B220" i="9"/>
  <c r="C257" i="9"/>
  <c r="J213" i="9"/>
  <c r="J210" i="9" s="1"/>
  <c r="C220" i="9"/>
  <c r="D235" i="9"/>
  <c r="C235" i="9"/>
  <c r="D15" i="9"/>
  <c r="C15" i="9"/>
  <c r="B227" i="9"/>
  <c r="B235" i="9"/>
  <c r="B297" i="9"/>
  <c r="D149" i="9"/>
  <c r="C149" i="9"/>
  <c r="B149" i="9"/>
  <c r="B140" i="9"/>
  <c r="B180" i="9"/>
  <c r="B205" i="9"/>
  <c r="B223" i="9"/>
  <c r="B267" i="9"/>
  <c r="I50" i="9" l="1"/>
  <c r="J50" i="9" s="1"/>
  <c r="J48" i="9" s="1"/>
  <c r="I54" i="9"/>
  <c r="J54" i="9" s="1"/>
  <c r="J52" i="9" s="1"/>
  <c r="I59" i="9" s="1"/>
  <c r="J59" i="9" s="1"/>
  <c r="J57" i="9" s="1"/>
  <c r="F112" i="9"/>
  <c r="J111" i="9"/>
  <c r="J153" i="9"/>
  <c r="F178" i="9"/>
  <c r="J169" i="9"/>
  <c r="J162" i="9" s="1"/>
  <c r="I151" i="9" s="1"/>
  <c r="J151" i="9" s="1"/>
  <c r="J149" i="9" s="1"/>
  <c r="F191" i="9" l="1"/>
  <c r="J191" i="9" s="1"/>
  <c r="J184" i="9" s="1"/>
  <c r="J178" i="9"/>
  <c r="J171" i="9" s="1"/>
  <c r="I112" i="9" s="1"/>
  <c r="J112" i="9"/>
  <c r="J108" i="9" s="1"/>
  <c r="C13" i="5" l="1"/>
  <c r="AD12" i="5"/>
  <c r="AA12" i="5"/>
  <c r="Y12" i="5"/>
  <c r="W12" i="5"/>
  <c r="U12" i="5"/>
  <c r="S12" i="5"/>
  <c r="Q12" i="5"/>
  <c r="O12" i="5"/>
  <c r="L12" i="5"/>
  <c r="J12" i="5"/>
  <c r="H12" i="5"/>
  <c r="F12" i="5"/>
  <c r="C12" i="5"/>
  <c r="AD11" i="5"/>
  <c r="Y11" i="5" s="1"/>
  <c r="AA11" i="5"/>
  <c r="W11" i="5"/>
  <c r="U11" i="5"/>
  <c r="S11" i="5"/>
  <c r="Q11" i="5"/>
  <c r="AC11" i="5" s="1"/>
  <c r="O11" i="5"/>
  <c r="L11" i="5"/>
  <c r="J11" i="5"/>
  <c r="H11" i="5"/>
  <c r="F11" i="5"/>
  <c r="C11" i="5"/>
  <c r="AD10" i="5"/>
  <c r="AC10" i="5" s="1"/>
  <c r="AA10" i="5"/>
  <c r="Y10" i="5"/>
  <c r="W10" i="5"/>
  <c r="AE10" i="5" s="1"/>
  <c r="U10" i="5"/>
  <c r="S10" i="5"/>
  <c r="Q10" i="5"/>
  <c r="O10" i="5"/>
  <c r="L10" i="5"/>
  <c r="J10" i="5"/>
  <c r="H10" i="5"/>
  <c r="F10" i="5"/>
  <c r="C10" i="5"/>
  <c r="AD9" i="5"/>
  <c r="AC9" i="5"/>
  <c r="AA9" i="5"/>
  <c r="O9" i="5"/>
  <c r="L9" i="5"/>
  <c r="J9" i="5"/>
  <c r="H9" i="5"/>
  <c r="F9" i="5"/>
  <c r="C9" i="5"/>
  <c r="AD8" i="5"/>
  <c r="S8" i="5" s="1"/>
  <c r="AC8" i="5"/>
  <c r="AA8" i="5"/>
  <c r="Y8" i="5"/>
  <c r="U8" i="5"/>
  <c r="O8" i="5"/>
  <c r="L8" i="5"/>
  <c r="J8" i="5"/>
  <c r="H8" i="5"/>
  <c r="F8" i="5"/>
  <c r="C8" i="5"/>
  <c r="AD7" i="5"/>
  <c r="O7" i="5" s="1"/>
  <c r="AC7" i="5"/>
  <c r="AA7" i="5"/>
  <c r="Y7" i="5"/>
  <c r="W7" i="5"/>
  <c r="U7" i="5"/>
  <c r="Q7" i="5"/>
  <c r="F7" i="5"/>
  <c r="C7" i="5"/>
  <c r="AD6" i="5"/>
  <c r="U6" i="5" s="1"/>
  <c r="AA6" i="5"/>
  <c r="Y6" i="5"/>
  <c r="W6" i="5"/>
  <c r="S6" i="5"/>
  <c r="L6" i="5"/>
  <c r="J6" i="5"/>
  <c r="H6" i="5"/>
  <c r="F6" i="5"/>
  <c r="C6" i="5"/>
  <c r="AD5" i="5"/>
  <c r="AC5" i="5"/>
  <c r="AA5" i="5"/>
  <c r="Y5" i="5"/>
  <c r="W5" i="5"/>
  <c r="U5" i="5"/>
  <c r="S5" i="5"/>
  <c r="Q5" i="5"/>
  <c r="O5" i="5"/>
  <c r="F5" i="5"/>
  <c r="C5" i="5"/>
  <c r="AD4" i="5"/>
  <c r="H4" i="5" s="1"/>
  <c r="Y4" i="5"/>
  <c r="W4" i="5"/>
  <c r="U4" i="5"/>
  <c r="O4" i="5"/>
  <c r="L4" i="5"/>
  <c r="J4" i="5"/>
  <c r="F4" i="5"/>
  <c r="C4" i="5"/>
  <c r="H42" i="4"/>
  <c r="H41" i="4"/>
  <c r="H40" i="4"/>
  <c r="H39" i="4"/>
  <c r="H38" i="4"/>
  <c r="H37" i="4"/>
  <c r="H36" i="4"/>
  <c r="H35" i="4"/>
  <c r="H34" i="4"/>
  <c r="H33" i="4"/>
  <c r="H32" i="4"/>
  <c r="H31" i="4"/>
  <c r="H30" i="4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H10" i="4"/>
  <c r="H9" i="4"/>
  <c r="H8" i="4"/>
  <c r="H7" i="4"/>
  <c r="H6" i="4"/>
  <c r="H5" i="4"/>
  <c r="H4" i="4"/>
  <c r="I44" i="4" s="1"/>
  <c r="I45" i="4" s="1"/>
  <c r="G222" i="3"/>
  <c r="G221" i="3"/>
  <c r="G223" i="3" s="1"/>
  <c r="G218" i="3"/>
  <c r="G219" i="3" s="1"/>
  <c r="G224" i="3" s="1"/>
  <c r="G217" i="3"/>
  <c r="G216" i="3"/>
  <c r="G215" i="3"/>
  <c r="G214" i="3"/>
  <c r="G213" i="3"/>
  <c r="G208" i="3"/>
  <c r="G207" i="3"/>
  <c r="G206" i="3"/>
  <c r="G203" i="3"/>
  <c r="G204" i="3" s="1"/>
  <c r="G209" i="3" s="1"/>
  <c r="G197" i="3"/>
  <c r="G196" i="3"/>
  <c r="G195" i="3"/>
  <c r="G194" i="3"/>
  <c r="G198" i="3" s="1"/>
  <c r="G199" i="3" s="1"/>
  <c r="G189" i="3"/>
  <c r="G190" i="3" s="1"/>
  <c r="G188" i="3"/>
  <c r="G187" i="3"/>
  <c r="G181" i="3"/>
  <c r="G182" i="3" s="1"/>
  <c r="G180" i="3"/>
  <c r="G179" i="3"/>
  <c r="G176" i="3"/>
  <c r="G175" i="3"/>
  <c r="G174" i="3"/>
  <c r="G177" i="3" s="1"/>
  <c r="G172" i="3"/>
  <c r="G171" i="3"/>
  <c r="G170" i="3"/>
  <c r="G169" i="3"/>
  <c r="G168" i="3"/>
  <c r="G166" i="3"/>
  <c r="G183" i="3" s="1"/>
  <c r="G165" i="3"/>
  <c r="G164" i="3"/>
  <c r="G163" i="3"/>
  <c r="G162" i="3"/>
  <c r="G161" i="3"/>
  <c r="G160" i="3"/>
  <c r="G159" i="3"/>
  <c r="G158" i="3"/>
  <c r="G152" i="3"/>
  <c r="G151" i="3"/>
  <c r="G153" i="3" s="1"/>
  <c r="G148" i="3"/>
  <c r="G149" i="3" s="1"/>
  <c r="G154" i="3" s="1"/>
  <c r="G142" i="3"/>
  <c r="G141" i="3"/>
  <c r="G140" i="3"/>
  <c r="G139" i="3"/>
  <c r="G143" i="3" s="1"/>
  <c r="G144" i="3" s="1"/>
  <c r="G133" i="3"/>
  <c r="G132" i="3"/>
  <c r="G134" i="3" s="1"/>
  <c r="G135" i="3" s="1"/>
  <c r="G131" i="3"/>
  <c r="G130" i="3"/>
  <c r="G129" i="3"/>
  <c r="G128" i="3"/>
  <c r="G122" i="3"/>
  <c r="G123" i="3" s="1"/>
  <c r="G119" i="3"/>
  <c r="G118" i="3"/>
  <c r="G120" i="3" s="1"/>
  <c r="G115" i="3"/>
  <c r="G116" i="3" s="1"/>
  <c r="G112" i="3"/>
  <c r="G113" i="3" s="1"/>
  <c r="G106" i="3"/>
  <c r="G107" i="3" s="1"/>
  <c r="G108" i="3" s="1"/>
  <c r="G101" i="3"/>
  <c r="G100" i="3"/>
  <c r="G99" i="3"/>
  <c r="G96" i="3"/>
  <c r="G97" i="3" s="1"/>
  <c r="G102" i="3" s="1"/>
  <c r="G90" i="3"/>
  <c r="G91" i="3" s="1"/>
  <c r="G87" i="3"/>
  <c r="G86" i="3"/>
  <c r="G88" i="3" s="1"/>
  <c r="G81" i="3"/>
  <c r="G80" i="3"/>
  <c r="G77" i="3"/>
  <c r="G78" i="3" s="1"/>
  <c r="G82" i="3" s="1"/>
  <c r="G72" i="3"/>
  <c r="G73" i="3" s="1"/>
  <c r="G71" i="3"/>
  <c r="G69" i="3"/>
  <c r="G68" i="3"/>
  <c r="G62" i="3"/>
  <c r="G63" i="3" s="1"/>
  <c r="G60" i="3"/>
  <c r="G64" i="3" s="1"/>
  <c r="G59" i="3"/>
  <c r="G53" i="3"/>
  <c r="G54" i="3" s="1"/>
  <c r="G55" i="3" s="1"/>
  <c r="G47" i="3"/>
  <c r="G48" i="3" s="1"/>
  <c r="G49" i="3" s="1"/>
  <c r="G41" i="3"/>
  <c r="G42" i="3" s="1"/>
  <c r="G38" i="3"/>
  <c r="G39" i="3" s="1"/>
  <c r="G43" i="3" s="1"/>
  <c r="G32" i="3"/>
  <c r="G31" i="3"/>
  <c r="G30" i="3"/>
  <c r="G33" i="3" s="1"/>
  <c r="G34" i="3" s="1"/>
  <c r="G29" i="3"/>
  <c r="G23" i="3"/>
  <c r="G24" i="3" s="1"/>
  <c r="G25" i="3" s="1"/>
  <c r="G17" i="3"/>
  <c r="G18" i="3" s="1"/>
  <c r="G19" i="3" s="1"/>
  <c r="G11" i="3"/>
  <c r="G12" i="3" s="1"/>
  <c r="G13" i="3" s="1"/>
  <c r="G6" i="3"/>
  <c r="G7" i="3" s="1"/>
  <c r="G5" i="3"/>
  <c r="I63" i="1"/>
  <c r="J63" i="1" s="1"/>
  <c r="J62" i="1"/>
  <c r="I62" i="1"/>
  <c r="I61" i="1"/>
  <c r="J61" i="1" s="1"/>
  <c r="G60" i="1"/>
  <c r="I59" i="1"/>
  <c r="J59" i="1" s="1"/>
  <c r="J58" i="1" s="1"/>
  <c r="G58" i="1"/>
  <c r="I57" i="1"/>
  <c r="J57" i="1" s="1"/>
  <c r="J56" i="1"/>
  <c r="I56" i="1"/>
  <c r="I55" i="1"/>
  <c r="J55" i="1" s="1"/>
  <c r="I54" i="1"/>
  <c r="J54" i="1" s="1"/>
  <c r="I53" i="1"/>
  <c r="J53" i="1" s="1"/>
  <c r="G52" i="1"/>
  <c r="I51" i="1"/>
  <c r="J51" i="1" s="1"/>
  <c r="J50" i="1"/>
  <c r="I50" i="1"/>
  <c r="I49" i="1"/>
  <c r="J49" i="1" s="1"/>
  <c r="I48" i="1"/>
  <c r="J48" i="1" s="1"/>
  <c r="I47" i="1"/>
  <c r="J47" i="1" s="1"/>
  <c r="G46" i="1"/>
  <c r="I45" i="1"/>
  <c r="J45" i="1" s="1"/>
  <c r="J44" i="1"/>
  <c r="I44" i="1"/>
  <c r="I43" i="1"/>
  <c r="J43" i="1" s="1"/>
  <c r="I42" i="1"/>
  <c r="J42" i="1" s="1"/>
  <c r="I41" i="1"/>
  <c r="J41" i="1" s="1"/>
  <c r="J40" i="1"/>
  <c r="I40" i="1"/>
  <c r="G39" i="1"/>
  <c r="J38" i="1"/>
  <c r="J37" i="1" s="1"/>
  <c r="I38" i="1"/>
  <c r="G37" i="1"/>
  <c r="G36" i="1"/>
  <c r="I35" i="1"/>
  <c r="J35" i="1" s="1"/>
  <c r="J34" i="1"/>
  <c r="I34" i="1"/>
  <c r="I33" i="1"/>
  <c r="J33" i="1" s="1"/>
  <c r="J32" i="1"/>
  <c r="I32" i="1"/>
  <c r="I31" i="1"/>
  <c r="J31" i="1" s="1"/>
  <c r="I30" i="1"/>
  <c r="J30" i="1" s="1"/>
  <c r="I29" i="1"/>
  <c r="J29" i="1" s="1"/>
  <c r="J28" i="1"/>
  <c r="I28" i="1"/>
  <c r="I27" i="1"/>
  <c r="J27" i="1" s="1"/>
  <c r="J26" i="1"/>
  <c r="I26" i="1"/>
  <c r="I25" i="1"/>
  <c r="J25" i="1" s="1"/>
  <c r="I24" i="1"/>
  <c r="J24" i="1" s="1"/>
  <c r="J23" i="1" s="1"/>
  <c r="G23" i="1"/>
  <c r="J22" i="1"/>
  <c r="I22" i="1"/>
  <c r="I21" i="1"/>
  <c r="J21" i="1" s="1"/>
  <c r="J20" i="1"/>
  <c r="I20" i="1"/>
  <c r="I19" i="1"/>
  <c r="J19" i="1" s="1"/>
  <c r="I18" i="1"/>
  <c r="J18" i="1" s="1"/>
  <c r="J17" i="1" s="1"/>
  <c r="G17" i="1"/>
  <c r="J16" i="1"/>
  <c r="J15" i="1" s="1"/>
  <c r="I16" i="1"/>
  <c r="G15" i="1"/>
  <c r="J14" i="1"/>
  <c r="I14" i="1"/>
  <c r="I13" i="1"/>
  <c r="J13" i="1" s="1"/>
  <c r="I12" i="1"/>
  <c r="J12" i="1" s="1"/>
  <c r="I11" i="1"/>
  <c r="J11" i="1" s="1"/>
  <c r="J10" i="1"/>
  <c r="I10" i="1"/>
  <c r="I9" i="1"/>
  <c r="J9" i="1" s="1"/>
  <c r="J8" i="1" s="1"/>
  <c r="G8" i="1"/>
  <c r="I7" i="1"/>
  <c r="J7" i="1" s="1"/>
  <c r="I6" i="1"/>
  <c r="J6" i="1" s="1"/>
  <c r="I5" i="1"/>
  <c r="J5" i="1" s="1"/>
  <c r="J4" i="1"/>
  <c r="J3" i="1" s="1"/>
  <c r="I4" i="1"/>
  <c r="G3" i="1"/>
  <c r="J65" i="1" s="1"/>
  <c r="J52" i="1" l="1"/>
  <c r="G92" i="3"/>
  <c r="O13" i="5"/>
  <c r="U13" i="5"/>
  <c r="J46" i="1"/>
  <c r="G124" i="3"/>
  <c r="H13" i="5"/>
  <c r="J39" i="1"/>
  <c r="J36" i="1" s="1"/>
  <c r="J66" i="1" s="1"/>
  <c r="J60" i="1"/>
  <c r="AE11" i="5"/>
  <c r="H5" i="5"/>
  <c r="F13" i="5"/>
  <c r="Q4" i="5"/>
  <c r="J5" i="5"/>
  <c r="J13" i="5" s="1"/>
  <c r="Q8" i="5"/>
  <c r="S4" i="5"/>
  <c r="Q9" i="5"/>
  <c r="S9" i="5"/>
  <c r="AA4" i="5"/>
  <c r="AA13" i="5" s="1"/>
  <c r="O6" i="5"/>
  <c r="AC6" i="5" s="1"/>
  <c r="AE6" i="5" s="1"/>
  <c r="H7" i="5"/>
  <c r="U9" i="5"/>
  <c r="Q6" i="5"/>
  <c r="J7" i="5"/>
  <c r="W9" i="5"/>
  <c r="AC12" i="5"/>
  <c r="AE12" i="5" s="1"/>
  <c r="L7" i="5"/>
  <c r="I13" i="5" l="1"/>
  <c r="J64" i="1"/>
  <c r="I21" i="4"/>
  <c r="I28" i="4"/>
  <c r="I9" i="4"/>
  <c r="I20" i="4"/>
  <c r="I4" i="4"/>
  <c r="J4" i="4" s="1"/>
  <c r="K4" i="4" s="1"/>
  <c r="I40" i="4"/>
  <c r="I33" i="4"/>
  <c r="I32" i="4"/>
  <c r="I22" i="4"/>
  <c r="I27" i="4"/>
  <c r="I10" i="4"/>
  <c r="I11" i="4"/>
  <c r="I6" i="4"/>
  <c r="I34" i="4"/>
  <c r="I13" i="4"/>
  <c r="I18" i="4"/>
  <c r="I25" i="4"/>
  <c r="I14" i="4"/>
  <c r="I42" i="4"/>
  <c r="I41" i="4"/>
  <c r="I15" i="4"/>
  <c r="I39" i="4"/>
  <c r="I7" i="4"/>
  <c r="I19" i="4"/>
  <c r="I31" i="4"/>
  <c r="I23" i="4"/>
  <c r="I5" i="4"/>
  <c r="I35" i="4"/>
  <c r="I37" i="4"/>
  <c r="I17" i="4"/>
  <c r="I30" i="4"/>
  <c r="I29" i="4"/>
  <c r="I38" i="4"/>
  <c r="I12" i="4"/>
  <c r="I24" i="4"/>
  <c r="I36" i="4"/>
  <c r="I16" i="4"/>
  <c r="I26" i="4"/>
  <c r="I8" i="4"/>
  <c r="AE9" i="5"/>
  <c r="Y9" i="5"/>
  <c r="Y13" i="5" s="1"/>
  <c r="G13" i="5"/>
  <c r="AE5" i="5"/>
  <c r="Q13" i="5"/>
  <c r="W8" i="5"/>
  <c r="W13" i="5" s="1"/>
  <c r="E13" i="5"/>
  <c r="F14" i="5"/>
  <c r="E14" i="5" s="1"/>
  <c r="N13" i="5"/>
  <c r="T13" i="5"/>
  <c r="L5" i="5"/>
  <c r="L13" i="5" s="1"/>
  <c r="AC4" i="5"/>
  <c r="AC13" i="5" s="1"/>
  <c r="S7" i="5"/>
  <c r="S13" i="5" s="1"/>
  <c r="Z13" i="5"/>
  <c r="AE4" i="5"/>
  <c r="AE7" i="5"/>
  <c r="R13" i="5" l="1"/>
  <c r="H14" i="5"/>
  <c r="X13" i="5"/>
  <c r="V13" i="5"/>
  <c r="P13" i="5"/>
  <c r="K13" i="5"/>
  <c r="AE8" i="5"/>
  <c r="J5" i="4"/>
  <c r="K5" i="4" s="1"/>
  <c r="AB13" i="5"/>
  <c r="G14" i="5" l="1"/>
  <c r="J14" i="5"/>
  <c r="J6" i="4"/>
  <c r="I14" i="5" l="1"/>
  <c r="L14" i="5"/>
  <c r="K6" i="4"/>
  <c r="J7" i="4"/>
  <c r="K14" i="5" l="1"/>
  <c r="O14" i="5"/>
  <c r="K7" i="4"/>
  <c r="J8" i="4"/>
  <c r="N14" i="5" l="1"/>
  <c r="Q14" i="5"/>
  <c r="K8" i="4"/>
  <c r="J9" i="4"/>
  <c r="K9" i="4" l="1"/>
  <c r="J10" i="4"/>
  <c r="P14" i="5"/>
  <c r="S14" i="5"/>
  <c r="R14" i="5" l="1"/>
  <c r="U14" i="5"/>
  <c r="K10" i="4"/>
  <c r="J11" i="4"/>
  <c r="K11" i="4" l="1"/>
  <c r="J12" i="4"/>
  <c r="T14" i="5"/>
  <c r="W14" i="5"/>
  <c r="V14" i="5" l="1"/>
  <c r="Y14" i="5"/>
  <c r="K12" i="4"/>
  <c r="J13" i="4"/>
  <c r="X14" i="5" l="1"/>
  <c r="AA14" i="5"/>
  <c r="K13" i="4"/>
  <c r="J14" i="4"/>
  <c r="K14" i="4" l="1"/>
  <c r="J15" i="4"/>
  <c r="Z14" i="5"/>
  <c r="AC14" i="5"/>
  <c r="AE13" i="5" l="1"/>
  <c r="AB14" i="5"/>
  <c r="K15" i="4"/>
  <c r="J16" i="4"/>
  <c r="K16" i="4" l="1"/>
  <c r="J17" i="4"/>
  <c r="K17" i="4" l="1"/>
  <c r="J18" i="4"/>
  <c r="K18" i="4" l="1"/>
  <c r="J19" i="4"/>
  <c r="K19" i="4" l="1"/>
  <c r="J20" i="4"/>
  <c r="K20" i="4" l="1"/>
  <c r="J21" i="4"/>
  <c r="K21" i="4" l="1"/>
  <c r="J22" i="4"/>
  <c r="K22" i="4" l="1"/>
  <c r="J23" i="4"/>
  <c r="K23" i="4" l="1"/>
  <c r="J24" i="4"/>
  <c r="K24" i="4" l="1"/>
  <c r="J25" i="4"/>
  <c r="K25" i="4" l="1"/>
  <c r="J26" i="4"/>
  <c r="K26" i="4" l="1"/>
  <c r="J27" i="4"/>
  <c r="K27" i="4" l="1"/>
  <c r="J28" i="4"/>
  <c r="K28" i="4" l="1"/>
  <c r="J29" i="4"/>
  <c r="K29" i="4" l="1"/>
  <c r="J30" i="4"/>
  <c r="K30" i="4" l="1"/>
  <c r="J31" i="4"/>
  <c r="K31" i="4" l="1"/>
  <c r="J32" i="4"/>
  <c r="K32" i="4" l="1"/>
  <c r="J33" i="4"/>
  <c r="K33" i="4" l="1"/>
  <c r="J34" i="4"/>
  <c r="K34" i="4" l="1"/>
  <c r="J35" i="4"/>
  <c r="K35" i="4" l="1"/>
  <c r="J36" i="4"/>
  <c r="K36" i="4" l="1"/>
  <c r="J37" i="4"/>
  <c r="K37" i="4" l="1"/>
  <c r="J38" i="4"/>
  <c r="K38" i="4" l="1"/>
  <c r="J39" i="4"/>
  <c r="K39" i="4" l="1"/>
  <c r="J40" i="4"/>
  <c r="K40" i="4" l="1"/>
  <c r="J41" i="4"/>
  <c r="K41" i="4" l="1"/>
  <c r="J42" i="4"/>
  <c r="K42" i="4" l="1"/>
  <c r="G44" i="4"/>
</calcChain>
</file>

<file path=xl/sharedStrings.xml><?xml version="1.0" encoding="utf-8"?>
<sst xmlns="http://schemas.openxmlformats.org/spreadsheetml/2006/main" count="1668" uniqueCount="566">
  <si>
    <t>ITEM</t>
  </si>
  <si>
    <t>CÓDIGO</t>
  </si>
  <si>
    <t>REF.</t>
  </si>
  <si>
    <t>DESCRIÇÃO</t>
  </si>
  <si>
    <t>UNID.</t>
  </si>
  <si>
    <t>QUANT.</t>
  </si>
  <si>
    <t>PREÇO UNIT
SEM BDI R$</t>
  </si>
  <si>
    <t>BDI (%)</t>
  </si>
  <si>
    <t>PREÇO UNIT
COM BDI R$</t>
  </si>
  <si>
    <t>PREÇO
TOTAL R$</t>
  </si>
  <si>
    <t>1</t>
  </si>
  <si>
    <t>INSTALAÇÕES PROVISÓRIAS</t>
  </si>
  <si>
    <t>1.1</t>
  </si>
  <si>
    <t>COMP-20511029</t>
  </si>
  <si>
    <t>Composições Próprias</t>
  </si>
  <si>
    <t>MOBILIZAÇÃO DE CONTAINER_JANEIRO/2026</t>
  </si>
  <si>
    <t>UND</t>
  </si>
  <si>
    <t>1.2</t>
  </si>
  <si>
    <t>COMP-38919866</t>
  </si>
  <si>
    <t>DESMOBILIZAÇÃO DE CONTAINER_JANEIRO/2026</t>
  </si>
  <si>
    <t>1.3</t>
  </si>
  <si>
    <t>COMP-57092914</t>
  </si>
  <si>
    <t>LOCAÇÃO DE CONTAINER PARA ESCRITORIO SEM BANHEIRO_JANEIRO/2026</t>
  </si>
  <si>
    <t>MES</t>
  </si>
  <si>
    <t>1.4</t>
  </si>
  <si>
    <t>COMP-15514540</t>
  </si>
  <si>
    <t>LOCAÇÃO DE CONTAINER PARA ESCRITORIO COM BANHEIRO_JANEIRO/2026</t>
  </si>
  <si>
    <t>2</t>
  </si>
  <si>
    <t>SERVIÇOS PRELIMINARES</t>
  </si>
  <si>
    <t>2.1</t>
  </si>
  <si>
    <t>103689</t>
  </si>
  <si>
    <t>SINAPI</t>
  </si>
  <si>
    <t>FORNECIMENTO E INSTALAÇÃO DE PLACA DE OBRA COM CHAPA GALVANIZADA E ESTRUTURA DE MADEIRA. AF_03/2022_PS</t>
  </si>
  <si>
    <t>M2</t>
  </si>
  <si>
    <t>2.2</t>
  </si>
  <si>
    <t>98524</t>
  </si>
  <si>
    <t>LIMPEZA MANUAL DE VEGETAÇÃO EM TERRENO COM ENXADA. AF_03/2024</t>
  </si>
  <si>
    <t>2.3</t>
  </si>
  <si>
    <t>98530</t>
  </si>
  <si>
    <t>CORTE RASO E RECORTE DE ÁRVORE COM DIÂMETRO DE TRONCO MAIOR OU IGUAL A 0,40 M E MENOR QUE 0,60 M. AF_03/2024</t>
  </si>
  <si>
    <t>UN</t>
  </si>
  <si>
    <t>2.4</t>
  </si>
  <si>
    <t>100206</t>
  </si>
  <si>
    <t>TRANSPORTE HORIZONTAL COM JERICA DE 90 L, DE MASSA/ GRANEL (UNIDADE: M3XKM). AF_07/2019</t>
  </si>
  <si>
    <t>M3XKM</t>
  </si>
  <si>
    <t>2.5</t>
  </si>
  <si>
    <t>100983</t>
  </si>
  <si>
    <t>CARGA, MANOBRA E DESCARGA DE ENTULHO EM CAMINHÃO BASCULANTE 14 M³ - CARGA COM ESCAVADEIRA HIDRÁULICA (CAÇAMBA DE 0,80 M³ / 111 HP) E DESCARGA LIVRE (UNIDADE: M3). AF_07/2020</t>
  </si>
  <si>
    <t>M3</t>
  </si>
  <si>
    <t>2.6</t>
  </si>
  <si>
    <t>95876</t>
  </si>
  <si>
    <t>TRANSPORTE COM CAMINHÃO BASCULANTE DE 14 M³, EM VIA URBANA PAVIMENTADA, DMT ATÉ 30 KM (UNIDADE: M3XKM). AF_07/2020</t>
  </si>
  <si>
    <t>3</t>
  </si>
  <si>
    <t>ADMINISTRAÇAO LOCAL DA OBRA</t>
  </si>
  <si>
    <t>3.1</t>
  </si>
  <si>
    <t>COM-52036282</t>
  </si>
  <si>
    <t>ADMINISTRAÇÃO LOCAL DA OBRA - SETOR MBG-5</t>
  </si>
  <si>
    <t>4</t>
  </si>
  <si>
    <t>TERRAPLENAGEM</t>
  </si>
  <si>
    <t>4.1</t>
  </si>
  <si>
    <t>93358</t>
  </si>
  <si>
    <t>ESCAVAÇÃO MANUAL DE VALA. AF_09/2024</t>
  </si>
  <si>
    <t>4.2</t>
  </si>
  <si>
    <t>104737</t>
  </si>
  <si>
    <t>REATERRO MANUAL DE VALAS, COM PLACA VIBRATÓRIA. AF_08/2023</t>
  </si>
  <si>
    <t>4.3</t>
  </si>
  <si>
    <t>4.4</t>
  </si>
  <si>
    <t>72897</t>
  </si>
  <si>
    <t>CARGA MANUAL DE ENTULHO EM CAMINHAO BASCULANTE 14 M3</t>
  </si>
  <si>
    <t>4.5</t>
  </si>
  <si>
    <t>5</t>
  </si>
  <si>
    <t>CONTENÇÃO DE ENCOSTA</t>
  </si>
  <si>
    <t>5.1</t>
  </si>
  <si>
    <t>5.2</t>
  </si>
  <si>
    <t>TRANSPORTE HORIZONTAL COM JERICA DE 90 L, DE PEDRA RACHÃO GRANEL (UNIDADE: M3XKM). AF_07/2019</t>
  </si>
  <si>
    <t>5.3</t>
  </si>
  <si>
    <t>103800</t>
  </si>
  <si>
    <t>PEDRA ARGAMASSADA COM CIMENTO E AREIA 1:3, 40% DE ARGAMASSA EM VOLUME - AREIA E PEDRA DE MÃO COMERCIAIS - FORNECIMENTO E ASSENTAMENTO. AF_08/2022</t>
  </si>
  <si>
    <t>5.4</t>
  </si>
  <si>
    <t>COMP-83526730</t>
  </si>
  <si>
    <t>Baseado no 83356/SINAPI - AGO/20</t>
  </si>
  <si>
    <t>TRANSPORTE COMERCIAL DE BRITA</t>
  </si>
  <si>
    <t>M³XKM</t>
  </si>
  <si>
    <t>5.5</t>
  </si>
  <si>
    <t>73883/002</t>
  </si>
  <si>
    <t>EXECUCAO DE DRENO FRANCES COM BRITA NUM 2</t>
  </si>
  <si>
    <t>5.6</t>
  </si>
  <si>
    <t>73883/001</t>
  </si>
  <si>
    <t>EXECUCAO DE DRENO FRANCES COM AREIA MEDIA</t>
  </si>
  <si>
    <t>5.7</t>
  </si>
  <si>
    <t>83729</t>
  </si>
  <si>
    <t>FORNECIMENTO/INSTALACAO DE MANTA BIDIM RT-31</t>
  </si>
  <si>
    <t>5.8</t>
  </si>
  <si>
    <t>83681</t>
  </si>
  <si>
    <t>TUBO PVC D=4" COM MATERIAL DRENANTE PARA DRENO/BARBACA - FORNECIMENTO E INSTALACAO</t>
  </si>
  <si>
    <t>M</t>
  </si>
  <si>
    <t>5.9</t>
  </si>
  <si>
    <t>S10448</t>
  </si>
  <si>
    <t>ORSE</t>
  </si>
  <si>
    <t>Abraçadeira metálica tipo "D" de 4"</t>
  </si>
  <si>
    <t>un</t>
  </si>
  <si>
    <t>5.10</t>
  </si>
  <si>
    <t>96620</t>
  </si>
  <si>
    <t>LASTRO DE CONCRETO MAGRO, APLICADO EM PISOS, LAJES SOBRE SOLO OU RADIERS. AF_01/2024</t>
  </si>
  <si>
    <t>5.11</t>
  </si>
  <si>
    <t>83356</t>
  </si>
  <si>
    <t>TRANSPORTE COMERCIAL DE PEDRA RACHÃO</t>
  </si>
  <si>
    <t>5.12</t>
  </si>
  <si>
    <t>20.06.050</t>
  </si>
  <si>
    <t>PREENCHIMENTO DE JUNTAS COM SELANTE A BASE DE ASFALTO</t>
  </si>
  <si>
    <t>6</t>
  </si>
  <si>
    <t>DRENAGEM PLUVIAL</t>
  </si>
  <si>
    <t>6.1</t>
  </si>
  <si>
    <t>CANALETA 0,40x0,40m (SEM TAMPA)</t>
  </si>
  <si>
    <t>6.1.1</t>
  </si>
  <si>
    <t>COMP-74909598</t>
  </si>
  <si>
    <t>BASEADO EM PROJETO TIPO DE CANALETA 0,40 m X0,40 m</t>
  </si>
  <si>
    <t>CANALETA EM CONCRETO ARMADO FCK 25MPa NAS DIMENSÕES (0,40M X 0,40M), SEM LAJE DE TAMPA.</t>
  </si>
  <si>
    <t>m</t>
  </si>
  <si>
    <t>6.2</t>
  </si>
  <si>
    <t>CANALETA EM CONCRETO DAR 60-30</t>
  </si>
  <si>
    <t>6.2.1</t>
  </si>
  <si>
    <t>92760</t>
  </si>
  <si>
    <t>ARMAÇÃO DE PILAR OU VIGA DE ESTRUTURA CONVENCIONAL DE CONCRETO ARMADO UTILIZANDO AÇO CA-50 DE 6,3 MM - MONTAGEM. AF_06/2022</t>
  </si>
  <si>
    <t>KG</t>
  </si>
  <si>
    <t>6.2.2</t>
  </si>
  <si>
    <t>92267</t>
  </si>
  <si>
    <t>FABRICAÇÃO DE FÔRMA PARA LAJES, EM CHAPA DE MADEIRA COMPENSADA RESINADA, E = 17 MM. AF_09/2020</t>
  </si>
  <si>
    <t>6.2.3</t>
  </si>
  <si>
    <t>94965</t>
  </si>
  <si>
    <t>CONCRETO FCK = 25MPA, TRAÇO 1:2,3:2,7 (EM MASSA SECA DE CIMENTO/ AREIA MÉDIA/ BRITA 1) - PREPARO MECÂNICO COM BETONEIRA 400 L. AF_05/2021</t>
  </si>
  <si>
    <t>6.2.4</t>
  </si>
  <si>
    <t>96619</t>
  </si>
  <si>
    <t>LASTRO DE CONCRETO MAGRO, APLICADO EM BLOCOS DE COROAMENTO OU SAPATAS, ESPESSURA DE 5 CM. AF_01/2024</t>
  </si>
  <si>
    <t>6.2.5</t>
  </si>
  <si>
    <t>103673</t>
  </si>
  <si>
    <t>LANÇAMENTO COM USO DE BOMBA, ADENSAMENTO E ACABAMENTO DE CONCRETO EM ESTRUTURAS. AF_02/2022</t>
  </si>
  <si>
    <t>6.2.6</t>
  </si>
  <si>
    <t>COM-65912306</t>
  </si>
  <si>
    <t>TAMPA EM CONCRETO ARMADO FCK 25MPa NAS DIMENSÕES (1,00M X 0,84M), BASEADA EM PROJETO TIPO (DNIT) PARA CONTENÇÃO DE ENCOSTAS, COM LANÇAMENTO EM FORMA MANUAL</t>
  </si>
  <si>
    <t>6.3</t>
  </si>
  <si>
    <t>CANALETA EM CONCRETO DAD 60-36</t>
  </si>
  <si>
    <t>6.3.1</t>
  </si>
  <si>
    <t>6.3.2</t>
  </si>
  <si>
    <t>6.3.3</t>
  </si>
  <si>
    <t>6.3.4</t>
  </si>
  <si>
    <t>6.3.5</t>
  </si>
  <si>
    <t>7</t>
  </si>
  <si>
    <t>REVESTIMENTO E PROTEÇÃO DA ENCOSTA</t>
  </si>
  <si>
    <t>7.1</t>
  </si>
  <si>
    <t>97084</t>
  </si>
  <si>
    <t>REGULARIZACAO E COMPACTAÇÃO MANUAL DE TERRENO COM PLACA VIBRATÓRIA</t>
  </si>
  <si>
    <t>7.2</t>
  </si>
  <si>
    <t>91086</t>
  </si>
  <si>
    <t>EXECUÇÃO DE REVESTIMENTO DE CONCRETO PROJETADO COM ESPESSURA DE 4 CM, ARMADO COM TELA Q 138, INCLINAÇÃO MENOR QUE 90°, APLICAÇÃO DESCONTÍNUA, UTILIZANDO EQUIPAMENTO DE PROJEÇÃO COM 6 M³/H DE CAPACIDADE, INCLUSIVE GRAMPOS DE FIXAÇÃO DE TELA A CADA 2M</t>
  </si>
  <si>
    <t>7.3</t>
  </si>
  <si>
    <t>S03644</t>
  </si>
  <si>
    <t>Acabamento de superfície de piso de concreto com desempolamento manual</t>
  </si>
  <si>
    <t>m2</t>
  </si>
  <si>
    <t>7.4</t>
  </si>
  <si>
    <t>88489</t>
  </si>
  <si>
    <t>PINTURA LÁTEX ACRÍLICA PREMIUM, APLICAÇÃO MANUAL EM PAREDES, DUAS DEMÃOS. AF_04/2023</t>
  </si>
  <si>
    <t>7.5</t>
  </si>
  <si>
    <t>8</t>
  </si>
  <si>
    <t>ESCADARIA</t>
  </si>
  <si>
    <t>8.1</t>
  </si>
  <si>
    <t>PROJETO TIPO DE CONT</t>
  </si>
  <si>
    <t>PROJETO TIPO</t>
  </si>
  <si>
    <t>ESCADA TIPO 3 DE PROJETO DE CONTENÇÃO DE ENCOSTAS - EM AVENARIA DE 1 VEZ E CONCRETO DE 15 MPA INCLUINDO REVESTIMENTOS</t>
  </si>
  <si>
    <t>9</t>
  </si>
  <si>
    <t>SERVIÇOS COMPLEMENTARES</t>
  </si>
  <si>
    <t>9.1</t>
  </si>
  <si>
    <t>94990</t>
  </si>
  <si>
    <t>EXECUÇÃO DE PASSEIO (CALÇADA) OU PISO DE CONCRETO COM CONCRETO MOLDADO IN LOCO, FEITO EM OBRA, ACABAMENTO CONVENCIONAL, NÃO ARMADO. AF_08/2022</t>
  </si>
  <si>
    <t>9.2</t>
  </si>
  <si>
    <t>9.3</t>
  </si>
  <si>
    <t>COM-04137236</t>
  </si>
  <si>
    <t>GUARDA-CORPO DE AÇO GALVANIZADO DE 1,10M DE ALTURA, MONTANTES TUBULARES DE 1.1/2 ESPAÇADOS DE 1,20M, TRAVESSA SUPERIOR DE 2, GRADIL FORMADO POR BARRAS CHATAS EM FERRO DE 32X4,8MM, FIXADO COM CHUMBADOR MECÂNICO. AF_04/2019_PS</t>
  </si>
  <si>
    <t>VALOR BDI TOTAL:</t>
  </si>
  <si>
    <t>VALOR ORÇAMENTO:</t>
  </si>
  <si>
    <t>VALOR TOTAL:</t>
  </si>
  <si>
    <t>COMP-20511029 MOBILIZAÇÃO DE CONTAINER_JANEIRO/2026 (UND)</t>
  </si>
  <si>
    <t>Cotação</t>
  </si>
  <si>
    <t>FONTE</t>
  </si>
  <si>
    <t>UNID</t>
  </si>
  <si>
    <t>COEFICIENTE</t>
  </si>
  <si>
    <t>PREÇO UNITÁRIO</t>
  </si>
  <si>
    <t>TOTAL</t>
  </si>
  <si>
    <t xml:space="preserve">Composições </t>
  </si>
  <si>
    <t>TOTAL Cotação:</t>
  </si>
  <si>
    <t>VALOR:</t>
  </si>
  <si>
    <t>COMP-38919866 DESMOBILIZAÇÃO DE CONTAINER_JANEIRO/2026 (UND)</t>
  </si>
  <si>
    <t>COMP-57092914 LOCAÇÃO DE CONTAINER PARA ESCRITORIO SEM BANHEIRO_JANEIRO/2026 (MES)</t>
  </si>
  <si>
    <t>COMP-15514540 LOCAÇÃO DE CONTAINER PARA ESCRITORIO COM BANHEIRO_JANEIRO/2026 (MES)</t>
  </si>
  <si>
    <t>COM-52036282 ADMINISTRAÇÃO LOCAL DA OBRA - SETOR MBG-5 (UND)</t>
  </si>
  <si>
    <t>Mão de Obra com Encargos Complementares</t>
  </si>
  <si>
    <t>93572</t>
  </si>
  <si>
    <t>ENCARREGADO GERAL DE OBRAS COM ENCARGOS COMPLEMENTARES</t>
  </si>
  <si>
    <t>93565</t>
  </si>
  <si>
    <t>ENGENHEIRO CIVIL DE OBRA JUNIOR COM ENCARGOS COMPLEMENTARES</t>
  </si>
  <si>
    <t>100321</t>
  </si>
  <si>
    <t>TÉCNICO EM SEGURANÇA DO TRABALHO COM ENCARGOS COMPLEMENTARES</t>
  </si>
  <si>
    <t>94296</t>
  </si>
  <si>
    <t>TOPOGRAFO COM ENCARGOS COMPLEMENTARES</t>
  </si>
  <si>
    <t>TOTAL Mão de Obra com Encargos Complementares:</t>
  </si>
  <si>
    <t>72897 CARGA MANUAL DE ENTULHO EM CAMINHAO BASCULANTE 14 M3 (M3)</t>
  </si>
  <si>
    <t>Equipamento Custo Horário</t>
  </si>
  <si>
    <t>89877</t>
  </si>
  <si>
    <t>CAMINHÃO BASCULANTE 14 M3, COM CAVALO MECÂNICO DE CAPACIDADE MÁXIMA DE TRAÇÃO COMBINADO DE 36000 KG, POTÊNCIA 286 CV, INCLUSIVE SEMIREBOQUE COM CAÇAMBA METÁLICA - CHI DIURNO. AF_12/2014</t>
  </si>
  <si>
    <t>CHI</t>
  </si>
  <si>
    <t>TOTAL Equipamento Custo Horário:</t>
  </si>
  <si>
    <t>88316</t>
  </si>
  <si>
    <t>SERVENTE COM ENCARGOS COMPLEMENTARES</t>
  </si>
  <si>
    <t>H</t>
  </si>
  <si>
    <t>100206 TRANSPORTE HORIZONTAL COM JERICA DE 90 L, DE PEDRA RACHÃO GRANEL (UNIDADE: M3XKM). AF_07/2019 (M3XKM)</t>
  </si>
  <si>
    <t>COMP-83526730 TRANSPORTE COMERCIAL DE BRITA (M³XKM)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</si>
  <si>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</si>
  <si>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</si>
  <si>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CHP</t>
  </si>
  <si>
    <t>73883/002 EXECUCAO DE DRENO FRANCES COM BRITA NUM 2 (M3)</t>
  </si>
  <si>
    <t>Material</t>
  </si>
  <si>
    <t>00004718</t>
  </si>
  <si>
    <t>PEDRA BRITADA N. 2 (19 A 38 MM) POSTO PEDREIRA/FORNECEDOR, SEM FRETE</t>
  </si>
  <si>
    <t>TOTAL Material:</t>
  </si>
  <si>
    <t>73883/001 EXECUCAO DE DRENO FRANCES COM AREIA MEDIA (M3)</t>
  </si>
  <si>
    <t>00000370</t>
  </si>
  <si>
    <t>AREIA MEDIA - POSTO JAZIDA/FORNECEDOR (RETIRADO NA JAZIDA, SEM TRANSPORTE)</t>
  </si>
  <si>
    <t>83729 FORNECIMENTO/INSTALACAO DE MANTA BIDIM RT-31 (M2)</t>
  </si>
  <si>
    <t>00004018</t>
  </si>
  <si>
    <t>GEOTEXTIL NAO TECIDO AGULHADO DE FILAMENTOS CONTINUOS 100% POLIESTER, RESITENCIA A TRACAO = 31 KN/M</t>
  </si>
  <si>
    <t>83681 TUBO PVC D=4" COM MATERIAL DRENANTE PARA DRENO/BARBACA - FORNECIMENTO E INSTALACAO (M)</t>
  </si>
  <si>
    <t>00004722</t>
  </si>
  <si>
    <t>PEDRA BRITADA N. 3 (38 A 50 MM) POSTO PEDREIRA/FORNECEDOR, SEM FRETE</t>
  </si>
  <si>
    <t>00009836</t>
  </si>
  <si>
    <t>TUBO PVC SERIE NORMAL, DN 100 MM, PARA ESGOTO PREDIAL (NBR 5688)</t>
  </si>
  <si>
    <t>S10448 Abraçadeira metálica tipo "D" de 4" (un)</t>
  </si>
  <si>
    <t>00000399</t>
  </si>
  <si>
    <t>ABRACADEIRA EM ACO PARA AMARRACAO DE ELETRODUTOS, TIPO D, COM 4" E PARAFUSO DE FIXACAO</t>
  </si>
  <si>
    <t>88267</t>
  </si>
  <si>
    <t>ENCANADOR OU BOMBEIRO HIDRÁULICO COM ENCARGOS COMPLEMENTARES</t>
  </si>
  <si>
    <t>83356 TRANSPORTE COMERCIAL DE PEDRA RACHÃO (M3XKM)</t>
  </si>
  <si>
    <t>20.06.050 PREENCHIMENTO DE JUNTAS COM SELANTE A BASE DE ASFALTO (M)</t>
  </si>
  <si>
    <t>5909</t>
  </si>
  <si>
    <t>ESPARGIDOR DE ASFALTO PRESSURIZADO COM TANQUE DE 2500 L, REBOCÁVEL COM MOTOR A GASOLINA POTÊNCIA 3,4 HP - CHP DIURNO. AF_07/2014</t>
  </si>
  <si>
    <t>00000516</t>
  </si>
  <si>
    <t>ASFALTO MODIFICADO TIPO II - NBR 9910 (ASFALTO OXIDADO PARA IMPERMEABILIZACAO, COEFICIENTE DE PENETRACAO 20-35)</t>
  </si>
  <si>
    <t>90776</t>
  </si>
  <si>
    <t>ENCARREGADO GERAL COM ENCARGOS COMPLEMENTARES</t>
  </si>
  <si>
    <t>Serviço</t>
  </si>
  <si>
    <t>90971</t>
  </si>
  <si>
    <t>COMPRESSOR DE AR REBOCAVEL, VAZÃO 250 PCM, PRESSAO DE TRABALHO 102 PSI, MOTOR A DIESEL POTÊNCIA 81 CV - MATERIAIS NA OPERAÇÃO. AF_06/2015</t>
  </si>
  <si>
    <t>TOTAL Serviço:</t>
  </si>
  <si>
    <t>COMP-74909598 CANALETA EM CONCRETO ARMADO FCK 25MPa NAS DIMENSÕES (0,40M X 0,40M), SEM LAJE DE TAMPA. (m)</t>
  </si>
  <si>
    <t>92916</t>
  </si>
  <si>
    <t>ARMAÇÃO DE ESTRUTURAS DIVERSAS DE CONCRETO ARMADO, EXCETO VIGAS, PILARES, LAJES E FUNDAÇÕES, UTILIZANDO AÇO CA-50 DE 6,3 MM - MONTAGEM. AF_06/2022</t>
  </si>
  <si>
    <t>92917</t>
  </si>
  <si>
    <t>ARMAÇÃO DE ESTRUTURAS DIVERSAS DE CONCRETO ARMADO, EXCETO VIGAS, PILARES, LAJES E FUNDAÇÕES, UTILIZANDO AÇO CA-50 DE 8,0 MM - MONTAGEM. AF_06/2022</t>
  </si>
  <si>
    <t>94974</t>
  </si>
  <si>
    <t>CONCRETO MAGRO PARA LASTRO, TRAÇO 1:4,5:4,5 (EM MASSA SECA DE CIMENTO/ AREIA MÉDIA/ BRITA 1) - PREPARO MANUAL. AF_05/2021</t>
  </si>
  <si>
    <t>COM-65912306 TAMPA EM CONCRETO ARMADO FCK 25MPa NAS DIMENSÕES (1,00M X 0,84M), BASEADA EM PROJETO TIPO (DNIT) PARA CONTENÇÃO DE ENCOSTAS, COM LANÇAMENTO EM FORMA MANUAL (M)</t>
  </si>
  <si>
    <t>92919</t>
  </si>
  <si>
    <t>ARMAÇÃO DE ESTRUTURAS DIVERSAS DE CONCRETO ARMADO, EXCETO VIGAS, PILARES, LAJES E FUNDAÇÕES, UTILIZANDO AÇO CA-50 DE 10,0 MM - MONTAGEM. AF_06/2022</t>
  </si>
  <si>
    <t>103670</t>
  </si>
  <si>
    <t>LANÇAMENTO COM USO DE BALDES, ADENSAMENTO E ACABAMENTO DE CONCRETO EM ESTRUTURAS. AF_02/2022</t>
  </si>
  <si>
    <t>97084 REGULARIZAÇÃO E COMPACTAÇÃO MANUAL DE TERRENO COM PLACA VIBRATÓRIA (M2)</t>
  </si>
  <si>
    <t>91277</t>
  </si>
  <si>
    <t>PLACA VIBRATÓRIA REVERSÍVEL COM MOTOR 4 TEMPOS A GASOLINA, FORÇA CENTRÍFUGA DE 25 KN (2500 KGF), POTÊNCIA 5,5 CV - CHP DIURNO. AF_08/2015</t>
  </si>
  <si>
    <t>88309</t>
  </si>
  <si>
    <t>PEDREIRO COM ENCARGOS COMPLEMENTARES</t>
  </si>
  <si>
    <t>91086 EXECUÇÃO DE REVESTIMENTO DE CONCRETO PROJETADO COM ESPESSURA DE 4 CM, ARMADO COM TELA Q 138, INCLINAÇÃO MENOR QUE 90°, APLICAÇÃO DESCONTÍNUA, UTILIZANDO EQUIPAMENTO DE PROJEÇÃO COM 6 M³/H DE CAPACIDADE, INCLUSIVE GRAMPOS DE FIXAÇÃO DE TELA A CADA 2M (M2)</t>
  </si>
  <si>
    <t>88831</t>
  </si>
  <si>
    <t>BETONEIRA CAPACIDADE NOMINAL DE 400 L, CAPACIDADE DE MISTURA 280 L, MOTOR ELÉTRICO TRIFÁSICO POTÊNCIA DE 2 CV, SEM CARREGADOR - CHI DIURNO. AF_05/2023</t>
  </si>
  <si>
    <t>88830</t>
  </si>
  <si>
    <t>BETONEIRA CAPACIDADE NOMINAL DE 400 L, CAPACIDADE DE MISTURA 280 L, MOTOR ELÉTRICO TRIFÁSICO POTÊNCIA DE 2 CV, SEM CARREGADOR - CHP DIURNO. AF_05/2023</t>
  </si>
  <si>
    <t>90651</t>
  </si>
  <si>
    <t>BOMBA CENTRÍFUGA MONOESTÁGIO COM MOTOR ELÉTRICO MONOFÁSICO, POTÊNCIA 15 HP, DIÂMETRO DO ROTOR 173 MM, HM/Q = 30 MCA / 90 M3/H A 45 MCA / 55 M3/H - CHI DIURNO. AF_06/2015</t>
  </si>
  <si>
    <t>90650</t>
  </si>
  <si>
    <t>BOMBA CENTRÍFUGA MONOESTÁGIO COM MOTOR ELÉTRICO MONOFÁSICO, POTÊNCIA 15 HP, DIÂMETRO DO ROTOR 173 MM, HM/Q = 30 MCA / 90 M3/H A 45 MCA / 55 M3/H - CHP DIURNO. AF_06/2015</t>
  </si>
  <si>
    <t>90663</t>
  </si>
  <si>
    <t>BOMBA DE PROJEÇÃO DE CONCRETO SECO, POTÊNCIA 10 CV, VAZÃO 6 M3/H - CHI DIURNO. AF_06/2015</t>
  </si>
  <si>
    <t>90662</t>
  </si>
  <si>
    <t>BOMBA DE PROJEÇÃO DE CONCRETO SECO, POTÊNCIA 10 CV, VAZÃO 6 M3/H - CHP DIURNO. AF_06/2015</t>
  </si>
  <si>
    <t>90982</t>
  </si>
  <si>
    <t>COMPRESSOR DE AR REBOCÁVEL, VAZÃO 748 PCM, PRESSÃO EFETIVA DE TRABALHO 102 PSI, MOTOR DIESEL, POTÊNCIA 210 CV - CHI DIURNO. AF_06/2015</t>
  </si>
  <si>
    <t>90979</t>
  </si>
  <si>
    <t>COMPRESSOR DE AR REBOCÁVEL, VAZÃO 748 PCM, PRESSÃO EFETIVA DE TRABALHO 102 PSI, MOTOR DIESEL, POTÊNCIA 210 CV - CHP DIURNO. AF_06/2015</t>
  </si>
  <si>
    <t>00001379</t>
  </si>
  <si>
    <t>CIMENTO PORTLAND COMPOSTO CP II-32</t>
  </si>
  <si>
    <t>00004720</t>
  </si>
  <si>
    <t>PEDRA BRITADA N. 0, OU PEDRISCO (4,8 A 9,5 MM) POSTO PEDREIRA/FORNECEDOR, SEM FRETE</t>
  </si>
  <si>
    <t>00007155</t>
  </si>
  <si>
    <t>TELA DE ACO SOLDADA NERVURADA, CA-60, Q-138, (2,20 KG/M2), DIAMETRO DO FIO = 4,2 MM, LARGURA = 2,45 M, ESPACAMENTO DA MALHA = 10 X 10 CM</t>
  </si>
  <si>
    <t>88377</t>
  </si>
  <si>
    <t>OPERADOR DE BETONEIRA ESTACIONÁRIA/MISTURADOR COM ENCARGOS COMPLEMENTARES</t>
  </si>
  <si>
    <t>88297</t>
  </si>
  <si>
    <t>OPERADOR DE MÁQUINAS E EQUIPAMENTOS COM ENCARGOS COMPLEMENTARES</t>
  </si>
  <si>
    <t>92803</t>
  </si>
  <si>
    <t>CORTE E DOBRA DE AÇO CA-50, DIÂMETRO DE 10,0 MM. AF_06/2022</t>
  </si>
  <si>
    <t>102726</t>
  </si>
  <si>
    <t>DRENO BARBACÃ, DN 50 MM, COM MATERIAL DRENANTE. AF_07/2021</t>
  </si>
  <si>
    <t>98750</t>
  </si>
  <si>
    <t>SOLDA DE TOPO EM CHAPA/PERFIL/TUBO DE AÇO CHANFRADO, ESPESSURA=3/8''. AF_06/2018</t>
  </si>
  <si>
    <t>S03644 Acabamento de superfície de piso de concreto com desempolamento manual (m2)</t>
  </si>
  <si>
    <t>PROJETO TIPO DE CONT ESCADA TIPO 3 DE PROJETO DE CONTENÇÃO DE ENCOSTAS - EM AVENARIA DE 1 VEZ E CONCRETO DE 15 MPA INCLUINDO REVESTIMENTOS (m)</t>
  </si>
  <si>
    <t>103335</t>
  </si>
  <si>
    <t>ALVENARIA DE VEDAÇÃO DE BLOCOS CERÂMICOS FURADOS NA HORIZONTAL DE 14X9X19 CM (ESPESSURA 14 CM, BLOCO DEITADO) E ARGAMASSA DE ASSENTAMENTO COM PREPARO MANUAL. AF_12/2021</t>
  </si>
  <si>
    <t>94963</t>
  </si>
  <si>
    <t>CONCRETO FCK = 15MPA, TRAÇO 1:3,4:3,5 (EM MASSA SECA DE CIMENTO/ AREIA MÉDIA/ BRITA 1) - PREPARO MECÂNICO COM BETONEIRA 400 L. AF_05/2021</t>
  </si>
  <si>
    <t>74157/004</t>
  </si>
  <si>
    <t>LANÇAMENTO/APLICACAO MANUAL DE CONCRETO EM FUNDACOES (CONCRETO MAGRO)</t>
  </si>
  <si>
    <t>REGULARIZAÇÃO E COMPACTAÇÃO MANUAL DE TERRENO COM PLACA VIBRATÓRIA</t>
  </si>
  <si>
    <t>COM-04137236 GUARDA-CORPO DE AÇO GALVANIZADO DE 1,10M DE ALTURA, MONTANTES TUBULARES DE 1.1/2 ESPAÇADOS DE 1,20M, TRAVESSA SUPERIOR DE 2, GRADIL FORMADO POR BARRAS CHATAS EM FERRO DE 32X4,8MM, FIXADO COM CHUMBADOR MECÂNICO. AF_04/2019_PS (M)</t>
  </si>
  <si>
    <t>00000546</t>
  </si>
  <si>
    <t>BARRA DE ACO CHATA, RETANGULAR (QUALQUER BITOLA)</t>
  </si>
  <si>
    <t>00001332</t>
  </si>
  <si>
    <t>CHAPA DE ACO GROSSA, ASTM A36, E = 3/8" (9,53 MM) 74,69 KG/M2</t>
  </si>
  <si>
    <t>00011002</t>
  </si>
  <si>
    <t>ELETRODO REVESTIDO AWS - E6013, DIAMETRO IGUAL A 2,50 MM</t>
  </si>
  <si>
    <t>00011964</t>
  </si>
  <si>
    <t>PARAFUSO DE ACO ZINCADO, TIPO CHUMBADOR PARABOLT, DIAMETRO 3/8", COMPRIMENTO 75 MM</t>
  </si>
  <si>
    <t>00021012</t>
  </si>
  <si>
    <t>TUBO ACO GALVANIZADO COM COSTURA, CLASSE LEVE, DN 40 MM (1 1/2"), E = 3,00 MM, *3,48* KG/M (NBR 5580)</t>
  </si>
  <si>
    <t>00021013</t>
  </si>
  <si>
    <t>TUBO ACO GALVANIZADO COM COSTURA, CLASSE LEVE, DN 50 MM (2"), E = 3,00 MM, *4,40* KG/M (NBR 5580)</t>
  </si>
  <si>
    <t>88251</t>
  </si>
  <si>
    <t>AUXILIAR DE SERRALHEIRO COM ENCARGOS COMPLEMENTARES</t>
  </si>
  <si>
    <t>88315</t>
  </si>
  <si>
    <t>SERRALHEIRO COM ENCARGOS COMPLEMENTARES</t>
  </si>
  <si>
    <t xml:space="preserve">
</t>
  </si>
  <si>
    <t>TIPO</t>
  </si>
  <si>
    <t>UNIDADE</t>
  </si>
  <si>
    <t>QUANTIDADE</t>
  </si>
  <si>
    <t>PREÇO TOTAL</t>
  </si>
  <si>
    <t>%</t>
  </si>
  <si>
    <t>ACUMUL. %</t>
  </si>
  <si>
    <t>CL</t>
  </si>
  <si>
    <t>Outros:</t>
  </si>
  <si>
    <t>Valor total do Orçamento:</t>
  </si>
  <si>
    <t>VALOR (R$)</t>
  </si>
  <si>
    <t>MÊS 1</t>
  </si>
  <si>
    <t>MÊS 2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</si>
  <si>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</si>
  <si>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</si>
  <si>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</si>
  <si>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</si>
  <si>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</si>
  <si>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</si>
  <si>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</si>
  <si>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</si>
  <si>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MÊS 11</t>
  </si>
  <si>
    <t>MÊS 12</t>
  </si>
  <si>
    <t>Total parcela</t>
  </si>
  <si>
    <t>R$</t>
  </si>
  <si>
    <t>COD</t>
  </si>
  <si>
    <t>Benefício</t>
  </si>
  <si>
    <t>S + G</t>
  </si>
  <si>
    <t>Garantia/seguros</t>
  </si>
  <si>
    <t>L</t>
  </si>
  <si>
    <t>Lucro</t>
  </si>
  <si>
    <t>Despesas Indiretas</t>
  </si>
  <si>
    <t>AC</t>
  </si>
  <si>
    <t>Administração central</t>
  </si>
  <si>
    <t>DF</t>
  </si>
  <si>
    <t>Despesas financeiras</t>
  </si>
  <si>
    <t>R</t>
  </si>
  <si>
    <t>Riscos</t>
  </si>
  <si>
    <t>I</t>
  </si>
  <si>
    <t>Impostos</t>
  </si>
  <si>
    <t>COFINS</t>
  </si>
  <si>
    <t>ISS</t>
  </si>
  <si>
    <t>PIS</t>
  </si>
  <si>
    <t>CPRB</t>
  </si>
  <si>
    <t>BDI = 23,1241%</t>
  </si>
  <si>
    <t>HORISTA %</t>
  </si>
  <si>
    <t>MENSALISTA %</t>
  </si>
  <si>
    <t>A</t>
  </si>
  <si>
    <t>GRUPO A</t>
  </si>
  <si>
    <t>A1</t>
  </si>
  <si>
    <t xml:space="preserve">INSS </t>
  </si>
  <si>
    <t>A2</t>
  </si>
  <si>
    <t xml:space="preserve">SESI </t>
  </si>
  <si>
    <t>A3</t>
  </si>
  <si>
    <t xml:space="preserve">SENAI </t>
  </si>
  <si>
    <t>A4</t>
  </si>
  <si>
    <t xml:space="preserve">INCRA </t>
  </si>
  <si>
    <t>A5</t>
  </si>
  <si>
    <t xml:space="preserve">SEBRAE </t>
  </si>
  <si>
    <t>A6</t>
  </si>
  <si>
    <t xml:space="preserve">Salário Educação </t>
  </si>
  <si>
    <t>A7</t>
  </si>
  <si>
    <t xml:space="preserve">Seguro Contra Acidentes de Trabalho </t>
  </si>
  <si>
    <t>A8</t>
  </si>
  <si>
    <t xml:space="preserve">FGTS </t>
  </si>
  <si>
    <t>A9</t>
  </si>
  <si>
    <t xml:space="preserve">SECONCI </t>
  </si>
  <si>
    <t>B</t>
  </si>
  <si>
    <t>GRUPO B</t>
  </si>
  <si>
    <t>B1</t>
  </si>
  <si>
    <t xml:space="preserve">Repouso Semanal Remunerado </t>
  </si>
  <si>
    <t>B2</t>
  </si>
  <si>
    <t xml:space="preserve">Feriados </t>
  </si>
  <si>
    <t>B3</t>
  </si>
  <si>
    <t xml:space="preserve">Auxílio - Enfermidade </t>
  </si>
  <si>
    <t>B4</t>
  </si>
  <si>
    <t xml:space="preserve">13º Salário </t>
  </si>
  <si>
    <t>B5</t>
  </si>
  <si>
    <t xml:space="preserve">Licença Paternidade </t>
  </si>
  <si>
    <t>B6</t>
  </si>
  <si>
    <t xml:space="preserve">Faltas Justificadas </t>
  </si>
  <si>
    <t>B7</t>
  </si>
  <si>
    <t xml:space="preserve">Dias de Chuvas </t>
  </si>
  <si>
    <t>B8</t>
  </si>
  <si>
    <t xml:space="preserve">Auxílio Acidente de Trabalho </t>
  </si>
  <si>
    <t>B9</t>
  </si>
  <si>
    <t xml:space="preserve">Férias Gozadas </t>
  </si>
  <si>
    <t>B10</t>
  </si>
  <si>
    <t xml:space="preserve">Salário Maternidade </t>
  </si>
  <si>
    <t>C</t>
  </si>
  <si>
    <t>GRUPO C</t>
  </si>
  <si>
    <t>C1</t>
  </si>
  <si>
    <t xml:space="preserve">Aviso Prévio Indenizado </t>
  </si>
  <si>
    <t>C2</t>
  </si>
  <si>
    <t xml:space="preserve">Aviso Prévio Trabalhado </t>
  </si>
  <si>
    <t>C3</t>
  </si>
  <si>
    <t xml:space="preserve">Férias Indenizadas </t>
  </si>
  <si>
    <t>C4</t>
  </si>
  <si>
    <t xml:space="preserve">Depósito Rescisão Sem Justa Causa </t>
  </si>
  <si>
    <t>C5</t>
  </si>
  <si>
    <t xml:space="preserve">Indenização Adicional </t>
  </si>
  <si>
    <t>D</t>
  </si>
  <si>
    <t>GRUPO D</t>
  </si>
  <si>
    <t>D1</t>
  </si>
  <si>
    <t xml:space="preserve">Reincidência de Grupo A sobre Grupo B </t>
  </si>
  <si>
    <t>D2</t>
  </si>
  <si>
    <t xml:space="preserve">Reincidência de Grupo A sobre Aviso Prévio Trabalhado e Reincidência do FGTS sobre Aviso Prévio Indenizado </t>
  </si>
  <si>
    <t>A + B + C + D =</t>
  </si>
  <si>
    <t>MAPA DE COTAÇÕES - CADASTRO DE FORNECEDORES</t>
  </si>
  <si>
    <t>MAPA DE COTAÇÕES - PREÇOS</t>
  </si>
  <si>
    <t>MÉDIA</t>
  </si>
  <si>
    <t>MEDIANA</t>
  </si>
  <si>
    <t>MENOR</t>
  </si>
  <si>
    <t>Fornecedores</t>
  </si>
  <si>
    <t>Fornecedor A</t>
  </si>
  <si>
    <t>Fornecedor B</t>
  </si>
  <si>
    <t>Fornecedor C</t>
  </si>
  <si>
    <t>MOBILIZAÇÃO DE CONTAINER</t>
  </si>
  <si>
    <t>Razão Social:</t>
  </si>
  <si>
    <t>LOKTAINER LOCAÇÃO DE CONTAINER</t>
  </si>
  <si>
    <t>BRAVO LOCAÇÃO DE MÁQUINAS E EQUIPAMENTOS</t>
  </si>
  <si>
    <t>PIRAJU EQUIPAMENTOS</t>
  </si>
  <si>
    <t>CNPJ:</t>
  </si>
  <si>
    <t>25.259.985/0004-48</t>
  </si>
  <si>
    <t>14.543.772/0001-84</t>
  </si>
  <si>
    <t>02.527.674/0001-74</t>
  </si>
  <si>
    <t>Nome do Contato:</t>
  </si>
  <si>
    <t>COMERCIAL</t>
  </si>
  <si>
    <t>Data do Contato:</t>
  </si>
  <si>
    <t>Telefone:</t>
  </si>
  <si>
    <t>81 98138-3377</t>
  </si>
  <si>
    <t>Preço Produto:</t>
  </si>
  <si>
    <t>Frete e limpeza:</t>
  </si>
  <si>
    <t>Preço total:</t>
  </si>
  <si>
    <t>DESMOBILIZAÇÃO DE CONTAINER</t>
  </si>
  <si>
    <t>Telefone/E-mail:</t>
  </si>
  <si>
    <t>Frete:</t>
  </si>
  <si>
    <t>LOCAÇÃO DE CONTAINER PARA ESCRITORIO SEM BANHEIRO</t>
  </si>
  <si>
    <t>MÊS</t>
  </si>
  <si>
    <t>LOCAÇÃO DE CONTAINER PARA ESCRITORIO COM BANHEIRO</t>
  </si>
  <si>
    <t>PREFEITURA MUNICIPAL DO JABOATÃO DOS GUARARAPES</t>
  </si>
  <si>
    <t>MEMÓRIA DE CÁLCULO</t>
  </si>
  <si>
    <t>Local: Jaboatão dos Guararapes</t>
  </si>
  <si>
    <t>Município: Jaboatão dos Guararapes/PE</t>
  </si>
  <si>
    <t>Item</t>
  </si>
  <si>
    <t>Código</t>
  </si>
  <si>
    <t>Descrição</t>
  </si>
  <si>
    <t>Und</t>
  </si>
  <si>
    <t>Taxa</t>
  </si>
  <si>
    <t>Comp.</t>
  </si>
  <si>
    <t>Larg.</t>
  </si>
  <si>
    <t>Alt.</t>
  </si>
  <si>
    <t>QTDE</t>
  </si>
  <si>
    <t>Total</t>
  </si>
  <si>
    <t>QUANTIDADE DE MESES</t>
  </si>
  <si>
    <t>COMPRIMENTO</t>
  </si>
  <si>
    <t>LARGURA</t>
  </si>
  <si>
    <t>QUANTIDADE DE PLACAS</t>
  </si>
  <si>
    <r>
      <t>Dimensões mínimas recomendadas através do manual da Caixa Econômica:</t>
    </r>
    <r>
      <rPr>
        <b/>
        <sz val="10"/>
        <color theme="1"/>
        <rFont val="Arial"/>
        <family val="2"/>
      </rPr>
      <t xml:space="preserve"> MATERIAIS DE SINALIZAÇÃO DE OBRAS E INAUGURAÇÃO DE ESPAÇOS</t>
    </r>
  </si>
  <si>
    <t>TAXA</t>
  </si>
  <si>
    <t>ÁREA</t>
  </si>
  <si>
    <t>Área de passeio</t>
  </si>
  <si>
    <t>Área de projeção da tela = (1 / Cosseno do ângulo média da barreira projetada conforme indica seções de projeto) x (Área de projeção do concreto projetado)</t>
  </si>
  <si>
    <r>
      <t xml:space="preserve">Concreto projetado - </t>
    </r>
    <r>
      <rPr>
        <b/>
        <i/>
        <sz val="10"/>
        <rFont val="Arial"/>
        <family val="2"/>
      </rPr>
      <t>Trecho 01 (29,67°)</t>
    </r>
  </si>
  <si>
    <r>
      <t xml:space="preserve">Concreto projetado - </t>
    </r>
    <r>
      <rPr>
        <b/>
        <i/>
        <sz val="10"/>
        <rFont val="Arial"/>
        <family val="2"/>
      </rPr>
      <t>Trecho 02 (21,71°)</t>
    </r>
  </si>
  <si>
    <r>
      <t xml:space="preserve">Concreto projetado - </t>
    </r>
    <r>
      <rPr>
        <b/>
        <i/>
        <sz val="10"/>
        <rFont val="Arial"/>
        <family val="2"/>
      </rPr>
      <t>Trecho 03 (29,86°)</t>
    </r>
  </si>
  <si>
    <r>
      <t xml:space="preserve">Concreto projetado - </t>
    </r>
    <r>
      <rPr>
        <b/>
        <i/>
        <sz val="10"/>
        <rFont val="Arial"/>
        <family val="2"/>
      </rPr>
      <t>Trecho 04 (22,14°)</t>
    </r>
  </si>
  <si>
    <r>
      <t xml:space="preserve">Concreto projetado - </t>
    </r>
    <r>
      <rPr>
        <b/>
        <i/>
        <sz val="10"/>
        <rFont val="Arial"/>
        <family val="2"/>
      </rPr>
      <t>Trecho 05 (23,14°)</t>
    </r>
  </si>
  <si>
    <r>
      <t xml:space="preserve">Concreto projetado - </t>
    </r>
    <r>
      <rPr>
        <b/>
        <i/>
        <sz val="10"/>
        <rFont val="Arial"/>
        <family val="2"/>
      </rPr>
      <t>Trecho 06 (36,00°)</t>
    </r>
  </si>
  <si>
    <r>
      <t xml:space="preserve">Concreto projetado - </t>
    </r>
    <r>
      <rPr>
        <b/>
        <i/>
        <sz val="10"/>
        <rFont val="Arial"/>
        <family val="2"/>
      </rPr>
      <t>Trecho 07 (34,00°)</t>
    </r>
  </si>
  <si>
    <t>De acordo com a quantidade em projeto</t>
  </si>
  <si>
    <t>empolamento</t>
  </si>
  <si>
    <t>DMT obra</t>
  </si>
  <si>
    <t>LIMPEZA MANUAL DE VEGETAÇÃO EM TERRENO COM ENXADA.AF_05/2018</t>
  </si>
  <si>
    <t>CORTE RASO E RECORTE DE ÁRVORE COM DIÂMETRO DE TRONCO MAIOR OU IGUAL A 0,40 M E MENOR QUE 0,60 M.AF_05/2018</t>
  </si>
  <si>
    <t>DMT ENTULHO</t>
  </si>
  <si>
    <t>Quantitativo unitário para medir de acordo com o avanço da obra ----&gt;</t>
  </si>
  <si>
    <t>Detalhamento dos coeficientes utilizados na memória de cálculo abaixo:</t>
  </si>
  <si>
    <t>ENGENHEIRO CIVIL</t>
  </si>
  <si>
    <t>12 meses de obra com 22 dias trabalhados e 5h por dia</t>
  </si>
  <si>
    <t xml:space="preserve">5 horas x 22 dias = 110 horas no mês </t>
  </si>
  <si>
    <t xml:space="preserve">1 mês tem 22 dias x 8 horas = 176 horas </t>
  </si>
  <si>
    <t>ENCARREGADO GERAL DE OBRAS</t>
  </si>
  <si>
    <t>12 meses de obra com 22 dias trabalhados e 8h por dia</t>
  </si>
  <si>
    <t xml:space="preserve">8 horas x 22 dias = 176 horas no mês </t>
  </si>
  <si>
    <t>TOPÓGRAFO</t>
  </si>
  <si>
    <t>12 meses de obra (NECESSIDADE DO TOPÓGRAFO: 3 MESES) com 22 dias trabalhados e 8h por dia</t>
  </si>
  <si>
    <t>TÉCNICO EM SEGURANÇA DO TRABALHO</t>
  </si>
  <si>
    <t>MAPA DE CUBAGEM</t>
  </si>
  <si>
    <t>EIXO 01 (Muros e Canaletas)</t>
  </si>
  <si>
    <t>Escavação x empolamento x DMT obra</t>
  </si>
  <si>
    <t>(escavação - reaterro) x empolamento</t>
  </si>
  <si>
    <t>DMT DESCARTE</t>
  </si>
  <si>
    <t>carga manual x DMT</t>
  </si>
  <si>
    <t>VOLUME</t>
  </si>
  <si>
    <t>Brita do dreno x empolamento x DMT obra</t>
  </si>
  <si>
    <t>Areia do dreno x empolamento x DMT obra</t>
  </si>
  <si>
    <t>Lastro de concreto magro x DMT obra</t>
  </si>
  <si>
    <t>Pedra rachão x empolamento x DMT obra</t>
  </si>
  <si>
    <t>V = Comprimento do muro x área da seção</t>
  </si>
  <si>
    <t>EXTENSÃO</t>
  </si>
  <si>
    <t>MURO 01 (altura - 5,0m) inclinado</t>
  </si>
  <si>
    <t>MURO 02 (altura - 5,0m) inclinado</t>
  </si>
  <si>
    <t>MURO 03 (altura - 3,5m) inclinado</t>
  </si>
  <si>
    <t>MURO 04 (altura - 3,0m) inclinado</t>
  </si>
  <si>
    <t>MURO 05 (altura - 3,5m) inclinado</t>
  </si>
  <si>
    <t>DMT Pedreira Guarany</t>
  </si>
  <si>
    <t>Volume de brita x DMT Pedreira Guarany x empolamento</t>
  </si>
  <si>
    <t>V = Comprimento do muro x largura da camada x altura do muro</t>
  </si>
  <si>
    <t>ESP</t>
  </si>
  <si>
    <t>ALT</t>
  </si>
  <si>
    <r>
      <t xml:space="preserve">A=Quantidade de tubos x (Área do bidim = Π.d2/4 + Π.d.(transpasse) -&gt; [3,1415x(0,100²2)] / {4+[3,1415x(0,100x0,150)]} = </t>
    </r>
    <r>
      <rPr>
        <i/>
        <u/>
        <sz val="10"/>
        <rFont val="Arial"/>
        <family val="2"/>
      </rPr>
      <t>0,0550</t>
    </r>
    <r>
      <rPr>
        <i/>
        <sz val="10"/>
        <rFont val="Arial"/>
        <family val="2"/>
      </rPr>
      <t>)</t>
    </r>
  </si>
  <si>
    <t>E = (bo+b1)/2 x (Comprimento do muro) x Quantidade de tubos na seção</t>
  </si>
  <si>
    <t>Q = (Comprimento do muro) x Quantidade de tubos na seção (a cada 1m tem 1,5 tubo)</t>
  </si>
  <si>
    <t>V = Comprimento do muro x (largura da base+0,10) x espessura do lastro</t>
  </si>
  <si>
    <t xml:space="preserve"> </t>
  </si>
  <si>
    <t>Volume de pedra x empolamento x DMT Pedreira Guarany</t>
  </si>
  <si>
    <t>Q = (Extensão / 6) x perímetro</t>
  </si>
  <si>
    <t>Canaleta 40x40cm</t>
  </si>
  <si>
    <t>AÇO CA-50 (KG)</t>
  </si>
  <si>
    <t>Descida d'água em concreto armado: Quantidade retirada do quadro resumo</t>
  </si>
  <si>
    <t>Canaleta sem tampa</t>
  </si>
  <si>
    <t>coeficiente retirado do manual DNIT</t>
  </si>
  <si>
    <t>Canaleta com tampa</t>
  </si>
  <si>
    <t>ÁREA (M2/M)</t>
  </si>
  <si>
    <t>VOLUME (M3/M)</t>
  </si>
  <si>
    <t>ESPESSURA</t>
  </si>
  <si>
    <t>(Medida da largura da canaleta + 10 centímetros) x 0,05 x comprimento total da canaleta</t>
  </si>
  <si>
    <t>Canaleta DAR 60 30</t>
  </si>
  <si>
    <t>considerado concreto magro lançado na projeção horizontal da canaleta</t>
  </si>
  <si>
    <t>Canaleta 40 x 40</t>
  </si>
  <si>
    <t>interligado com o item anterior</t>
  </si>
  <si>
    <t>Tampa da canaleta DAR 60 30</t>
  </si>
  <si>
    <t>Descida d'água com dissipador de energia em concreto armado: Quantidade retirada do quadro resumo</t>
  </si>
  <si>
    <t>ALTURA</t>
  </si>
  <si>
    <t>VALA DE AMARRAÇÃO DA TELA DO CONCRETO PROJETADO</t>
  </si>
  <si>
    <t>área x espessura</t>
  </si>
  <si>
    <t>ÁREA DE PASSEIO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</si>
</sst>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\R\$\ #,##0.00"/>
    <numFmt numFmtId="165" formatCode="\R\$\ #,##0.0000"/>
    <numFmt numFmtId="166" formatCode="#,##0.0000"/>
    <numFmt numFmtId="167" formatCode="###,###,##0.00"/>
    <numFmt numFmtId="168" formatCode="_(* #,##0.00_);_(* \(#,##0.00\);_(* &quot;-&quot;??_);_(@_)"/>
    <numFmt numFmtId="169" formatCode="_-* #,##0.0000_-;\-* #,##0.0000_-;_-* &quot;-&quot;??_-;_-@_-"/>
  </numFmts>
  <fonts count="27">
    <font>
      <sz val="11"/>
      <color theme="1"/>
      <name val="Calibri"/>
      <family val="2"/>
      <scheme val="minor"/>
    </font>
    <font>
      <sz val="9"/>
      <color rgb="FF000000"/>
      <name val="SansSerif"/>
      <family val="2"/>
    </font>
    <font>
      <b/>
      <sz val="9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9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9"/>
      <color rgb="FF000000"/>
      <name val="SansSerif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sz val="10"/>
      <color theme="0" tint="-0.249977111117893"/>
      <name val="Calibri"/>
      <family val="2"/>
      <scheme val="minor"/>
    </font>
    <font>
      <b/>
      <sz val="10"/>
      <color theme="0" tint="-0.249977111117893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i/>
      <sz val="11"/>
      <name val="Arial"/>
      <family val="2"/>
    </font>
    <font>
      <b/>
      <i/>
      <sz val="11"/>
      <name val="Arial"/>
      <family val="2"/>
    </font>
    <font>
      <b/>
      <sz val="9"/>
      <name val="Arial"/>
      <family val="2"/>
    </font>
    <font>
      <i/>
      <u/>
      <sz val="10"/>
      <name val="Arial"/>
      <family val="2"/>
    </font>
    <font>
      <b/>
      <sz val="10"/>
      <color theme="1"/>
      <name val="Calibri"/>
      <family val="2"/>
      <scheme val="minor"/>
    </font>
    <font>
      <sz val="9"/>
      <name val="Arial"/>
      <family val="2"/>
    </font>
  </fonts>
  <fills count="87">
    <fill>
      <patternFill patternType="none"/>
    </fill>
    <fill>
      <patternFill patternType="gray125"/>
    </fill>
    <fill>
      <patternFill patternType="none"/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F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CCCCC"/>
      </patternFill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0C0C0"/>
      </patternFill>
    </fill>
    <fill>
      <patternFill patternType="solid">
        <fgColor rgb="FFC0C0C0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none"/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theme="0" tint="-0.34998626667073579"/>
        <bgColor indexed="8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5">
    <xf numFmtId="0" fontId="0" fillId="0" borderId="0"/>
    <xf numFmtId="0" fontId="9" fillId="80" borderId="1"/>
    <xf numFmtId="0" fontId="9" fillId="80" borderId="1"/>
    <xf numFmtId="0" fontId="3" fillId="80" borderId="1"/>
    <xf numFmtId="0" fontId="12" fillId="80" borderId="1"/>
    <xf numFmtId="0" fontId="3" fillId="80" borderId="1"/>
    <xf numFmtId="0" fontId="12" fillId="80" borderId="1"/>
    <xf numFmtId="0" fontId="13" fillId="80" borderId="1" applyNumberFormat="0" applyFill="0" applyBorder="0" applyAlignment="0" applyProtection="0"/>
    <xf numFmtId="0" fontId="9" fillId="80" borderId="1"/>
    <xf numFmtId="0" fontId="3" fillId="80" borderId="1"/>
    <xf numFmtId="43" fontId="3" fillId="80" borderId="1" applyFont="0" applyFill="0" applyBorder="0" applyAlignment="0" applyProtection="0"/>
    <xf numFmtId="168" fontId="9" fillId="80" borderId="1" applyFont="0" applyFill="0" applyBorder="0" applyAlignment="0" applyProtection="0"/>
    <xf numFmtId="0" fontId="9" fillId="80" borderId="1"/>
    <xf numFmtId="9" fontId="9" fillId="80" borderId="1" applyFont="0" applyFill="0" applyBorder="0" applyAlignment="0" applyProtection="0"/>
    <xf numFmtId="0" fontId="3" fillId="80" borderId="1"/>
  </cellStyleXfs>
  <cellXfs count="262">
    <xf numFmtId="0" fontId="0" fillId="0" borderId="0" xfId="0"/>
    <xf numFmtId="0" fontId="2" fillId="79" borderId="1" xfId="0" applyFont="1" applyFill="1" applyBorder="1" applyAlignment="1">
      <alignment horizontal="right" vertical="center" wrapText="1"/>
    </xf>
    <xf numFmtId="0" fontId="6" fillId="0" borderId="0" xfId="0" applyFont="1"/>
    <xf numFmtId="0" fontId="2" fillId="14" borderId="1" xfId="0" applyFont="1" applyFill="1" applyBorder="1" applyAlignment="1">
      <alignment horizontal="left" vertical="center" wrapText="1"/>
    </xf>
    <xf numFmtId="164" fontId="2" fillId="15" borderId="1" xfId="0" applyNumberFormat="1" applyFont="1" applyFill="1" applyBorder="1" applyAlignment="1">
      <alignment horizontal="right" vertical="center" wrapText="1"/>
    </xf>
    <xf numFmtId="4" fontId="2" fillId="16" borderId="1" xfId="0" applyNumberFormat="1" applyFont="1" applyFill="1" applyBorder="1" applyAlignment="1">
      <alignment horizontal="right" vertical="center" wrapText="1"/>
    </xf>
    <xf numFmtId="0" fontId="6" fillId="10" borderId="0" xfId="0" applyFont="1" applyFill="1" applyAlignment="1" applyProtection="1">
      <alignment wrapText="1"/>
      <protection locked="0"/>
    </xf>
    <xf numFmtId="0" fontId="2" fillId="17" borderId="1" xfId="0" applyFont="1" applyFill="1" applyBorder="1" applyAlignment="1">
      <alignment horizontal="right" vertical="center" wrapText="1"/>
    </xf>
    <xf numFmtId="165" fontId="2" fillId="18" borderId="1" xfId="0" applyNumberFormat="1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left" vertical="center" wrapText="1"/>
    </xf>
    <xf numFmtId="164" fontId="2" fillId="5" borderId="2" xfId="0" applyNumberFormat="1" applyFont="1" applyFill="1" applyBorder="1" applyAlignment="1">
      <alignment horizontal="right" vertical="center" wrapText="1"/>
    </xf>
    <xf numFmtId="0" fontId="7" fillId="6" borderId="2" xfId="0" applyFont="1" applyFill="1" applyBorder="1" applyAlignment="1">
      <alignment horizontal="left" vertical="center" wrapText="1"/>
    </xf>
    <xf numFmtId="0" fontId="7" fillId="7" borderId="2" xfId="0" applyFont="1" applyFill="1" applyBorder="1" applyAlignment="1">
      <alignment horizontal="center" vertical="center" wrapText="1"/>
    </xf>
    <xf numFmtId="4" fontId="7" fillId="8" borderId="2" xfId="0" applyNumberFormat="1" applyFont="1" applyFill="1" applyBorder="1" applyAlignment="1">
      <alignment horizontal="right" vertical="center" wrapText="1"/>
    </xf>
    <xf numFmtId="164" fontId="7" fillId="9" borderId="2" xfId="0" applyNumberFormat="1" applyFont="1" applyFill="1" applyBorder="1" applyAlignment="1">
      <alignment horizontal="right" vertical="center" wrapText="1"/>
    </xf>
    <xf numFmtId="165" fontId="2" fillId="12" borderId="2" xfId="0" applyNumberFormat="1" applyFont="1" applyFill="1" applyBorder="1" applyAlignment="1">
      <alignment horizontal="right" vertical="center" wrapText="1"/>
    </xf>
    <xf numFmtId="0" fontId="2" fillId="22" borderId="2" xfId="0" applyFont="1" applyFill="1" applyBorder="1" applyAlignment="1">
      <alignment horizontal="center" vertical="center" wrapText="1"/>
    </xf>
    <xf numFmtId="0" fontId="1" fillId="23" borderId="2" xfId="0" applyFont="1" applyFill="1" applyBorder="1" applyAlignment="1">
      <alignment horizontal="center" vertical="top" wrapText="1"/>
    </xf>
    <xf numFmtId="0" fontId="1" fillId="24" borderId="2" xfId="0" applyFont="1" applyFill="1" applyBorder="1" applyAlignment="1">
      <alignment horizontal="justify" vertical="top" wrapText="1"/>
    </xf>
    <xf numFmtId="166" fontId="1" fillId="25" borderId="2" xfId="0" applyNumberFormat="1" applyFont="1" applyFill="1" applyBorder="1" applyAlignment="1">
      <alignment horizontal="right" vertical="top" wrapText="1"/>
    </xf>
    <xf numFmtId="164" fontId="1" fillId="26" borderId="2" xfId="0" applyNumberFormat="1" applyFont="1" applyFill="1" applyBorder="1" applyAlignment="1">
      <alignment horizontal="right" vertical="top" wrapText="1"/>
    </xf>
    <xf numFmtId="164" fontId="8" fillId="28" borderId="2" xfId="0" applyNumberFormat="1" applyFont="1" applyFill="1" applyBorder="1" applyAlignment="1">
      <alignment horizontal="right" vertical="top" wrapText="1"/>
    </xf>
    <xf numFmtId="4" fontId="2" fillId="30" borderId="2" xfId="0" applyNumberFormat="1" applyFont="1" applyFill="1" applyBorder="1" applyAlignment="1">
      <alignment horizontal="right" vertical="center" wrapText="1"/>
    </xf>
    <xf numFmtId="0" fontId="2" fillId="32" borderId="2" xfId="0" applyFont="1" applyFill="1" applyBorder="1" applyAlignment="1">
      <alignment horizontal="center" vertical="center" wrapText="1"/>
    </xf>
    <xf numFmtId="0" fontId="2" fillId="33" borderId="2" xfId="0" applyFont="1" applyFill="1" applyBorder="1" applyAlignment="1">
      <alignment horizontal="left" vertical="center" wrapText="1"/>
    </xf>
    <xf numFmtId="0" fontId="7" fillId="34" borderId="1" xfId="0" applyFont="1" applyFill="1" applyBorder="1" applyAlignment="1">
      <alignment horizontal="center" vertical="top" wrapText="1"/>
    </xf>
    <xf numFmtId="0" fontId="7" fillId="35" borderId="1" xfId="0" applyFont="1" applyFill="1" applyBorder="1" applyAlignment="1">
      <alignment horizontal="left" vertical="top" wrapText="1"/>
    </xf>
    <xf numFmtId="4" fontId="7" fillId="36" borderId="1" xfId="0" applyNumberFormat="1" applyFont="1" applyFill="1" applyBorder="1" applyAlignment="1">
      <alignment horizontal="right" vertical="top" wrapText="1"/>
    </xf>
    <xf numFmtId="164" fontId="7" fillId="37" borderId="1" xfId="0" applyNumberFormat="1" applyFont="1" applyFill="1" applyBorder="1" applyAlignment="1">
      <alignment horizontal="right" vertical="top" wrapText="1"/>
    </xf>
    <xf numFmtId="4" fontId="7" fillId="38" borderId="1" xfId="0" applyNumberFormat="1" applyFont="1" applyFill="1" applyBorder="1" applyAlignment="1">
      <alignment horizontal="center" vertical="top" wrapText="1"/>
    </xf>
    <xf numFmtId="0" fontId="8" fillId="42" borderId="2" xfId="0" applyFont="1" applyFill="1" applyBorder="1" applyAlignment="1">
      <alignment horizontal="center" vertical="center" wrapText="1"/>
    </xf>
    <xf numFmtId="0" fontId="8" fillId="43" borderId="2" xfId="0" applyFont="1" applyFill="1" applyBorder="1" applyAlignment="1">
      <alignment horizontal="center" vertical="center" wrapText="1"/>
    </xf>
    <xf numFmtId="0" fontId="1" fillId="44" borderId="2" xfId="0" applyFont="1" applyFill="1" applyBorder="1" applyAlignment="1">
      <alignment horizontal="left" vertical="center" wrapText="1"/>
    </xf>
    <xf numFmtId="0" fontId="7" fillId="45" borderId="2" xfId="0" applyFont="1" applyFill="1" applyBorder="1" applyAlignment="1">
      <alignment horizontal="left" vertical="center" wrapText="1"/>
    </xf>
    <xf numFmtId="4" fontId="7" fillId="46" borderId="2" xfId="0" applyNumberFormat="1" applyFont="1" applyFill="1" applyBorder="1" applyAlignment="1">
      <alignment horizontal="center" vertical="center" wrapText="1"/>
    </xf>
    <xf numFmtId="164" fontId="7" fillId="47" borderId="2" xfId="0" applyNumberFormat="1" applyFont="1" applyFill="1" applyBorder="1" applyAlignment="1">
      <alignment horizontal="right" vertical="center" wrapText="1"/>
    </xf>
    <xf numFmtId="4" fontId="7" fillId="48" borderId="3" xfId="0" applyNumberFormat="1" applyFont="1" applyFill="1" applyBorder="1" applyAlignment="1">
      <alignment horizontal="center" vertical="center" wrapText="1"/>
    </xf>
    <xf numFmtId="164" fontId="2" fillId="49" borderId="2" xfId="0" applyNumberFormat="1" applyFont="1" applyFill="1" applyBorder="1" applyAlignment="1">
      <alignment horizontal="right" vertical="center" wrapText="1"/>
    </xf>
    <xf numFmtId="0" fontId="6" fillId="50" borderId="3" xfId="0" applyFont="1" applyFill="1" applyBorder="1" applyAlignment="1" applyProtection="1">
      <alignment wrapText="1"/>
      <protection locked="0"/>
    </xf>
    <xf numFmtId="0" fontId="6" fillId="51" borderId="4" xfId="0" applyFont="1" applyFill="1" applyBorder="1" applyAlignment="1" applyProtection="1">
      <alignment wrapText="1"/>
      <protection locked="0"/>
    </xf>
    <xf numFmtId="164" fontId="7" fillId="52" borderId="2" xfId="0" applyNumberFormat="1" applyFont="1" applyFill="1" applyBorder="1" applyAlignment="1">
      <alignment horizontal="right" vertical="center" wrapText="1"/>
    </xf>
    <xf numFmtId="164" fontId="2" fillId="53" borderId="2" xfId="0" applyNumberFormat="1" applyFont="1" applyFill="1" applyBorder="1" applyAlignment="1">
      <alignment horizontal="right" vertical="center" wrapText="1"/>
    </xf>
    <xf numFmtId="0" fontId="6" fillId="54" borderId="5" xfId="0" applyFont="1" applyFill="1" applyBorder="1" applyAlignment="1" applyProtection="1">
      <alignment wrapText="1"/>
      <protection locked="0"/>
    </xf>
    <xf numFmtId="0" fontId="6" fillId="55" borderId="6" xfId="0" applyFont="1" applyFill="1" applyBorder="1" applyAlignment="1" applyProtection="1">
      <alignment wrapText="1"/>
      <protection locked="0"/>
    </xf>
    <xf numFmtId="0" fontId="6" fillId="56" borderId="7" xfId="0" applyFont="1" applyFill="1" applyBorder="1" applyAlignment="1" applyProtection="1">
      <alignment wrapText="1"/>
      <protection locked="0"/>
    </xf>
    <xf numFmtId="4" fontId="7" fillId="58" borderId="2" xfId="0" applyNumberFormat="1" applyFont="1" applyFill="1" applyBorder="1" applyAlignment="1">
      <alignment horizontal="center" vertical="center" wrapText="1"/>
    </xf>
    <xf numFmtId="164" fontId="7" fillId="59" borderId="2" xfId="0" applyNumberFormat="1" applyFont="1" applyFill="1" applyBorder="1" applyAlignment="1">
      <alignment horizontal="right" vertical="center" wrapText="1"/>
    </xf>
    <xf numFmtId="0" fontId="6" fillId="61" borderId="9" xfId="0" applyFont="1" applyFill="1" applyBorder="1" applyAlignment="1" applyProtection="1">
      <alignment wrapText="1"/>
      <protection locked="0"/>
    </xf>
    <xf numFmtId="0" fontId="6" fillId="62" borderId="10" xfId="0" applyFont="1" applyFill="1" applyBorder="1" applyAlignment="1" applyProtection="1">
      <alignment wrapText="1"/>
      <protection locked="0"/>
    </xf>
    <xf numFmtId="0" fontId="6" fillId="63" borderId="11" xfId="0" applyFont="1" applyFill="1" applyBorder="1" applyAlignment="1" applyProtection="1">
      <alignment wrapText="1"/>
      <protection locked="0"/>
    </xf>
    <xf numFmtId="164" fontId="7" fillId="64" borderId="4" xfId="0" applyNumberFormat="1" applyFont="1" applyFill="1" applyBorder="1" applyAlignment="1">
      <alignment horizontal="right" vertical="center" wrapText="1"/>
    </xf>
    <xf numFmtId="164" fontId="7" fillId="65" borderId="4" xfId="0" applyNumberFormat="1" applyFont="1" applyFill="1" applyBorder="1" applyAlignment="1">
      <alignment horizontal="right" vertical="center" wrapText="1"/>
    </xf>
    <xf numFmtId="0" fontId="2" fillId="66" borderId="2" xfId="0" applyFont="1" applyFill="1" applyBorder="1" applyAlignment="1">
      <alignment horizontal="center" vertical="center" wrapText="1"/>
    </xf>
    <xf numFmtId="0" fontId="2" fillId="67" borderId="2" xfId="0" applyFont="1" applyFill="1" applyBorder="1" applyAlignment="1">
      <alignment horizontal="left" vertical="top" wrapText="1"/>
    </xf>
    <xf numFmtId="0" fontId="7" fillId="68" borderId="2" xfId="0" applyFont="1" applyFill="1" applyBorder="1" applyAlignment="1">
      <alignment horizontal="center" vertical="top" wrapText="1"/>
    </xf>
    <xf numFmtId="0" fontId="7" fillId="69" borderId="2" xfId="0" applyFont="1" applyFill="1" applyBorder="1" applyAlignment="1">
      <alignment horizontal="left" vertical="top" wrapText="1"/>
    </xf>
    <xf numFmtId="166" fontId="7" fillId="70" borderId="2" xfId="0" applyNumberFormat="1" applyFont="1" applyFill="1" applyBorder="1" applyAlignment="1">
      <alignment horizontal="right" vertical="top" wrapText="1"/>
    </xf>
    <xf numFmtId="0" fontId="2" fillId="71" borderId="2" xfId="0" applyFont="1" applyFill="1" applyBorder="1" applyAlignment="1">
      <alignment horizontal="right" vertical="center" wrapText="1"/>
    </xf>
    <xf numFmtId="166" fontId="2" fillId="72" borderId="2" xfId="0" applyNumberFormat="1" applyFont="1" applyFill="1" applyBorder="1" applyAlignment="1">
      <alignment horizontal="right" vertical="top" wrapText="1"/>
    </xf>
    <xf numFmtId="0" fontId="2" fillId="73" borderId="2" xfId="0" applyFont="1" applyFill="1" applyBorder="1" applyAlignment="1">
      <alignment horizontal="center" vertical="top" wrapText="1"/>
    </xf>
    <xf numFmtId="0" fontId="10" fillId="80" borderId="12" xfId="1" applyFont="1" applyBorder="1"/>
    <xf numFmtId="0" fontId="10" fillId="80" borderId="13" xfId="1" applyFont="1" applyBorder="1"/>
    <xf numFmtId="0" fontId="10" fillId="80" borderId="14" xfId="1" applyFont="1" applyBorder="1"/>
    <xf numFmtId="0" fontId="9" fillId="80" borderId="1" xfId="2"/>
    <xf numFmtId="0" fontId="10" fillId="80" borderId="15" xfId="1" applyFont="1" applyBorder="1"/>
    <xf numFmtId="0" fontId="10" fillId="80" borderId="1" xfId="1" applyFont="1"/>
    <xf numFmtId="0" fontId="10" fillId="80" borderId="16" xfId="1" applyFont="1" applyBorder="1"/>
    <xf numFmtId="0" fontId="11" fillId="80" borderId="20" xfId="3" applyFont="1" applyBorder="1" applyAlignment="1">
      <alignment horizontal="center" vertical="center"/>
    </xf>
    <xf numFmtId="0" fontId="11" fillId="80" borderId="21" xfId="3" applyFont="1" applyBorder="1" applyAlignment="1">
      <alignment horizontal="center" vertical="center"/>
    </xf>
    <xf numFmtId="0" fontId="11" fillId="80" borderId="22" xfId="3" applyFont="1" applyBorder="1" applyAlignment="1">
      <alignment horizontal="center" vertical="center"/>
    </xf>
    <xf numFmtId="0" fontId="11" fillId="80" borderId="23" xfId="3" applyFont="1" applyBorder="1" applyAlignment="1">
      <alignment horizontal="center" vertical="center"/>
    </xf>
    <xf numFmtId="0" fontId="11" fillId="80" borderId="24" xfId="3" applyFont="1" applyBorder="1" applyAlignment="1">
      <alignment horizontal="center" vertical="center"/>
    </xf>
    <xf numFmtId="0" fontId="11" fillId="81" borderId="17" xfId="4" applyFont="1" applyFill="1" applyBorder="1" applyAlignment="1">
      <alignment vertical="center" wrapText="1"/>
    </xf>
    <xf numFmtId="0" fontId="11" fillId="81" borderId="18" xfId="4" applyFont="1" applyFill="1" applyBorder="1" applyAlignment="1">
      <alignment vertical="center" wrapText="1"/>
    </xf>
    <xf numFmtId="0" fontId="11" fillId="81" borderId="18" xfId="4" applyFont="1" applyFill="1" applyBorder="1" applyAlignment="1">
      <alignment horizontal="center" vertical="center" wrapText="1"/>
    </xf>
    <xf numFmtId="0" fontId="11" fillId="81" borderId="19" xfId="4" applyFont="1" applyFill="1" applyBorder="1" applyAlignment="1">
      <alignment horizontal="center" vertical="center" wrapText="1"/>
    </xf>
    <xf numFmtId="0" fontId="11" fillId="80" borderId="18" xfId="4" applyFont="1" applyBorder="1" applyAlignment="1">
      <alignment horizontal="left" vertical="center" wrapText="1"/>
    </xf>
    <xf numFmtId="0" fontId="10" fillId="80" borderId="18" xfId="5" quotePrefix="1" applyFont="1" applyBorder="1" applyAlignment="1">
      <alignment horizontal="center" vertical="center" wrapText="1"/>
    </xf>
    <xf numFmtId="0" fontId="10" fillId="80" borderId="18" xfId="5" applyFont="1" applyBorder="1" applyAlignment="1">
      <alignment horizontal="center" vertical="center" wrapText="1"/>
    </xf>
    <xf numFmtId="0" fontId="10" fillId="80" borderId="19" xfId="6" applyFont="1" applyBorder="1" applyAlignment="1">
      <alignment horizontal="center" vertical="center" wrapText="1"/>
    </xf>
    <xf numFmtId="14" fontId="10" fillId="80" borderId="19" xfId="6" applyNumberFormat="1" applyFont="1" applyBorder="1" applyAlignment="1">
      <alignment horizontal="center" vertical="center" wrapText="1"/>
    </xf>
    <xf numFmtId="0" fontId="13" fillId="80" borderId="18" xfId="7" applyBorder="1" applyAlignment="1">
      <alignment horizontal="center" vertical="center" wrapText="1"/>
    </xf>
    <xf numFmtId="0" fontId="13" fillId="80" borderId="19" xfId="7" applyBorder="1" applyAlignment="1">
      <alignment horizontal="center" vertical="center" wrapText="1"/>
    </xf>
    <xf numFmtId="14" fontId="10" fillId="80" borderId="18" xfId="5" applyNumberFormat="1" applyFont="1" applyBorder="1" applyAlignment="1">
      <alignment horizontal="center" vertical="center" wrapText="1"/>
    </xf>
    <xf numFmtId="0" fontId="10" fillId="80" borderId="19" xfId="5" applyFont="1" applyBorder="1" applyAlignment="1">
      <alignment horizontal="center" vertical="center" wrapText="1"/>
    </xf>
    <xf numFmtId="4" fontId="10" fillId="83" borderId="18" xfId="5" applyNumberFormat="1" applyFont="1" applyFill="1" applyBorder="1" applyAlignment="1">
      <alignment horizontal="center" vertical="center"/>
    </xf>
    <xf numFmtId="4" fontId="10" fillId="83" borderId="19" xfId="5" applyNumberFormat="1" applyFont="1" applyFill="1" applyBorder="1" applyAlignment="1">
      <alignment horizontal="center" vertical="center"/>
    </xf>
    <xf numFmtId="4" fontId="10" fillId="80" borderId="18" xfId="5" applyNumberFormat="1" applyFont="1" applyBorder="1" applyAlignment="1">
      <alignment horizontal="center" vertical="center"/>
    </xf>
    <xf numFmtId="4" fontId="10" fillId="80" borderId="19" xfId="5" applyNumberFormat="1" applyFont="1" applyBorder="1" applyAlignment="1">
      <alignment horizontal="center" vertical="center"/>
    </xf>
    <xf numFmtId="0" fontId="10" fillId="82" borderId="1" xfId="5" quotePrefix="1" applyFont="1" applyFill="1" applyAlignment="1">
      <alignment horizontal="center" vertical="center" wrapText="1"/>
    </xf>
    <xf numFmtId="0" fontId="10" fillId="80" borderId="1" xfId="4" quotePrefix="1" applyFont="1" applyAlignment="1">
      <alignment horizontal="center" vertical="center" wrapText="1"/>
    </xf>
    <xf numFmtId="0" fontId="10" fillId="80" borderId="1" xfId="4" applyFont="1" applyAlignment="1">
      <alignment horizontal="center" vertical="center" wrapText="1"/>
    </xf>
    <xf numFmtId="4" fontId="10" fillId="82" borderId="1" xfId="4" applyNumberFormat="1" applyFont="1" applyFill="1" applyAlignment="1">
      <alignment horizontal="center" vertical="center"/>
    </xf>
    <xf numFmtId="4" fontId="11" fillId="82" borderId="1" xfId="4" applyNumberFormat="1" applyFont="1" applyFill="1" applyAlignment="1">
      <alignment horizontal="center" vertical="center"/>
    </xf>
    <xf numFmtId="0" fontId="11" fillId="80" borderId="1" xfId="4" applyFont="1" applyAlignment="1">
      <alignment horizontal="left" vertical="center" wrapText="1"/>
    </xf>
    <xf numFmtId="4" fontId="10" fillId="80" borderId="1" xfId="5" applyNumberFormat="1" applyFont="1" applyAlignment="1">
      <alignment horizontal="center" vertical="center"/>
    </xf>
    <xf numFmtId="0" fontId="14" fillId="80" borderId="1" xfId="8" applyFont="1" applyAlignment="1">
      <alignment vertical="center" wrapText="1"/>
    </xf>
    <xf numFmtId="0" fontId="14" fillId="80" borderId="1" xfId="8" applyFont="1" applyAlignment="1">
      <alignment horizontal="center" vertical="center" wrapText="1"/>
    </xf>
    <xf numFmtId="0" fontId="15" fillId="80" borderId="1" xfId="9" applyFont="1"/>
    <xf numFmtId="0" fontId="4" fillId="80" borderId="1" xfId="9" applyFont="1"/>
    <xf numFmtId="0" fontId="16" fillId="80" borderId="1" xfId="8" applyFont="1" applyAlignment="1">
      <alignment vertical="center" wrapText="1"/>
    </xf>
    <xf numFmtId="0" fontId="16" fillId="80" borderId="1" xfId="8" applyFont="1" applyAlignment="1">
      <alignment horizontal="center" vertical="center" wrapText="1"/>
    </xf>
    <xf numFmtId="0" fontId="16" fillId="82" borderId="1" xfId="8" applyFont="1" applyFill="1" applyAlignment="1">
      <alignment vertical="center" wrapText="1"/>
    </xf>
    <xf numFmtId="0" fontId="16" fillId="82" borderId="1" xfId="8" applyFont="1" applyFill="1" applyAlignment="1">
      <alignment horizontal="center" vertical="center" wrapText="1"/>
    </xf>
    <xf numFmtId="0" fontId="17" fillId="84" borderId="18" xfId="8" applyFont="1" applyFill="1" applyBorder="1" applyAlignment="1">
      <alignment horizontal="right" vertical="top" wrapText="1"/>
    </xf>
    <xf numFmtId="0" fontId="5" fillId="80" borderId="40" xfId="9" applyFont="1" applyBorder="1" applyAlignment="1">
      <alignment horizontal="center" vertical="top" wrapText="1"/>
    </xf>
    <xf numFmtId="0" fontId="5" fillId="80" borderId="40" xfId="9" applyFont="1" applyBorder="1" applyAlignment="1">
      <alignment horizontal="center" vertical="center" wrapText="1"/>
    </xf>
    <xf numFmtId="0" fontId="17" fillId="80" borderId="40" xfId="9" applyFont="1" applyBorder="1" applyAlignment="1">
      <alignment horizontal="right" vertical="top" wrapText="1"/>
    </xf>
    <xf numFmtId="0" fontId="15" fillId="80" borderId="1" xfId="9" applyFont="1" applyAlignment="1">
      <alignment horizontal="center"/>
    </xf>
    <xf numFmtId="0" fontId="4" fillId="80" borderId="1" xfId="9" applyFont="1" applyAlignment="1">
      <alignment horizontal="center"/>
    </xf>
    <xf numFmtId="0" fontId="14" fillId="86" borderId="18" xfId="9" applyFont="1" applyFill="1" applyBorder="1" applyAlignment="1">
      <alignment horizontal="center"/>
    </xf>
    <xf numFmtId="0" fontId="14" fillId="86" borderId="35" xfId="9" applyFont="1" applyFill="1" applyBorder="1" applyAlignment="1">
      <alignment horizontal="left"/>
    </xf>
    <xf numFmtId="0" fontId="14" fillId="86" borderId="18" xfId="9" applyFont="1" applyFill="1" applyBorder="1" applyAlignment="1">
      <alignment horizontal="center" wrapText="1"/>
    </xf>
    <xf numFmtId="0" fontId="14" fillId="86" borderId="24" xfId="9" applyFont="1" applyFill="1" applyBorder="1" applyAlignment="1">
      <alignment horizontal="center" wrapText="1"/>
    </xf>
    <xf numFmtId="0" fontId="14" fillId="86" borderId="24" xfId="9" applyFont="1" applyFill="1" applyBorder="1" applyAlignment="1">
      <alignment wrapText="1"/>
    </xf>
    <xf numFmtId="0" fontId="14" fillId="86" borderId="24" xfId="9" applyFont="1" applyFill="1" applyBorder="1" applyAlignment="1">
      <alignment horizontal="right" wrapText="1"/>
    </xf>
    <xf numFmtId="0" fontId="14" fillId="86" borderId="36" xfId="9" applyFont="1" applyFill="1" applyBorder="1" applyAlignment="1">
      <alignment horizontal="right" wrapText="1"/>
    </xf>
    <xf numFmtId="0" fontId="18" fillId="86" borderId="18" xfId="8" applyFont="1" applyFill="1" applyBorder="1" applyAlignment="1">
      <alignment horizontal="right" vertical="center"/>
    </xf>
    <xf numFmtId="0" fontId="5" fillId="80" borderId="18" xfId="9" applyFont="1" applyBorder="1" applyAlignment="1">
      <alignment horizontal="center" vertical="top" wrapText="1"/>
    </xf>
    <xf numFmtId="0" fontId="17" fillId="80" borderId="18" xfId="9" applyFont="1" applyBorder="1" applyAlignment="1">
      <alignment horizontal="center" vertical="center" wrapText="1"/>
    </xf>
    <xf numFmtId="0" fontId="14" fillId="80" borderId="18" xfId="9" applyFont="1" applyBorder="1" applyAlignment="1">
      <alignment vertical="center" wrapText="1"/>
    </xf>
    <xf numFmtId="0" fontId="14" fillId="80" borderId="18" xfId="9" applyFont="1" applyBorder="1" applyAlignment="1">
      <alignment horizontal="center" vertical="center" wrapText="1"/>
    </xf>
    <xf numFmtId="0" fontId="9" fillId="80" borderId="18" xfId="9" applyFont="1" applyBorder="1" applyAlignment="1">
      <alignment horizontal="right" vertical="center" wrapText="1"/>
    </xf>
    <xf numFmtId="4" fontId="17" fillId="80" borderId="18" xfId="9" applyNumberFormat="1" applyFont="1" applyBorder="1" applyAlignment="1">
      <alignment horizontal="right" wrapText="1"/>
    </xf>
    <xf numFmtId="0" fontId="5" fillId="80" borderId="18" xfId="9" applyFont="1" applyBorder="1" applyAlignment="1">
      <alignment horizontal="center" vertical="center" wrapText="1"/>
    </xf>
    <xf numFmtId="43" fontId="18" fillId="80" borderId="18" xfId="10" applyFont="1" applyBorder="1" applyAlignment="1">
      <alignment horizontal="right"/>
    </xf>
    <xf numFmtId="4" fontId="18" fillId="80" borderId="18" xfId="9" applyNumberFormat="1" applyFont="1" applyBorder="1" applyAlignment="1">
      <alignment horizontal="right" wrapText="1"/>
    </xf>
    <xf numFmtId="0" fontId="17" fillId="80" borderId="18" xfId="9" applyFont="1" applyBorder="1" applyAlignment="1">
      <alignment horizontal="right" vertical="top" wrapText="1"/>
    </xf>
    <xf numFmtId="43" fontId="18" fillId="80" borderId="18" xfId="10" applyFont="1" applyFill="1" applyBorder="1" applyAlignment="1">
      <alignment horizontal="right"/>
    </xf>
    <xf numFmtId="0" fontId="14" fillId="80" borderId="18" xfId="8" applyFont="1" applyBorder="1" applyAlignment="1">
      <alignment horizontal="center" vertical="center"/>
    </xf>
    <xf numFmtId="0" fontId="14" fillId="80" borderId="18" xfId="9" applyFont="1" applyBorder="1" applyAlignment="1">
      <alignment horizontal="right" vertical="center" wrapText="1"/>
    </xf>
    <xf numFmtId="0" fontId="18" fillId="80" borderId="18" xfId="9" applyFont="1" applyBorder="1"/>
    <xf numFmtId="0" fontId="18" fillId="80" borderId="18" xfId="9" applyFont="1" applyBorder="1" applyAlignment="1">
      <alignment wrapText="1"/>
    </xf>
    <xf numFmtId="0" fontId="18" fillId="80" borderId="18" xfId="9" applyFont="1" applyBorder="1" applyAlignment="1">
      <alignment horizontal="center"/>
    </xf>
    <xf numFmtId="0" fontId="18" fillId="80" borderId="18" xfId="9" applyFont="1" applyBorder="1" applyAlignment="1">
      <alignment horizontal="right"/>
    </xf>
    <xf numFmtId="4" fontId="9" fillId="80" borderId="18" xfId="11" applyNumberFormat="1" applyFont="1" applyFill="1" applyBorder="1" applyAlignment="1">
      <alignment horizontal="right" vertical="center"/>
    </xf>
    <xf numFmtId="0" fontId="19" fillId="80" borderId="18" xfId="12" applyFont="1" applyBorder="1" applyAlignment="1">
      <alignment horizontal="left" vertical="center" wrapText="1"/>
    </xf>
    <xf numFmtId="0" fontId="19" fillId="80" borderId="30" xfId="12" applyFont="1" applyBorder="1" applyAlignment="1">
      <alignment horizontal="left" vertical="center" wrapText="1"/>
    </xf>
    <xf numFmtId="2" fontId="18" fillId="80" borderId="18" xfId="9" applyNumberFormat="1" applyFont="1" applyBorder="1"/>
    <xf numFmtId="4" fontId="14" fillId="80" borderId="18" xfId="11" applyNumberFormat="1" applyFont="1" applyFill="1" applyBorder="1" applyAlignment="1">
      <alignment horizontal="center" vertical="center"/>
    </xf>
    <xf numFmtId="4" fontId="14" fillId="80" borderId="18" xfId="11" applyNumberFormat="1" applyFont="1" applyFill="1" applyBorder="1" applyAlignment="1">
      <alignment horizontal="right" vertical="center"/>
    </xf>
    <xf numFmtId="0" fontId="9" fillId="80" borderId="18" xfId="12" applyBorder="1" applyAlignment="1">
      <alignment horizontal="center" vertical="center" wrapText="1"/>
    </xf>
    <xf numFmtId="4" fontId="9" fillId="80" borderId="18" xfId="13" applyNumberFormat="1" applyFont="1" applyFill="1" applyBorder="1" applyAlignment="1">
      <alignment horizontal="right" vertical="center" wrapText="1"/>
    </xf>
    <xf numFmtId="4" fontId="9" fillId="82" borderId="18" xfId="11" applyNumberFormat="1" applyFont="1" applyFill="1" applyBorder="1" applyAlignment="1">
      <alignment horizontal="right" vertical="center"/>
    </xf>
    <xf numFmtId="0" fontId="17" fillId="80" borderId="18" xfId="9" applyFont="1" applyBorder="1" applyAlignment="1">
      <alignment horizontal="center"/>
    </xf>
    <xf numFmtId="0" fontId="21" fillId="80" borderId="18" xfId="12" applyFont="1" applyBorder="1" applyAlignment="1">
      <alignment horizontal="left" vertical="top" wrapText="1"/>
    </xf>
    <xf numFmtId="0" fontId="9" fillId="80" borderId="18" xfId="14" applyFont="1" applyBorder="1" applyAlignment="1">
      <alignment horizontal="center" vertical="top" wrapText="1"/>
    </xf>
    <xf numFmtId="2" fontId="9" fillId="80" borderId="18" xfId="14" applyNumberFormat="1" applyFont="1" applyBorder="1" applyAlignment="1">
      <alignment horizontal="center" vertical="top" wrapText="1"/>
    </xf>
    <xf numFmtId="2" fontId="9" fillId="80" borderId="18" xfId="14" applyNumberFormat="1" applyFont="1" applyBorder="1" applyAlignment="1">
      <alignment horizontal="right" vertical="top" wrapText="1"/>
    </xf>
    <xf numFmtId="0" fontId="14" fillId="80" borderId="18" xfId="14" applyFont="1" applyBorder="1" applyAlignment="1">
      <alignment horizontal="right" vertical="top" wrapText="1"/>
    </xf>
    <xf numFmtId="43" fontId="9" fillId="80" borderId="18" xfId="10" applyFont="1" applyBorder="1" applyAlignment="1">
      <alignment horizontal="right" wrapText="1"/>
    </xf>
    <xf numFmtId="0" fontId="21" fillId="80" borderId="18" xfId="12" applyFont="1" applyBorder="1" applyAlignment="1">
      <alignment horizontal="right" vertical="top" wrapText="1"/>
    </xf>
    <xf numFmtId="0" fontId="9" fillId="80" borderId="18" xfId="14" applyFont="1" applyBorder="1" applyAlignment="1">
      <alignment horizontal="right" vertical="top" wrapText="1"/>
    </xf>
    <xf numFmtId="0" fontId="22" fillId="80" borderId="18" xfId="12" applyFont="1" applyBorder="1" applyAlignment="1">
      <alignment horizontal="center" vertical="top" wrapText="1"/>
    </xf>
    <xf numFmtId="4" fontId="9" fillId="80" borderId="18" xfId="12" applyNumberFormat="1" applyBorder="1" applyAlignment="1">
      <alignment horizontal="right" wrapText="1"/>
    </xf>
    <xf numFmtId="39" fontId="9" fillId="80" borderId="18" xfId="8" applyNumberFormat="1" applyBorder="1" applyAlignment="1">
      <alignment horizontal="center" vertical="center"/>
    </xf>
    <xf numFmtId="0" fontId="18" fillId="80" borderId="35" xfId="9" applyFont="1" applyBorder="1"/>
    <xf numFmtId="0" fontId="9" fillId="80" borderId="24" xfId="14" applyFont="1" applyBorder="1" applyAlignment="1">
      <alignment horizontal="center" vertical="top" wrapText="1"/>
    </xf>
    <xf numFmtId="2" fontId="9" fillId="80" borderId="24" xfId="14" applyNumberFormat="1" applyFont="1" applyBorder="1" applyAlignment="1">
      <alignment horizontal="center" vertical="top" wrapText="1"/>
    </xf>
    <xf numFmtId="2" fontId="9" fillId="80" borderId="24" xfId="14" applyNumberFormat="1" applyFont="1" applyBorder="1" applyAlignment="1">
      <alignment horizontal="right" vertical="top" wrapText="1"/>
    </xf>
    <xf numFmtId="0" fontId="14" fillId="80" borderId="24" xfId="14" applyFont="1" applyBorder="1" applyAlignment="1">
      <alignment horizontal="right" vertical="top" wrapText="1"/>
    </xf>
    <xf numFmtId="0" fontId="9" fillId="80" borderId="36" xfId="14" applyFont="1" applyBorder="1" applyAlignment="1">
      <alignment horizontal="right" vertical="top" wrapText="1"/>
    </xf>
    <xf numFmtId="0" fontId="9" fillId="80" borderId="18" xfId="9" applyFont="1" applyBorder="1" applyAlignment="1">
      <alignment vertical="center" wrapText="1"/>
    </xf>
    <xf numFmtId="0" fontId="14" fillId="80" borderId="30" xfId="12" applyFont="1" applyBorder="1" applyAlignment="1">
      <alignment horizontal="center" vertical="center" wrapText="1"/>
    </xf>
    <xf numFmtId="4" fontId="9" fillId="80" borderId="18" xfId="9" applyNumberFormat="1" applyFont="1" applyBorder="1" applyAlignment="1">
      <alignment horizontal="right" vertical="center" wrapText="1"/>
    </xf>
    <xf numFmtId="4" fontId="23" fillId="80" borderId="18" xfId="11" applyNumberFormat="1" applyFont="1" applyFill="1" applyBorder="1" applyAlignment="1">
      <alignment horizontal="center" vertical="center" wrapText="1"/>
    </xf>
    <xf numFmtId="4" fontId="23" fillId="80" borderId="18" xfId="11" applyNumberFormat="1" applyFont="1" applyFill="1" applyBorder="1" applyAlignment="1">
      <alignment horizontal="right" vertical="center" wrapText="1"/>
    </xf>
    <xf numFmtId="0" fontId="9" fillId="80" borderId="35" xfId="12" applyBorder="1" applyAlignment="1">
      <alignment horizontal="center" vertical="center" wrapText="1"/>
    </xf>
    <xf numFmtId="4" fontId="9" fillId="80" borderId="35" xfId="13" applyNumberFormat="1" applyFont="1" applyFill="1" applyBorder="1" applyAlignment="1">
      <alignment horizontal="right" vertical="center" wrapText="1"/>
    </xf>
    <xf numFmtId="4" fontId="9" fillId="80" borderId="35" xfId="11" applyNumberFormat="1" applyFont="1" applyFill="1" applyBorder="1" applyAlignment="1">
      <alignment horizontal="right" vertical="center"/>
    </xf>
    <xf numFmtId="4" fontId="14" fillId="80" borderId="18" xfId="11" applyNumberFormat="1" applyFont="1" applyFill="1" applyBorder="1" applyAlignment="1">
      <alignment horizontal="center" vertical="center" wrapText="1"/>
    </xf>
    <xf numFmtId="0" fontId="9" fillId="80" borderId="18" xfId="9" applyFont="1" applyBorder="1" applyAlignment="1">
      <alignment horizontal="center" vertical="center" wrapText="1"/>
    </xf>
    <xf numFmtId="0" fontId="25" fillId="80" borderId="1" xfId="9" applyFont="1"/>
    <xf numFmtId="4" fontId="9" fillId="82" borderId="35" xfId="11" applyNumberFormat="1" applyFont="1" applyFill="1" applyBorder="1" applyAlignment="1">
      <alignment horizontal="right" vertical="center"/>
    </xf>
    <xf numFmtId="166" fontId="9" fillId="80" borderId="18" xfId="13" applyNumberFormat="1" applyFont="1" applyFill="1" applyBorder="1" applyAlignment="1">
      <alignment horizontal="right" vertical="center" wrapText="1"/>
    </xf>
    <xf numFmtId="0" fontId="14" fillId="85" borderId="18" xfId="9" applyFont="1" applyFill="1" applyBorder="1" applyAlignment="1">
      <alignment horizontal="center"/>
    </xf>
    <xf numFmtId="0" fontId="14" fillId="85" borderId="35" xfId="9" applyFont="1" applyFill="1" applyBorder="1" applyAlignment="1">
      <alignment horizontal="left"/>
    </xf>
    <xf numFmtId="0" fontId="14" fillId="85" borderId="18" xfId="9" applyFont="1" applyFill="1" applyBorder="1" applyAlignment="1">
      <alignment horizontal="center" wrapText="1"/>
    </xf>
    <xf numFmtId="0" fontId="14" fillId="85" borderId="24" xfId="9" applyFont="1" applyFill="1" applyBorder="1" applyAlignment="1">
      <alignment horizontal="center" wrapText="1"/>
    </xf>
    <xf numFmtId="0" fontId="14" fillId="85" borderId="24" xfId="9" applyFont="1" applyFill="1" applyBorder="1" applyAlignment="1">
      <alignment wrapText="1"/>
    </xf>
    <xf numFmtId="0" fontId="14" fillId="85" borderId="24" xfId="9" applyFont="1" applyFill="1" applyBorder="1" applyAlignment="1">
      <alignment horizontal="right" wrapText="1"/>
    </xf>
    <xf numFmtId="0" fontId="14" fillId="85" borderId="36" xfId="9" applyFont="1" applyFill="1" applyBorder="1" applyAlignment="1">
      <alignment horizontal="right" wrapText="1"/>
    </xf>
    <xf numFmtId="0" fontId="18" fillId="85" borderId="18" xfId="8" applyFont="1" applyFill="1" applyBorder="1" applyAlignment="1">
      <alignment horizontal="right" vertical="center"/>
    </xf>
    <xf numFmtId="0" fontId="9" fillId="82" borderId="18" xfId="9" applyFont="1" applyFill="1" applyBorder="1" applyAlignment="1">
      <alignment horizontal="right" vertical="center" wrapText="1"/>
    </xf>
    <xf numFmtId="4" fontId="9" fillId="80" borderId="18" xfId="11" applyNumberFormat="1" applyFont="1" applyFill="1" applyBorder="1" applyAlignment="1">
      <alignment horizontal="center" vertical="center"/>
    </xf>
    <xf numFmtId="0" fontId="18" fillId="82" borderId="18" xfId="9" applyFont="1" applyFill="1" applyBorder="1" applyAlignment="1">
      <alignment horizontal="right"/>
    </xf>
    <xf numFmtId="169" fontId="18" fillId="80" borderId="18" xfId="10" applyNumberFormat="1" applyFont="1" applyFill="1" applyBorder="1" applyAlignment="1">
      <alignment horizontal="right"/>
    </xf>
    <xf numFmtId="0" fontId="9" fillId="80" borderId="18" xfId="9" applyFont="1" applyBorder="1" applyAlignment="1">
      <alignment horizontal="left" vertical="center" wrapText="1"/>
    </xf>
    <xf numFmtId="0" fontId="26" fillId="80" borderId="18" xfId="9" applyFont="1" applyBorder="1" applyAlignment="1">
      <alignment vertical="center" wrapText="1"/>
    </xf>
    <xf numFmtId="0" fontId="19" fillId="82" borderId="18" xfId="12" applyFont="1" applyFill="1" applyBorder="1" applyAlignment="1">
      <alignment horizontal="right" vertical="top" wrapText="1"/>
    </xf>
    <xf numFmtId="2" fontId="18" fillId="80" borderId="18" xfId="9" applyNumberFormat="1" applyFont="1" applyBorder="1" applyAlignment="1">
      <alignment horizontal="center"/>
    </xf>
    <xf numFmtId="0" fontId="17" fillId="80" borderId="18" xfId="9" applyFont="1" applyBorder="1" applyAlignment="1">
      <alignment horizontal="center" vertical="center"/>
    </xf>
    <xf numFmtId="2" fontId="18" fillId="80" borderId="18" xfId="9" applyNumberFormat="1" applyFont="1" applyBorder="1" applyAlignment="1">
      <alignment horizontal="right"/>
    </xf>
    <xf numFmtId="43" fontId="18" fillId="80" borderId="18" xfId="10" applyFont="1" applyFill="1" applyBorder="1"/>
    <xf numFmtId="43" fontId="9" fillId="80" borderId="18" xfId="10" applyFont="1" applyFill="1" applyBorder="1"/>
    <xf numFmtId="4" fontId="18" fillId="80" borderId="18" xfId="9" applyNumberFormat="1" applyFont="1" applyBorder="1" applyAlignment="1">
      <alignment horizontal="right"/>
    </xf>
    <xf numFmtId="169" fontId="9" fillId="80" borderId="18" xfId="10" applyNumberFormat="1" applyFont="1" applyFill="1" applyBorder="1" applyAlignment="1">
      <alignment horizontal="right"/>
    </xf>
    <xf numFmtId="0" fontId="9" fillId="80" borderId="18" xfId="9" applyFont="1" applyBorder="1" applyAlignment="1">
      <alignment horizontal="right"/>
    </xf>
    <xf numFmtId="0" fontId="18" fillId="80" borderId="1" xfId="9" applyFont="1"/>
    <xf numFmtId="0" fontId="18" fillId="80" borderId="1" xfId="9" applyFont="1" applyAlignment="1">
      <alignment horizontal="center"/>
    </xf>
    <xf numFmtId="0" fontId="18" fillId="80" borderId="1" xfId="9" applyFont="1" applyAlignment="1">
      <alignment horizontal="right"/>
    </xf>
    <xf numFmtId="0" fontId="18" fillId="82" borderId="1" xfId="9" applyFont="1" applyFill="1" applyAlignment="1">
      <alignment horizontal="right"/>
    </xf>
    <xf numFmtId="0" fontId="2" fillId="14" borderId="1" xfId="0" applyFont="1" applyFill="1" applyBorder="1" applyAlignment="1">
      <alignment horizontal="left" vertical="center" wrapText="1"/>
    </xf>
    <xf numFmtId="0" fontId="6" fillId="13" borderId="1" xfId="0" applyFont="1" applyFill="1" applyBorder="1" applyAlignment="1" applyProtection="1">
      <alignment wrapText="1"/>
      <protection locked="0"/>
    </xf>
    <xf numFmtId="0" fontId="2" fillId="11" borderId="2" xfId="0" applyFont="1" applyFill="1" applyBorder="1" applyAlignment="1">
      <alignment horizontal="right" vertical="center" wrapText="1"/>
    </xf>
    <xf numFmtId="0" fontId="2" fillId="4" borderId="2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 applyProtection="1">
      <alignment wrapText="1"/>
      <protection locked="0"/>
    </xf>
    <xf numFmtId="0" fontId="14" fillId="84" borderId="18" xfId="8" applyFont="1" applyFill="1" applyBorder="1" applyAlignment="1">
      <alignment horizontal="left" vertical="top"/>
    </xf>
    <xf numFmtId="0" fontId="14" fillId="84" borderId="37" xfId="8" applyFont="1" applyFill="1" applyBorder="1" applyAlignment="1">
      <alignment horizontal="left" vertical="top" wrapText="1"/>
    </xf>
    <xf numFmtId="0" fontId="14" fillId="84" borderId="38" xfId="8" applyFont="1" applyFill="1" applyBorder="1" applyAlignment="1">
      <alignment horizontal="left" vertical="top" wrapText="1"/>
    </xf>
    <xf numFmtId="0" fontId="14" fillId="84" borderId="39" xfId="8" applyFont="1" applyFill="1" applyBorder="1" applyAlignment="1">
      <alignment horizontal="left" vertical="top" wrapText="1"/>
    </xf>
    <xf numFmtId="0" fontId="14" fillId="84" borderId="31" xfId="8" applyFont="1" applyFill="1" applyBorder="1" applyAlignment="1">
      <alignment horizontal="center" vertical="center" wrapText="1"/>
    </xf>
    <xf numFmtId="0" fontId="14" fillId="84" borderId="32" xfId="8" applyFont="1" applyFill="1" applyBorder="1" applyAlignment="1">
      <alignment horizontal="center" vertical="center" wrapText="1"/>
    </xf>
    <xf numFmtId="0" fontId="14" fillId="84" borderId="33" xfId="8" applyFont="1" applyFill="1" applyBorder="1" applyAlignment="1">
      <alignment horizontal="center" vertical="center" wrapText="1"/>
    </xf>
    <xf numFmtId="0" fontId="14" fillId="84" borderId="1" xfId="8" applyFont="1" applyFill="1" applyAlignment="1">
      <alignment horizontal="center" vertical="center" wrapText="1"/>
    </xf>
    <xf numFmtId="0" fontId="14" fillId="84" borderId="34" xfId="8" applyFont="1" applyFill="1" applyBorder="1" applyAlignment="1">
      <alignment horizontal="center" vertical="center" wrapText="1"/>
    </xf>
    <xf numFmtId="0" fontId="14" fillId="84" borderId="21" xfId="8" applyFont="1" applyFill="1" applyBorder="1" applyAlignment="1">
      <alignment horizontal="center" vertical="center" wrapText="1"/>
    </xf>
    <xf numFmtId="0" fontId="14" fillId="85" borderId="35" xfId="8" applyFont="1" applyFill="1" applyBorder="1" applyAlignment="1">
      <alignment horizontal="center" vertical="center"/>
    </xf>
    <xf numFmtId="0" fontId="14" fillId="85" borderId="24" xfId="8" applyFont="1" applyFill="1" applyBorder="1" applyAlignment="1">
      <alignment horizontal="center" vertical="center"/>
    </xf>
    <xf numFmtId="0" fontId="14" fillId="85" borderId="36" xfId="8" applyFont="1" applyFill="1" applyBorder="1" applyAlignment="1">
      <alignment horizontal="center" vertical="center"/>
    </xf>
    <xf numFmtId="0" fontId="14" fillId="84" borderId="18" xfId="8" applyFont="1" applyFill="1" applyBorder="1" applyAlignment="1">
      <alignment horizontal="left" vertical="center" wrapText="1"/>
    </xf>
    <xf numFmtId="0" fontId="2" fillId="29" borderId="2" xfId="0" applyFont="1" applyFill="1" applyBorder="1" applyAlignment="1">
      <alignment horizontal="right" vertical="center" wrapText="1"/>
    </xf>
    <xf numFmtId="0" fontId="2" fillId="20" borderId="2" xfId="0" applyFont="1" applyFill="1" applyBorder="1" applyAlignment="1">
      <alignment horizontal="left" vertical="center" wrapText="1"/>
    </xf>
    <xf numFmtId="0" fontId="8" fillId="21" borderId="2" xfId="0" applyFont="1" applyFill="1" applyBorder="1" applyAlignment="1">
      <alignment horizontal="left" vertical="center" wrapText="1"/>
    </xf>
    <xf numFmtId="0" fontId="8" fillId="27" borderId="2" xfId="0" applyFont="1" applyFill="1" applyBorder="1" applyAlignment="1">
      <alignment horizontal="right" vertical="top" wrapText="1"/>
    </xf>
    <xf numFmtId="0" fontId="1" fillId="19" borderId="1" xfId="0" applyFont="1" applyFill="1" applyBorder="1" applyAlignment="1">
      <alignment horizontal="left" vertical="top" wrapText="1"/>
    </xf>
    <xf numFmtId="0" fontId="2" fillId="31" borderId="1" xfId="0" applyFont="1" applyFill="1" applyBorder="1" applyAlignment="1">
      <alignment horizontal="right" vertical="center" wrapText="1"/>
    </xf>
    <xf numFmtId="165" fontId="7" fillId="39" borderId="1" xfId="0" applyNumberFormat="1" applyFont="1" applyFill="1" applyBorder="1" applyAlignment="1">
      <alignment horizontal="right" vertical="center" wrapText="1"/>
    </xf>
    <xf numFmtId="164" fontId="1" fillId="57" borderId="8" xfId="0" applyNumberFormat="1" applyFont="1" applyFill="1" applyBorder="1" applyAlignment="1">
      <alignment horizontal="right" vertical="center" wrapText="1"/>
    </xf>
    <xf numFmtId="164" fontId="7" fillId="59" borderId="2" xfId="0" applyNumberFormat="1" applyFont="1" applyFill="1" applyBorder="1" applyAlignment="1">
      <alignment horizontal="right" vertical="center" wrapText="1"/>
    </xf>
    <xf numFmtId="164" fontId="7" fillId="60" borderId="4" xfId="0" applyNumberFormat="1" applyFont="1" applyFill="1" applyBorder="1" applyAlignment="1">
      <alignment horizontal="right" vertical="center" wrapText="1"/>
    </xf>
    <xf numFmtId="164" fontId="7" fillId="65" borderId="4" xfId="0" applyNumberFormat="1" applyFont="1" applyFill="1" applyBorder="1" applyAlignment="1">
      <alignment horizontal="right" vertical="center" wrapText="1"/>
    </xf>
    <xf numFmtId="164" fontId="7" fillId="9" borderId="2" xfId="0" applyNumberFormat="1" applyFont="1" applyFill="1" applyBorder="1" applyAlignment="1">
      <alignment horizontal="right" vertical="center" wrapText="1"/>
    </xf>
    <xf numFmtId="0" fontId="8" fillId="41" borderId="2" xfId="0" applyFont="1" applyFill="1" applyBorder="1" applyAlignment="1">
      <alignment horizontal="center" vertical="center" wrapText="1"/>
    </xf>
    <xf numFmtId="0" fontId="8" fillId="40" borderId="2" xfId="0" applyFont="1" applyFill="1" applyBorder="1" applyAlignment="1">
      <alignment horizontal="center" vertical="center" wrapText="1"/>
    </xf>
    <xf numFmtId="0" fontId="8" fillId="42" borderId="2" xfId="0" applyFont="1" applyFill="1" applyBorder="1" applyAlignment="1">
      <alignment horizontal="center" vertical="center" wrapText="1"/>
    </xf>
    <xf numFmtId="0" fontId="2" fillId="74" borderId="1" xfId="0" applyFont="1" applyFill="1" applyBorder="1" applyAlignment="1">
      <alignment horizontal="left" vertical="center" wrapText="1"/>
    </xf>
    <xf numFmtId="166" fontId="2" fillId="80" borderId="1" xfId="0" applyNumberFormat="1" applyFont="1" applyFill="1" applyBorder="1" applyAlignment="1">
      <alignment horizontal="right" vertical="center" wrapText="1"/>
    </xf>
    <xf numFmtId="167" fontId="7" fillId="76" borderId="2" xfId="0" applyNumberFormat="1" applyFont="1" applyFill="1" applyBorder="1" applyAlignment="1">
      <alignment horizontal="right" vertical="top" wrapText="1"/>
    </xf>
    <xf numFmtId="4" fontId="7" fillId="77" borderId="2" xfId="0" applyNumberFormat="1" applyFont="1" applyFill="1" applyBorder="1" applyAlignment="1">
      <alignment horizontal="right" vertical="top" wrapText="1"/>
    </xf>
    <xf numFmtId="4" fontId="2" fillId="78" borderId="2" xfId="0" applyNumberFormat="1" applyFont="1" applyFill="1" applyBorder="1" applyAlignment="1">
      <alignment horizontal="right" vertical="top" wrapText="1"/>
    </xf>
    <xf numFmtId="0" fontId="2" fillId="75" borderId="2" xfId="0" applyFont="1" applyFill="1" applyBorder="1" applyAlignment="1">
      <alignment horizontal="center" vertical="center" wrapText="1"/>
    </xf>
    <xf numFmtId="0" fontId="10" fillId="82" borderId="25" xfId="5" quotePrefix="1" applyFont="1" applyFill="1" applyBorder="1" applyAlignment="1">
      <alignment horizontal="center" vertical="center" wrapText="1"/>
    </xf>
    <xf numFmtId="0" fontId="10" fillId="82" borderId="27" xfId="5" quotePrefix="1" applyFont="1" applyFill="1" applyBorder="1" applyAlignment="1">
      <alignment horizontal="center" vertical="center" wrapText="1"/>
    </xf>
    <xf numFmtId="0" fontId="10" fillId="82" borderId="29" xfId="5" quotePrefix="1" applyFont="1" applyFill="1" applyBorder="1" applyAlignment="1">
      <alignment horizontal="center" vertical="center" wrapText="1"/>
    </xf>
    <xf numFmtId="0" fontId="10" fillId="80" borderId="26" xfId="4" quotePrefix="1" applyFont="1" applyBorder="1" applyAlignment="1">
      <alignment horizontal="center" vertical="center" wrapText="1"/>
    </xf>
    <xf numFmtId="0" fontId="10" fillId="80" borderId="28" xfId="4" quotePrefix="1" applyFont="1" applyBorder="1" applyAlignment="1">
      <alignment horizontal="center" vertical="center" wrapText="1"/>
    </xf>
    <xf numFmtId="0" fontId="10" fillId="80" borderId="30" xfId="4" quotePrefix="1" applyFont="1" applyBorder="1" applyAlignment="1">
      <alignment horizontal="center" vertical="center" wrapText="1"/>
    </xf>
    <xf numFmtId="0" fontId="10" fillId="80" borderId="18" xfId="4" applyFont="1" applyBorder="1" applyAlignment="1">
      <alignment horizontal="center" vertical="center" wrapText="1"/>
    </xf>
    <xf numFmtId="4" fontId="10" fillId="82" borderId="26" xfId="4" applyNumberFormat="1" applyFont="1" applyFill="1" applyBorder="1" applyAlignment="1">
      <alignment horizontal="center" vertical="center"/>
    </xf>
    <xf numFmtId="4" fontId="10" fillId="82" borderId="28" xfId="4" applyNumberFormat="1" applyFont="1" applyFill="1" applyBorder="1" applyAlignment="1">
      <alignment horizontal="center" vertical="center"/>
    </xf>
    <xf numFmtId="4" fontId="10" fillId="82" borderId="30" xfId="4" applyNumberFormat="1" applyFont="1" applyFill="1" applyBorder="1" applyAlignment="1">
      <alignment horizontal="center" vertical="center"/>
    </xf>
    <xf numFmtId="4" fontId="11" fillId="82" borderId="26" xfId="4" applyNumberFormat="1" applyFont="1" applyFill="1" applyBorder="1" applyAlignment="1">
      <alignment horizontal="center" vertical="center"/>
    </xf>
    <xf numFmtId="4" fontId="11" fillId="82" borderId="28" xfId="4" applyNumberFormat="1" applyFont="1" applyFill="1" applyBorder="1" applyAlignment="1">
      <alignment horizontal="center" vertical="center"/>
    </xf>
    <xf numFmtId="4" fontId="11" fillId="82" borderId="30" xfId="4" applyNumberFormat="1" applyFont="1" applyFill="1" applyBorder="1" applyAlignment="1">
      <alignment horizontal="center" vertical="center"/>
    </xf>
    <xf numFmtId="0" fontId="11" fillId="80" borderId="17" xfId="3" applyFont="1" applyBorder="1" applyAlignment="1">
      <alignment horizontal="center" vertical="center"/>
    </xf>
    <xf numFmtId="0" fontId="11" fillId="80" borderId="18" xfId="3" applyFont="1" applyBorder="1" applyAlignment="1">
      <alignment horizontal="center" vertical="center"/>
    </xf>
    <xf numFmtId="0" fontId="11" fillId="80" borderId="19" xfId="3" applyFont="1" applyBorder="1" applyAlignment="1">
      <alignment horizontal="center" vertical="center"/>
    </xf>
    <xf numFmtId="0" fontId="10" fillId="80" borderId="25" xfId="5" quotePrefix="1" applyFont="1" applyBorder="1" applyAlignment="1">
      <alignment horizontal="center" vertical="center" wrapText="1"/>
    </xf>
    <xf numFmtId="0" fontId="10" fillId="80" borderId="27" xfId="5" quotePrefix="1" applyFont="1" applyBorder="1" applyAlignment="1">
      <alignment horizontal="center" vertical="center" wrapText="1"/>
    </xf>
    <xf numFmtId="0" fontId="10" fillId="80" borderId="29" xfId="5" quotePrefix="1" applyFont="1" applyBorder="1" applyAlignment="1">
      <alignment horizontal="center" vertical="center" wrapText="1"/>
    </xf>
  </cellXfs>
  <cellStyles count="15">
    <cellStyle name="Hiperlink 2" xfId="7" xr:uid="{D0773A5D-B704-4F02-BD97-C5CBA5A73E6C}"/>
    <cellStyle name="Normal" xfId="0" builtinId="0"/>
    <cellStyle name="Normal 14 3" xfId="5" xr:uid="{219F3C4E-76C8-42EC-8935-0F69EAA85362}"/>
    <cellStyle name="Normal 14 5" xfId="3" xr:uid="{C83F243C-301D-4003-BED8-1E057B2B80A2}"/>
    <cellStyle name="Normal 2 2 3" xfId="12" xr:uid="{372F1FF7-6E12-4436-AF79-F10818E49503}"/>
    <cellStyle name="Normal 2 3 2 2" xfId="4" xr:uid="{6EE56896-697C-45D1-BC19-C6BF72F29667}"/>
    <cellStyle name="Normal 2 3 2 2 2" xfId="6" xr:uid="{6FD72C16-55A2-4F67-BA56-D3D09E5046F7}"/>
    <cellStyle name="Normal 4 2" xfId="1" xr:uid="{53F43F35-EC4B-4800-9249-616EA301CBE9}"/>
    <cellStyle name="Normal 5 2 2 2 2 2 2" xfId="14" xr:uid="{05E88250-77C3-4102-B2CC-281BF66920F9}"/>
    <cellStyle name="Normal 53" xfId="2" xr:uid="{F8E1C2B0-CE13-405C-A26E-D84EFA065668}"/>
    <cellStyle name="Normal 6 2 2 2 2" xfId="9" xr:uid="{F0A71667-CD10-42F8-846A-582ABC3321D8}"/>
    <cellStyle name="Normal 8" xfId="8" xr:uid="{56254732-D850-4122-B6A0-EFCB8217E034}"/>
    <cellStyle name="Porcentagem 2 2 2 2 2" xfId="13" xr:uid="{0BA62AF6-3385-45DC-9C84-D475BC3F3A69}"/>
    <cellStyle name="Vírgula 2" xfId="10" xr:uid="{5CA07301-1C21-4C80-A458-EE463F31DE51}"/>
    <cellStyle name="Vírgula 2 2 2 2 2" xfId="11" xr:uid="{C12AE0A8-485F-4CEA-A130-A75D8204CD99}"/>
  </cellStyles>
  <dxfs count="4"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7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6.xml"/><Relationship Id="rId10" Type="http://schemas.openxmlformats.org/officeDocument/2006/relationships/externalLink" Target="externalLinks/externalLink1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11.png"/><Relationship Id="rId1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381000</xdr:colOff>
      <xdr:row>3</xdr:row>
      <xdr:rowOff>0</xdr:rowOff>
    </xdr:to>
    <xdr:pic>
      <xdr:nvPicPr>
        <xdr:cNvPr id="1420811393" name="Picture">
          <a:extLst>
            <a:ext uri="{FF2B5EF4-FFF2-40B4-BE49-F238E27FC236}">
              <a16:creationId xmlns:a16="http://schemas.microsoft.com/office/drawing/2014/main" id="{00000000-0008-0000-0100-000081DCAF54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857250</xdr:colOff>
      <xdr:row>1</xdr:row>
      <xdr:rowOff>0</xdr:rowOff>
    </xdr:to>
    <xdr:pic>
      <xdr:nvPicPr>
        <xdr:cNvPr id="563491118" name="Picture">
          <a:extLst>
            <a:ext uri="{FF2B5EF4-FFF2-40B4-BE49-F238E27FC236}">
              <a16:creationId xmlns:a16="http://schemas.microsoft.com/office/drawing/2014/main" id="{00000000-0008-0000-0000-00002E319621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104775</xdr:rowOff>
    </xdr:from>
    <xdr:to>
      <xdr:col>1</xdr:col>
      <xdr:colOff>731620</xdr:colOff>
      <xdr:row>3</xdr:row>
      <xdr:rowOff>205808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B7CD46E5-5EBC-6EA3-EABD-E90088C06B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104775"/>
          <a:ext cx="1160245" cy="78683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60946279" name="Picture">
          <a:extLst>
            <a:ext uri="{FF2B5EF4-FFF2-40B4-BE49-F238E27FC236}">
              <a16:creationId xmlns:a16="http://schemas.microsoft.com/office/drawing/2014/main" id="{00000000-0008-0000-0200-000067F7A103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275166</xdr:colOff>
      <xdr:row>1</xdr:row>
      <xdr:rowOff>0</xdr:rowOff>
    </xdr:to>
    <xdr:pic>
      <xdr:nvPicPr>
        <xdr:cNvPr id="746530779" name="Picture">
          <a:extLst>
            <a:ext uri="{FF2B5EF4-FFF2-40B4-BE49-F238E27FC236}">
              <a16:creationId xmlns:a16="http://schemas.microsoft.com/office/drawing/2014/main" id="{00000000-0008-0000-0300-0000DB277F2C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55033</xdr:colOff>
      <xdr:row>1</xdr:row>
      <xdr:rowOff>0</xdr:rowOff>
    </xdr:to>
    <xdr:pic>
      <xdr:nvPicPr>
        <xdr:cNvPr id="1277307323" name="Picture">
          <a:extLst>
            <a:ext uri="{FF2B5EF4-FFF2-40B4-BE49-F238E27FC236}">
              <a16:creationId xmlns:a16="http://schemas.microsoft.com/office/drawing/2014/main" id="{00000000-0008-0000-0400-0000BB29224C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0</xdr:colOff>
      <xdr:row>1</xdr:row>
      <xdr:rowOff>0</xdr:rowOff>
    </xdr:to>
    <xdr:pic>
      <xdr:nvPicPr>
        <xdr:cNvPr id="1720258719" name="Picture">
          <a:extLst>
            <a:ext uri="{FF2B5EF4-FFF2-40B4-BE49-F238E27FC236}">
              <a16:creationId xmlns:a16="http://schemas.microsoft.com/office/drawing/2014/main" id="{00000000-0008-0000-0500-00009F108966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3</xdr:col>
      <xdr:colOff>0</xdr:colOff>
      <xdr:row>26</xdr:row>
      <xdr:rowOff>0</xdr:rowOff>
    </xdr:to>
    <xdr:pic>
      <xdr:nvPicPr>
        <xdr:cNvPr id="1714965548" name="Picture">
          <a:extLst>
            <a:ext uri="{FF2B5EF4-FFF2-40B4-BE49-F238E27FC236}">
              <a16:creationId xmlns:a16="http://schemas.microsoft.com/office/drawing/2014/main" id="{00000000-0008-0000-0500-00002C4C3866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2121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184303229" name="Picture">
          <a:extLst>
            <a:ext uri="{FF2B5EF4-FFF2-40B4-BE49-F238E27FC236}">
              <a16:creationId xmlns:a16="http://schemas.microsoft.com/office/drawing/2014/main" id="{00000000-0008-0000-0600-00007D3EFC0A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100526</xdr:colOff>
      <xdr:row>1</xdr:row>
      <xdr:rowOff>2802</xdr:rowOff>
    </xdr:from>
    <xdr:to>
      <xdr:col>1</xdr:col>
      <xdr:colOff>783412</xdr:colOff>
      <xdr:row>3</xdr:row>
      <xdr:rowOff>117550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9C4199F-0273-4A59-963E-76B3F3CEDE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526" y="200922"/>
          <a:ext cx="1715396" cy="514798"/>
        </a:xfrm>
        <a:prstGeom prst="rect">
          <a:avLst/>
        </a:prstGeom>
      </xdr:spPr>
    </xdr:pic>
    <xdr:clientData/>
  </xdr:twoCellAnchor>
  <xdr:twoCellAnchor editAs="oneCell">
    <xdr:from>
      <xdr:col>40</xdr:col>
      <xdr:colOff>429986</xdr:colOff>
      <xdr:row>30</xdr:row>
      <xdr:rowOff>0</xdr:rowOff>
    </xdr:from>
    <xdr:to>
      <xdr:col>53</xdr:col>
      <xdr:colOff>362380</xdr:colOff>
      <xdr:row>37</xdr:row>
      <xdr:rowOff>173001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721C086C-2E57-42E3-ADEE-983187C724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962046" y="6736080"/>
          <a:ext cx="8095319" cy="1952271"/>
        </a:xfrm>
        <a:prstGeom prst="rect">
          <a:avLst/>
        </a:prstGeom>
      </xdr:spPr>
    </xdr:pic>
    <xdr:clientData/>
  </xdr:twoCellAnchor>
  <xdr:twoCellAnchor editAs="oneCell">
    <xdr:from>
      <xdr:col>40</xdr:col>
      <xdr:colOff>538844</xdr:colOff>
      <xdr:row>30</xdr:row>
      <xdr:rowOff>0</xdr:rowOff>
    </xdr:from>
    <xdr:to>
      <xdr:col>53</xdr:col>
      <xdr:colOff>437492</xdr:colOff>
      <xdr:row>37</xdr:row>
      <xdr:rowOff>169465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EF4B34AB-CCAA-4BF6-8931-78AD66E10A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6070904" y="6736080"/>
          <a:ext cx="8080623" cy="196778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yllena.mergulhao\Desktop\ARQUIVOS%20MONTE%20VERDE\OR&#199;AMENTO%20DESAPROPRIA&#199;&#195;O%20MV%20=-%20camteiros.xlsx" TargetMode="External"/><Relationship Id="rId1" Type="http://schemas.openxmlformats.org/officeDocument/2006/relationships/externalLinkPath" Target="/Users/myllena.mergulhao/Desktop/ARQUIVOS%20MONTE%20VERDE/OR&#199;AMENTO%20DESAPROPRIA&#199;&#195;O%20MV%20=-%20camteiros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veraldo.junior\Desktop\SEARURB\03%20-%20SA&#218;DE\UBS%20DOIS%20CARNEIROS\DOCUMENTA&#199;&#195;O%20ENVIADA%2009-01-26\Or&#231;amento\Or&#231;amento\Planilha%20Or&#231;ament&#225;ria\REV02\PRJ-248197-EXE-ORC-0101-REV02.xlsx" TargetMode="External"/><Relationship Id="rId1" Type="http://schemas.openxmlformats.org/officeDocument/2006/relationships/externalLinkPath" Target="/Users/everaldo.junior/Desktop/SEARURB/03%20-%20SA&#218;DE/UBS%20DOIS%20CARNEIROS/DOCUMENTA&#199;&#195;O%20ENVIADA%2009-01-26/Or&#231;amento/Or&#231;amento/Planilha%20Or&#231;ament&#225;ria/REV02/PRJ-248197-EXE-ORC-0101-REV0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veraldo.junior\Desktop\SEARURB\01%20-%20INFRAESTRUTURA\CONTEN&#199;&#213;ES\MBG5_MURILO%20BRAGA\CONTEN&#199;&#195;O%20DE%20ENCOSTAS%20RUA%20ANT&#212;NIO%20BEZERRA%20-%20MURILO%20BRAGA%20-%20LOTE%2005%20-%20DESONERADO__NOV2025_REV05.xlsx" TargetMode="External"/><Relationship Id="rId1" Type="http://schemas.openxmlformats.org/officeDocument/2006/relationships/externalLinkPath" Target="CONTEN&#199;&#195;O%20DE%20ENCOSTAS%20RUA%20ANT&#212;NIO%20BEZERRA%20-%20MURILO%20BRAGA%20-%20LOTE%2005%20-%20DESONERADO__NOV2025_REV05.xlsx" TargetMode="External"/></Relationships>
</file>

<file path=xl/externalLinks/_rels/externalLink6.xml.rels><?xml version="1.0" encoding="UTF-8" standalone="yes"?>
<Relationships xmlns="http://schemas.openxmlformats.org/package/2006/relationships"><Relationship Id="rId3" Type="http://schemas.openxmlformats.org/officeDocument/2006/relationships/externalLinkPath" Target="file:///C:\Users\everaldo.junior\Desktop\PROJETOS%20GEPRO\01%20-%20INFRAESTRUTURA\03%20-%20Ruas%20(Pavimenta&#231;&#227;o)\04%20-%20EMENDA%20(900%20MIL)%20-%2093680-2024\1&#176;%20ATENDIMENTO%20DE%20PEND&#202;NCIAS%20CAIXA\OR&#199;AMENTO\OR&#199;AMENTO_EMENDA%20900MIL_N&#195;O%20DESONERADO_RUA%20TR&#202;S_R01.xlsx" TargetMode="External"/><Relationship Id="rId2" Type="http://schemas.microsoft.com/office/2019/04/relationships/externalLinkLongPath" Target="/Users/everaldo.junior/Desktop/PROJETOS%20GEPRO/01%20-%20INFRAESTRUTURA/03%20-%20Ruas%20(Pavimenta&#231;&#227;o)/04%20-%20EMENDA%20(900%20MIL)%20-%2093680-2024/1&#176;%20ATENDIMENTO%20DE%20PEND&#202;NCIAS%20CAIXA/OR&#199;AMENTO/OR&#199;AMENTO_EMENDA%20900MIL_N&#195;O%20DESONERADO_RUA%20TR&#202;S_R01.xlsx?0DA331BB" TargetMode="External"/><Relationship Id="rId1" Type="http://schemas.openxmlformats.org/officeDocument/2006/relationships/externalLinkPath" Target="file:///\\0DA331BB\OR&#199;AMENTO_EMENDA%20900MIL_N&#195;O%20DESONERADO_RUA%20TR&#202;S_R01.xlsx" TargetMode="External"/></Relationships>
</file>

<file path=xl/externalLinks/_rels/externalLink7.xml.rels><?xml version="1.0" encoding="UTF-8" standalone="yes"?>
<Relationships xmlns="http://schemas.openxmlformats.org/package/2006/relationships"><Relationship Id="rId3" Type="http://schemas.openxmlformats.org/officeDocument/2006/relationships/externalLinkPath" Target="file:///C:\Users\everaldo.junior\Desktop\GEPRO\01%20-%20PROJETOS\01%20-%20INFRAESTRUTURA\02%20-%20Conten&#231;&#245;es\08%20-%20CONTEN&#199;&#195;O_MURILO%20BRAGA%20(MBG5)_LOTE%2005\2&#186;%20ENVIO_CAIXA%20ECON&#212;MICA%20FEDERAL\02%20-%20OR&#199;AMENTO\OR&#199;AMENTO%20PROJETO%20DE%20CONTEN&#199;&#195;O%20DE%20ENCOSTA%20E%20DRENAGEM%20-%20SETOR%20MBG5_R02.xlsx" TargetMode="External"/><Relationship Id="rId2" Type="http://schemas.microsoft.com/office/2019/04/relationships/externalLinkLongPath" Target="/Users/everaldo.junior/Desktop/GEPRO/01%20-%20PROJETOS/01%20-%20INFRAESTRUTURA/02%20-%20Conten&#231;&#245;es/08%20-%20CONTEN&#199;&#195;O_MURILO%20BRAGA%20(MBG5)_LOTE%2005/2&#186;%20ENVIO_CAIXA%20ECON&#212;MICA%20FEDERAL/02%20-%20OR&#199;AMENTO/OR&#199;AMENTO%20PROJETO%20DE%20CONTEN&#199;&#195;O%20DE%20ENCOSTA%20E%20DRENAGEM%20-%20SETOR%20MBG5_R02.xlsx?918F6AB6" TargetMode="External"/><Relationship Id="rId1" Type="http://schemas.openxmlformats.org/officeDocument/2006/relationships/externalLinkPath" Target="file:///\\918F6AB6\OR&#199;AMENTO%20PROJETO%20DE%20CONTEN&#199;&#195;O%20DE%20ENCOSTA%20E%20DRENAGEM%20-%20SETOR%20MBG5_R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  <sheetName val="Plan1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sumo"/>
      <sheetName val="Planilha Orçamentária"/>
      <sheetName val="Memória de Cálculo"/>
      <sheetName val="QUADRO DE ALVENARIA"/>
      <sheetName val="PARÂMETROS"/>
      <sheetName val="Cronograma"/>
      <sheetName val="Cronograma Unificado"/>
      <sheetName val="REF PRECOS SINAPI SET 2019"/>
      <sheetName val="REF PRECOS ANP INSUMOS"/>
      <sheetName val="ÍNDICE DE CORREÇÃO"/>
      <sheetName val="DEP E REC "/>
      <sheetName val="COMPOSIÇÕES"/>
      <sheetName val="BDI DESONERADO"/>
      <sheetName val="BDI N DESONERADO"/>
      <sheetName val="ABC - DESO"/>
      <sheetName val="ABC - NÃO DESO"/>
      <sheetName val="MAPA COTAÇÃO"/>
      <sheetName val="DMT"/>
      <sheetName val="Insumos"/>
      <sheetName val="Comp"/>
      <sheetName val="BASE"/>
      <sheetName val="Serv"/>
      <sheetName val="Ins"/>
      <sheetName val="BDI materiais"/>
      <sheetName val="MODELO PC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SUMO"/>
      <sheetName val="PLANILHA ORCAMENTARIA"/>
      <sheetName val="Memória de Cálculo"/>
      <sheetName val="COMPOSICOES PROPRIAS"/>
      <sheetName val="CURVA ABC SERVICOS"/>
      <sheetName val="CRONOGRAMA"/>
      <sheetName val="BDI"/>
      <sheetName val="ENCARGOS SOCIAIS"/>
      <sheetName val="MAPA COTAÇÃO"/>
    </sheetNames>
    <sheetDataSet>
      <sheetData sheetId="0" refreshError="1"/>
      <sheetData sheetId="1">
        <row r="66">
          <cell r="J66">
            <v>7623936.29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RESUMO"/>
      <sheetName val="PLANILHA ORCAMENTARIA"/>
      <sheetName val="Memória de Cálculo"/>
      <sheetName val="COMPOSICOES PROPRIAS"/>
      <sheetName val="CURVA ABC SERVICOS"/>
      <sheetName val="CRONOGRAMA"/>
      <sheetName val="BDI"/>
      <sheetName val="ENCARGOS SOCIAIS"/>
      <sheetName val="mapa cotação"/>
    </sheetNames>
    <sheetDataSet>
      <sheetData sheetId="0" refreshError="1"/>
      <sheetData sheetId="1">
        <row r="89">
          <cell r="J89">
            <v>916433.15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Resumo"/>
      <sheetName val="Planilha Orçamentária"/>
      <sheetName val="Memória de Cálculo"/>
      <sheetName val="Cronograma"/>
      <sheetName val="COMPOSIÇÕES"/>
      <sheetName val="ABC - DESO"/>
      <sheetName val="ABC - NÃO DESO"/>
      <sheetName val="BDI DESONERADO"/>
      <sheetName val="BDI N DESONERADO"/>
      <sheetName val="BASE"/>
      <sheetName val="Comp"/>
      <sheetName val="Insumos"/>
      <sheetName val="Méd. Cosseno"/>
      <sheetName val="mapa cotação"/>
    </sheetNames>
    <sheetDataSet>
      <sheetData sheetId="0" refreshError="1"/>
      <sheetData sheetId="1" refreshError="1">
        <row r="1">
          <cell r="A1" t="str">
            <v>PREFEITURA MUNICIPAL DO JABOATÃO DOS GUARARAPES</v>
          </cell>
        </row>
        <row r="2">
          <cell r="A2" t="str">
            <v>SECRETARIA MUNICIPAL DE INFRAESTRUTURA</v>
          </cell>
        </row>
        <row r="3">
          <cell r="A3" t="str">
            <v>SECRETARIA EXECUTIVA DE OBRAS</v>
          </cell>
        </row>
        <row r="5">
          <cell r="A5" t="str">
            <v>PLANILHA REFERENCIA</v>
          </cell>
        </row>
        <row r="6">
          <cell r="A6" t="str">
            <v>PROJETO DE CONTENÇÃO DE ENCOSTA E DRENAGEM - SETOR MBG5</v>
          </cell>
        </row>
        <row r="7">
          <cell r="A7" t="str">
            <v>Local: Jaboatão dos Guararapes</v>
          </cell>
          <cell r="E7" t="str">
            <v>SINAPI-OUTUBRO/24</v>
          </cell>
        </row>
        <row r="8">
          <cell r="A8" t="str">
            <v>Data: DEZEMBRO/2024</v>
          </cell>
          <cell r="E8" t="str">
            <v>BDI DESONERADO:</v>
          </cell>
          <cell r="G8">
            <v>0.29430000000000001</v>
          </cell>
          <cell r="I8" t="str">
            <v>BDI DESONERADO EQUIPAMENTO:</v>
          </cell>
          <cell r="J8">
            <v>0.16320000000000001</v>
          </cell>
        </row>
        <row r="9">
          <cell r="E9" t="str">
            <v>BDI NÃO DESONERADO:</v>
          </cell>
          <cell r="G9">
            <v>0.23119999999999999</v>
          </cell>
          <cell r="I9" t="str">
            <v>BDI NÃO DESONERADO EQUIPAMENTO:</v>
          </cell>
          <cell r="J9">
            <v>0.1089</v>
          </cell>
        </row>
        <row r="10">
          <cell r="A10" t="str">
            <v>Ítem</v>
          </cell>
          <cell r="B10" t="str">
            <v>Código</v>
          </cell>
          <cell r="C10" t="str">
            <v>Fonte</v>
          </cell>
          <cell r="D10" t="str">
            <v>DISCRIMINAÇÃO</v>
          </cell>
          <cell r="E10" t="str">
            <v>Und</v>
          </cell>
          <cell r="F10" t="str">
            <v>Qtd</v>
          </cell>
          <cell r="G10" t="str">
            <v>PREÇO DESONERADO</v>
          </cell>
          <cell r="K10" t="str">
            <v>PREÇO NÃO DESONERADO</v>
          </cell>
        </row>
        <row r="11">
          <cell r="G11" t="str">
            <v>SEM BDI</v>
          </cell>
          <cell r="H11" t="str">
            <v>% BDI</v>
          </cell>
          <cell r="I11" t="str">
            <v>COM BDI</v>
          </cell>
          <cell r="J11" t="str">
            <v>TOTAL (R$)</v>
          </cell>
          <cell r="K11" t="str">
            <v>SEM BDI</v>
          </cell>
          <cell r="M11" t="str">
            <v>COM BDI</v>
          </cell>
          <cell r="N11" t="str">
            <v>TOTAL (R$)</v>
          </cell>
        </row>
        <row r="12">
          <cell r="A12" t="str">
            <v>1.0</v>
          </cell>
          <cell r="D12" t="str">
            <v>INSTALAÇÕES PROVISÓRIAS</v>
          </cell>
          <cell r="J12">
            <v>43488.480000000003</v>
          </cell>
          <cell r="N12">
            <v>41368.32</v>
          </cell>
        </row>
        <row r="13">
          <cell r="A13" t="str">
            <v>1.1</v>
          </cell>
          <cell r="B13" t="str">
            <v>INS-32971826</v>
          </cell>
          <cell r="C13" t="str">
            <v>COTAÇÕES</v>
          </cell>
          <cell r="D13" t="str">
            <v>MOBILIZAÇÃO DE CONTAINER</v>
          </cell>
          <cell r="E13" t="str">
            <v>UND</v>
          </cell>
          <cell r="F13">
            <v>2</v>
          </cell>
          <cell r="G13">
            <v>900</v>
          </cell>
          <cell r="H13">
            <v>0.29430000000000001</v>
          </cell>
          <cell r="I13">
            <v>1164.8699999999999</v>
          </cell>
          <cell r="J13">
            <v>2329.7399999999998</v>
          </cell>
          <cell r="K13">
            <v>900</v>
          </cell>
          <cell r="L13">
            <v>0.23119999999999999</v>
          </cell>
          <cell r="M13">
            <v>1108.08</v>
          </cell>
          <cell r="N13">
            <v>2216.16</v>
          </cell>
        </row>
        <row r="14">
          <cell r="A14" t="str">
            <v>1.2</v>
          </cell>
          <cell r="B14" t="str">
            <v>INS-09244605</v>
          </cell>
          <cell r="C14" t="str">
            <v>COTAÇÕES</v>
          </cell>
          <cell r="D14" t="str">
            <v>DESMOBILIZAÇÃO DE CONTAINER</v>
          </cell>
          <cell r="E14" t="str">
            <v>UND</v>
          </cell>
          <cell r="F14">
            <v>2</v>
          </cell>
          <cell r="G14">
            <v>900</v>
          </cell>
          <cell r="H14">
            <v>0.29430000000000001</v>
          </cell>
          <cell r="I14">
            <v>1164.8699999999999</v>
          </cell>
          <cell r="J14">
            <v>2329.7399999999998</v>
          </cell>
          <cell r="K14">
            <v>900</v>
          </cell>
          <cell r="L14">
            <v>0.23119999999999999</v>
          </cell>
          <cell r="M14">
            <v>1108.08</v>
          </cell>
          <cell r="N14">
            <v>2216.16</v>
          </cell>
        </row>
        <row r="15">
          <cell r="A15" t="str">
            <v>1.3</v>
          </cell>
          <cell r="B15" t="str">
            <v>INS-91581640</v>
          </cell>
          <cell r="C15" t="str">
            <v>COTAÇÕES</v>
          </cell>
          <cell r="D15" t="str">
            <v>LOCAÇÃO DE CONTAINER PARA ESCRITORIO SEM BANHEIRO</v>
          </cell>
          <cell r="E15" t="str">
            <v>MÊS</v>
          </cell>
          <cell r="F15">
            <v>12</v>
          </cell>
          <cell r="G15">
            <v>1200</v>
          </cell>
          <cell r="H15">
            <v>0.29430000000000001</v>
          </cell>
          <cell r="I15">
            <v>1553.16</v>
          </cell>
          <cell r="J15">
            <v>18637.919999999998</v>
          </cell>
          <cell r="K15">
            <v>1200</v>
          </cell>
          <cell r="L15">
            <v>0.23119999999999999</v>
          </cell>
          <cell r="M15">
            <v>1477.44</v>
          </cell>
          <cell r="N15">
            <v>17729.28</v>
          </cell>
        </row>
        <row r="16">
          <cell r="A16" t="str">
            <v>1.4</v>
          </cell>
          <cell r="B16" t="str">
            <v>INS-33223766</v>
          </cell>
          <cell r="C16" t="str">
            <v>COTAÇÕES</v>
          </cell>
          <cell r="D16" t="str">
            <v>LOCAÇÃO CONTAINER PARA ESCRITORIO COM BANHEIRO</v>
          </cell>
          <cell r="E16" t="str">
            <v>MÊS</v>
          </cell>
          <cell r="F16">
            <v>12</v>
          </cell>
          <cell r="G16">
            <v>1300</v>
          </cell>
          <cell r="H16">
            <v>0.29430000000000001</v>
          </cell>
          <cell r="I16">
            <v>1682.59</v>
          </cell>
          <cell r="J16">
            <v>20191.080000000002</v>
          </cell>
          <cell r="K16">
            <v>1300</v>
          </cell>
          <cell r="L16">
            <v>0.23119999999999999</v>
          </cell>
          <cell r="M16">
            <v>1600.56</v>
          </cell>
          <cell r="N16">
            <v>19206.72</v>
          </cell>
        </row>
        <row r="17">
          <cell r="A17" t="str">
            <v>2.0</v>
          </cell>
          <cell r="D17" t="str">
            <v>SERVIÇOS PRELIMINARES</v>
          </cell>
          <cell r="J17">
            <v>244158.67</v>
          </cell>
          <cell r="N17">
            <v>252948.3</v>
          </cell>
        </row>
        <row r="18">
          <cell r="A18" t="str">
            <v>2.1</v>
          </cell>
          <cell r="B18">
            <v>103689</v>
          </cell>
          <cell r="C18" t="str">
            <v>SINAPI SERVIÇOS</v>
          </cell>
          <cell r="D18" t="str">
            <v>FORNECIMENTO E INSTALAÇÃO DE PLACA DE OBRA COM CHAPA GALVANIZADA E ESTRUTURA DE MADEIRA. AF_03/2022_PS</v>
          </cell>
          <cell r="E18" t="str">
            <v>M2</v>
          </cell>
          <cell r="F18">
            <v>4.5</v>
          </cell>
          <cell r="G18">
            <v>458.27</v>
          </cell>
          <cell r="H18">
            <v>0.29430000000000001</v>
          </cell>
          <cell r="I18">
            <v>593.14</v>
          </cell>
          <cell r="J18">
            <v>2669.13</v>
          </cell>
          <cell r="K18">
            <v>462.54</v>
          </cell>
          <cell r="L18">
            <v>0.23119999999999999</v>
          </cell>
          <cell r="M18">
            <v>569.48</v>
          </cell>
          <cell r="N18">
            <v>2562.66</v>
          </cell>
        </row>
        <row r="19">
          <cell r="A19" t="str">
            <v>2.2</v>
          </cell>
          <cell r="B19">
            <v>98524</v>
          </cell>
          <cell r="C19" t="str">
            <v>SINAPI SERVIÇOS</v>
          </cell>
          <cell r="D19" t="str">
            <v>LIMPEZA MANUAL DE VEGETAÇÃO EM TERRENO COM ENXADA. AF_03/2024</v>
          </cell>
          <cell r="E19" t="str">
            <v>M2</v>
          </cell>
          <cell r="F19">
            <v>6213.31</v>
          </cell>
          <cell r="G19">
            <v>4.01</v>
          </cell>
          <cell r="H19">
            <v>0.29430000000000001</v>
          </cell>
          <cell r="I19">
            <v>5.19</v>
          </cell>
          <cell r="J19">
            <v>32247.08</v>
          </cell>
          <cell r="K19">
            <v>4.4800000000000004</v>
          </cell>
          <cell r="L19">
            <v>0.23119999999999999</v>
          </cell>
          <cell r="M19">
            <v>5.52</v>
          </cell>
          <cell r="N19">
            <v>34297.47</v>
          </cell>
        </row>
        <row r="20">
          <cell r="A20" t="str">
            <v>2.3</v>
          </cell>
          <cell r="B20">
            <v>98530</v>
          </cell>
          <cell r="C20" t="str">
            <v>SINAPI SERVIÇOS</v>
          </cell>
          <cell r="D20" t="str">
            <v>CORTE RASO E RECORTE DE ÁRVORE COM DIÂMETRO DE TRONCO MAIOR OU IGUAL A 0,40 M E MENOR QUE 0,60 M. AF_03/2024</v>
          </cell>
          <cell r="E20" t="str">
            <v>UN</v>
          </cell>
          <cell r="F20">
            <v>120</v>
          </cell>
          <cell r="G20">
            <v>124.55</v>
          </cell>
          <cell r="H20">
            <v>0.29430000000000001</v>
          </cell>
          <cell r="I20">
            <v>161.21</v>
          </cell>
          <cell r="J20">
            <v>19345.2</v>
          </cell>
          <cell r="K20">
            <v>139.41</v>
          </cell>
          <cell r="L20">
            <v>0.23119999999999999</v>
          </cell>
          <cell r="M20">
            <v>171.64</v>
          </cell>
          <cell r="N20">
            <v>20596.8</v>
          </cell>
        </row>
        <row r="21">
          <cell r="A21" t="str">
            <v>2.4</v>
          </cell>
          <cell r="B21">
            <v>100206</v>
          </cell>
          <cell r="C21" t="str">
            <v>SINAPI SERVIÇOS</v>
          </cell>
          <cell r="D21" t="str">
            <v>TRANSPORTE HORIZONTAL COM JERICA DE 90 L, DE MASSA/ GRANEL (UNIDADE: M3XKM). AF_07/2019</v>
          </cell>
          <cell r="E21" t="str">
            <v>M3XKM</v>
          </cell>
          <cell r="F21">
            <v>100.97</v>
          </cell>
          <cell r="G21">
            <v>928.72</v>
          </cell>
          <cell r="H21">
            <v>0.29430000000000001</v>
          </cell>
          <cell r="I21">
            <v>1202.04</v>
          </cell>
          <cell r="J21">
            <v>121369.98</v>
          </cell>
          <cell r="K21">
            <v>1039.32</v>
          </cell>
          <cell r="L21">
            <v>0.23119999999999999</v>
          </cell>
          <cell r="M21">
            <v>1279.6099999999999</v>
          </cell>
          <cell r="N21">
            <v>129202.22</v>
          </cell>
        </row>
        <row r="22">
          <cell r="A22" t="str">
            <v>2.5</v>
          </cell>
          <cell r="B22">
            <v>100983</v>
          </cell>
          <cell r="C22" t="str">
            <v>SINAPI SERVIÇOS</v>
          </cell>
          <cell r="D22" t="str">
            <v>CARGA, MANOBRA E DESCARGA DE ENTULHO EM CAMINHÃO BASCULANTE 14 M³ - CARGA COM ESCAVADEIRA HIDRÁULICA  (CAÇAMBA DE 0,80 M³ / 111 HP) E DESCARGA LIVRE (UNIDADE: M3). AF_07/2020</v>
          </cell>
          <cell r="E22" t="str">
            <v>M3</v>
          </cell>
          <cell r="F22">
            <v>1315</v>
          </cell>
          <cell r="G22">
            <v>8.93</v>
          </cell>
          <cell r="H22">
            <v>0.29430000000000001</v>
          </cell>
          <cell r="I22">
            <v>11.56</v>
          </cell>
          <cell r="J22">
            <v>15201.4</v>
          </cell>
          <cell r="K22">
            <v>9.09</v>
          </cell>
          <cell r="L22">
            <v>0.23119999999999999</v>
          </cell>
          <cell r="M22">
            <v>11.19</v>
          </cell>
          <cell r="N22">
            <v>14714.85</v>
          </cell>
        </row>
        <row r="23">
          <cell r="A23" t="str">
            <v>2.6</v>
          </cell>
          <cell r="B23">
            <v>95876</v>
          </cell>
          <cell r="C23" t="str">
            <v>SINAPI SERVIÇOS</v>
          </cell>
          <cell r="D23" t="str">
            <v>TRANSPORTE COM CAMINHÃO BASCULANTE DE 14 M³, EM VIA URBANA PAVIMENTADA, DMT ATÉ 30 KM (UNIDADE: M3XKM). AF_07/2020</v>
          </cell>
          <cell r="E23" t="str">
            <v>M3XKM</v>
          </cell>
          <cell r="F23">
            <v>19462</v>
          </cell>
          <cell r="G23">
            <v>2.12</v>
          </cell>
          <cell r="H23">
            <v>0.29430000000000001</v>
          </cell>
          <cell r="I23">
            <v>2.74</v>
          </cell>
          <cell r="J23">
            <v>53325.88</v>
          </cell>
          <cell r="K23">
            <v>2.15</v>
          </cell>
          <cell r="L23">
            <v>0.23119999999999999</v>
          </cell>
          <cell r="M23">
            <v>2.65</v>
          </cell>
          <cell r="N23">
            <v>51574.3</v>
          </cell>
        </row>
        <row r="24">
          <cell r="A24" t="str">
            <v>3.0</v>
          </cell>
          <cell r="D24" t="str">
            <v>ADMINISTRAÇAO LOCAL DA OBRA</v>
          </cell>
          <cell r="J24">
            <v>354246.04</v>
          </cell>
          <cell r="N24">
            <v>387648.44</v>
          </cell>
        </row>
        <row r="25">
          <cell r="A25" t="str">
            <v>3.1</v>
          </cell>
          <cell r="B25" t="str">
            <v>COM-52036282</v>
          </cell>
          <cell r="C25" t="str">
            <v>COMPOSIÇÕES</v>
          </cell>
          <cell r="D25" t="str">
            <v>ADMINISTRAÇÃO LOCAL DA OBRA - SETOR MBG-5</v>
          </cell>
          <cell r="E25" t="str">
            <v>UND</v>
          </cell>
          <cell r="F25">
            <v>1</v>
          </cell>
          <cell r="G25">
            <v>273697.01</v>
          </cell>
          <cell r="H25">
            <v>0.29430000000000001</v>
          </cell>
          <cell r="I25">
            <v>354246.04</v>
          </cell>
          <cell r="J25">
            <v>354246.04</v>
          </cell>
          <cell r="K25">
            <v>314854.15999999997</v>
          </cell>
          <cell r="L25">
            <v>0.23119999999999999</v>
          </cell>
          <cell r="M25">
            <v>387648.44</v>
          </cell>
          <cell r="N25">
            <v>387648.44</v>
          </cell>
        </row>
        <row r="26">
          <cell r="A26" t="str">
            <v>4.0</v>
          </cell>
          <cell r="D26" t="str">
            <v>TERRAPLENAGEM</v>
          </cell>
          <cell r="J26">
            <v>1989946.29</v>
          </cell>
          <cell r="N26">
            <v>2109208.1800000002</v>
          </cell>
        </row>
        <row r="27">
          <cell r="A27" t="str">
            <v>4.1</v>
          </cell>
          <cell r="B27">
            <v>93358</v>
          </cell>
          <cell r="C27" t="str">
            <v>SINAPI SERVIÇOS</v>
          </cell>
          <cell r="D27" t="str">
            <v>ESCAVAÇÃO MANUAL DE VALA. AF_09/2024</v>
          </cell>
          <cell r="E27" t="str">
            <v>M3</v>
          </cell>
          <cell r="F27">
            <v>7629.6</v>
          </cell>
          <cell r="G27">
            <v>74.400000000000006</v>
          </cell>
          <cell r="H27">
            <v>0.29430000000000001</v>
          </cell>
          <cell r="I27">
            <v>96.3</v>
          </cell>
          <cell r="J27">
            <v>734730.48</v>
          </cell>
          <cell r="K27">
            <v>83.26</v>
          </cell>
          <cell r="L27">
            <v>0.23119999999999999</v>
          </cell>
          <cell r="M27">
            <v>102.51</v>
          </cell>
          <cell r="N27">
            <v>782110.3</v>
          </cell>
        </row>
        <row r="28">
          <cell r="A28" t="str">
            <v>4.2</v>
          </cell>
          <cell r="B28">
            <v>104737</v>
          </cell>
          <cell r="C28" t="str">
            <v>SINAPI SERVIÇOS</v>
          </cell>
          <cell r="D28" t="str">
            <v>REATERRO MANUAL DE VALAS, COM PLACA VIBRATÓRIA. AF_08/2023</v>
          </cell>
          <cell r="E28" t="str">
            <v>M3</v>
          </cell>
          <cell r="F28">
            <v>6734.71</v>
          </cell>
          <cell r="G28">
            <v>19.22</v>
          </cell>
          <cell r="H28">
            <v>0.29430000000000001</v>
          </cell>
          <cell r="I28">
            <v>24.88</v>
          </cell>
          <cell r="J28">
            <v>167559.57999999999</v>
          </cell>
          <cell r="K28">
            <v>21.22</v>
          </cell>
          <cell r="L28">
            <v>0.23119999999999999</v>
          </cell>
          <cell r="M28">
            <v>26.13</v>
          </cell>
          <cell r="N28">
            <v>175977.97</v>
          </cell>
        </row>
        <row r="29">
          <cell r="A29" t="str">
            <v>4.3</v>
          </cell>
          <cell r="B29">
            <v>100206</v>
          </cell>
          <cell r="C29" t="str">
            <v>SINAPI SERVIÇOS</v>
          </cell>
          <cell r="D29" t="str">
            <v>TRANSPORTE HORIZONTAL COM JERICA DE 90 L, DE MASSA/ GRANEL (UNIDADE: M3XKM). AF_07/2019</v>
          </cell>
          <cell r="E29" t="str">
            <v>M3XKM</v>
          </cell>
          <cell r="F29">
            <v>826.54</v>
          </cell>
          <cell r="G29">
            <v>928.72</v>
          </cell>
          <cell r="H29">
            <v>0.29430000000000001</v>
          </cell>
          <cell r="I29">
            <v>1202.04</v>
          </cell>
          <cell r="J29">
            <v>993534.14</v>
          </cell>
          <cell r="K29">
            <v>1039.32</v>
          </cell>
          <cell r="L29">
            <v>0.23119999999999999</v>
          </cell>
          <cell r="M29">
            <v>1279.6099999999999</v>
          </cell>
          <cell r="N29">
            <v>1057648.8500000001</v>
          </cell>
        </row>
        <row r="30">
          <cell r="A30" t="str">
            <v>4.4</v>
          </cell>
          <cell r="B30" t="str">
            <v>CP-72897-80530767</v>
          </cell>
          <cell r="C30" t="str">
            <v>COMPOSIÇÕES</v>
          </cell>
          <cell r="D30" t="str">
            <v>CARGA MANUAL DE ENTULHO EM CAMINHAO BASCULANTE 14 M3</v>
          </cell>
          <cell r="E30" t="str">
            <v>M3</v>
          </cell>
          <cell r="F30">
            <v>1118.6099999999999</v>
          </cell>
          <cell r="G30">
            <v>33.68</v>
          </cell>
          <cell r="H30">
            <v>0.29430000000000001</v>
          </cell>
          <cell r="I30">
            <v>43.59</v>
          </cell>
          <cell r="J30">
            <v>48760.21</v>
          </cell>
          <cell r="K30">
            <v>36.01</v>
          </cell>
          <cell r="L30">
            <v>0.23119999999999999</v>
          </cell>
          <cell r="M30">
            <v>44.34</v>
          </cell>
          <cell r="N30">
            <v>49599.17</v>
          </cell>
        </row>
        <row r="31">
          <cell r="A31" t="str">
            <v>4.5</v>
          </cell>
          <cell r="B31">
            <v>95876</v>
          </cell>
          <cell r="C31" t="str">
            <v>SINAPI SERVIÇOS</v>
          </cell>
          <cell r="D31" t="str">
            <v>TRANSPORTE COM CAMINHÃO BASCULANTE DE 14 M³, EM VIA URBANA PAVIMENTADA, DMT ATÉ 30 KM (UNIDADE: M3XKM). AF_07/2020</v>
          </cell>
          <cell r="E31" t="str">
            <v>M3XKM</v>
          </cell>
          <cell r="F31">
            <v>16555.43</v>
          </cell>
          <cell r="G31">
            <v>2.12</v>
          </cell>
          <cell r="H31">
            <v>0.29430000000000001</v>
          </cell>
          <cell r="I31">
            <v>2.74</v>
          </cell>
          <cell r="J31">
            <v>45361.88</v>
          </cell>
          <cell r="K31">
            <v>2.15</v>
          </cell>
          <cell r="L31">
            <v>0.23119999999999999</v>
          </cell>
          <cell r="M31">
            <v>2.65</v>
          </cell>
          <cell r="N31">
            <v>43871.89</v>
          </cell>
        </row>
        <row r="32">
          <cell r="A32" t="str">
            <v>5.0</v>
          </cell>
          <cell r="D32" t="str">
            <v>CONTENÇÃO DE ENCOSTA</v>
          </cell>
          <cell r="J32">
            <v>3374996.07</v>
          </cell>
          <cell r="N32">
            <v>3394521.36</v>
          </cell>
        </row>
        <row r="33">
          <cell r="A33" t="str">
            <v>5.1</v>
          </cell>
          <cell r="B33">
            <v>100206</v>
          </cell>
          <cell r="C33" t="str">
            <v>SINAPI SERVIÇOS</v>
          </cell>
          <cell r="D33" t="str">
            <v>TRANSPORTE HORIZONTAL COM JERICA DE 90 L, DE MASSA/ GRANEL (UNIDADE: M3XKM). AF_07/2019</v>
          </cell>
          <cell r="E33" t="str">
            <v>M3XKM</v>
          </cell>
          <cell r="F33">
            <v>38.06</v>
          </cell>
          <cell r="G33">
            <v>928.72</v>
          </cell>
          <cell r="H33">
            <v>0.29430000000000001</v>
          </cell>
          <cell r="I33">
            <v>1202.04</v>
          </cell>
          <cell r="J33">
            <v>45749.64</v>
          </cell>
          <cell r="K33">
            <v>1039.32</v>
          </cell>
          <cell r="L33">
            <v>0.23119999999999999</v>
          </cell>
          <cell r="M33">
            <v>1279.6099999999999</v>
          </cell>
          <cell r="N33">
            <v>48701.96</v>
          </cell>
        </row>
        <row r="34">
          <cell r="A34" t="str">
            <v>5.2</v>
          </cell>
          <cell r="B34" t="str">
            <v>CP-100206-86548087</v>
          </cell>
          <cell r="C34" t="str">
            <v>COMPOSIÇÕES</v>
          </cell>
          <cell r="D34" t="str">
            <v>TRANSPORTE HORIZONTAL COM JERICA DE 90 L, DE PEDRA RACHÃO GRANEL (UNIDADE: M3XKM). AF_07/2019</v>
          </cell>
          <cell r="E34" t="str">
            <v>M3xKM</v>
          </cell>
          <cell r="F34">
            <v>466.19</v>
          </cell>
          <cell r="G34">
            <v>928.72</v>
          </cell>
          <cell r="H34">
            <v>0.29430000000000001</v>
          </cell>
          <cell r="I34">
            <v>1202.04</v>
          </cell>
          <cell r="J34">
            <v>560379.03</v>
          </cell>
          <cell r="K34">
            <v>1039.32</v>
          </cell>
          <cell r="L34">
            <v>0.23119999999999999</v>
          </cell>
          <cell r="M34">
            <v>1279.6099999999999</v>
          </cell>
          <cell r="N34">
            <v>596541.39</v>
          </cell>
        </row>
        <row r="35">
          <cell r="A35" t="str">
            <v>5.3</v>
          </cell>
          <cell r="B35">
            <v>103800</v>
          </cell>
          <cell r="C35" t="str">
            <v>SINAPI SERVIÇOS</v>
          </cell>
          <cell r="D35" t="str">
            <v>PEDRA ARGAMASSADA COM CIMENTO E AREIA 1:3, 40% DE ARGAMASSA EM VOLUME - AREIA E PEDRA DE MÃO COMERCIAIS - FORNECIMENTO E ASSENTAMENTO. AF_08/2022</v>
          </cell>
          <cell r="E35" t="str">
            <v>M3</v>
          </cell>
          <cell r="F35">
            <v>3842.24</v>
          </cell>
          <cell r="G35">
            <v>478.01</v>
          </cell>
          <cell r="H35">
            <v>0.29430000000000001</v>
          </cell>
          <cell r="I35">
            <v>618.69000000000005</v>
          </cell>
          <cell r="J35">
            <v>2377155.4700000002</v>
          </cell>
          <cell r="K35">
            <v>500.02</v>
          </cell>
          <cell r="L35">
            <v>0.23119999999999999</v>
          </cell>
          <cell r="M35">
            <v>615.62</v>
          </cell>
          <cell r="N35">
            <v>2365359.79</v>
          </cell>
        </row>
        <row r="36">
          <cell r="A36" t="str">
            <v>5.4</v>
          </cell>
          <cell r="B36" t="str">
            <v>COMP-83526730</v>
          </cell>
          <cell r="C36" t="str">
            <v>COMPOSIÇÕES</v>
          </cell>
          <cell r="D36" t="str">
            <v>TRANSPORTE COMERCIAL DE BRITA</v>
          </cell>
          <cell r="E36" t="str">
            <v>M3XKM</v>
          </cell>
          <cell r="F36">
            <v>3273.69</v>
          </cell>
          <cell r="G36">
            <v>1.22</v>
          </cell>
          <cell r="H36">
            <v>0.29430000000000001</v>
          </cell>
          <cell r="I36">
            <v>1.58</v>
          </cell>
          <cell r="J36">
            <v>5172.43</v>
          </cell>
          <cell r="K36">
            <v>1.24</v>
          </cell>
          <cell r="L36">
            <v>0.23119999999999999</v>
          </cell>
          <cell r="M36">
            <v>1.53</v>
          </cell>
          <cell r="N36">
            <v>5008.75</v>
          </cell>
        </row>
        <row r="37">
          <cell r="A37" t="str">
            <v>5.5</v>
          </cell>
          <cell r="B37" t="str">
            <v>CP-73883/002-13051595</v>
          </cell>
          <cell r="C37" t="str">
            <v>COMPOSIÇÕES</v>
          </cell>
          <cell r="D37" t="str">
            <v>EXECUCAO DE DRENO FRANCES COM BRITA NUM 2</v>
          </cell>
          <cell r="E37" t="str">
            <v>M3</v>
          </cell>
          <cell r="F37">
            <v>146.31</v>
          </cell>
          <cell r="G37">
            <v>153.93</v>
          </cell>
          <cell r="H37">
            <v>0.29430000000000001</v>
          </cell>
          <cell r="I37">
            <v>199.23</v>
          </cell>
          <cell r="J37">
            <v>29149.34</v>
          </cell>
          <cell r="K37">
            <v>158.41</v>
          </cell>
          <cell r="L37">
            <v>0.23119999999999999</v>
          </cell>
          <cell r="M37">
            <v>195.03</v>
          </cell>
          <cell r="N37">
            <v>28534.84</v>
          </cell>
        </row>
        <row r="38">
          <cell r="A38" t="str">
            <v>5.6</v>
          </cell>
          <cell r="B38" t="str">
            <v>CP-73883/001-30509153</v>
          </cell>
          <cell r="C38" t="str">
            <v>COMPOSIÇÕES</v>
          </cell>
          <cell r="D38" t="str">
            <v>EXECUCAO DE DRENO FRANCES COM AREIA MEDIA</v>
          </cell>
          <cell r="E38" t="str">
            <v>M3</v>
          </cell>
          <cell r="F38">
            <v>146.31</v>
          </cell>
          <cell r="G38">
            <v>180.45</v>
          </cell>
          <cell r="H38">
            <v>0.29430000000000001</v>
          </cell>
          <cell r="I38">
            <v>233.56</v>
          </cell>
          <cell r="J38">
            <v>34172.160000000003</v>
          </cell>
          <cell r="K38">
            <v>183.37</v>
          </cell>
          <cell r="L38">
            <v>0.23119999999999999</v>
          </cell>
          <cell r="M38">
            <v>225.77</v>
          </cell>
          <cell r="N38">
            <v>33032.410000000003</v>
          </cell>
        </row>
        <row r="39">
          <cell r="A39" t="str">
            <v>5.7</v>
          </cell>
          <cell r="B39" t="str">
            <v>CP-83729-53696259</v>
          </cell>
          <cell r="C39" t="str">
            <v>COMPOSIÇÕES</v>
          </cell>
          <cell r="D39" t="str">
            <v>FORNECIMENTO/INSTALACAO DE MANTA BIDIM RT-31</v>
          </cell>
          <cell r="E39" t="str">
            <v>M3</v>
          </cell>
          <cell r="F39">
            <v>31.02</v>
          </cell>
          <cell r="G39">
            <v>25.9</v>
          </cell>
          <cell r="H39">
            <v>0.29430000000000001</v>
          </cell>
          <cell r="I39">
            <v>33.520000000000003</v>
          </cell>
          <cell r="J39">
            <v>1039.79</v>
          </cell>
          <cell r="K39">
            <v>25.97</v>
          </cell>
          <cell r="L39">
            <v>0.23119999999999999</v>
          </cell>
          <cell r="M39">
            <v>31.97</v>
          </cell>
          <cell r="N39">
            <v>991.71</v>
          </cell>
        </row>
        <row r="40">
          <cell r="A40" t="str">
            <v>5.8</v>
          </cell>
          <cell r="B40" t="str">
            <v>CP-83681-82667036</v>
          </cell>
          <cell r="C40" t="str">
            <v>COMPOSIÇÕES</v>
          </cell>
          <cell r="D40" t="str">
            <v>TUBO PVC D=4" COM MATERIAL DRENANTE PARA DRENO/BARBACA - FORNECIMENTO E INSTALACAO</v>
          </cell>
          <cell r="E40" t="str">
            <v>M</v>
          </cell>
          <cell r="F40">
            <v>2765.25</v>
          </cell>
          <cell r="G40">
            <v>23.58</v>
          </cell>
          <cell r="H40">
            <v>0.29430000000000001</v>
          </cell>
          <cell r="I40">
            <v>30.52</v>
          </cell>
          <cell r="J40">
            <v>84395.43</v>
          </cell>
          <cell r="K40">
            <v>24.7</v>
          </cell>
          <cell r="L40">
            <v>0.23119999999999999</v>
          </cell>
          <cell r="M40">
            <v>30.41</v>
          </cell>
          <cell r="N40">
            <v>84091.25</v>
          </cell>
        </row>
        <row r="41">
          <cell r="A41" t="str">
            <v>5.9</v>
          </cell>
          <cell r="B41" t="str">
            <v>CP-S10448-80966267</v>
          </cell>
          <cell r="C41" t="str">
            <v>COMPOSIÇÕES</v>
          </cell>
          <cell r="D41" t="str">
            <v>Abraçadeira metálica tipo "D" de 4"</v>
          </cell>
          <cell r="E41" t="str">
            <v>UND</v>
          </cell>
          <cell r="F41">
            <v>564</v>
          </cell>
          <cell r="G41">
            <v>15.49</v>
          </cell>
          <cell r="H41">
            <v>0.29430000000000001</v>
          </cell>
          <cell r="I41">
            <v>20.05</v>
          </cell>
          <cell r="J41">
            <v>11308.2</v>
          </cell>
          <cell r="K41">
            <v>16.010000000000002</v>
          </cell>
          <cell r="L41">
            <v>0.23119999999999999</v>
          </cell>
          <cell r="M41">
            <v>19.71</v>
          </cell>
          <cell r="N41">
            <v>11116.44</v>
          </cell>
        </row>
        <row r="42">
          <cell r="A42" t="str">
            <v>5.10</v>
          </cell>
          <cell r="B42">
            <v>96620</v>
          </cell>
          <cell r="C42" t="str">
            <v>SINAPI SERVIÇOS</v>
          </cell>
          <cell r="D42" t="str">
            <v>LASTRO DE CONCRETO MAGRO, APLICADO EM PISOS, LAJES SOBRE SOLO OU RADIERS. AF_01/2024</v>
          </cell>
          <cell r="E42" t="str">
            <v>M3</v>
          </cell>
          <cell r="F42">
            <v>73.400000000000006</v>
          </cell>
          <cell r="G42">
            <v>697.56</v>
          </cell>
          <cell r="H42">
            <v>0.29430000000000001</v>
          </cell>
          <cell r="I42">
            <v>902.85</v>
          </cell>
          <cell r="J42">
            <v>66269.19</v>
          </cell>
          <cell r="K42">
            <v>729.46</v>
          </cell>
          <cell r="L42">
            <v>0.23119999999999999</v>
          </cell>
          <cell r="M42">
            <v>898.11</v>
          </cell>
          <cell r="N42">
            <v>65921.27</v>
          </cell>
        </row>
        <row r="43">
          <cell r="A43" t="str">
            <v>5.11</v>
          </cell>
          <cell r="B43" t="str">
            <v>CP-83356-32589970</v>
          </cell>
          <cell r="C43" t="str">
            <v>COMPOSIÇÕES</v>
          </cell>
          <cell r="D43" t="str">
            <v>TRANSPORTE COMERCIAL DE PEDRA RACHÃO</v>
          </cell>
          <cell r="E43" t="str">
            <v>M3XKM</v>
          </cell>
          <cell r="F43">
            <v>96286.53</v>
          </cell>
          <cell r="G43">
            <v>1.22</v>
          </cell>
          <cell r="H43">
            <v>0.29430000000000001</v>
          </cell>
          <cell r="I43">
            <v>1.58</v>
          </cell>
          <cell r="J43">
            <v>152132.72</v>
          </cell>
          <cell r="K43">
            <v>1.24</v>
          </cell>
          <cell r="L43">
            <v>0.23119999999999999</v>
          </cell>
          <cell r="M43">
            <v>1.53</v>
          </cell>
          <cell r="N43">
            <v>147318.39000000001</v>
          </cell>
        </row>
        <row r="44">
          <cell r="A44" t="str">
            <v>5.12</v>
          </cell>
          <cell r="B44" t="str">
            <v>COMP-82259696</v>
          </cell>
          <cell r="C44" t="str">
            <v>COMPOSIÇÕES</v>
          </cell>
          <cell r="D44" t="str">
            <v>PREENCHIMENTO DE JUNTAS COM SELANTE A BASE DE ASFALTO</v>
          </cell>
          <cell r="E44" t="str">
            <v>M</v>
          </cell>
          <cell r="F44">
            <v>706.27</v>
          </cell>
          <cell r="G44">
            <v>8.83</v>
          </cell>
          <cell r="H44">
            <v>0.29430000000000001</v>
          </cell>
          <cell r="I44">
            <v>11.43</v>
          </cell>
          <cell r="J44">
            <v>8072.67</v>
          </cell>
          <cell r="K44">
            <v>9.09</v>
          </cell>
          <cell r="L44">
            <v>0.23119999999999999</v>
          </cell>
          <cell r="M44">
            <v>11.19</v>
          </cell>
          <cell r="N44">
            <v>7903.16</v>
          </cell>
        </row>
        <row r="45">
          <cell r="A45" t="str">
            <v>6.0</v>
          </cell>
          <cell r="D45" t="str">
            <v>DRENAGEM PLUVIAL</v>
          </cell>
          <cell r="J45">
            <v>628026.42000000004</v>
          </cell>
          <cell r="N45">
            <v>611625.72</v>
          </cell>
        </row>
        <row r="46">
          <cell r="A46" t="str">
            <v>6.1</v>
          </cell>
          <cell r="D46" t="str">
            <v>CANALETA 0,40x0,40m (SEM TAMPA)</v>
          </cell>
          <cell r="J46">
            <v>347022.98</v>
          </cell>
          <cell r="N46">
            <v>338815.65</v>
          </cell>
        </row>
        <row r="47">
          <cell r="A47" t="str">
            <v>6.1.1</v>
          </cell>
          <cell r="B47" t="str">
            <v>COMP-74909598</v>
          </cell>
          <cell r="C47" t="str">
            <v>COMPOSIÇÕES</v>
          </cell>
          <cell r="D47" t="str">
            <v>CANALETA EM CONCRETO ARMADO FCK 25MPa NAS DIMENSÕES (0,40M X 0,40M), SEM LAJE DE TAMPA.</v>
          </cell>
          <cell r="E47" t="str">
            <v>M</v>
          </cell>
          <cell r="F47">
            <v>601.27</v>
          </cell>
          <cell r="G47">
            <v>445.92</v>
          </cell>
          <cell r="H47">
            <v>0.29430000000000001</v>
          </cell>
          <cell r="I47">
            <v>577.15</v>
          </cell>
          <cell r="J47">
            <v>347022.98</v>
          </cell>
          <cell r="K47">
            <v>457.68</v>
          </cell>
          <cell r="L47">
            <v>0.23119999999999999</v>
          </cell>
          <cell r="M47">
            <v>563.5</v>
          </cell>
          <cell r="N47">
            <v>338815.65</v>
          </cell>
        </row>
        <row r="48">
          <cell r="A48" t="str">
            <v>6.2</v>
          </cell>
          <cell r="D48" t="str">
            <v xml:space="preserve">CANALETA EM CONCRETO DAR 60-30 </v>
          </cell>
          <cell r="J48">
            <v>262577.83999999997</v>
          </cell>
          <cell r="N48">
            <v>254942.68</v>
          </cell>
        </row>
        <row r="49">
          <cell r="A49" t="str">
            <v>6.2.1</v>
          </cell>
          <cell r="B49">
            <v>92760</v>
          </cell>
          <cell r="C49" t="str">
            <v>SINAPI SERVIÇOS</v>
          </cell>
          <cell r="D49" t="str">
            <v>ARMAÇÃO DE PILAR OU VIGA DE ESTRUTURA CONVENCIONAL DE CONCRETO ARMADO UTILIZANDO AÇO CA-50 DE 6,3 MM - MONTAGEM. AF_06/2022</v>
          </cell>
          <cell r="E49" t="str">
            <v>KG</v>
          </cell>
          <cell r="F49">
            <v>5673.75</v>
          </cell>
          <cell r="G49">
            <v>13.16</v>
          </cell>
          <cell r="H49">
            <v>0.29430000000000001</v>
          </cell>
          <cell r="I49">
            <v>17.03</v>
          </cell>
          <cell r="J49">
            <v>96623.96</v>
          </cell>
          <cell r="K49">
            <v>13.52</v>
          </cell>
          <cell r="L49">
            <v>0.23119999999999999</v>
          </cell>
          <cell r="M49">
            <v>16.649999999999999</v>
          </cell>
          <cell r="N49">
            <v>94467.94</v>
          </cell>
        </row>
        <row r="50">
          <cell r="A50" t="str">
            <v>6.2.2</v>
          </cell>
          <cell r="B50">
            <v>92267</v>
          </cell>
          <cell r="C50" t="str">
            <v>SINAPI SERVIÇOS</v>
          </cell>
          <cell r="D50" t="str">
            <v>FABRICAÇÃO DE FÔRMA PARA LAJES, EM CHAPA DE MADEIRA COMPENSADA RESINADA, E = 17 MM. AF_09/2020</v>
          </cell>
          <cell r="E50" t="str">
            <v>M2</v>
          </cell>
          <cell r="F50">
            <v>706.59</v>
          </cell>
          <cell r="G50">
            <v>51.91</v>
          </cell>
          <cell r="H50">
            <v>0.29430000000000001</v>
          </cell>
          <cell r="I50">
            <v>67.19</v>
          </cell>
          <cell r="J50">
            <v>47475.78</v>
          </cell>
          <cell r="K50">
            <v>52.05</v>
          </cell>
          <cell r="L50">
            <v>0.23119999999999999</v>
          </cell>
          <cell r="M50">
            <v>64.08</v>
          </cell>
          <cell r="N50">
            <v>45278.29</v>
          </cell>
        </row>
        <row r="51">
          <cell r="A51" t="str">
            <v>6.2.3</v>
          </cell>
          <cell r="B51">
            <v>94965</v>
          </cell>
          <cell r="C51" t="str">
            <v>SINAPI SERVIÇOS</v>
          </cell>
          <cell r="D51" t="str">
            <v>CONCRETO FCK = 25MPA, TRAÇO 1:2,3:2,7 (EM MASSA SECA DE CIMENTO/ AREIA MÉDIA/ BRITA 1) - PREPARO MECÂNICO COM BETONEIRA 400 L. AF_05/2021</v>
          </cell>
          <cell r="E51" t="str">
            <v>M3</v>
          </cell>
          <cell r="F51">
            <v>93.28</v>
          </cell>
          <cell r="G51">
            <v>488.93</v>
          </cell>
          <cell r="H51">
            <v>0.29430000000000001</v>
          </cell>
          <cell r="I51">
            <v>632.82000000000005</v>
          </cell>
          <cell r="J51">
            <v>59029.45</v>
          </cell>
          <cell r="K51">
            <v>499.01</v>
          </cell>
          <cell r="L51">
            <v>0.23119999999999999</v>
          </cell>
          <cell r="M51">
            <v>614.38</v>
          </cell>
          <cell r="N51">
            <v>57309.37</v>
          </cell>
        </row>
        <row r="52">
          <cell r="A52" t="str">
            <v>6.2.4</v>
          </cell>
          <cell r="B52">
            <v>96619</v>
          </cell>
          <cell r="C52" t="str">
            <v>SINAPI SERVIÇOS</v>
          </cell>
          <cell r="D52" t="str">
            <v>LASTRO DE CONCRETO MAGRO, APLICADO EM BLOCOS DE COROAMENTO OU SAPATAS, ESPESSURA DE 5 CM. AF_01/2024</v>
          </cell>
          <cell r="E52" t="str">
            <v>M2</v>
          </cell>
          <cell r="F52">
            <v>19.43</v>
          </cell>
          <cell r="G52">
            <v>37.44</v>
          </cell>
          <cell r="H52">
            <v>0.29430000000000001</v>
          </cell>
          <cell r="I52">
            <v>48.46</v>
          </cell>
          <cell r="J52">
            <v>941.58</v>
          </cell>
          <cell r="K52">
            <v>39.36</v>
          </cell>
          <cell r="L52">
            <v>0.23119999999999999</v>
          </cell>
          <cell r="M52">
            <v>48.46</v>
          </cell>
          <cell r="N52">
            <v>941.58</v>
          </cell>
        </row>
        <row r="53">
          <cell r="A53" t="str">
            <v>6.2.5</v>
          </cell>
          <cell r="B53">
            <v>103673</v>
          </cell>
          <cell r="C53" t="str">
            <v>SINAPI SERVIÇOS</v>
          </cell>
          <cell r="D53" t="str">
            <v>LANÇAMENTO COM USO DE BOMBA, ADENSAMENTO E ACABAMENTO DE CONCRETO EM ESTRUTURAS. AF_02/2022</v>
          </cell>
          <cell r="E53" t="str">
            <v>M3</v>
          </cell>
          <cell r="F53">
            <v>19.43</v>
          </cell>
          <cell r="G53">
            <v>35.92</v>
          </cell>
          <cell r="H53">
            <v>0.29430000000000001</v>
          </cell>
          <cell r="I53">
            <v>46.49</v>
          </cell>
          <cell r="J53">
            <v>903.3</v>
          </cell>
          <cell r="K53">
            <v>40.270000000000003</v>
          </cell>
          <cell r="L53">
            <v>0.23119999999999999</v>
          </cell>
          <cell r="M53">
            <v>49.58</v>
          </cell>
          <cell r="N53">
            <v>963.34</v>
          </cell>
        </row>
        <row r="54">
          <cell r="A54" t="str">
            <v>6.2.6</v>
          </cell>
          <cell r="B54" t="str">
            <v>COM-65912306</v>
          </cell>
          <cell r="C54" t="str">
            <v>COMPOSIÇÕES</v>
          </cell>
          <cell r="D54" t="str">
            <v>TAMPA EM CONCRETO ARMADO FCK 25MPa NAS DIMENSÕES (1,00M X 0,84M), BASEADA EM PROJETO TIPO (DNIT) PARA CONTENÇÃO DE ENCOSTAS, COM LANÇAMENTO EM FORMA MANUAL</v>
          </cell>
          <cell r="E54" t="str">
            <v>M</v>
          </cell>
          <cell r="F54">
            <v>261.55</v>
          </cell>
          <cell r="G54">
            <v>170.16</v>
          </cell>
          <cell r="H54">
            <v>0.29430000000000001</v>
          </cell>
          <cell r="I54">
            <v>220.24</v>
          </cell>
          <cell r="J54">
            <v>57603.77</v>
          </cell>
          <cell r="K54">
            <v>173.85</v>
          </cell>
          <cell r="L54">
            <v>0.23119999999999999</v>
          </cell>
          <cell r="M54">
            <v>214.04</v>
          </cell>
          <cell r="N54">
            <v>55982.16</v>
          </cell>
        </row>
        <row r="55">
          <cell r="A55" t="str">
            <v>6.3</v>
          </cell>
          <cell r="D55" t="str">
            <v>CANALETA EM CONCRETO DAD 60-36</v>
          </cell>
          <cell r="J55">
            <v>18425.600000000002</v>
          </cell>
          <cell r="N55">
            <v>17867.390000000003</v>
          </cell>
        </row>
        <row r="56">
          <cell r="A56" t="str">
            <v>6.3.1</v>
          </cell>
          <cell r="B56">
            <v>92760</v>
          </cell>
          <cell r="C56" t="str">
            <v>SINAPI SERVIÇOS</v>
          </cell>
          <cell r="D56" t="str">
            <v>ARMAÇÃO DE PILAR OU VIGA DE ESTRUTURA CONVENCIONAL DE CONCRETO ARMADO UTILIZANDO AÇO CA-50 DE 6,3 MM - MONTAGEM. AF_06/2022</v>
          </cell>
          <cell r="E56" t="str">
            <v>KG</v>
          </cell>
          <cell r="F56">
            <v>506.81</v>
          </cell>
          <cell r="G56">
            <v>13.16</v>
          </cell>
          <cell r="H56">
            <v>0.29430000000000001</v>
          </cell>
          <cell r="I56">
            <v>17.03</v>
          </cell>
          <cell r="J56">
            <v>8630.9699999999993</v>
          </cell>
          <cell r="K56">
            <v>13.52</v>
          </cell>
          <cell r="L56">
            <v>0.23119999999999999</v>
          </cell>
          <cell r="M56">
            <v>16.649999999999999</v>
          </cell>
          <cell r="N56">
            <v>8438.39</v>
          </cell>
        </row>
        <row r="57">
          <cell r="A57" t="str">
            <v>6.3.2</v>
          </cell>
          <cell r="B57">
            <v>92267</v>
          </cell>
          <cell r="C57" t="str">
            <v>SINAPI SERVIÇOS</v>
          </cell>
          <cell r="D57" t="str">
            <v>FABRICAÇÃO DE FÔRMA PARA LAJES, EM CHAPA DE MADEIRA COMPENSADA RESINADA, E = 17 MM. AF_09/2020</v>
          </cell>
          <cell r="E57" t="str">
            <v>M2</v>
          </cell>
          <cell r="F57">
            <v>75.41</v>
          </cell>
          <cell r="G57">
            <v>51.91</v>
          </cell>
          <cell r="H57">
            <v>0.29430000000000001</v>
          </cell>
          <cell r="I57">
            <v>67.19</v>
          </cell>
          <cell r="J57">
            <v>5066.8</v>
          </cell>
          <cell r="K57">
            <v>52.05</v>
          </cell>
          <cell r="L57">
            <v>0.23119999999999999</v>
          </cell>
          <cell r="M57">
            <v>64.08</v>
          </cell>
          <cell r="N57">
            <v>4832.2700000000004</v>
          </cell>
        </row>
        <row r="58">
          <cell r="A58" t="str">
            <v>6.3.3</v>
          </cell>
          <cell r="B58">
            <v>94965</v>
          </cell>
          <cell r="C58" t="str">
            <v>SINAPI SERVIÇOS</v>
          </cell>
          <cell r="D58" t="str">
            <v>CONCRETO FCK = 25MPA, TRAÇO 1:2,3:2,7 (EM MASSA SECA DE CIMENTO/ AREIA MÉDIA/ BRITA 1) - PREPARO MECÂNICO COM BETONEIRA 400 L. AF_05/2021</v>
          </cell>
          <cell r="E58" t="str">
            <v>M3</v>
          </cell>
          <cell r="F58">
            <v>7.3</v>
          </cell>
          <cell r="G58">
            <v>488.93</v>
          </cell>
          <cell r="H58">
            <v>0.29430000000000001</v>
          </cell>
          <cell r="I58">
            <v>632.82000000000005</v>
          </cell>
          <cell r="J58">
            <v>4619.59</v>
          </cell>
          <cell r="K58">
            <v>499.01</v>
          </cell>
          <cell r="L58">
            <v>0.23119999999999999</v>
          </cell>
          <cell r="M58">
            <v>614.38</v>
          </cell>
          <cell r="N58">
            <v>4484.97</v>
          </cell>
        </row>
        <row r="59">
          <cell r="A59" t="str">
            <v>6.3.4</v>
          </cell>
          <cell r="B59">
            <v>96619</v>
          </cell>
          <cell r="C59" t="str">
            <v>SINAPI SERVIÇOS</v>
          </cell>
          <cell r="D59" t="str">
            <v>LASTRO DE CONCRETO MAGRO, APLICADO EM BLOCOS DE COROAMENTO OU SAPATAS, ESPESSURA DE 5 CM. AF_01/2024</v>
          </cell>
          <cell r="E59" t="str">
            <v>M2</v>
          </cell>
          <cell r="F59">
            <v>1.1399999999999999</v>
          </cell>
          <cell r="G59">
            <v>37.44</v>
          </cell>
          <cell r="H59">
            <v>0.29430000000000001</v>
          </cell>
          <cell r="I59">
            <v>48.46</v>
          </cell>
          <cell r="J59">
            <v>55.24</v>
          </cell>
          <cell r="K59">
            <v>39.36</v>
          </cell>
          <cell r="L59">
            <v>0.23119999999999999</v>
          </cell>
          <cell r="M59">
            <v>48.46</v>
          </cell>
          <cell r="N59">
            <v>55.24</v>
          </cell>
        </row>
        <row r="60">
          <cell r="A60" t="str">
            <v>6.3.5</v>
          </cell>
          <cell r="B60">
            <v>103673</v>
          </cell>
          <cell r="C60" t="str">
            <v>SINAPI SERVIÇOS</v>
          </cell>
          <cell r="D60" t="str">
            <v>LANÇAMENTO COM USO DE BOMBA, ADENSAMENTO E ACABAMENTO DE CONCRETO EM ESTRUTURAS. AF_02/2022</v>
          </cell>
          <cell r="E60" t="str">
            <v>M3</v>
          </cell>
          <cell r="F60">
            <v>1.1399999999999999</v>
          </cell>
          <cell r="G60">
            <v>35.92</v>
          </cell>
          <cell r="H60">
            <v>0.29430000000000001</v>
          </cell>
          <cell r="I60">
            <v>46.49</v>
          </cell>
          <cell r="J60">
            <v>53</v>
          </cell>
          <cell r="K60">
            <v>40.270000000000003</v>
          </cell>
          <cell r="L60">
            <v>0.23119999999999999</v>
          </cell>
          <cell r="M60">
            <v>49.58</v>
          </cell>
          <cell r="N60">
            <v>56.52</v>
          </cell>
        </row>
        <row r="61">
          <cell r="A61" t="str">
            <v>7.0</v>
          </cell>
          <cell r="D61" t="str">
            <v>REVESTIMENTO E PROTEÇÃO DA ENCOSTA</v>
          </cell>
          <cell r="J61">
            <v>1066130.77</v>
          </cell>
          <cell r="N61">
            <v>1060787.8400000001</v>
          </cell>
        </row>
        <row r="62">
          <cell r="A62" t="str">
            <v>7.1</v>
          </cell>
          <cell r="B62" t="str">
            <v>CP-97084-89637704</v>
          </cell>
          <cell r="C62" t="str">
            <v>COMPOSIÇÕES</v>
          </cell>
          <cell r="D62" t="str">
            <v>REGULARIZACAO E COMPACTAÇÃO MANUAL DE TERRENO COM PLACA VIBRATÓRIA</v>
          </cell>
          <cell r="E62" t="str">
            <v>M2</v>
          </cell>
          <cell r="F62">
            <v>6015.49</v>
          </cell>
          <cell r="G62">
            <v>0.62</v>
          </cell>
          <cell r="H62">
            <v>0.29430000000000001</v>
          </cell>
          <cell r="I62">
            <v>0.8</v>
          </cell>
          <cell r="J62">
            <v>4812.3900000000003</v>
          </cell>
          <cell r="K62">
            <v>0.69</v>
          </cell>
          <cell r="L62">
            <v>0.23119999999999999</v>
          </cell>
          <cell r="M62">
            <v>0.85</v>
          </cell>
          <cell r="N62">
            <v>5113.17</v>
          </cell>
        </row>
        <row r="63">
          <cell r="A63" t="str">
            <v>7.2</v>
          </cell>
          <cell r="B63" t="str">
            <v>COMP-44028973</v>
          </cell>
          <cell r="C63" t="str">
            <v>COMPOSIÇÕES</v>
          </cell>
          <cell r="D63" t="str">
            <v>EXECUÇÃO DE REVESTIMENTO DE CONCRETO PROJETADO COM ESPESSURA DE 4 CM, ARMADO COM TELA Q 138, INCLINAÇÃO MENOR QUE 90°, APLICAÇÃO DESCONTÍNUA, UTILIZANDO EQUIPAMENTO DE PROJEÇÃO COM 6 M³/H DE CAPACIDADE, INCLUSIVE GRAMPOS DE FIXAÇÃO DE TELA A CADA 2M</v>
          </cell>
          <cell r="E63" t="str">
            <v>M2</v>
          </cell>
          <cell r="F63">
            <v>6015.49</v>
          </cell>
          <cell r="G63">
            <v>105.22</v>
          </cell>
          <cell r="H63">
            <v>0.29430000000000001</v>
          </cell>
          <cell r="I63">
            <v>136.19</v>
          </cell>
          <cell r="J63">
            <v>819249.58</v>
          </cell>
          <cell r="K63">
            <v>108.69</v>
          </cell>
          <cell r="L63">
            <v>0.23119999999999999</v>
          </cell>
          <cell r="M63">
            <v>133.82</v>
          </cell>
          <cell r="N63">
            <v>804992.87</v>
          </cell>
        </row>
        <row r="64">
          <cell r="A64" t="str">
            <v>7.3</v>
          </cell>
          <cell r="B64" t="str">
            <v>CP-S03644-77614840</v>
          </cell>
          <cell r="C64" t="str">
            <v>COMPOSIÇÕES</v>
          </cell>
          <cell r="D64" t="str">
            <v>Acabamento de superfície de piso de concreto com desempolamento manual</v>
          </cell>
          <cell r="E64" t="str">
            <v>M2</v>
          </cell>
          <cell r="F64">
            <v>6015.49</v>
          </cell>
          <cell r="G64">
            <v>16.93</v>
          </cell>
          <cell r="H64">
            <v>0.29430000000000001</v>
          </cell>
          <cell r="I64">
            <v>21.91</v>
          </cell>
          <cell r="J64">
            <v>131799.39000000001</v>
          </cell>
          <cell r="K64">
            <v>19.02</v>
          </cell>
          <cell r="L64">
            <v>0.23119999999999999</v>
          </cell>
          <cell r="M64">
            <v>23.42</v>
          </cell>
          <cell r="N64">
            <v>140882.78</v>
          </cell>
        </row>
        <row r="65">
          <cell r="A65" t="str">
            <v>7.4</v>
          </cell>
          <cell r="B65">
            <v>88489</v>
          </cell>
          <cell r="C65" t="str">
            <v>SINAPI SERVIÇOS</v>
          </cell>
          <cell r="D65" t="str">
            <v>PINTURA LÁTEX ACRÍLICA PREMIUM, APLICAÇÃO MANUAL EM PAREDES, DUAS DEMÃOS. AF_04/2023</v>
          </cell>
          <cell r="E65" t="str">
            <v>M2</v>
          </cell>
          <cell r="F65">
            <v>6015.49</v>
          </cell>
          <cell r="G65">
            <v>12.96</v>
          </cell>
          <cell r="H65">
            <v>0.29430000000000001</v>
          </cell>
          <cell r="I65">
            <v>16.77</v>
          </cell>
          <cell r="J65">
            <v>100879.77</v>
          </cell>
          <cell r="K65">
            <v>13.56</v>
          </cell>
          <cell r="L65">
            <v>0.23119999999999999</v>
          </cell>
          <cell r="M65">
            <v>16.7</v>
          </cell>
          <cell r="N65">
            <v>100458.68</v>
          </cell>
        </row>
        <row r="66">
          <cell r="A66" t="str">
            <v>7.5</v>
          </cell>
          <cell r="B66">
            <v>96620</v>
          </cell>
          <cell r="C66" t="str">
            <v>SINAPI SERVIÇOS</v>
          </cell>
          <cell r="D66" t="str">
            <v>LASTRO DE CONCRETO MAGRO, APLICADO EM PISOS, LAJES SOBRE SOLO OU RADIERS. AF_01/2024</v>
          </cell>
          <cell r="E66" t="str">
            <v>M3</v>
          </cell>
          <cell r="F66">
            <v>10.4</v>
          </cell>
          <cell r="G66">
            <v>697.56</v>
          </cell>
          <cell r="H66">
            <v>0.29430000000000001</v>
          </cell>
          <cell r="I66">
            <v>902.85</v>
          </cell>
          <cell r="J66">
            <v>9389.64</v>
          </cell>
          <cell r="K66">
            <v>729.46</v>
          </cell>
          <cell r="L66">
            <v>0.23119999999999999</v>
          </cell>
          <cell r="M66">
            <v>898.11</v>
          </cell>
          <cell r="N66">
            <v>9340.34</v>
          </cell>
        </row>
        <row r="67">
          <cell r="A67" t="str">
            <v>8.0</v>
          </cell>
          <cell r="D67" t="str">
            <v>ESCADARIA</v>
          </cell>
          <cell r="J67">
            <v>22783.18</v>
          </cell>
          <cell r="N67">
            <v>23004.97</v>
          </cell>
        </row>
        <row r="68">
          <cell r="A68" t="str">
            <v>8.1</v>
          </cell>
          <cell r="B68" t="str">
            <v>COMP-82583347</v>
          </cell>
          <cell r="C68" t="str">
            <v>COMPOSIÇÕES</v>
          </cell>
          <cell r="D68" t="str">
            <v>ESCADA TIPO 3 DE PROJETO DE CONTENÇÃO DE ENCOSTAS - EM AVENARIA DE 1 VEZ E CONCRETO DE 15 MPA INCLUINDO REVESTIMENTOS</v>
          </cell>
          <cell r="E68" t="str">
            <v>M</v>
          </cell>
          <cell r="F68">
            <v>133.61000000000001</v>
          </cell>
          <cell r="G68">
            <v>131.75</v>
          </cell>
          <cell r="H68">
            <v>0.29430000000000001</v>
          </cell>
          <cell r="I68">
            <v>170.52</v>
          </cell>
          <cell r="J68">
            <v>22783.18</v>
          </cell>
          <cell r="K68">
            <v>139.85</v>
          </cell>
          <cell r="L68">
            <v>0.23119999999999999</v>
          </cell>
          <cell r="M68">
            <v>172.18</v>
          </cell>
          <cell r="N68">
            <v>23004.97</v>
          </cell>
        </row>
        <row r="69">
          <cell r="A69" t="str">
            <v>9.0</v>
          </cell>
          <cell r="D69" t="str">
            <v>SERVIÇOS COMPLEMENTARES</v>
          </cell>
          <cell r="J69">
            <v>216785.93</v>
          </cell>
          <cell r="N69">
            <v>219349.1</v>
          </cell>
        </row>
        <row r="70">
          <cell r="A70" t="str">
            <v>9.1</v>
          </cell>
          <cell r="B70">
            <v>94990</v>
          </cell>
          <cell r="C70" t="str">
            <v>SINAPI SERVIÇOS</v>
          </cell>
          <cell r="D70" t="str">
            <v>EXECUÇÃO DE PASSEIO (CALÇADA) OU PISO DE CONCRETO COM CONCRETO MOLDADO IN LOCO, FEITO EM OBRA, ACABAMENTO CONVENCIONAL, NÃO ARMADO. AF_08/2022</v>
          </cell>
          <cell r="E70" t="str">
            <v>M3</v>
          </cell>
          <cell r="F70">
            <v>13.85</v>
          </cell>
          <cell r="G70">
            <v>741.32</v>
          </cell>
          <cell r="H70">
            <v>0.29430000000000001</v>
          </cell>
          <cell r="I70">
            <v>959.49</v>
          </cell>
          <cell r="J70">
            <v>13288.94</v>
          </cell>
          <cell r="K70">
            <v>770.74</v>
          </cell>
          <cell r="L70">
            <v>0.23119999999999999</v>
          </cell>
          <cell r="M70">
            <v>948.94</v>
          </cell>
          <cell r="N70">
            <v>13142.82</v>
          </cell>
        </row>
        <row r="71">
          <cell r="A71" t="str">
            <v>9.2</v>
          </cell>
          <cell r="B71" t="str">
            <v>CP-97084-89637704</v>
          </cell>
          <cell r="C71" t="str">
            <v>COMPOSIÇÕES</v>
          </cell>
          <cell r="D71" t="str">
            <v>REGULARIZACAO E COMPACTAÇÃO MANUAL DE TERRENO COM PLACA VIBRATÓRIA</v>
          </cell>
          <cell r="E71" t="str">
            <v>M2</v>
          </cell>
          <cell r="F71">
            <v>197.82</v>
          </cell>
          <cell r="G71">
            <v>0.62</v>
          </cell>
          <cell r="H71">
            <v>0.29430000000000001</v>
          </cell>
          <cell r="I71">
            <v>0.8</v>
          </cell>
          <cell r="J71">
            <v>158.26</v>
          </cell>
          <cell r="K71">
            <v>0.69</v>
          </cell>
          <cell r="L71">
            <v>0.23119999999999999</v>
          </cell>
          <cell r="M71">
            <v>0.85</v>
          </cell>
          <cell r="N71">
            <v>168.15</v>
          </cell>
        </row>
        <row r="72">
          <cell r="A72" t="str">
            <v>9.3</v>
          </cell>
          <cell r="B72">
            <v>99839</v>
          </cell>
          <cell r="C72" t="str">
            <v>SINAPI SERVIÇOS</v>
          </cell>
          <cell r="D72" t="str">
            <v>GUARDA-CORPO DE AÇO GALVANIZADO DE 1,10M DE ALTURA, MONTANTES TUBULARES DE 1.1/2  ESPAÇADOS DE 1,20M, TRAVESSA SUPERIOR DE 2 , GRADIL FORMADO POR BARRAS CHATAS EM FERRO DE 32X4,8MM, FIXADO COM CHUMBADOR MECÂNICO. AF_04/2019_PS</v>
          </cell>
          <cell r="E72" t="str">
            <v>M</v>
          </cell>
          <cell r="F72">
            <v>363.8</v>
          </cell>
          <cell r="G72">
            <v>431.84</v>
          </cell>
          <cell r="H72">
            <v>0.29430000000000001</v>
          </cell>
          <cell r="I72">
            <v>558.92999999999995</v>
          </cell>
          <cell r="J72">
            <v>203338.73</v>
          </cell>
          <cell r="K72">
            <v>460</v>
          </cell>
          <cell r="L72">
            <v>0.23119999999999999</v>
          </cell>
          <cell r="M72">
            <v>566.35</v>
          </cell>
          <cell r="N72">
            <v>206038.13</v>
          </cell>
        </row>
        <row r="73">
          <cell r="A73" t="str">
            <v>Tabelas de Referência: SINAPI (OUTUBRO-2024)</v>
          </cell>
          <cell r="J73">
            <v>7940561.8499999996</v>
          </cell>
          <cell r="N73">
            <v>8100462.2299999986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E15"/>
  <sheetViews>
    <sheetView tabSelected="1" view="pageBreakPreview" zoomScale="90" zoomScaleNormal="100" zoomScaleSheetLayoutView="90" workbookViewId="0">
      <selection activeCell="C22" sqref="C22"/>
    </sheetView>
  </sheetViews>
  <sheetFormatPr defaultRowHeight="12"/>
  <cols>
    <col min="1" max="1" width="9.33203125" style="2" customWidth="1"/>
    <col min="2" max="2" width="62.44140625" style="2" customWidth="1"/>
    <col min="3" max="3" width="22.77734375" style="2" customWidth="1"/>
    <col min="4" max="4" width="15.21875" style="2" bestFit="1" customWidth="1"/>
    <col min="5" max="5" width="8.33203125" style="2" customWidth="1"/>
    <col min="6" max="16384" width="8.88671875" style="2"/>
  </cols>
  <sheetData>
    <row r="1" spans="1:5" ht="43.95" customHeight="1">
      <c r="A1" s="204"/>
      <c r="B1" s="204"/>
      <c r="C1" s="204"/>
      <c r="D1" s="204"/>
      <c r="E1" s="204"/>
    </row>
    <row r="2" spans="1:5" ht="22.05" customHeight="1">
      <c r="A2" s="204"/>
      <c r="B2" s="204"/>
      <c r="C2" s="204"/>
      <c r="D2" s="204"/>
      <c r="E2" s="204"/>
    </row>
    <row r="3" spans="1:5" ht="1.05" customHeight="1">
      <c r="A3" s="204"/>
      <c r="B3" s="204"/>
      <c r="C3" s="204"/>
      <c r="D3" s="204"/>
      <c r="E3" s="204"/>
    </row>
    <row r="4" spans="1:5" ht="19.95" customHeight="1">
      <c r="A4" s="3" t="s">
        <v>10</v>
      </c>
      <c r="B4" s="203" t="s">
        <v>11</v>
      </c>
      <c r="C4" s="203"/>
      <c r="D4" s="4">
        <v>35131.32</v>
      </c>
      <c r="E4" s="5">
        <v>0.46225360716371278</v>
      </c>
    </row>
    <row r="5" spans="1:5" ht="19.95" customHeight="1">
      <c r="A5" s="3" t="s">
        <v>27</v>
      </c>
      <c r="B5" s="203" t="s">
        <v>28</v>
      </c>
      <c r="C5" s="203"/>
      <c r="D5" s="4">
        <v>280015.2</v>
      </c>
      <c r="E5" s="5">
        <v>3.6844057171967481</v>
      </c>
    </row>
    <row r="6" spans="1:5" ht="19.95" customHeight="1">
      <c r="A6" s="3" t="s">
        <v>52</v>
      </c>
      <c r="B6" s="203" t="s">
        <v>53</v>
      </c>
      <c r="C6" s="203"/>
      <c r="D6" s="4">
        <v>455120.34</v>
      </c>
      <c r="E6" s="5">
        <v>5.9884177098547795</v>
      </c>
    </row>
    <row r="7" spans="1:5" ht="19.95" customHeight="1">
      <c r="A7" s="3" t="s">
        <v>57</v>
      </c>
      <c r="B7" s="203" t="s">
        <v>58</v>
      </c>
      <c r="C7" s="203"/>
      <c r="D7" s="4">
        <v>1243806.05</v>
      </c>
      <c r="E7" s="5">
        <v>16.365847717209299</v>
      </c>
    </row>
    <row r="8" spans="1:5" ht="19.95" customHeight="1">
      <c r="A8" s="3" t="s">
        <v>70</v>
      </c>
      <c r="B8" s="203" t="s">
        <v>71</v>
      </c>
      <c r="C8" s="203"/>
      <c r="D8" s="4">
        <v>3716576.6</v>
      </c>
      <c r="E8" s="5">
        <v>48.902259853892403</v>
      </c>
    </row>
    <row r="9" spans="1:5" ht="19.95" customHeight="1">
      <c r="A9" s="3" t="s">
        <v>110</v>
      </c>
      <c r="B9" s="203" t="s">
        <v>111</v>
      </c>
      <c r="C9" s="203"/>
      <c r="D9" s="4">
        <v>556009.78</v>
      </c>
      <c r="E9" s="5">
        <v>7.3159086087087637</v>
      </c>
    </row>
    <row r="10" spans="1:5" ht="19.95" customHeight="1">
      <c r="A10" s="3" t="s">
        <v>147</v>
      </c>
      <c r="B10" s="203" t="s">
        <v>148</v>
      </c>
      <c r="C10" s="203"/>
      <c r="D10" s="4">
        <v>1061013.32</v>
      </c>
      <c r="E10" s="5">
        <v>13.960683356581724</v>
      </c>
    </row>
    <row r="11" spans="1:5" ht="19.95" customHeight="1">
      <c r="A11" s="3" t="s">
        <v>163</v>
      </c>
      <c r="B11" s="203" t="s">
        <v>164</v>
      </c>
      <c r="C11" s="203"/>
      <c r="D11" s="4">
        <v>29961.42</v>
      </c>
      <c r="E11" s="5">
        <v>0.39422869595412319</v>
      </c>
    </row>
    <row r="12" spans="1:5" ht="19.95" customHeight="1">
      <c r="A12" s="3" t="s">
        <v>169</v>
      </c>
      <c r="B12" s="203" t="s">
        <v>170</v>
      </c>
      <c r="C12" s="203"/>
      <c r="D12" s="4">
        <v>222375.89</v>
      </c>
      <c r="E12" s="5">
        <v>2.9259947334384537</v>
      </c>
    </row>
    <row r="13" spans="1:5" ht="15" customHeight="1">
      <c r="A13" s="6"/>
      <c r="B13" s="6"/>
      <c r="C13" s="7" t="s">
        <v>178</v>
      </c>
      <c r="D13" s="8">
        <v>1427243.59</v>
      </c>
      <c r="E13" s="5">
        <v>100.00000000000001</v>
      </c>
    </row>
    <row r="14" spans="1:5" ht="15" customHeight="1">
      <c r="A14" s="6"/>
      <c r="B14" s="6"/>
      <c r="C14" s="7" t="s">
        <v>179</v>
      </c>
      <c r="D14" s="8">
        <v>6172766.3300000001</v>
      </c>
      <c r="E14" s="6"/>
    </row>
    <row r="15" spans="1:5" ht="15" customHeight="1">
      <c r="A15" s="6"/>
      <c r="B15" s="6"/>
      <c r="C15" s="7" t="s">
        <v>180</v>
      </c>
      <c r="D15" s="8">
        <v>7600009.9199999999</v>
      </c>
      <c r="E15" s="6"/>
    </row>
  </sheetData>
  <mergeCells count="10">
    <mergeCell ref="A1:E3"/>
    <mergeCell ref="B4:C4"/>
    <mergeCell ref="B5:C5"/>
    <mergeCell ref="B6:C6"/>
    <mergeCell ref="B7:C7"/>
    <mergeCell ref="B8:C8"/>
    <mergeCell ref="B9:C9"/>
    <mergeCell ref="B10:C10"/>
    <mergeCell ref="B11:C11"/>
    <mergeCell ref="B12:C12"/>
  </mergeCells>
  <pageMargins left="0.5" right="0.5" top="0.5" bottom="0.5" header="0" footer="0"/>
  <pageSetup paperSize="77" scale="8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J66"/>
  <sheetViews>
    <sheetView view="pageBreakPreview" zoomScale="90" zoomScaleNormal="100" zoomScaleSheetLayoutView="90" workbookViewId="0">
      <selection activeCell="D12" sqref="D12"/>
    </sheetView>
  </sheetViews>
  <sheetFormatPr defaultRowHeight="12"/>
  <cols>
    <col min="1" max="1" width="9.33203125" style="2" customWidth="1"/>
    <col min="2" max="2" width="13.44140625" style="2" customWidth="1"/>
    <col min="3" max="3" width="12.44140625" style="2" customWidth="1"/>
    <col min="4" max="4" width="59.6640625" style="2" bestFit="1"/>
    <col min="5" max="5" width="9.33203125" style="2" customWidth="1"/>
    <col min="6" max="9" width="12.44140625" style="2" customWidth="1"/>
    <col min="10" max="10" width="15.21875" style="2" bestFit="1" customWidth="1"/>
    <col min="11" max="16384" width="8.88671875" style="2"/>
  </cols>
  <sheetData>
    <row r="1" spans="1:10" ht="75" customHeight="1">
      <c r="A1" s="207"/>
      <c r="B1" s="207"/>
      <c r="C1" s="207"/>
      <c r="D1" s="207"/>
      <c r="E1" s="207"/>
      <c r="F1" s="207"/>
      <c r="G1" s="207"/>
      <c r="H1" s="207"/>
      <c r="I1" s="207"/>
      <c r="J1" s="207"/>
    </row>
    <row r="2" spans="1:10" ht="22.05" customHeight="1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</row>
    <row r="3" spans="1:10" ht="19.95" customHeight="1">
      <c r="A3" s="10" t="s">
        <v>10</v>
      </c>
      <c r="B3" s="206" t="s">
        <v>11</v>
      </c>
      <c r="C3" s="206"/>
      <c r="D3" s="206"/>
      <c r="E3" s="206"/>
      <c r="F3" s="206"/>
      <c r="G3" s="206">
        <f>ROUND(F4*G4,2)+ROUND(F5*G5,2)+ROUND(F6*G6,2)+ROUND(F7*G7,2)</f>
        <v>28533.279999999999</v>
      </c>
      <c r="H3" s="206"/>
      <c r="I3" s="206"/>
      <c r="J3" s="11">
        <f>ROUND(SUM(J4:J7),2)</f>
        <v>35131.32</v>
      </c>
    </row>
    <row r="4" spans="1:10" ht="22.8">
      <c r="A4" s="12" t="s">
        <v>12</v>
      </c>
      <c r="B4" s="13" t="s">
        <v>13</v>
      </c>
      <c r="C4" s="13" t="s">
        <v>14</v>
      </c>
      <c r="D4" s="12" t="s">
        <v>15</v>
      </c>
      <c r="E4" s="13" t="s">
        <v>16</v>
      </c>
      <c r="F4" s="14">
        <v>2</v>
      </c>
      <c r="G4" s="15">
        <v>883.33</v>
      </c>
      <c r="H4" s="14">
        <v>23.124099999999999</v>
      </c>
      <c r="I4" s="15">
        <f>ROUND(G4+ROUND(G4*ROUND(H4/100,6),4),2)</f>
        <v>1087.5899999999999</v>
      </c>
      <c r="J4" s="15">
        <f>ROUND(ROUND(F4,2)*ROUND(I4,2),2)</f>
        <v>2175.1799999999998</v>
      </c>
    </row>
    <row r="5" spans="1:10" ht="22.8">
      <c r="A5" s="12" t="s">
        <v>17</v>
      </c>
      <c r="B5" s="13" t="s">
        <v>18</v>
      </c>
      <c r="C5" s="13" t="s">
        <v>14</v>
      </c>
      <c r="D5" s="12" t="s">
        <v>19</v>
      </c>
      <c r="E5" s="13" t="s">
        <v>16</v>
      </c>
      <c r="F5" s="14">
        <v>2</v>
      </c>
      <c r="G5" s="15">
        <v>883.33</v>
      </c>
      <c r="H5" s="14">
        <v>23.124099999999999</v>
      </c>
      <c r="I5" s="15">
        <f>ROUND(G5+ROUND(G5*ROUND(H5/100,6),4),2)</f>
        <v>1087.5899999999999</v>
      </c>
      <c r="J5" s="15">
        <f>ROUND(ROUND(F5,2)*ROUND(I5,2),2)</f>
        <v>2175.1799999999998</v>
      </c>
    </row>
    <row r="6" spans="1:10" ht="22.8">
      <c r="A6" s="12" t="s">
        <v>20</v>
      </c>
      <c r="B6" s="13" t="s">
        <v>21</v>
      </c>
      <c r="C6" s="13" t="s">
        <v>14</v>
      </c>
      <c r="D6" s="12" t="s">
        <v>22</v>
      </c>
      <c r="E6" s="13" t="s">
        <v>23</v>
      </c>
      <c r="F6" s="14">
        <v>12</v>
      </c>
      <c r="G6" s="15">
        <v>1000</v>
      </c>
      <c r="H6" s="14">
        <v>23.124099999999999</v>
      </c>
      <c r="I6" s="15">
        <f>ROUND(G6+ROUND(G6*ROUND(H6/100,6),4),2)</f>
        <v>1231.24</v>
      </c>
      <c r="J6" s="15">
        <f>ROUND(ROUND(F6,2)*ROUND(I6,2),2)</f>
        <v>14774.88</v>
      </c>
    </row>
    <row r="7" spans="1:10" ht="22.8">
      <c r="A7" s="12" t="s">
        <v>24</v>
      </c>
      <c r="B7" s="13" t="s">
        <v>25</v>
      </c>
      <c r="C7" s="13" t="s">
        <v>14</v>
      </c>
      <c r="D7" s="12" t="s">
        <v>26</v>
      </c>
      <c r="E7" s="13" t="s">
        <v>23</v>
      </c>
      <c r="F7" s="14">
        <v>12</v>
      </c>
      <c r="G7" s="15">
        <v>1083.33</v>
      </c>
      <c r="H7" s="14">
        <v>23.124099999999999</v>
      </c>
      <c r="I7" s="15">
        <f>ROUND(G7+ROUND(G7*ROUND(H7/100,6),4),2)</f>
        <v>1333.84</v>
      </c>
      <c r="J7" s="15">
        <f>ROUND(ROUND(F7,2)*ROUND(I7,2),2)</f>
        <v>16006.08</v>
      </c>
    </row>
    <row r="8" spans="1:10" ht="19.95" customHeight="1">
      <c r="A8" s="10" t="s">
        <v>27</v>
      </c>
      <c r="B8" s="206" t="s">
        <v>28</v>
      </c>
      <c r="C8" s="206"/>
      <c r="D8" s="206"/>
      <c r="E8" s="206"/>
      <c r="F8" s="206"/>
      <c r="G8" s="206">
        <f>ROUND(F9*G9,2)+ROUND(F10*G10,2)+ROUND(F11*G11,2)+ROUND(F12*G12,2)+ROUND(F13*G13,2)+ROUND(F14*G14,2)</f>
        <v>227474.05000000002</v>
      </c>
      <c r="H8" s="206"/>
      <c r="I8" s="206"/>
      <c r="J8" s="11">
        <f>ROUND(SUM(J9:J14),2)</f>
        <v>280015.2</v>
      </c>
    </row>
    <row r="9" spans="1:10" ht="22.8">
      <c r="A9" s="12" t="s">
        <v>29</v>
      </c>
      <c r="B9" s="13" t="s">
        <v>30</v>
      </c>
      <c r="C9" s="13" t="s">
        <v>31</v>
      </c>
      <c r="D9" s="12" t="s">
        <v>32</v>
      </c>
      <c r="E9" s="13" t="s">
        <v>33</v>
      </c>
      <c r="F9" s="14">
        <v>4.5</v>
      </c>
      <c r="G9" s="15">
        <v>468.49</v>
      </c>
      <c r="H9" s="14">
        <v>23.124099999999999</v>
      </c>
      <c r="I9" s="15">
        <f t="shared" ref="I9:I14" si="0">ROUND(G9+ROUND(G9*ROUND(H9/100,6),4),2)</f>
        <v>576.82000000000005</v>
      </c>
      <c r="J9" s="15">
        <f t="shared" ref="J9:J14" si="1">ROUND(ROUND(F9,2)*ROUND(I9,2),2)</f>
        <v>2595.69</v>
      </c>
    </row>
    <row r="10" spans="1:10" ht="22.8">
      <c r="A10" s="12" t="s">
        <v>34</v>
      </c>
      <c r="B10" s="13" t="s">
        <v>35</v>
      </c>
      <c r="C10" s="13" t="s">
        <v>31</v>
      </c>
      <c r="D10" s="12" t="s">
        <v>36</v>
      </c>
      <c r="E10" s="13" t="s">
        <v>33</v>
      </c>
      <c r="F10" s="14">
        <v>6213.31</v>
      </c>
      <c r="G10" s="15">
        <v>5.13</v>
      </c>
      <c r="H10" s="14">
        <v>23.124099999999999</v>
      </c>
      <c r="I10" s="15">
        <f t="shared" si="0"/>
        <v>6.32</v>
      </c>
      <c r="J10" s="15">
        <f t="shared" si="1"/>
        <v>39268.120000000003</v>
      </c>
    </row>
    <row r="11" spans="1:10" ht="22.8">
      <c r="A11" s="12" t="s">
        <v>37</v>
      </c>
      <c r="B11" s="13" t="s">
        <v>38</v>
      </c>
      <c r="C11" s="13" t="s">
        <v>31</v>
      </c>
      <c r="D11" s="12" t="s">
        <v>39</v>
      </c>
      <c r="E11" s="13" t="s">
        <v>40</v>
      </c>
      <c r="F11" s="14">
        <v>120</v>
      </c>
      <c r="G11" s="15">
        <v>159.32</v>
      </c>
      <c r="H11" s="14">
        <v>23.124099999999999</v>
      </c>
      <c r="I11" s="15">
        <f t="shared" si="0"/>
        <v>196.16</v>
      </c>
      <c r="J11" s="15">
        <f t="shared" si="1"/>
        <v>23539.200000000001</v>
      </c>
    </row>
    <row r="12" spans="1:10" ht="22.8">
      <c r="A12" s="12" t="s">
        <v>41</v>
      </c>
      <c r="B12" s="13" t="s">
        <v>42</v>
      </c>
      <c r="C12" s="13" t="s">
        <v>31</v>
      </c>
      <c r="D12" s="12" t="s">
        <v>43</v>
      </c>
      <c r="E12" s="13" t="s">
        <v>44</v>
      </c>
      <c r="F12" s="14">
        <v>100.97</v>
      </c>
      <c r="G12" s="15">
        <v>1188.92</v>
      </c>
      <c r="H12" s="14">
        <v>23.124099999999999</v>
      </c>
      <c r="I12" s="15">
        <f t="shared" si="0"/>
        <v>1463.85</v>
      </c>
      <c r="J12" s="15">
        <f t="shared" si="1"/>
        <v>147804.93</v>
      </c>
    </row>
    <row r="13" spans="1:10" ht="34.200000000000003">
      <c r="A13" s="12" t="s">
        <v>45</v>
      </c>
      <c r="B13" s="13" t="s">
        <v>46</v>
      </c>
      <c r="C13" s="13" t="s">
        <v>31</v>
      </c>
      <c r="D13" s="12" t="s">
        <v>47</v>
      </c>
      <c r="E13" s="13" t="s">
        <v>48</v>
      </c>
      <c r="F13" s="14">
        <v>1315</v>
      </c>
      <c r="G13" s="15">
        <v>9.0500000000000007</v>
      </c>
      <c r="H13" s="14">
        <v>23.124099999999999</v>
      </c>
      <c r="I13" s="15">
        <f t="shared" si="0"/>
        <v>11.14</v>
      </c>
      <c r="J13" s="15">
        <f t="shared" si="1"/>
        <v>14649.1</v>
      </c>
    </row>
    <row r="14" spans="1:10" ht="22.8">
      <c r="A14" s="12" t="s">
        <v>49</v>
      </c>
      <c r="B14" s="13" t="s">
        <v>50</v>
      </c>
      <c r="C14" s="13" t="s">
        <v>31</v>
      </c>
      <c r="D14" s="12" t="s">
        <v>51</v>
      </c>
      <c r="E14" s="13" t="s">
        <v>44</v>
      </c>
      <c r="F14" s="14">
        <v>19462</v>
      </c>
      <c r="G14" s="15">
        <v>2.1800000000000002</v>
      </c>
      <c r="H14" s="14">
        <v>23.124099999999999</v>
      </c>
      <c r="I14" s="15">
        <f t="shared" si="0"/>
        <v>2.68</v>
      </c>
      <c r="J14" s="15">
        <f t="shared" si="1"/>
        <v>52158.16</v>
      </c>
    </row>
    <row r="15" spans="1:10" ht="19.95" customHeight="1">
      <c r="A15" s="10" t="s">
        <v>52</v>
      </c>
      <c r="B15" s="206" t="s">
        <v>53</v>
      </c>
      <c r="C15" s="206"/>
      <c r="D15" s="206"/>
      <c r="E15" s="206"/>
      <c r="F15" s="206"/>
      <c r="G15" s="206">
        <f>ROUND(F16*G16,2)</f>
        <v>369643.59</v>
      </c>
      <c r="H15" s="206"/>
      <c r="I15" s="206"/>
      <c r="J15" s="11">
        <f>ROUND(SUM(J16:J16),2)</f>
        <v>455120.34</v>
      </c>
    </row>
    <row r="16" spans="1:10" ht="22.8">
      <c r="A16" s="12" t="s">
        <v>54</v>
      </c>
      <c r="B16" s="13" t="s">
        <v>55</v>
      </c>
      <c r="C16" s="13" t="s">
        <v>14</v>
      </c>
      <c r="D16" s="12" t="s">
        <v>56</v>
      </c>
      <c r="E16" s="13" t="s">
        <v>16</v>
      </c>
      <c r="F16" s="14">
        <v>1</v>
      </c>
      <c r="G16" s="15">
        <v>369643.59</v>
      </c>
      <c r="H16" s="14">
        <v>23.124099999999999</v>
      </c>
      <c r="I16" s="15">
        <f>ROUND(G16+ROUND(G16*ROUND(H16/100,6),4),2)</f>
        <v>455120.34</v>
      </c>
      <c r="J16" s="15">
        <f>ROUND(ROUND(F16,2)*ROUND(I16,2),2)</f>
        <v>455120.34</v>
      </c>
    </row>
    <row r="17" spans="1:10" ht="19.95" customHeight="1">
      <c r="A17" s="10" t="s">
        <v>57</v>
      </c>
      <c r="B17" s="206" t="s">
        <v>58</v>
      </c>
      <c r="C17" s="206"/>
      <c r="D17" s="206"/>
      <c r="E17" s="206"/>
      <c r="F17" s="206"/>
      <c r="G17" s="206">
        <f>ROUND(F18*G18,2)+ROUND(F19*G19,2)+ROUND(F20*G20,2)+ROUND(F21*G21,2)+ROUND(F22*G22,2)</f>
        <v>1010208.65</v>
      </c>
      <c r="H17" s="206"/>
      <c r="I17" s="206"/>
      <c r="J17" s="11">
        <f>ROUND(SUM(J18:J22),2)</f>
        <v>1243806.05</v>
      </c>
    </row>
    <row r="18" spans="1:10">
      <c r="A18" s="12" t="s">
        <v>59</v>
      </c>
      <c r="B18" s="13" t="s">
        <v>60</v>
      </c>
      <c r="C18" s="13" t="s">
        <v>31</v>
      </c>
      <c r="D18" s="12" t="s">
        <v>61</v>
      </c>
      <c r="E18" s="13" t="s">
        <v>48</v>
      </c>
      <c r="F18" s="14">
        <v>7375.65</v>
      </c>
      <c r="G18" s="15">
        <v>95.25</v>
      </c>
      <c r="H18" s="14">
        <v>23.124099999999999</v>
      </c>
      <c r="I18" s="15">
        <f>ROUND(G18+ROUND(G18*ROUND(H18/100,6),4),2)</f>
        <v>117.28</v>
      </c>
      <c r="J18" s="15">
        <f>ROUND(ROUND(F18,2)*ROUND(I18,2),2)</f>
        <v>865016.23</v>
      </c>
    </row>
    <row r="19" spans="1:10">
      <c r="A19" s="12" t="s">
        <v>62</v>
      </c>
      <c r="B19" s="13" t="s">
        <v>63</v>
      </c>
      <c r="C19" s="13" t="s">
        <v>31</v>
      </c>
      <c r="D19" s="12" t="s">
        <v>64</v>
      </c>
      <c r="E19" s="13" t="s">
        <v>48</v>
      </c>
      <c r="F19" s="14">
        <v>6701.65</v>
      </c>
      <c r="G19" s="15">
        <v>23.99</v>
      </c>
      <c r="H19" s="14">
        <v>23.124099999999999</v>
      </c>
      <c r="I19" s="15">
        <f>ROUND(G19+ROUND(G19*ROUND(H19/100,6),4),2)</f>
        <v>29.54</v>
      </c>
      <c r="J19" s="15">
        <f>ROUND(ROUND(F19,2)*ROUND(I19,2),2)</f>
        <v>197966.74</v>
      </c>
    </row>
    <row r="20" spans="1:10" ht="22.8">
      <c r="A20" s="12" t="s">
        <v>65</v>
      </c>
      <c r="B20" s="13" t="s">
        <v>42</v>
      </c>
      <c r="C20" s="13" t="s">
        <v>31</v>
      </c>
      <c r="D20" s="12" t="s">
        <v>43</v>
      </c>
      <c r="E20" s="13" t="s">
        <v>44</v>
      </c>
      <c r="F20" s="14">
        <v>73.02</v>
      </c>
      <c r="G20" s="15">
        <v>1188.92</v>
      </c>
      <c r="H20" s="14">
        <v>23.124099999999999</v>
      </c>
      <c r="I20" s="15">
        <f>ROUND(G20+ROUND(G20*ROUND(H20/100,6),4),2)</f>
        <v>1463.85</v>
      </c>
      <c r="J20" s="15">
        <f>ROUND(ROUND(F20,2)*ROUND(I20,2),2)</f>
        <v>106890.33</v>
      </c>
    </row>
    <row r="21" spans="1:10">
      <c r="A21" s="12" t="s">
        <v>66</v>
      </c>
      <c r="B21" s="13" t="s">
        <v>67</v>
      </c>
      <c r="C21" s="13" t="s">
        <v>31</v>
      </c>
      <c r="D21" s="12" t="s">
        <v>68</v>
      </c>
      <c r="E21" s="13" t="s">
        <v>48</v>
      </c>
      <c r="F21" s="14">
        <v>842.5</v>
      </c>
      <c r="G21" s="15">
        <v>39.06</v>
      </c>
      <c r="H21" s="14">
        <v>23.124099999999999</v>
      </c>
      <c r="I21" s="15">
        <f>ROUND(G21+ROUND(G21*ROUND(H21/100,6),4),2)</f>
        <v>48.09</v>
      </c>
      <c r="J21" s="15">
        <f>ROUND(ROUND(F21,2)*ROUND(I21,2),2)</f>
        <v>40515.83</v>
      </c>
    </row>
    <row r="22" spans="1:10" ht="22.8">
      <c r="A22" s="12" t="s">
        <v>69</v>
      </c>
      <c r="B22" s="13" t="s">
        <v>50</v>
      </c>
      <c r="C22" s="13" t="s">
        <v>31</v>
      </c>
      <c r="D22" s="12" t="s">
        <v>51</v>
      </c>
      <c r="E22" s="13" t="s">
        <v>44</v>
      </c>
      <c r="F22" s="14">
        <v>12469</v>
      </c>
      <c r="G22" s="15">
        <v>2.1800000000000002</v>
      </c>
      <c r="H22" s="14">
        <v>23.124099999999999</v>
      </c>
      <c r="I22" s="15">
        <f>ROUND(G22+ROUND(G22*ROUND(H22/100,6),4),2)</f>
        <v>2.68</v>
      </c>
      <c r="J22" s="15">
        <f>ROUND(ROUND(F22,2)*ROUND(I22,2),2)</f>
        <v>33416.92</v>
      </c>
    </row>
    <row r="23" spans="1:10" ht="19.95" customHeight="1">
      <c r="A23" s="10" t="s">
        <v>70</v>
      </c>
      <c r="B23" s="206" t="s">
        <v>71</v>
      </c>
      <c r="C23" s="206"/>
      <c r="D23" s="206"/>
      <c r="E23" s="206"/>
      <c r="F23" s="206"/>
      <c r="G23" s="206">
        <f>ROUND(F24*G24,2)+ROUND(F25*G25,2)+ROUND(F26*G26,2)+ROUND(F27*G27,2)+ROUND(F28*G28,2)+ROUND(F29*G29,2)+ROUND(F30*G30,2)+ROUND(F31*G31,2)+ROUND(F32*G32,2)+ROUND(F33*G33,2)+ROUND(F34*G34,2)+ROUND(F35*G35,2)</f>
        <v>3018691.8499999996</v>
      </c>
      <c r="H23" s="206"/>
      <c r="I23" s="206"/>
      <c r="J23" s="11">
        <f>ROUND(SUM(J24:J35),2)</f>
        <v>3716576.6</v>
      </c>
    </row>
    <row r="24" spans="1:10" ht="22.8">
      <c r="A24" s="12" t="s">
        <v>72</v>
      </c>
      <c r="B24" s="13" t="s">
        <v>42</v>
      </c>
      <c r="C24" s="13" t="s">
        <v>31</v>
      </c>
      <c r="D24" s="12" t="s">
        <v>43</v>
      </c>
      <c r="E24" s="13" t="s">
        <v>44</v>
      </c>
      <c r="F24" s="14">
        <v>38.06</v>
      </c>
      <c r="G24" s="15">
        <v>1188.92</v>
      </c>
      <c r="H24" s="14">
        <v>23.124099999999999</v>
      </c>
      <c r="I24" s="15">
        <f t="shared" ref="I24:I35" si="2">ROUND(G24+ROUND(G24*ROUND(H24/100,6),4),2)</f>
        <v>1463.85</v>
      </c>
      <c r="J24" s="15">
        <f t="shared" ref="J24:J35" si="3">ROUND(ROUND(F24,2)*ROUND(I24,2),2)</f>
        <v>55714.13</v>
      </c>
    </row>
    <row r="25" spans="1:10" ht="22.8">
      <c r="A25" s="12" t="s">
        <v>73</v>
      </c>
      <c r="B25" s="13" t="s">
        <v>42</v>
      </c>
      <c r="C25" s="13" t="s">
        <v>31</v>
      </c>
      <c r="D25" s="12" t="s">
        <v>74</v>
      </c>
      <c r="E25" s="13" t="s">
        <v>44</v>
      </c>
      <c r="F25" s="14">
        <v>466.19</v>
      </c>
      <c r="G25" s="15">
        <v>1188.93</v>
      </c>
      <c r="H25" s="14">
        <v>23.124099999999999</v>
      </c>
      <c r="I25" s="15">
        <f t="shared" si="2"/>
        <v>1463.86</v>
      </c>
      <c r="J25" s="15">
        <f t="shared" si="3"/>
        <v>682436.89</v>
      </c>
    </row>
    <row r="26" spans="1:10" ht="34.200000000000003">
      <c r="A26" s="12" t="s">
        <v>75</v>
      </c>
      <c r="B26" s="13" t="s">
        <v>76</v>
      </c>
      <c r="C26" s="13" t="s">
        <v>31</v>
      </c>
      <c r="D26" s="12" t="s">
        <v>77</v>
      </c>
      <c r="E26" s="13" t="s">
        <v>48</v>
      </c>
      <c r="F26" s="14">
        <v>3842.24</v>
      </c>
      <c r="G26" s="15">
        <v>545.80999999999995</v>
      </c>
      <c r="H26" s="14">
        <v>23.124099999999999</v>
      </c>
      <c r="I26" s="15">
        <f t="shared" si="2"/>
        <v>672.02</v>
      </c>
      <c r="J26" s="15">
        <f t="shared" si="3"/>
        <v>2582062.12</v>
      </c>
    </row>
    <row r="27" spans="1:10" ht="34.200000000000003">
      <c r="A27" s="12" t="s">
        <v>78</v>
      </c>
      <c r="B27" s="13" t="s">
        <v>79</v>
      </c>
      <c r="C27" s="13" t="s">
        <v>80</v>
      </c>
      <c r="D27" s="12" t="s">
        <v>81</v>
      </c>
      <c r="E27" s="13" t="s">
        <v>82</v>
      </c>
      <c r="F27" s="14">
        <v>3273.69</v>
      </c>
      <c r="G27" s="15">
        <v>1.26</v>
      </c>
      <c r="H27" s="14">
        <v>23.124099999999999</v>
      </c>
      <c r="I27" s="15">
        <f t="shared" si="2"/>
        <v>1.55</v>
      </c>
      <c r="J27" s="15">
        <f t="shared" si="3"/>
        <v>5074.22</v>
      </c>
    </row>
    <row r="28" spans="1:10">
      <c r="A28" s="12" t="s">
        <v>83</v>
      </c>
      <c r="B28" s="13" t="s">
        <v>84</v>
      </c>
      <c r="C28" s="13" t="s">
        <v>31</v>
      </c>
      <c r="D28" s="12" t="s">
        <v>85</v>
      </c>
      <c r="E28" s="13" t="s">
        <v>48</v>
      </c>
      <c r="F28" s="14">
        <v>146.31</v>
      </c>
      <c r="G28" s="15">
        <v>164.47</v>
      </c>
      <c r="H28" s="14">
        <v>23.124099999999999</v>
      </c>
      <c r="I28" s="15">
        <f t="shared" si="2"/>
        <v>202.5</v>
      </c>
      <c r="J28" s="15">
        <f t="shared" si="3"/>
        <v>29627.78</v>
      </c>
    </row>
    <row r="29" spans="1:10">
      <c r="A29" s="12" t="s">
        <v>86</v>
      </c>
      <c r="B29" s="13" t="s">
        <v>87</v>
      </c>
      <c r="C29" s="13" t="s">
        <v>31</v>
      </c>
      <c r="D29" s="12" t="s">
        <v>88</v>
      </c>
      <c r="E29" s="13" t="s">
        <v>48</v>
      </c>
      <c r="F29" s="14">
        <v>146.31</v>
      </c>
      <c r="G29" s="15">
        <v>199.3</v>
      </c>
      <c r="H29" s="14">
        <v>23.124099999999999</v>
      </c>
      <c r="I29" s="15">
        <f t="shared" si="2"/>
        <v>245.39</v>
      </c>
      <c r="J29" s="15">
        <f t="shared" si="3"/>
        <v>35903.01</v>
      </c>
    </row>
    <row r="30" spans="1:10">
      <c r="A30" s="12" t="s">
        <v>89</v>
      </c>
      <c r="B30" s="13" t="s">
        <v>90</v>
      </c>
      <c r="C30" s="13" t="s">
        <v>31</v>
      </c>
      <c r="D30" s="12" t="s">
        <v>91</v>
      </c>
      <c r="E30" s="13" t="s">
        <v>33</v>
      </c>
      <c r="F30" s="14">
        <v>31.02</v>
      </c>
      <c r="G30" s="15">
        <v>25.8</v>
      </c>
      <c r="H30" s="14">
        <v>23.124099999999999</v>
      </c>
      <c r="I30" s="15">
        <f t="shared" si="2"/>
        <v>31.77</v>
      </c>
      <c r="J30" s="15">
        <f t="shared" si="3"/>
        <v>985.51</v>
      </c>
    </row>
    <row r="31" spans="1:10" ht="22.8">
      <c r="A31" s="12" t="s">
        <v>92</v>
      </c>
      <c r="B31" s="13" t="s">
        <v>93</v>
      </c>
      <c r="C31" s="13" t="s">
        <v>31</v>
      </c>
      <c r="D31" s="12" t="s">
        <v>94</v>
      </c>
      <c r="E31" s="13" t="s">
        <v>95</v>
      </c>
      <c r="F31" s="14">
        <v>2765.25</v>
      </c>
      <c r="G31" s="15">
        <v>25.36</v>
      </c>
      <c r="H31" s="14">
        <v>23.124099999999999</v>
      </c>
      <c r="I31" s="15">
        <f t="shared" si="2"/>
        <v>31.22</v>
      </c>
      <c r="J31" s="15">
        <f t="shared" si="3"/>
        <v>86331.11</v>
      </c>
    </row>
    <row r="32" spans="1:10">
      <c r="A32" s="12" t="s">
        <v>96</v>
      </c>
      <c r="B32" s="13" t="s">
        <v>97</v>
      </c>
      <c r="C32" s="13" t="s">
        <v>98</v>
      </c>
      <c r="D32" s="12" t="s">
        <v>99</v>
      </c>
      <c r="E32" s="13" t="s">
        <v>100</v>
      </c>
      <c r="F32" s="14">
        <v>564</v>
      </c>
      <c r="G32" s="15">
        <v>15.94</v>
      </c>
      <c r="H32" s="14">
        <v>23.124099999999999</v>
      </c>
      <c r="I32" s="15">
        <f t="shared" si="2"/>
        <v>19.63</v>
      </c>
      <c r="J32" s="15">
        <f t="shared" si="3"/>
        <v>11071.32</v>
      </c>
    </row>
    <row r="33" spans="1:10" ht="22.8">
      <c r="A33" s="12" t="s">
        <v>101</v>
      </c>
      <c r="B33" s="13" t="s">
        <v>102</v>
      </c>
      <c r="C33" s="13" t="s">
        <v>31</v>
      </c>
      <c r="D33" s="12" t="s">
        <v>103</v>
      </c>
      <c r="E33" s="13" t="s">
        <v>48</v>
      </c>
      <c r="F33" s="14">
        <v>73.400000000000006</v>
      </c>
      <c r="G33" s="15">
        <v>779.93</v>
      </c>
      <c r="H33" s="14">
        <v>23.124099999999999</v>
      </c>
      <c r="I33" s="15">
        <f t="shared" si="2"/>
        <v>960.28</v>
      </c>
      <c r="J33" s="15">
        <f t="shared" si="3"/>
        <v>70484.55</v>
      </c>
    </row>
    <row r="34" spans="1:10">
      <c r="A34" s="12" t="s">
        <v>104</v>
      </c>
      <c r="B34" s="13" t="s">
        <v>105</v>
      </c>
      <c r="C34" s="13" t="s">
        <v>31</v>
      </c>
      <c r="D34" s="12" t="s">
        <v>106</v>
      </c>
      <c r="E34" s="13" t="s">
        <v>44</v>
      </c>
      <c r="F34" s="14">
        <v>96286.53</v>
      </c>
      <c r="G34" s="15">
        <v>1.26</v>
      </c>
      <c r="H34" s="14">
        <v>23.124099999999999</v>
      </c>
      <c r="I34" s="15">
        <f t="shared" si="2"/>
        <v>1.55</v>
      </c>
      <c r="J34" s="15">
        <f t="shared" si="3"/>
        <v>149244.12</v>
      </c>
    </row>
    <row r="35" spans="1:10" ht="22.8">
      <c r="A35" s="12" t="s">
        <v>107</v>
      </c>
      <c r="B35" s="13" t="s">
        <v>108</v>
      </c>
      <c r="C35" s="13" t="s">
        <v>14</v>
      </c>
      <c r="D35" s="12" t="s">
        <v>109</v>
      </c>
      <c r="E35" s="13" t="s">
        <v>95</v>
      </c>
      <c r="F35" s="14">
        <v>706.27</v>
      </c>
      <c r="G35" s="15">
        <v>8.7899999999999991</v>
      </c>
      <c r="H35" s="14">
        <v>23.124099999999999</v>
      </c>
      <c r="I35" s="15">
        <f t="shared" si="2"/>
        <v>10.82</v>
      </c>
      <c r="J35" s="15">
        <f t="shared" si="3"/>
        <v>7641.84</v>
      </c>
    </row>
    <row r="36" spans="1:10" ht="19.95" customHeight="1">
      <c r="A36" s="10" t="s">
        <v>110</v>
      </c>
      <c r="B36" s="206" t="s">
        <v>111</v>
      </c>
      <c r="C36" s="206"/>
      <c r="D36" s="206"/>
      <c r="E36" s="206"/>
      <c r="F36" s="206"/>
      <c r="G36" s="206">
        <f>ROUND(F37*G37,2)+ROUND(F39*G39,2)+ROUND(F46*G46,2)</f>
        <v>0</v>
      </c>
      <c r="H36" s="206"/>
      <c r="I36" s="206"/>
      <c r="J36" s="11">
        <f>ROUND(J37+J39+J46,2)</f>
        <v>556009.78</v>
      </c>
    </row>
    <row r="37" spans="1:10" ht="19.95" customHeight="1">
      <c r="A37" s="10" t="s">
        <v>112</v>
      </c>
      <c r="B37" s="206" t="s">
        <v>113</v>
      </c>
      <c r="C37" s="206"/>
      <c r="D37" s="206"/>
      <c r="E37" s="206"/>
      <c r="F37" s="206"/>
      <c r="G37" s="206">
        <f>ROUND(F38*G38,2)</f>
        <v>250862.67</v>
      </c>
      <c r="H37" s="206"/>
      <c r="I37" s="206"/>
      <c r="J37" s="11">
        <f>ROUND(SUM(J38:J38),2)</f>
        <v>308873.99</v>
      </c>
    </row>
    <row r="38" spans="1:10" ht="57">
      <c r="A38" s="12" t="s">
        <v>114</v>
      </c>
      <c r="B38" s="13" t="s">
        <v>115</v>
      </c>
      <c r="C38" s="13" t="s">
        <v>116</v>
      </c>
      <c r="D38" s="12" t="s">
        <v>117</v>
      </c>
      <c r="E38" s="13" t="s">
        <v>118</v>
      </c>
      <c r="F38" s="14">
        <v>595.11</v>
      </c>
      <c r="G38" s="15">
        <v>421.54</v>
      </c>
      <c r="H38" s="14">
        <v>23.124099999999999</v>
      </c>
      <c r="I38" s="15">
        <f>ROUND(G38+ROUND(G38*ROUND(H38/100,6),4),2)</f>
        <v>519.02</v>
      </c>
      <c r="J38" s="15">
        <f>ROUND(ROUND(F38,2)*ROUND(I38,2),2)</f>
        <v>308873.99</v>
      </c>
    </row>
    <row r="39" spans="1:10" ht="19.95" customHeight="1">
      <c r="A39" s="10" t="s">
        <v>119</v>
      </c>
      <c r="B39" s="206" t="s">
        <v>120</v>
      </c>
      <c r="C39" s="206"/>
      <c r="D39" s="206"/>
      <c r="E39" s="206"/>
      <c r="F39" s="206"/>
      <c r="G39" s="206">
        <f>ROUND(F40*G40,2)+ROUND(F41*G41,2)+ROUND(F42*G42,2)+ROUND(F43*G43,2)+ROUND(F44*G44,2)+ROUND(F45*G45,2)</f>
        <v>179307.75999999998</v>
      </c>
      <c r="H39" s="206"/>
      <c r="I39" s="206"/>
      <c r="J39" s="11">
        <f>ROUND(SUM(J40:J45),2)</f>
        <v>220796.82</v>
      </c>
    </row>
    <row r="40" spans="1:10" ht="34.200000000000003">
      <c r="A40" s="12" t="s">
        <v>121</v>
      </c>
      <c r="B40" s="13" t="s">
        <v>122</v>
      </c>
      <c r="C40" s="13" t="s">
        <v>31</v>
      </c>
      <c r="D40" s="12" t="s">
        <v>123</v>
      </c>
      <c r="E40" s="13" t="s">
        <v>124</v>
      </c>
      <c r="F40" s="14">
        <v>4697.5</v>
      </c>
      <c r="G40" s="15">
        <v>12.65</v>
      </c>
      <c r="H40" s="14">
        <v>23.124099999999999</v>
      </c>
      <c r="I40" s="15">
        <f t="shared" ref="I40:I45" si="4">ROUND(G40+ROUND(G40*ROUND(H40/100,6),4),2)</f>
        <v>15.58</v>
      </c>
      <c r="J40" s="15">
        <f t="shared" ref="J40:J45" si="5">ROUND(ROUND(F40,2)*ROUND(I40,2),2)</f>
        <v>73187.05</v>
      </c>
    </row>
    <row r="41" spans="1:10" ht="22.8">
      <c r="A41" s="12" t="s">
        <v>125</v>
      </c>
      <c r="B41" s="13" t="s">
        <v>126</v>
      </c>
      <c r="C41" s="13" t="s">
        <v>31</v>
      </c>
      <c r="D41" s="12" t="s">
        <v>127</v>
      </c>
      <c r="E41" s="13" t="s">
        <v>33</v>
      </c>
      <c r="F41" s="14">
        <v>585.02</v>
      </c>
      <c r="G41" s="15">
        <v>45.09</v>
      </c>
      <c r="H41" s="14">
        <v>23.124099999999999</v>
      </c>
      <c r="I41" s="15">
        <f t="shared" si="4"/>
        <v>55.52</v>
      </c>
      <c r="J41" s="15">
        <f t="shared" si="5"/>
        <v>32480.31</v>
      </c>
    </row>
    <row r="42" spans="1:10" ht="34.200000000000003">
      <c r="A42" s="12" t="s">
        <v>128</v>
      </c>
      <c r="B42" s="13" t="s">
        <v>129</v>
      </c>
      <c r="C42" s="13" t="s">
        <v>31</v>
      </c>
      <c r="D42" s="12" t="s">
        <v>130</v>
      </c>
      <c r="E42" s="13" t="s">
        <v>48</v>
      </c>
      <c r="F42" s="14">
        <v>77.23</v>
      </c>
      <c r="G42" s="15">
        <v>527.07000000000005</v>
      </c>
      <c r="H42" s="14">
        <v>23.124099999999999</v>
      </c>
      <c r="I42" s="15">
        <f t="shared" si="4"/>
        <v>648.95000000000005</v>
      </c>
      <c r="J42" s="15">
        <f t="shared" si="5"/>
        <v>50118.41</v>
      </c>
    </row>
    <row r="43" spans="1:10" ht="22.8">
      <c r="A43" s="12" t="s">
        <v>131</v>
      </c>
      <c r="B43" s="13" t="s">
        <v>132</v>
      </c>
      <c r="C43" s="13" t="s">
        <v>31</v>
      </c>
      <c r="D43" s="12" t="s">
        <v>133</v>
      </c>
      <c r="E43" s="13" t="s">
        <v>33</v>
      </c>
      <c r="F43" s="14">
        <v>17.239999999999998</v>
      </c>
      <c r="G43" s="15">
        <v>42.26</v>
      </c>
      <c r="H43" s="14">
        <v>23.124099999999999</v>
      </c>
      <c r="I43" s="15">
        <f t="shared" si="4"/>
        <v>52.03</v>
      </c>
      <c r="J43" s="15">
        <f t="shared" si="5"/>
        <v>897</v>
      </c>
    </row>
    <row r="44" spans="1:10" ht="22.8">
      <c r="A44" s="12" t="s">
        <v>134</v>
      </c>
      <c r="B44" s="13" t="s">
        <v>135</v>
      </c>
      <c r="C44" s="13" t="s">
        <v>31</v>
      </c>
      <c r="D44" s="12" t="s">
        <v>136</v>
      </c>
      <c r="E44" s="13" t="s">
        <v>48</v>
      </c>
      <c r="F44" s="14">
        <v>17.239999999999998</v>
      </c>
      <c r="G44" s="15">
        <v>45.84</v>
      </c>
      <c r="H44" s="14">
        <v>23.124099999999999</v>
      </c>
      <c r="I44" s="15">
        <f t="shared" si="4"/>
        <v>56.44</v>
      </c>
      <c r="J44" s="15">
        <f t="shared" si="5"/>
        <v>973.03</v>
      </c>
    </row>
    <row r="45" spans="1:10" ht="34.200000000000003">
      <c r="A45" s="12" t="s">
        <v>137</v>
      </c>
      <c r="B45" s="13" t="s">
        <v>138</v>
      </c>
      <c r="C45" s="13" t="s">
        <v>14</v>
      </c>
      <c r="D45" s="12" t="s">
        <v>139</v>
      </c>
      <c r="E45" s="13" t="s">
        <v>95</v>
      </c>
      <c r="F45" s="14">
        <v>265.02</v>
      </c>
      <c r="G45" s="15">
        <v>193.5</v>
      </c>
      <c r="H45" s="14">
        <v>23.124099999999999</v>
      </c>
      <c r="I45" s="15">
        <f t="shared" si="4"/>
        <v>238.25</v>
      </c>
      <c r="J45" s="15">
        <f t="shared" si="5"/>
        <v>63141.02</v>
      </c>
    </row>
    <row r="46" spans="1:10" ht="19.95" customHeight="1">
      <c r="A46" s="10" t="s">
        <v>140</v>
      </c>
      <c r="B46" s="206" t="s">
        <v>141</v>
      </c>
      <c r="C46" s="206"/>
      <c r="D46" s="206"/>
      <c r="E46" s="206"/>
      <c r="F46" s="206"/>
      <c r="G46" s="206">
        <f>ROUND(F47*G47,2)+ROUND(F48*G48,2)+ROUND(F49*G49,2)+ROUND(F50*G50,2)+ROUND(F51*G51,2)</f>
        <v>21388.86</v>
      </c>
      <c r="H46" s="206"/>
      <c r="I46" s="206"/>
      <c r="J46" s="11">
        <f>ROUND(SUM(J47:J51),2)</f>
        <v>26338.97</v>
      </c>
    </row>
    <row r="47" spans="1:10" ht="34.200000000000003">
      <c r="A47" s="12" t="s">
        <v>142</v>
      </c>
      <c r="B47" s="13" t="s">
        <v>122</v>
      </c>
      <c r="C47" s="13" t="s">
        <v>31</v>
      </c>
      <c r="D47" s="12" t="s">
        <v>123</v>
      </c>
      <c r="E47" s="13" t="s">
        <v>124</v>
      </c>
      <c r="F47" s="14">
        <v>786.38</v>
      </c>
      <c r="G47" s="15">
        <v>12.65</v>
      </c>
      <c r="H47" s="14">
        <v>23.124099999999999</v>
      </c>
      <c r="I47" s="15">
        <f>ROUND(G47+ROUND(G47*ROUND(H47/100,6),4),2)</f>
        <v>15.58</v>
      </c>
      <c r="J47" s="15">
        <f>ROUND(ROUND(F47,2)*ROUND(I47,2),2)</f>
        <v>12251.8</v>
      </c>
    </row>
    <row r="48" spans="1:10" ht="22.8">
      <c r="A48" s="12" t="s">
        <v>143</v>
      </c>
      <c r="B48" s="13" t="s">
        <v>126</v>
      </c>
      <c r="C48" s="13" t="s">
        <v>31</v>
      </c>
      <c r="D48" s="12" t="s">
        <v>127</v>
      </c>
      <c r="E48" s="13" t="s">
        <v>33</v>
      </c>
      <c r="F48" s="14">
        <v>107.81</v>
      </c>
      <c r="G48" s="15">
        <v>45.09</v>
      </c>
      <c r="H48" s="14">
        <v>23.124099999999999</v>
      </c>
      <c r="I48" s="15">
        <f>ROUND(G48+ROUND(G48*ROUND(H48/100,6),4),2)</f>
        <v>55.52</v>
      </c>
      <c r="J48" s="15">
        <f>ROUND(ROUND(F48,2)*ROUND(I48,2),2)</f>
        <v>5985.61</v>
      </c>
    </row>
    <row r="49" spans="1:10" ht="34.200000000000003">
      <c r="A49" s="12" t="s">
        <v>144</v>
      </c>
      <c r="B49" s="13" t="s">
        <v>129</v>
      </c>
      <c r="C49" s="13" t="s">
        <v>31</v>
      </c>
      <c r="D49" s="12" t="s">
        <v>130</v>
      </c>
      <c r="E49" s="13" t="s">
        <v>48</v>
      </c>
      <c r="F49" s="14">
        <v>12.22</v>
      </c>
      <c r="G49" s="15">
        <v>527.07000000000005</v>
      </c>
      <c r="H49" s="14">
        <v>23.124099999999999</v>
      </c>
      <c r="I49" s="15">
        <f>ROUND(G49+ROUND(G49*ROUND(H49/100,6),4),2)</f>
        <v>648.95000000000005</v>
      </c>
      <c r="J49" s="15">
        <f>ROUND(ROUND(F49,2)*ROUND(I49,2),2)</f>
        <v>7930.17</v>
      </c>
    </row>
    <row r="50" spans="1:10" ht="22.8">
      <c r="A50" s="12" t="s">
        <v>145</v>
      </c>
      <c r="B50" s="13" t="s">
        <v>132</v>
      </c>
      <c r="C50" s="13" t="s">
        <v>31</v>
      </c>
      <c r="D50" s="12" t="s">
        <v>133</v>
      </c>
      <c r="E50" s="13" t="s">
        <v>33</v>
      </c>
      <c r="F50" s="14">
        <v>1.58</v>
      </c>
      <c r="G50" s="15">
        <v>42.26</v>
      </c>
      <c r="H50" s="14">
        <v>23.124099999999999</v>
      </c>
      <c r="I50" s="15">
        <f>ROUND(G50+ROUND(G50*ROUND(H50/100,6),4),2)</f>
        <v>52.03</v>
      </c>
      <c r="J50" s="15">
        <f>ROUND(ROUND(F50,2)*ROUND(I50,2),2)</f>
        <v>82.21</v>
      </c>
    </row>
    <row r="51" spans="1:10" ht="22.8">
      <c r="A51" s="12" t="s">
        <v>146</v>
      </c>
      <c r="B51" s="13" t="s">
        <v>135</v>
      </c>
      <c r="C51" s="13" t="s">
        <v>31</v>
      </c>
      <c r="D51" s="12" t="s">
        <v>136</v>
      </c>
      <c r="E51" s="13" t="s">
        <v>48</v>
      </c>
      <c r="F51" s="14">
        <v>1.58</v>
      </c>
      <c r="G51" s="15">
        <v>45.84</v>
      </c>
      <c r="H51" s="14">
        <v>23.124099999999999</v>
      </c>
      <c r="I51" s="15">
        <f>ROUND(G51+ROUND(G51*ROUND(H51/100,6),4),2)</f>
        <v>56.44</v>
      </c>
      <c r="J51" s="15">
        <f>ROUND(ROUND(F51,2)*ROUND(I51,2),2)</f>
        <v>89.18</v>
      </c>
    </row>
    <row r="52" spans="1:10" ht="19.95" customHeight="1">
      <c r="A52" s="10" t="s">
        <v>147</v>
      </c>
      <c r="B52" s="206" t="s">
        <v>148</v>
      </c>
      <c r="C52" s="206"/>
      <c r="D52" s="206"/>
      <c r="E52" s="206"/>
      <c r="F52" s="206"/>
      <c r="G52" s="206">
        <f>ROUND(F53*G53,2)+ROUND(F54*G54,2)+ROUND(F55*G55,2)+ROUND(F56*G56,2)+ROUND(F57*G57,2)</f>
        <v>861709.29999999993</v>
      </c>
      <c r="H52" s="206"/>
      <c r="I52" s="206"/>
      <c r="J52" s="11">
        <f>ROUND(SUM(J53:J57),2)</f>
        <v>1061013.32</v>
      </c>
    </row>
    <row r="53" spans="1:10" ht="22.8">
      <c r="A53" s="12" t="s">
        <v>149</v>
      </c>
      <c r="B53" s="13" t="s">
        <v>150</v>
      </c>
      <c r="C53" s="13" t="s">
        <v>31</v>
      </c>
      <c r="D53" s="12" t="s">
        <v>151</v>
      </c>
      <c r="E53" s="13" t="s">
        <v>33</v>
      </c>
      <c r="F53" s="14">
        <v>6015.49</v>
      </c>
      <c r="G53" s="15">
        <v>0.78</v>
      </c>
      <c r="H53" s="14">
        <v>23.124099999999999</v>
      </c>
      <c r="I53" s="15">
        <f>ROUND(G53+ROUND(G53*ROUND(H53/100,6),4),2)</f>
        <v>0.96</v>
      </c>
      <c r="J53" s="15">
        <f>ROUND(ROUND(F53,2)*ROUND(I53,2),2)</f>
        <v>5774.87</v>
      </c>
    </row>
    <row r="54" spans="1:10" ht="57">
      <c r="A54" s="12" t="s">
        <v>152</v>
      </c>
      <c r="B54" s="13" t="s">
        <v>153</v>
      </c>
      <c r="C54" s="13" t="s">
        <v>31</v>
      </c>
      <c r="D54" s="12" t="s">
        <v>154</v>
      </c>
      <c r="E54" s="13" t="s">
        <v>33</v>
      </c>
      <c r="F54" s="14">
        <v>6015.49</v>
      </c>
      <c r="G54" s="15">
        <v>104.55</v>
      </c>
      <c r="H54" s="14">
        <v>23.124099999999999</v>
      </c>
      <c r="I54" s="15">
        <f>ROUND(G54+ROUND(G54*ROUND(H54/100,6),4),2)</f>
        <v>128.72999999999999</v>
      </c>
      <c r="J54" s="15">
        <f>ROUND(ROUND(F54,2)*ROUND(I54,2),2)</f>
        <v>774374.03</v>
      </c>
    </row>
    <row r="55" spans="1:10">
      <c r="A55" s="12" t="s">
        <v>155</v>
      </c>
      <c r="B55" s="13" t="s">
        <v>156</v>
      </c>
      <c r="C55" s="13" t="s">
        <v>98</v>
      </c>
      <c r="D55" s="12" t="s">
        <v>157</v>
      </c>
      <c r="E55" s="13" t="s">
        <v>158</v>
      </c>
      <c r="F55" s="14">
        <v>6015.49</v>
      </c>
      <c r="G55" s="15">
        <v>21.57</v>
      </c>
      <c r="H55" s="14">
        <v>23.124099999999999</v>
      </c>
      <c r="I55" s="15">
        <f>ROUND(G55+ROUND(G55*ROUND(H55/100,6),4),2)</f>
        <v>26.56</v>
      </c>
      <c r="J55" s="15">
        <f>ROUND(ROUND(F55,2)*ROUND(I55,2),2)</f>
        <v>159771.41</v>
      </c>
    </row>
    <row r="56" spans="1:10" ht="22.8">
      <c r="A56" s="12" t="s">
        <v>159</v>
      </c>
      <c r="B56" s="13" t="s">
        <v>160</v>
      </c>
      <c r="C56" s="13" t="s">
        <v>31</v>
      </c>
      <c r="D56" s="12" t="s">
        <v>161</v>
      </c>
      <c r="E56" s="13" t="s">
        <v>33</v>
      </c>
      <c r="F56" s="14">
        <v>6015.49</v>
      </c>
      <c r="G56" s="15">
        <v>15</v>
      </c>
      <c r="H56" s="14">
        <v>23.124099999999999</v>
      </c>
      <c r="I56" s="15">
        <f>ROUND(G56+ROUND(G56*ROUND(H56/100,6),4),2)</f>
        <v>18.47</v>
      </c>
      <c r="J56" s="15">
        <f>ROUND(ROUND(F56,2)*ROUND(I56,2),2)</f>
        <v>111106.1</v>
      </c>
    </row>
    <row r="57" spans="1:10" ht="22.8">
      <c r="A57" s="12" t="s">
        <v>162</v>
      </c>
      <c r="B57" s="13" t="s">
        <v>102</v>
      </c>
      <c r="C57" s="13" t="s">
        <v>31</v>
      </c>
      <c r="D57" s="12" t="s">
        <v>103</v>
      </c>
      <c r="E57" s="13" t="s">
        <v>48</v>
      </c>
      <c r="F57" s="14">
        <v>10.4</v>
      </c>
      <c r="G57" s="15">
        <v>779.93</v>
      </c>
      <c r="H57" s="14">
        <v>23.124099999999999</v>
      </c>
      <c r="I57" s="15">
        <f>ROUND(G57+ROUND(G57*ROUND(H57/100,6),4),2)</f>
        <v>960.28</v>
      </c>
      <c r="J57" s="15">
        <f>ROUND(ROUND(F57,2)*ROUND(I57,2),2)</f>
        <v>9986.91</v>
      </c>
    </row>
    <row r="58" spans="1:10" ht="19.95" customHeight="1">
      <c r="A58" s="10" t="s">
        <v>163</v>
      </c>
      <c r="B58" s="206" t="s">
        <v>164</v>
      </c>
      <c r="C58" s="206"/>
      <c r="D58" s="206"/>
      <c r="E58" s="206"/>
      <c r="F58" s="206"/>
      <c r="G58" s="206">
        <f>ROUND(F59*G59,2)</f>
        <v>24334.87</v>
      </c>
      <c r="H58" s="206"/>
      <c r="I58" s="206"/>
      <c r="J58" s="11">
        <f>ROUND(SUM(J59:J59),2)</f>
        <v>29961.42</v>
      </c>
    </row>
    <row r="59" spans="1:10" ht="34.200000000000003">
      <c r="A59" s="12" t="s">
        <v>165</v>
      </c>
      <c r="B59" s="13" t="s">
        <v>166</v>
      </c>
      <c r="C59" s="13" t="s">
        <v>167</v>
      </c>
      <c r="D59" s="12" t="s">
        <v>168</v>
      </c>
      <c r="E59" s="13" t="s">
        <v>118</v>
      </c>
      <c r="F59" s="14">
        <v>163.41999999999999</v>
      </c>
      <c r="G59" s="15">
        <v>148.91</v>
      </c>
      <c r="H59" s="14">
        <v>23.124099999999999</v>
      </c>
      <c r="I59" s="15">
        <f>ROUND(G59+ROUND(G59*ROUND(H59/100,6),4),2)</f>
        <v>183.34</v>
      </c>
      <c r="J59" s="15">
        <f>ROUND(ROUND(F59,2)*ROUND(I59,2),2)</f>
        <v>29961.42</v>
      </c>
    </row>
    <row r="60" spans="1:10" ht="19.95" customHeight="1">
      <c r="A60" s="10" t="s">
        <v>169</v>
      </c>
      <c r="B60" s="206" t="s">
        <v>170</v>
      </c>
      <c r="C60" s="206"/>
      <c r="D60" s="206"/>
      <c r="E60" s="206"/>
      <c r="F60" s="206"/>
      <c r="G60" s="206">
        <f>ROUND(F61*G61,2)+ROUND(F62*G62,2)+ROUND(F63*G63,2)</f>
        <v>180611.44999999998</v>
      </c>
      <c r="H60" s="206"/>
      <c r="I60" s="206"/>
      <c r="J60" s="11">
        <f>ROUND(SUM(J61:J63),2)</f>
        <v>222375.89</v>
      </c>
    </row>
    <row r="61" spans="1:10" ht="34.200000000000003">
      <c r="A61" s="12" t="s">
        <v>171</v>
      </c>
      <c r="B61" s="13" t="s">
        <v>172</v>
      </c>
      <c r="C61" s="13" t="s">
        <v>31</v>
      </c>
      <c r="D61" s="12" t="s">
        <v>173</v>
      </c>
      <c r="E61" s="13" t="s">
        <v>48</v>
      </c>
      <c r="F61" s="14">
        <v>13.85</v>
      </c>
      <c r="G61" s="15">
        <v>823.03</v>
      </c>
      <c r="H61" s="14">
        <v>23.124099999999999</v>
      </c>
      <c r="I61" s="15">
        <f>ROUND(G61+ROUND(G61*ROUND(H61/100,6),4),2)</f>
        <v>1013.35</v>
      </c>
      <c r="J61" s="15">
        <f>ROUND(ROUND(F61,2)*ROUND(I61,2),2)</f>
        <v>14034.9</v>
      </c>
    </row>
    <row r="62" spans="1:10" ht="22.8">
      <c r="A62" s="12" t="s">
        <v>174</v>
      </c>
      <c r="B62" s="13" t="s">
        <v>150</v>
      </c>
      <c r="C62" s="13" t="s">
        <v>31</v>
      </c>
      <c r="D62" s="12" t="s">
        <v>151</v>
      </c>
      <c r="E62" s="13" t="s">
        <v>33</v>
      </c>
      <c r="F62" s="14">
        <v>197.82</v>
      </c>
      <c r="G62" s="15">
        <v>0.78</v>
      </c>
      <c r="H62" s="14">
        <v>23.124099999999999</v>
      </c>
      <c r="I62" s="15">
        <f>ROUND(G62+ROUND(G62*ROUND(H62/100,6),4),2)</f>
        <v>0.96</v>
      </c>
      <c r="J62" s="15">
        <f>ROUND(ROUND(F62,2)*ROUND(I62,2),2)</f>
        <v>189.91</v>
      </c>
    </row>
    <row r="63" spans="1:10" ht="45.6">
      <c r="A63" s="12" t="s">
        <v>175</v>
      </c>
      <c r="B63" s="13" t="s">
        <v>176</v>
      </c>
      <c r="C63" s="13" t="s">
        <v>14</v>
      </c>
      <c r="D63" s="12" t="s">
        <v>177</v>
      </c>
      <c r="E63" s="13" t="s">
        <v>95</v>
      </c>
      <c r="F63" s="14">
        <v>338.76</v>
      </c>
      <c r="G63" s="15">
        <v>499.05</v>
      </c>
      <c r="H63" s="14">
        <v>23.124099999999999</v>
      </c>
      <c r="I63" s="15">
        <f>ROUND(G63+ROUND(G63*ROUND(H63/100,6),4),2)</f>
        <v>614.45000000000005</v>
      </c>
      <c r="J63" s="15">
        <f>ROUND(ROUND(F63,2)*ROUND(I63,2),2)</f>
        <v>208151.08</v>
      </c>
    </row>
    <row r="64" spans="1:10" ht="15" customHeight="1">
      <c r="A64" s="6"/>
      <c r="B64" s="6"/>
      <c r="C64" s="6"/>
      <c r="D64" s="6"/>
      <c r="E64" s="6"/>
      <c r="F64" s="6"/>
      <c r="G64" s="6"/>
      <c r="H64" s="205" t="s">
        <v>178</v>
      </c>
      <c r="I64" s="205"/>
      <c r="J64" s="16">
        <f>J66-J65</f>
        <v>1427243.6064999988</v>
      </c>
    </row>
    <row r="65" spans="1:10" ht="15" customHeight="1">
      <c r="A65" s="6"/>
      <c r="B65" s="6"/>
      <c r="C65" s="6"/>
      <c r="D65" s="6"/>
      <c r="E65" s="6"/>
      <c r="F65" s="6"/>
      <c r="G65" s="6"/>
      <c r="H65" s="205" t="s">
        <v>179</v>
      </c>
      <c r="I65" s="205"/>
      <c r="J65" s="16">
        <f>SUMPRODUCT(ROUND(F3:F63,2),ROUND(G3:G63,2))</f>
        <v>6172766.3135000011</v>
      </c>
    </row>
    <row r="66" spans="1:10" ht="15" customHeight="1">
      <c r="A66" s="6"/>
      <c r="B66" s="6"/>
      <c r="C66" s="6"/>
      <c r="D66" s="6"/>
      <c r="E66" s="6"/>
      <c r="F66" s="6"/>
      <c r="G66" s="6"/>
      <c r="H66" s="205" t="s">
        <v>180</v>
      </c>
      <c r="I66" s="205"/>
      <c r="J66" s="16">
        <f>J3+J8+J15+J17+J23+J36+J52+J58+J60</f>
        <v>7600009.9199999999</v>
      </c>
    </row>
  </sheetData>
  <mergeCells count="16">
    <mergeCell ref="A1:J1"/>
    <mergeCell ref="B3:I3"/>
    <mergeCell ref="B8:I8"/>
    <mergeCell ref="B15:I15"/>
    <mergeCell ref="B17:I17"/>
    <mergeCell ref="B23:I23"/>
    <mergeCell ref="B36:I36"/>
    <mergeCell ref="B37:I37"/>
    <mergeCell ref="B39:I39"/>
    <mergeCell ref="B46:I46"/>
    <mergeCell ref="H66:I66"/>
    <mergeCell ref="B52:I52"/>
    <mergeCell ref="B58:I58"/>
    <mergeCell ref="B60:I60"/>
    <mergeCell ref="H64:I64"/>
    <mergeCell ref="H65:I65"/>
  </mergeCells>
  <pageMargins left="0.5" right="0.5" top="0.5" bottom="0.5" header="0" footer="0"/>
  <pageSetup paperSize="9" scale="54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69B7F-2A24-4A9C-81D4-3280FBF3B4F5}">
  <sheetPr>
    <pageSetUpPr fitToPage="1"/>
  </sheetPr>
  <dimension ref="A1:Q308"/>
  <sheetViews>
    <sheetView view="pageBreakPreview" zoomScaleSheetLayoutView="100" workbookViewId="0">
      <selection activeCell="A6" sqref="A6:J6"/>
    </sheetView>
  </sheetViews>
  <sheetFormatPr defaultColWidth="9.109375" defaultRowHeight="13.8"/>
  <cols>
    <col min="1" max="1" width="9" style="199" customWidth="1"/>
    <col min="2" max="2" width="13.88671875" style="199" customWidth="1"/>
    <col min="3" max="3" width="58.33203125" style="199" customWidth="1"/>
    <col min="4" max="4" width="7.88671875" style="200" bestFit="1" customWidth="1"/>
    <col min="5" max="5" width="15.6640625" style="199" customWidth="1"/>
    <col min="6" max="6" width="16" style="201" customWidth="1"/>
    <col min="7" max="7" width="14.88671875" style="201" customWidth="1"/>
    <col min="8" max="8" width="16.33203125" style="201" customWidth="1"/>
    <col min="9" max="9" width="17.33203125" style="201" customWidth="1"/>
    <col min="10" max="10" width="17.109375" style="201" customWidth="1"/>
    <col min="11" max="11" width="14.88671875" style="100" customWidth="1"/>
    <col min="12" max="12" width="35.88671875" style="100" customWidth="1"/>
    <col min="13" max="16384" width="9.109375" style="100"/>
  </cols>
  <sheetData>
    <row r="1" spans="1:17" s="97" customFormat="1" ht="15.75" customHeight="1">
      <c r="A1" s="212" t="s">
        <v>468</v>
      </c>
      <c r="B1" s="213"/>
      <c r="C1" s="213"/>
      <c r="D1" s="213"/>
      <c r="E1" s="213"/>
      <c r="F1" s="213"/>
      <c r="G1" s="213"/>
      <c r="H1" s="213"/>
      <c r="I1" s="213"/>
      <c r="J1" s="213"/>
      <c r="L1" s="98"/>
    </row>
    <row r="2" spans="1:17" s="97" customFormat="1" ht="15.75" customHeight="1">
      <c r="A2" s="214" t="str">
        <f>'[7]Planilha Orçamentária'!A2:N2</f>
        <v>SECRETARIA MUNICIPAL DE INFRAESTRUTURA</v>
      </c>
      <c r="B2" s="215"/>
      <c r="C2" s="215"/>
      <c r="D2" s="215"/>
      <c r="E2" s="215"/>
      <c r="F2" s="215"/>
      <c r="G2" s="215"/>
      <c r="H2" s="215"/>
      <c r="I2" s="215"/>
      <c r="J2" s="215"/>
      <c r="L2" s="98"/>
    </row>
    <row r="3" spans="1:17" s="97" customFormat="1" ht="22.5" customHeight="1">
      <c r="A3" s="214" t="str">
        <f>'[7]Planilha Orçamentária'!A3:N3</f>
        <v>SECRETARIA EXECUTIVA DE OBRAS</v>
      </c>
      <c r="B3" s="215"/>
      <c r="C3" s="215"/>
      <c r="D3" s="215"/>
      <c r="E3" s="215"/>
      <c r="F3" s="215"/>
      <c r="G3" s="215"/>
      <c r="H3" s="215"/>
      <c r="I3" s="215"/>
      <c r="J3" s="215"/>
      <c r="L3" s="98"/>
    </row>
    <row r="4" spans="1:17" s="97" customFormat="1" ht="22.5" customHeight="1">
      <c r="A4" s="216"/>
      <c r="B4" s="217"/>
      <c r="C4" s="217"/>
      <c r="D4" s="217"/>
      <c r="E4" s="217"/>
      <c r="F4" s="217"/>
      <c r="G4" s="217"/>
      <c r="H4" s="217"/>
      <c r="I4" s="217"/>
      <c r="J4" s="217"/>
      <c r="L4" s="98"/>
      <c r="Q4" s="98"/>
    </row>
    <row r="5" spans="1:17">
      <c r="A5" s="218" t="s">
        <v>469</v>
      </c>
      <c r="B5" s="219"/>
      <c r="C5" s="219"/>
      <c r="D5" s="219"/>
      <c r="E5" s="219"/>
      <c r="F5" s="219"/>
      <c r="G5" s="219"/>
      <c r="H5" s="219"/>
      <c r="I5" s="219"/>
      <c r="J5" s="220"/>
      <c r="K5" s="99"/>
      <c r="L5" s="99"/>
      <c r="M5" s="99"/>
      <c r="N5" s="99"/>
      <c r="O5" s="99"/>
      <c r="P5" s="99"/>
    </row>
    <row r="6" spans="1:17" ht="30" customHeight="1">
      <c r="A6" s="221" t="str">
        <f>'[7]Planilha Orçamentária'!A6:N6</f>
        <v>PROJETO DE CONTENÇÃO DE ENCOSTA E DRENAGEM - SETOR MBG5</v>
      </c>
      <c r="B6" s="221"/>
      <c r="C6" s="221"/>
      <c r="D6" s="221"/>
      <c r="E6" s="221"/>
      <c r="F6" s="221"/>
      <c r="G6" s="221"/>
      <c r="H6" s="221"/>
      <c r="I6" s="221"/>
      <c r="J6" s="221"/>
      <c r="K6" s="101"/>
      <c r="L6" s="102"/>
      <c r="M6" s="99"/>
      <c r="N6" s="99"/>
      <c r="O6" s="99"/>
      <c r="P6" s="99"/>
    </row>
    <row r="7" spans="1:17">
      <c r="A7" s="208" t="s">
        <v>470</v>
      </c>
      <c r="B7" s="208"/>
      <c r="C7" s="208"/>
      <c r="D7" s="208"/>
      <c r="E7" s="208"/>
      <c r="F7" s="208"/>
      <c r="G7" s="208"/>
      <c r="H7" s="208"/>
      <c r="I7" s="208"/>
      <c r="J7" s="208"/>
      <c r="K7" s="103"/>
      <c r="L7" s="104"/>
      <c r="M7" s="99"/>
      <c r="N7" s="99"/>
      <c r="O7" s="99"/>
      <c r="P7" s="99"/>
    </row>
    <row r="8" spans="1:17" ht="29.25" customHeight="1">
      <c r="A8" s="209" t="s">
        <v>471</v>
      </c>
      <c r="B8" s="210"/>
      <c r="C8" s="210"/>
      <c r="D8" s="210"/>
      <c r="E8" s="210"/>
      <c r="F8" s="210"/>
      <c r="G8" s="210"/>
      <c r="H8" s="210"/>
      <c r="I8" s="211"/>
      <c r="J8" s="105" t="str">
        <f t="array" ref="J8:M8">'[7]Planilha Orçamentária'!A8:D8</f>
        <v>Data: DEZEMBRO/2024</v>
      </c>
      <c r="K8" s="103" t="e">
        <v>#REF!</v>
      </c>
      <c r="L8" s="104" t="e">
        <v>#REF!</v>
      </c>
      <c r="M8" s="99" t="e">
        <v>#REF!</v>
      </c>
      <c r="N8" s="99"/>
      <c r="O8" s="99"/>
      <c r="P8" s="99"/>
    </row>
    <row r="9" spans="1:17" s="110" customFormat="1">
      <c r="A9" s="106" t="s">
        <v>472</v>
      </c>
      <c r="B9" s="106" t="s">
        <v>473</v>
      </c>
      <c r="C9" s="106" t="s">
        <v>474</v>
      </c>
      <c r="D9" s="106" t="s">
        <v>475</v>
      </c>
      <c r="E9" s="106" t="s">
        <v>476</v>
      </c>
      <c r="F9" s="107" t="s">
        <v>477</v>
      </c>
      <c r="G9" s="106" t="s">
        <v>478</v>
      </c>
      <c r="H9" s="106" t="s">
        <v>479</v>
      </c>
      <c r="I9" s="106" t="s">
        <v>480</v>
      </c>
      <c r="J9" s="108" t="s">
        <v>481</v>
      </c>
      <c r="K9" s="104"/>
      <c r="L9" s="104"/>
      <c r="M9" s="109"/>
      <c r="N9" s="109"/>
      <c r="O9" s="109"/>
      <c r="P9" s="109"/>
    </row>
    <row r="10" spans="1:17">
      <c r="A10" s="111" t="str">
        <f>'[7]Planilha Orçamentária'!A12</f>
        <v>1.0</v>
      </c>
      <c r="B10" s="112"/>
      <c r="C10" s="113" t="str">
        <f>VLOOKUP(A10,'[7]Planilha Orçamentária'!A:N,4,0)</f>
        <v>INSTALAÇÕES PROVISÓRIAS</v>
      </c>
      <c r="D10" s="114"/>
      <c r="E10" s="115"/>
      <c r="F10" s="116"/>
      <c r="G10" s="116"/>
      <c r="H10" s="116"/>
      <c r="I10" s="117"/>
      <c r="J10" s="118"/>
    </row>
    <row r="11" spans="1:17" s="110" customFormat="1">
      <c r="A11" s="119" t="str">
        <f>'[7]Planilha Orçamentária'!A13</f>
        <v>1.1</v>
      </c>
      <c r="B11" s="120" t="str">
        <f>VLOOKUP(A11,'[7]Planilha Orçamentária'!A:N,2,0)</f>
        <v>INS-32971826</v>
      </c>
      <c r="C11" s="121" t="str">
        <f>VLOOKUP(A11,'[7]Planilha Orçamentária'!A:N,4,0)</f>
        <v>MOBILIZAÇÃO DE CONTAINER</v>
      </c>
      <c r="D11" s="122" t="str">
        <f>VLOOKUP(A11,'[7]Planilha Orçamentária'!A:N,5,0)</f>
        <v>UND</v>
      </c>
      <c r="E11" s="122"/>
      <c r="F11" s="123"/>
      <c r="G11" s="123"/>
      <c r="H11" s="123"/>
      <c r="I11" s="122" t="s">
        <v>331</v>
      </c>
      <c r="J11" s="124">
        <f>ROUND(SUM(J12:J14),2)</f>
        <v>2</v>
      </c>
      <c r="K11" s="104"/>
      <c r="L11" s="104"/>
      <c r="M11" s="109"/>
      <c r="N11" s="109"/>
      <c r="O11" s="109"/>
      <c r="P11" s="109"/>
    </row>
    <row r="12" spans="1:17" s="110" customFormat="1">
      <c r="A12" s="119"/>
      <c r="B12" s="119"/>
      <c r="C12" s="119"/>
      <c r="D12" s="119"/>
      <c r="E12" s="119"/>
      <c r="F12" s="125"/>
      <c r="G12" s="119"/>
      <c r="H12" s="119"/>
      <c r="I12" s="126">
        <v>2</v>
      </c>
      <c r="J12" s="127">
        <f>ROUND(PRODUCT(E12:I12),2)</f>
        <v>2</v>
      </c>
      <c r="K12" s="104"/>
      <c r="L12" s="104"/>
      <c r="M12" s="109"/>
      <c r="N12" s="109"/>
      <c r="O12" s="109"/>
      <c r="P12" s="109"/>
    </row>
    <row r="13" spans="1:17" s="110" customFormat="1">
      <c r="A13" s="119"/>
      <c r="B13" s="119"/>
      <c r="C13" s="119"/>
      <c r="D13" s="119"/>
      <c r="E13" s="119"/>
      <c r="F13" s="125"/>
      <c r="G13" s="119"/>
      <c r="H13" s="119"/>
      <c r="I13" s="119"/>
      <c r="J13" s="128"/>
      <c r="K13" s="104"/>
      <c r="L13" s="104"/>
      <c r="M13" s="109"/>
      <c r="N13" s="109"/>
      <c r="O13" s="109"/>
      <c r="P13" s="109"/>
    </row>
    <row r="14" spans="1:17" s="110" customFormat="1">
      <c r="A14" s="119"/>
      <c r="B14" s="119"/>
      <c r="C14" s="119"/>
      <c r="D14" s="119"/>
      <c r="E14" s="119"/>
      <c r="F14" s="125"/>
      <c r="G14" s="119"/>
      <c r="H14" s="119"/>
      <c r="I14" s="119"/>
      <c r="J14" s="128"/>
      <c r="K14" s="104"/>
      <c r="L14" s="104"/>
      <c r="M14" s="109"/>
      <c r="N14" s="109"/>
      <c r="O14" s="109"/>
      <c r="P14" s="109"/>
    </row>
    <row r="15" spans="1:17" s="110" customFormat="1">
      <c r="A15" s="119" t="str">
        <f>'[7]Planilha Orçamentária'!A14</f>
        <v>1.2</v>
      </c>
      <c r="B15" s="120" t="str">
        <f>VLOOKUP(A15,'[7]Planilha Orçamentária'!A:N,2,0)</f>
        <v>INS-09244605</v>
      </c>
      <c r="C15" s="121" t="str">
        <f>VLOOKUP(A15,'[7]Planilha Orçamentária'!A:N,4,0)</f>
        <v>DESMOBILIZAÇÃO DE CONTAINER</v>
      </c>
      <c r="D15" s="122" t="str">
        <f>VLOOKUP(A15,'[7]Planilha Orçamentária'!A:N,5,0)</f>
        <v>UND</v>
      </c>
      <c r="E15" s="122"/>
      <c r="F15" s="123"/>
      <c r="G15" s="123"/>
      <c r="H15" s="123"/>
      <c r="I15" s="122" t="s">
        <v>331</v>
      </c>
      <c r="J15" s="124">
        <f>ROUND(SUM(J16:J19),2)</f>
        <v>2</v>
      </c>
      <c r="K15" s="104"/>
      <c r="L15" s="104"/>
      <c r="M15" s="109"/>
      <c r="N15" s="109"/>
      <c r="O15" s="109"/>
      <c r="P15" s="109"/>
    </row>
    <row r="16" spans="1:17" s="110" customFormat="1">
      <c r="A16" s="119"/>
      <c r="B16" s="119"/>
      <c r="C16" s="119"/>
      <c r="D16" s="119"/>
      <c r="E16" s="119"/>
      <c r="F16" s="125"/>
      <c r="G16" s="119"/>
      <c r="H16" s="119"/>
      <c r="I16" s="126">
        <v>2</v>
      </c>
      <c r="J16" s="127">
        <f>ROUND(PRODUCT(E16:I16),2)</f>
        <v>2</v>
      </c>
      <c r="K16" s="104"/>
      <c r="L16" s="104"/>
      <c r="M16" s="109"/>
      <c r="N16" s="109"/>
      <c r="O16" s="109"/>
      <c r="P16" s="109"/>
    </row>
    <row r="17" spans="1:16" s="110" customFormat="1">
      <c r="A17" s="119"/>
      <c r="B17" s="119"/>
      <c r="C17" s="119"/>
      <c r="D17" s="119"/>
      <c r="E17" s="119"/>
      <c r="F17" s="125"/>
      <c r="G17" s="119"/>
      <c r="H17" s="119"/>
      <c r="I17" s="119"/>
      <c r="J17" s="128"/>
      <c r="K17" s="104"/>
      <c r="L17" s="104"/>
      <c r="M17" s="109"/>
      <c r="N17" s="109"/>
      <c r="O17" s="109"/>
      <c r="P17" s="109"/>
    </row>
    <row r="18" spans="1:16" s="110" customFormat="1">
      <c r="A18" s="119"/>
      <c r="B18" s="119"/>
      <c r="C18" s="119"/>
      <c r="D18" s="119"/>
      <c r="E18" s="119"/>
      <c r="F18" s="125"/>
      <c r="G18" s="119"/>
      <c r="H18" s="119"/>
      <c r="I18" s="119"/>
      <c r="J18" s="128"/>
      <c r="K18" s="104"/>
      <c r="L18" s="104"/>
      <c r="M18" s="109"/>
      <c r="N18" s="109"/>
      <c r="O18" s="109"/>
      <c r="P18" s="109"/>
    </row>
    <row r="19" spans="1:16" s="110" customFormat="1">
      <c r="A19" s="119"/>
      <c r="B19" s="119"/>
      <c r="C19" s="119"/>
      <c r="D19" s="119"/>
      <c r="E19" s="119"/>
      <c r="F19" s="125"/>
      <c r="G19" s="119"/>
      <c r="H19" s="119"/>
      <c r="I19" s="119"/>
      <c r="J19" s="128"/>
      <c r="K19" s="104"/>
      <c r="L19" s="104"/>
      <c r="M19" s="109"/>
      <c r="N19" s="109"/>
      <c r="O19" s="109"/>
      <c r="P19" s="109"/>
    </row>
    <row r="20" spans="1:16" s="110" customFormat="1" ht="26.4">
      <c r="A20" s="119" t="str">
        <f>'[7]Planilha Orçamentária'!A15</f>
        <v>1.3</v>
      </c>
      <c r="B20" s="120" t="str">
        <f>VLOOKUP(A20,'[7]Planilha Orçamentária'!A:N,2,0)</f>
        <v>INS-91581640</v>
      </c>
      <c r="C20" s="121" t="str">
        <f>VLOOKUP(A20,'[7]Planilha Orçamentária'!A:N,4,0)</f>
        <v>LOCAÇÃO DE CONTAINER PARA ESCRITORIO SEM BANHEIRO</v>
      </c>
      <c r="D20" s="122" t="str">
        <f>VLOOKUP(A20,'[7]Planilha Orçamentária'!A:N,5,0)</f>
        <v>MÊS</v>
      </c>
      <c r="E20" s="122"/>
      <c r="F20" s="123"/>
      <c r="G20" s="123"/>
      <c r="H20" s="123"/>
      <c r="I20" s="122" t="s">
        <v>482</v>
      </c>
      <c r="J20" s="124">
        <f>ROUND(SUM(J21:J24),2)</f>
        <v>12</v>
      </c>
      <c r="K20" s="104"/>
      <c r="L20" s="104"/>
      <c r="M20" s="109"/>
      <c r="N20" s="109"/>
      <c r="O20" s="109"/>
      <c r="P20" s="109"/>
    </row>
    <row r="21" spans="1:16" s="110" customFormat="1">
      <c r="A21" s="119"/>
      <c r="B21" s="119"/>
      <c r="C21" s="119"/>
      <c r="D21" s="119"/>
      <c r="E21" s="119"/>
      <c r="F21" s="125"/>
      <c r="G21" s="119"/>
      <c r="H21" s="119"/>
      <c r="I21" s="129">
        <v>12</v>
      </c>
      <c r="J21" s="127">
        <f>ROUND(PRODUCT(E21:I21),2)</f>
        <v>12</v>
      </c>
      <c r="K21" s="104"/>
      <c r="L21" s="104"/>
      <c r="M21" s="109"/>
      <c r="N21" s="109"/>
      <c r="O21" s="109"/>
      <c r="P21" s="109"/>
    </row>
    <row r="22" spans="1:16" s="110" customFormat="1">
      <c r="A22" s="119"/>
      <c r="B22" s="119"/>
      <c r="C22" s="119"/>
      <c r="D22" s="119"/>
      <c r="E22" s="119"/>
      <c r="F22" s="125"/>
      <c r="G22" s="119"/>
      <c r="H22" s="119"/>
      <c r="I22" s="119"/>
      <c r="J22" s="128"/>
      <c r="K22" s="104"/>
      <c r="L22" s="104"/>
      <c r="M22" s="109"/>
      <c r="N22" s="109"/>
      <c r="O22" s="109"/>
      <c r="P22" s="109"/>
    </row>
    <row r="23" spans="1:16" s="110" customFormat="1">
      <c r="A23" s="119"/>
      <c r="B23" s="119"/>
      <c r="C23" s="119"/>
      <c r="D23" s="119"/>
      <c r="E23" s="119"/>
      <c r="F23" s="125"/>
      <c r="G23" s="119"/>
      <c r="H23" s="119"/>
      <c r="I23" s="119"/>
      <c r="J23" s="128"/>
      <c r="K23" s="104"/>
      <c r="L23" s="104"/>
      <c r="M23" s="109"/>
      <c r="N23" s="109"/>
      <c r="O23" s="109"/>
      <c r="P23" s="109"/>
    </row>
    <row r="24" spans="1:16" s="110" customFormat="1">
      <c r="A24" s="119"/>
      <c r="B24" s="119"/>
      <c r="C24" s="119"/>
      <c r="D24" s="119"/>
      <c r="E24" s="119"/>
      <c r="F24" s="125"/>
      <c r="G24" s="119"/>
      <c r="H24" s="119"/>
      <c r="I24" s="119"/>
      <c r="J24" s="128"/>
      <c r="K24" s="104"/>
      <c r="L24" s="104"/>
      <c r="M24" s="109"/>
      <c r="N24" s="109"/>
      <c r="O24" s="109"/>
      <c r="P24" s="109"/>
    </row>
    <row r="25" spans="1:16" s="110" customFormat="1" ht="26.4">
      <c r="A25" s="119" t="str">
        <f>'[7]Planilha Orçamentária'!A16</f>
        <v>1.4</v>
      </c>
      <c r="B25" s="120" t="str">
        <f>VLOOKUP(A25,'[7]Planilha Orçamentária'!A:N,2,0)</f>
        <v>INS-33223766</v>
      </c>
      <c r="C25" s="121" t="str">
        <f>VLOOKUP(A25,'[7]Planilha Orçamentária'!A:N,4,0)</f>
        <v>LOCAÇÃO CONTAINER PARA ESCRITORIO COM BANHEIRO</v>
      </c>
      <c r="D25" s="122" t="str">
        <f>VLOOKUP(A25,'[7]Planilha Orçamentária'!A:N,5,0)</f>
        <v>MÊS</v>
      </c>
      <c r="E25" s="122"/>
      <c r="F25" s="123"/>
      <c r="G25" s="123"/>
      <c r="H25" s="123"/>
      <c r="I25" s="122" t="s">
        <v>482</v>
      </c>
      <c r="J25" s="124">
        <f>ROUND(SUM(J26:J29),2)</f>
        <v>12</v>
      </c>
      <c r="K25" s="104"/>
      <c r="L25" s="104"/>
      <c r="M25" s="109"/>
      <c r="N25" s="109"/>
      <c r="O25" s="109"/>
      <c r="P25" s="109"/>
    </row>
    <row r="26" spans="1:16" s="110" customFormat="1">
      <c r="A26" s="119"/>
      <c r="B26" s="119"/>
      <c r="C26" s="119"/>
      <c r="D26" s="119"/>
      <c r="E26" s="119"/>
      <c r="F26" s="125"/>
      <c r="G26" s="119"/>
      <c r="H26" s="119"/>
      <c r="I26" s="129">
        <v>12</v>
      </c>
      <c r="J26" s="127">
        <f>ROUND(PRODUCT(E26:I26),2)</f>
        <v>12</v>
      </c>
      <c r="K26" s="104"/>
      <c r="L26" s="104"/>
      <c r="M26" s="109"/>
      <c r="N26" s="109"/>
      <c r="O26" s="109"/>
      <c r="P26" s="109"/>
    </row>
    <row r="27" spans="1:16" s="110" customFormat="1">
      <c r="A27" s="119"/>
      <c r="B27" s="119"/>
      <c r="C27" s="119"/>
      <c r="D27" s="119"/>
      <c r="E27" s="119"/>
      <c r="F27" s="125"/>
      <c r="G27" s="119"/>
      <c r="H27" s="119"/>
      <c r="I27" s="119"/>
      <c r="J27" s="128"/>
      <c r="K27" s="104"/>
      <c r="L27" s="104"/>
      <c r="M27" s="109"/>
      <c r="N27" s="109"/>
      <c r="O27" s="109"/>
      <c r="P27" s="109"/>
    </row>
    <row r="28" spans="1:16" s="110" customFormat="1">
      <c r="A28" s="119"/>
      <c r="B28" s="119"/>
      <c r="C28" s="119"/>
      <c r="D28" s="119"/>
      <c r="E28" s="119"/>
      <c r="F28" s="125"/>
      <c r="G28" s="119"/>
      <c r="H28" s="119"/>
      <c r="I28" s="119"/>
      <c r="J28" s="128"/>
      <c r="K28" s="104"/>
      <c r="L28" s="104"/>
      <c r="M28" s="109"/>
      <c r="N28" s="109"/>
      <c r="O28" s="109"/>
      <c r="P28" s="109"/>
    </row>
    <row r="29" spans="1:16">
      <c r="A29" s="111" t="str">
        <f>'[7]Planilha Orçamentária'!A17</f>
        <v>2.0</v>
      </c>
      <c r="B29" s="112"/>
      <c r="C29" s="113" t="str">
        <f>VLOOKUP(A29,'[7]Planilha Orçamentária'!A:N,4,0)</f>
        <v>SERVIÇOS PRELIMINARES</v>
      </c>
      <c r="D29" s="114"/>
      <c r="E29" s="115"/>
      <c r="F29" s="116"/>
      <c r="G29" s="116"/>
      <c r="H29" s="116"/>
      <c r="I29" s="117"/>
      <c r="J29" s="118"/>
    </row>
    <row r="30" spans="1:16" ht="39.6">
      <c r="A30" s="130" t="str">
        <f>'[7]Planilha Orçamentária'!A18</f>
        <v>2.1</v>
      </c>
      <c r="B30" s="120">
        <f>VLOOKUP(A30,'[7]Planilha Orçamentária'!A:N,2,0)</f>
        <v>103689</v>
      </c>
      <c r="C30" s="121" t="str">
        <f>VLOOKUP(A30,'[7]Planilha Orçamentária'!A:N,4,0)</f>
        <v>FORNECIMENTO E INSTALAÇÃO DE PLACA DE OBRA COM CHAPA GALVANIZADA E ESTRUTURA DE MADEIRA. AF_03/2022_PS</v>
      </c>
      <c r="D30" s="122" t="str">
        <f>VLOOKUP(A30,'[7]Planilha Orçamentária'!A:N,5,0)</f>
        <v>M2</v>
      </c>
      <c r="E30" s="121"/>
      <c r="F30" s="122" t="s">
        <v>483</v>
      </c>
      <c r="G30" s="122" t="s">
        <v>484</v>
      </c>
      <c r="H30" s="131"/>
      <c r="I30" s="122" t="s">
        <v>485</v>
      </c>
      <c r="J30" s="124">
        <f>ROUND(SUM(J32:J32),2)</f>
        <v>4.5</v>
      </c>
    </row>
    <row r="31" spans="1:16" ht="40.200000000000003">
      <c r="A31" s="132"/>
      <c r="B31" s="132"/>
      <c r="C31" s="133" t="s">
        <v>486</v>
      </c>
      <c r="D31" s="134"/>
      <c r="E31" s="132"/>
      <c r="F31" s="135"/>
      <c r="G31" s="135"/>
      <c r="H31" s="135"/>
      <c r="I31" s="135"/>
      <c r="J31" s="135"/>
    </row>
    <row r="32" spans="1:16">
      <c r="A32" s="132"/>
      <c r="B32" s="132"/>
      <c r="C32" s="132"/>
      <c r="D32" s="134"/>
      <c r="E32" s="132"/>
      <c r="F32" s="136">
        <v>3</v>
      </c>
      <c r="G32" s="136">
        <v>1.5</v>
      </c>
      <c r="H32" s="136"/>
      <c r="I32" s="126">
        <v>1</v>
      </c>
      <c r="J32" s="127">
        <f>ROUND(PRODUCT(E32:I32),2)</f>
        <v>4.5</v>
      </c>
    </row>
    <row r="33" spans="1:10">
      <c r="A33" s="132"/>
      <c r="B33" s="132"/>
      <c r="C33" s="132"/>
      <c r="D33" s="134"/>
      <c r="E33" s="132"/>
      <c r="F33" s="135"/>
      <c r="G33" s="135"/>
      <c r="H33" s="135"/>
      <c r="I33" s="135"/>
      <c r="J33" s="135"/>
    </row>
    <row r="34" spans="1:10" ht="26.4">
      <c r="A34" s="130" t="str">
        <f>'[7]Planilha Orçamentária'!A19</f>
        <v>2.2</v>
      </c>
      <c r="B34" s="120">
        <f>VLOOKUP(A34,'[7]Planilha Orçamentária'!A:N,2,0)</f>
        <v>98524</v>
      </c>
      <c r="C34" s="121" t="str">
        <f>VLOOKUP(A34,'[7]Planilha Orçamentária'!A:N,4,0)</f>
        <v>LIMPEZA MANUAL DE VEGETAÇÃO EM TERRENO COM ENXADA. AF_03/2024</v>
      </c>
      <c r="D34" s="122" t="str">
        <f>VLOOKUP(A34,'[7]Planilha Orçamentária'!A:N,5,0)</f>
        <v>M2</v>
      </c>
      <c r="E34" s="122" t="s">
        <v>487</v>
      </c>
      <c r="F34" s="123"/>
      <c r="G34" s="123"/>
      <c r="H34" s="123"/>
      <c r="I34" s="122" t="s">
        <v>488</v>
      </c>
      <c r="J34" s="124">
        <f>ROUND(SUM(J35:J43),2)</f>
        <v>6213.31</v>
      </c>
    </row>
    <row r="35" spans="1:10">
      <c r="A35" s="132"/>
      <c r="B35" s="132"/>
      <c r="C35" s="137" t="s">
        <v>489</v>
      </c>
      <c r="D35" s="134"/>
      <c r="E35" s="132"/>
      <c r="F35" s="135"/>
      <c r="G35" s="135"/>
      <c r="H35" s="135"/>
      <c r="I35" s="136">
        <v>197.82</v>
      </c>
      <c r="J35" s="127">
        <f>ROUND(PRODUCT(E35:I35),2)</f>
        <v>197.82</v>
      </c>
    </row>
    <row r="36" spans="1:10" ht="39.6">
      <c r="A36" s="132"/>
      <c r="B36" s="132"/>
      <c r="C36" s="138" t="s">
        <v>490</v>
      </c>
      <c r="D36" s="134"/>
      <c r="E36" s="132"/>
      <c r="F36" s="135"/>
      <c r="G36" s="135"/>
      <c r="H36" s="135"/>
      <c r="I36" s="136"/>
      <c r="J36" s="127"/>
    </row>
    <row r="37" spans="1:10">
      <c r="A37" s="132"/>
      <c r="B37" s="132"/>
      <c r="C37" s="138" t="s">
        <v>491</v>
      </c>
      <c r="D37" s="134"/>
      <c r="E37" s="139">
        <f>1/0.87</f>
        <v>1.1494252873563218</v>
      </c>
      <c r="F37" s="135"/>
      <c r="G37" s="135"/>
      <c r="H37" s="135"/>
      <c r="I37" s="136">
        <v>2219.83</v>
      </c>
      <c r="J37" s="127">
        <f t="shared" ref="J37:J43" si="0">ROUND(PRODUCT(E37:I37),2)</f>
        <v>2551.5300000000002</v>
      </c>
    </row>
    <row r="38" spans="1:10">
      <c r="A38" s="132"/>
      <c r="B38" s="132"/>
      <c r="C38" s="138" t="s">
        <v>492</v>
      </c>
      <c r="D38" s="134"/>
      <c r="E38" s="139">
        <f>1/0.93</f>
        <v>1.075268817204301</v>
      </c>
      <c r="F38" s="135"/>
      <c r="G38" s="135"/>
      <c r="H38" s="135"/>
      <c r="I38" s="136">
        <v>540.95000000000005</v>
      </c>
      <c r="J38" s="127">
        <f t="shared" si="0"/>
        <v>581.66999999999996</v>
      </c>
    </row>
    <row r="39" spans="1:10">
      <c r="A39" s="132"/>
      <c r="B39" s="132"/>
      <c r="C39" s="138" t="s">
        <v>493</v>
      </c>
      <c r="D39" s="134"/>
      <c r="E39" s="139">
        <f>1/0.87</f>
        <v>1.1494252873563218</v>
      </c>
      <c r="F39" s="135"/>
      <c r="G39" s="135"/>
      <c r="H39" s="135"/>
      <c r="I39" s="136">
        <v>588.04</v>
      </c>
      <c r="J39" s="127">
        <f t="shared" si="0"/>
        <v>675.91</v>
      </c>
    </row>
    <row r="40" spans="1:10">
      <c r="A40" s="132"/>
      <c r="B40" s="132"/>
      <c r="C40" s="138" t="s">
        <v>494</v>
      </c>
      <c r="D40" s="134"/>
      <c r="E40" s="139">
        <f>1/0.93</f>
        <v>1.075268817204301</v>
      </c>
      <c r="F40" s="135"/>
      <c r="G40" s="135"/>
      <c r="H40" s="135"/>
      <c r="I40" s="136">
        <v>746.52</v>
      </c>
      <c r="J40" s="127">
        <f t="shared" si="0"/>
        <v>802.71</v>
      </c>
    </row>
    <row r="41" spans="1:10">
      <c r="A41" s="132"/>
      <c r="B41" s="132"/>
      <c r="C41" s="138" t="s">
        <v>495</v>
      </c>
      <c r="D41" s="134"/>
      <c r="E41" s="139">
        <f>1/0.92</f>
        <v>1.0869565217391304</v>
      </c>
      <c r="F41" s="135"/>
      <c r="G41" s="135"/>
      <c r="H41" s="135"/>
      <c r="I41" s="136">
        <v>751.72</v>
      </c>
      <c r="J41" s="127">
        <f t="shared" si="0"/>
        <v>817.09</v>
      </c>
    </row>
    <row r="42" spans="1:10">
      <c r="A42" s="132"/>
      <c r="B42" s="132"/>
      <c r="C42" s="138" t="s">
        <v>496</v>
      </c>
      <c r="D42" s="134"/>
      <c r="E42" s="139">
        <f>1/0.81</f>
        <v>1.2345679012345678</v>
      </c>
      <c r="F42" s="135"/>
      <c r="G42" s="135"/>
      <c r="H42" s="135"/>
      <c r="I42" s="136">
        <v>330.67</v>
      </c>
      <c r="J42" s="127">
        <f t="shared" si="0"/>
        <v>408.23</v>
      </c>
    </row>
    <row r="43" spans="1:10">
      <c r="A43" s="132"/>
      <c r="B43" s="132"/>
      <c r="C43" s="138" t="s">
        <v>497</v>
      </c>
      <c r="D43" s="134"/>
      <c r="E43" s="139">
        <f>1/0.83</f>
        <v>1.2048192771084338</v>
      </c>
      <c r="F43" s="135"/>
      <c r="G43" s="135"/>
      <c r="H43" s="135"/>
      <c r="I43" s="136">
        <v>148.03</v>
      </c>
      <c r="J43" s="127">
        <f t="shared" si="0"/>
        <v>178.35</v>
      </c>
    </row>
    <row r="44" spans="1:10">
      <c r="A44" s="132"/>
      <c r="B44" s="132"/>
      <c r="C44" s="132"/>
      <c r="D44" s="134"/>
      <c r="E44" s="132"/>
      <c r="F44" s="135"/>
      <c r="G44" s="135"/>
      <c r="H44" s="135"/>
      <c r="I44" s="135"/>
      <c r="J44" s="135"/>
    </row>
    <row r="45" spans="1:10" ht="39.6">
      <c r="A45" s="130" t="str">
        <f>'[7]Planilha Orçamentária'!A20</f>
        <v>2.3</v>
      </c>
      <c r="B45" s="120">
        <f>VLOOKUP(A45,'[7]Planilha Orçamentária'!A:N,2,0)</f>
        <v>98530</v>
      </c>
      <c r="C45" s="121" t="str">
        <f>VLOOKUP(A45,'[7]Planilha Orçamentária'!A:N,4,0)</f>
        <v>CORTE RASO E RECORTE DE ÁRVORE COM DIÂMETRO DE TRONCO MAIOR OU IGUAL A 0,40 M E MENOR QUE 0,60 M. AF_03/2024</v>
      </c>
      <c r="D45" s="122" t="str">
        <f>VLOOKUP(A45,'[7]Planilha Orçamentária'!A:N,5,0)</f>
        <v>UN</v>
      </c>
      <c r="E45" s="121"/>
      <c r="F45" s="123"/>
      <c r="G45" s="123"/>
      <c r="H45" s="123"/>
      <c r="I45" s="123"/>
      <c r="J45" s="124">
        <f>ROUND(SUM(J46:J46),2)</f>
        <v>120</v>
      </c>
    </row>
    <row r="46" spans="1:10">
      <c r="A46" s="132"/>
      <c r="B46" s="132"/>
      <c r="C46" s="137" t="s">
        <v>498</v>
      </c>
      <c r="D46" s="134"/>
      <c r="E46" s="132"/>
      <c r="F46" s="135"/>
      <c r="G46" s="135"/>
      <c r="H46" s="135"/>
      <c r="I46" s="136">
        <v>120</v>
      </c>
      <c r="J46" s="127">
        <f>ROUND(PRODUCT(E46:I46),2)</f>
        <v>120</v>
      </c>
    </row>
    <row r="47" spans="1:10">
      <c r="A47" s="132"/>
      <c r="B47" s="132"/>
      <c r="C47" s="132"/>
      <c r="D47" s="134"/>
      <c r="E47" s="132"/>
      <c r="F47" s="135"/>
      <c r="G47" s="135"/>
      <c r="H47" s="135"/>
      <c r="I47" s="135"/>
      <c r="J47" s="135"/>
    </row>
    <row r="48" spans="1:10" ht="26.4">
      <c r="A48" s="130" t="str">
        <f>'[7]Planilha Orçamentária'!A21</f>
        <v>2.4</v>
      </c>
      <c r="B48" s="120">
        <f>VLOOKUP(A48,'[7]Planilha Orçamentária'!A:N,2,0)</f>
        <v>100206</v>
      </c>
      <c r="C48" s="121" t="str">
        <f>VLOOKUP(A48,'[7]Planilha Orçamentária'!A:N,4,0)</f>
        <v>TRANSPORTE HORIZONTAL COM JERICA DE 90 L, DE MASSA/ GRANEL (UNIDADE: M3XKM). AF_07/2019</v>
      </c>
      <c r="D48" s="122" t="str">
        <f>VLOOKUP(A48,'[7]Planilha Orçamentária'!A:N,5,0)</f>
        <v>M3XKM</v>
      </c>
      <c r="E48" s="121"/>
      <c r="F48" s="123"/>
      <c r="G48" s="123"/>
      <c r="H48" s="123"/>
      <c r="I48" s="123"/>
      <c r="J48" s="124">
        <f>ROUND(SUM(J50:J50),2)</f>
        <v>100.97</v>
      </c>
    </row>
    <row r="49" spans="1:10">
      <c r="A49" s="132"/>
      <c r="B49" s="132"/>
      <c r="C49" s="132"/>
      <c r="D49" s="134"/>
      <c r="E49" s="140" t="s">
        <v>499</v>
      </c>
      <c r="F49" s="141" t="s">
        <v>500</v>
      </c>
      <c r="G49" s="135"/>
      <c r="H49" s="135"/>
      <c r="I49" s="135"/>
      <c r="J49" s="135"/>
    </row>
    <row r="50" spans="1:10" ht="26.4">
      <c r="A50" s="132"/>
      <c r="B50" s="132"/>
      <c r="C50" s="137" t="s">
        <v>501</v>
      </c>
      <c r="D50" s="142"/>
      <c r="E50" s="143">
        <v>1.25</v>
      </c>
      <c r="F50" s="144">
        <f>((150+40+70)/3)/1000</f>
        <v>8.666666666666667E-2</v>
      </c>
      <c r="G50" s="136"/>
      <c r="H50" s="136">
        <v>0.15</v>
      </c>
      <c r="I50" s="144">
        <f>J34</f>
        <v>6213.31</v>
      </c>
      <c r="J50" s="127">
        <f>ROUND(PRODUCT(E50:I50),2)</f>
        <v>100.97</v>
      </c>
    </row>
    <row r="51" spans="1:10">
      <c r="A51" s="132"/>
      <c r="B51" s="132"/>
      <c r="C51" s="132"/>
      <c r="D51" s="134"/>
      <c r="E51" s="132"/>
      <c r="F51" s="135"/>
      <c r="G51" s="135"/>
      <c r="H51" s="135"/>
      <c r="I51" s="135"/>
      <c r="J51" s="135"/>
    </row>
    <row r="52" spans="1:10" ht="52.8">
      <c r="A52" s="130" t="str">
        <f>'[7]Planilha Orçamentária'!A22</f>
        <v>2.5</v>
      </c>
      <c r="B52" s="120">
        <f>VLOOKUP(A52,'[7]Planilha Orçamentária'!A:N,2,0)</f>
        <v>100983</v>
      </c>
      <c r="C52" s="121" t="str">
        <f>VLOOKUP(A52,'[7]Planilha Orçamentária'!A:N,4,0)</f>
        <v>CARGA, MANOBRA E DESCARGA DE ENTULHO EM CAMINHÃO BASCULANTE 14 M³ - CARGA COM ESCAVADEIRA HIDRÁULICA  (CAÇAMBA DE 0,80 M³ / 111 HP) E DESCARGA LIVRE (UNIDADE: M3). AF_07/2020</v>
      </c>
      <c r="D52" s="122" t="str">
        <f>VLOOKUP(A52,'[7]Planilha Orçamentária'!A:N,5,0)</f>
        <v>M3</v>
      </c>
      <c r="E52" s="121"/>
      <c r="F52" s="123"/>
      <c r="G52" s="123"/>
      <c r="H52" s="123"/>
      <c r="I52" s="123"/>
      <c r="J52" s="124">
        <f>ROUND(SUM(J54:J55),2)</f>
        <v>1315</v>
      </c>
    </row>
    <row r="53" spans="1:10">
      <c r="A53" s="132"/>
      <c r="B53" s="132"/>
      <c r="C53" s="132"/>
      <c r="D53" s="134"/>
      <c r="E53" s="140" t="s">
        <v>499</v>
      </c>
      <c r="F53" s="135"/>
      <c r="G53" s="135"/>
      <c r="H53" s="135"/>
      <c r="I53" s="135"/>
      <c r="J53" s="135"/>
    </row>
    <row r="54" spans="1:10" ht="26.4">
      <c r="A54" s="132"/>
      <c r="B54" s="132"/>
      <c r="C54" s="137" t="s">
        <v>501</v>
      </c>
      <c r="D54" s="142"/>
      <c r="E54" s="143">
        <v>1.25</v>
      </c>
      <c r="F54" s="136"/>
      <c r="G54" s="136"/>
      <c r="H54" s="136">
        <f>H50</f>
        <v>0.15</v>
      </c>
      <c r="I54" s="144">
        <f>J34</f>
        <v>6213.31</v>
      </c>
      <c r="J54" s="127">
        <f>ROUND(PRODUCT(E54:I54),2)</f>
        <v>1165</v>
      </c>
    </row>
    <row r="55" spans="1:10" ht="39.6">
      <c r="A55" s="132"/>
      <c r="B55" s="132"/>
      <c r="C55" s="137" t="s">
        <v>502</v>
      </c>
      <c r="D55" s="142"/>
      <c r="E55" s="143">
        <v>1.25</v>
      </c>
      <c r="F55" s="136"/>
      <c r="G55" s="136">
        <v>0.5</v>
      </c>
      <c r="H55" s="136">
        <v>2</v>
      </c>
      <c r="I55" s="144">
        <f>I46</f>
        <v>120</v>
      </c>
      <c r="J55" s="127">
        <f>ROUND(PRODUCT(E55:I55),2)</f>
        <v>150</v>
      </c>
    </row>
    <row r="56" spans="1:10">
      <c r="A56" s="132"/>
      <c r="B56" s="132"/>
      <c r="C56" s="132"/>
      <c r="D56" s="134"/>
      <c r="E56" s="132"/>
      <c r="F56" s="135"/>
      <c r="G56" s="135"/>
      <c r="H56" s="135"/>
      <c r="I56" s="135"/>
      <c r="J56" s="135"/>
    </row>
    <row r="57" spans="1:10" ht="39.6">
      <c r="A57" s="130" t="str">
        <f>'[7]Planilha Orçamentária'!A23</f>
        <v>2.6</v>
      </c>
      <c r="B57" s="120">
        <f>VLOOKUP(A57,'[7]Planilha Orçamentária'!A:N,2,0)</f>
        <v>95876</v>
      </c>
      <c r="C57" s="121" t="str">
        <f>VLOOKUP(A57,'[7]Planilha Orçamentária'!A:N,4,0)</f>
        <v>TRANSPORTE COM CAMINHÃO BASCULANTE DE 14 M³, EM VIA URBANA PAVIMENTADA, DMT ATÉ 30 KM (UNIDADE: M3XKM). AF_07/2020</v>
      </c>
      <c r="D57" s="122" t="str">
        <f>VLOOKUP(A57,'[7]Planilha Orçamentária'!A:N,5,0)</f>
        <v>M3XKM</v>
      </c>
      <c r="E57" s="121"/>
      <c r="F57" s="123"/>
      <c r="G57" s="123"/>
      <c r="H57" s="123"/>
      <c r="I57" s="123"/>
      <c r="J57" s="124">
        <f>ROUND(SUM(J59:J59),2)</f>
        <v>19462</v>
      </c>
    </row>
    <row r="58" spans="1:10">
      <c r="A58" s="132"/>
      <c r="B58" s="132"/>
      <c r="C58" s="132"/>
      <c r="D58" s="134"/>
      <c r="E58" s="145" t="s">
        <v>503</v>
      </c>
      <c r="F58" s="135"/>
      <c r="G58" s="135"/>
      <c r="H58" s="135"/>
      <c r="I58" s="135"/>
      <c r="J58" s="135"/>
    </row>
    <row r="59" spans="1:10" ht="26.4">
      <c r="A59" s="132"/>
      <c r="B59" s="132"/>
      <c r="C59" s="137" t="s">
        <v>68</v>
      </c>
      <c r="D59" s="142"/>
      <c r="E59" s="143">
        <v>14.8</v>
      </c>
      <c r="F59" s="136"/>
      <c r="G59" s="136"/>
      <c r="H59" s="136"/>
      <c r="I59" s="144">
        <f>J52</f>
        <v>1315</v>
      </c>
      <c r="J59" s="127">
        <f>ROUND(PRODUCT(E59:I59),2)</f>
        <v>19462</v>
      </c>
    </row>
    <row r="60" spans="1:10">
      <c r="A60" s="132"/>
      <c r="B60" s="132"/>
      <c r="C60" s="132"/>
      <c r="D60" s="134"/>
      <c r="E60" s="132"/>
      <c r="F60" s="135"/>
      <c r="G60" s="135"/>
      <c r="H60" s="135"/>
      <c r="I60" s="135"/>
      <c r="J60" s="135"/>
    </row>
    <row r="61" spans="1:10" ht="12.75" customHeight="1">
      <c r="A61" s="111" t="str">
        <f>'[7]Planilha Orçamentária'!A24</f>
        <v>3.0</v>
      </c>
      <c r="B61" s="112"/>
      <c r="C61" s="113" t="str">
        <f>VLOOKUP(A61,'[7]Planilha Orçamentária'!A:N,4,0)</f>
        <v>ADMINISTRAÇAO LOCAL DA OBRA</v>
      </c>
      <c r="D61" s="114"/>
      <c r="E61" s="115"/>
      <c r="F61" s="116"/>
      <c r="G61" s="116"/>
      <c r="H61" s="116"/>
      <c r="I61" s="117"/>
      <c r="J61" s="118"/>
    </row>
    <row r="62" spans="1:10" ht="26.4">
      <c r="A62" s="130" t="str">
        <f>'[7]Planilha Orçamentária'!A25</f>
        <v>3.1</v>
      </c>
      <c r="B62" s="120" t="str">
        <f>VLOOKUP(A62,'[7]Planilha Orçamentária'!A:N,2,0)</f>
        <v>COM-52036282</v>
      </c>
      <c r="C62" s="121" t="str">
        <f>VLOOKUP(A62,'[7]Planilha Orçamentária'!A:N,4,0)</f>
        <v>ADMINISTRAÇÃO LOCAL DA OBRA - SETOR MBG-5</v>
      </c>
      <c r="D62" s="122" t="str">
        <f>VLOOKUP(A62,'[7]Planilha Orçamentária'!A:N,5,0)</f>
        <v>UND</v>
      </c>
      <c r="E62" s="121"/>
      <c r="F62" s="123"/>
      <c r="G62" s="123"/>
      <c r="H62" s="123"/>
      <c r="I62" s="123"/>
      <c r="J62" s="124">
        <f>ROUND(SUM(J63),2)</f>
        <v>1</v>
      </c>
    </row>
    <row r="63" spans="1:10" ht="28.8">
      <c r="A63" s="132"/>
      <c r="B63" s="132"/>
      <c r="C63" s="146" t="s">
        <v>504</v>
      </c>
      <c r="D63" s="147"/>
      <c r="E63" s="148"/>
      <c r="F63" s="149"/>
      <c r="G63" s="150"/>
      <c r="H63" s="150"/>
      <c r="I63" s="151">
        <v>1</v>
      </c>
      <c r="J63" s="127">
        <f>ROUND(PRODUCT(E63:I63),2)</f>
        <v>1</v>
      </c>
    </row>
    <row r="64" spans="1:10" ht="14.4">
      <c r="A64" s="132"/>
      <c r="B64" s="132"/>
      <c r="C64" s="152"/>
      <c r="D64" s="147"/>
      <c r="E64" s="148"/>
      <c r="F64" s="149"/>
      <c r="G64" s="150"/>
      <c r="H64" s="150"/>
      <c r="I64" s="153"/>
      <c r="J64" s="135"/>
    </row>
    <row r="65" spans="1:10" ht="28.8">
      <c r="A65" s="132"/>
      <c r="B65" s="132"/>
      <c r="C65" s="146" t="s">
        <v>505</v>
      </c>
      <c r="D65" s="147"/>
      <c r="E65" s="148"/>
      <c r="F65" s="149"/>
      <c r="G65" s="150"/>
      <c r="H65" s="150"/>
      <c r="I65" s="153"/>
      <c r="J65" s="135"/>
    </row>
    <row r="66" spans="1:10">
      <c r="A66" s="132"/>
      <c r="B66" s="132"/>
      <c r="C66" s="154" t="s">
        <v>506</v>
      </c>
      <c r="D66" s="147"/>
      <c r="E66" s="148"/>
      <c r="F66" s="149"/>
      <c r="G66" s="150"/>
      <c r="H66" s="150"/>
      <c r="I66" s="153"/>
      <c r="J66" s="135"/>
    </row>
    <row r="67" spans="1:10" ht="14.4">
      <c r="A67" s="132"/>
      <c r="B67" s="132"/>
      <c r="C67" s="152" t="s">
        <v>507</v>
      </c>
      <c r="D67" s="147"/>
      <c r="E67" s="155">
        <f>110/176</f>
        <v>0.625</v>
      </c>
      <c r="F67" s="155"/>
      <c r="G67" s="155"/>
      <c r="H67" s="155"/>
      <c r="I67" s="155">
        <v>12</v>
      </c>
      <c r="J67" s="127">
        <f>ROUND(PRODUCT(E67:I67),2)</f>
        <v>7.5</v>
      </c>
    </row>
    <row r="68" spans="1:10" ht="14.4">
      <c r="A68" s="132"/>
      <c r="B68" s="132"/>
      <c r="C68" s="152" t="s">
        <v>508</v>
      </c>
      <c r="D68" s="147"/>
      <c r="E68" s="148"/>
      <c r="F68" s="149"/>
      <c r="G68" s="150"/>
      <c r="H68" s="150"/>
      <c r="I68" s="153"/>
      <c r="J68" s="135"/>
    </row>
    <row r="69" spans="1:10" ht="14.4">
      <c r="A69" s="132"/>
      <c r="B69" s="132"/>
      <c r="C69" s="152" t="s">
        <v>509</v>
      </c>
      <c r="D69" s="147"/>
      <c r="E69" s="148"/>
      <c r="F69" s="149"/>
      <c r="G69" s="150"/>
      <c r="H69" s="150"/>
      <c r="I69" s="153"/>
      <c r="J69" s="135"/>
    </row>
    <row r="70" spans="1:10">
      <c r="A70" s="132"/>
      <c r="B70" s="132"/>
      <c r="C70" s="154" t="s">
        <v>510</v>
      </c>
      <c r="D70" s="147"/>
      <c r="E70" s="148"/>
      <c r="F70" s="149"/>
      <c r="G70" s="150"/>
      <c r="H70" s="150"/>
      <c r="I70" s="153"/>
      <c r="J70" s="135"/>
    </row>
    <row r="71" spans="1:10" ht="14.4">
      <c r="A71" s="132"/>
      <c r="B71" s="132"/>
      <c r="C71" s="152" t="s">
        <v>511</v>
      </c>
      <c r="D71" s="156"/>
      <c r="E71" s="155">
        <f>176/176</f>
        <v>1</v>
      </c>
      <c r="F71" s="155"/>
      <c r="G71" s="155"/>
      <c r="H71" s="155"/>
      <c r="I71" s="155">
        <v>12</v>
      </c>
      <c r="J71" s="127">
        <f>ROUND(PRODUCT(E71:I71),2)</f>
        <v>12</v>
      </c>
    </row>
    <row r="72" spans="1:10" ht="14.4">
      <c r="A72" s="132"/>
      <c r="B72" s="132"/>
      <c r="C72" s="152" t="s">
        <v>512</v>
      </c>
      <c r="D72" s="156"/>
      <c r="E72" s="155"/>
      <c r="F72" s="155"/>
      <c r="G72" s="155"/>
      <c r="H72" s="155"/>
      <c r="I72" s="155"/>
      <c r="J72" s="155"/>
    </row>
    <row r="73" spans="1:10" ht="14.4">
      <c r="A73" s="132"/>
      <c r="B73" s="132"/>
      <c r="C73" s="152" t="s">
        <v>509</v>
      </c>
      <c r="D73" s="147"/>
      <c r="E73" s="148"/>
      <c r="F73" s="149"/>
      <c r="G73" s="150"/>
      <c r="H73" s="150"/>
      <c r="I73" s="153"/>
      <c r="J73" s="135"/>
    </row>
    <row r="74" spans="1:10">
      <c r="A74" s="132"/>
      <c r="B74" s="132"/>
      <c r="C74" s="154" t="s">
        <v>513</v>
      </c>
      <c r="D74" s="147"/>
      <c r="E74" s="148"/>
      <c r="F74" s="149"/>
      <c r="G74" s="150"/>
      <c r="H74" s="150"/>
      <c r="I74" s="153"/>
      <c r="J74" s="135"/>
    </row>
    <row r="75" spans="1:10" ht="28.8">
      <c r="A75" s="132"/>
      <c r="B75" s="132"/>
      <c r="C75" s="152" t="s">
        <v>514</v>
      </c>
      <c r="D75" s="156"/>
      <c r="E75" s="155">
        <f>176/176</f>
        <v>1</v>
      </c>
      <c r="F75" s="155"/>
      <c r="G75" s="155"/>
      <c r="H75" s="155"/>
      <c r="I75" s="155">
        <v>3</v>
      </c>
      <c r="J75" s="127">
        <f>ROUND(PRODUCT(E75:I75),2)</f>
        <v>3</v>
      </c>
    </row>
    <row r="76" spans="1:10" ht="14.4">
      <c r="A76" s="132"/>
      <c r="B76" s="132"/>
      <c r="C76" s="152" t="s">
        <v>512</v>
      </c>
      <c r="D76" s="156"/>
      <c r="E76" s="155"/>
      <c r="F76" s="155"/>
      <c r="G76" s="155"/>
      <c r="H76" s="155"/>
      <c r="I76" s="155"/>
      <c r="J76" s="155"/>
    </row>
    <row r="77" spans="1:10" ht="14.4">
      <c r="A77" s="132"/>
      <c r="B77" s="132"/>
      <c r="C77" s="152" t="s">
        <v>509</v>
      </c>
      <c r="D77" s="147"/>
      <c r="E77" s="148"/>
      <c r="F77" s="149"/>
      <c r="G77" s="150"/>
      <c r="H77" s="150"/>
      <c r="I77" s="153"/>
      <c r="J77" s="135"/>
    </row>
    <row r="78" spans="1:10">
      <c r="A78" s="132"/>
      <c r="B78" s="132"/>
      <c r="C78" s="154" t="s">
        <v>515</v>
      </c>
      <c r="D78" s="147"/>
      <c r="E78" s="148"/>
      <c r="F78" s="149"/>
      <c r="G78" s="150"/>
      <c r="H78" s="150"/>
      <c r="I78" s="153"/>
      <c r="J78" s="135"/>
    </row>
    <row r="79" spans="1:10" ht="14.4">
      <c r="A79" s="132"/>
      <c r="B79" s="132"/>
      <c r="C79" s="152" t="s">
        <v>511</v>
      </c>
      <c r="D79" s="147"/>
      <c r="E79" s="155">
        <f>176/176</f>
        <v>1</v>
      </c>
      <c r="F79" s="155"/>
      <c r="G79" s="155"/>
      <c r="H79" s="155"/>
      <c r="I79" s="155">
        <v>12</v>
      </c>
      <c r="J79" s="127">
        <f>ROUND(PRODUCT(E79:I79),2)</f>
        <v>12</v>
      </c>
    </row>
    <row r="80" spans="1:10" ht="14.4">
      <c r="A80" s="132"/>
      <c r="B80" s="132"/>
      <c r="C80" s="152" t="s">
        <v>512</v>
      </c>
      <c r="D80" s="147"/>
      <c r="E80" s="148"/>
      <c r="F80" s="149"/>
      <c r="G80" s="150"/>
      <c r="H80" s="150"/>
      <c r="I80" s="153"/>
      <c r="J80" s="135"/>
    </row>
    <row r="81" spans="1:10" ht="14.4">
      <c r="A81" s="132"/>
      <c r="B81" s="132"/>
      <c r="C81" s="152" t="s">
        <v>509</v>
      </c>
      <c r="D81" s="147"/>
      <c r="E81" s="148"/>
      <c r="F81" s="149"/>
      <c r="G81" s="150"/>
      <c r="H81" s="150"/>
      <c r="I81" s="153"/>
      <c r="J81" s="135"/>
    </row>
    <row r="82" spans="1:10" ht="14.4">
      <c r="A82" s="132"/>
      <c r="B82" s="132"/>
      <c r="C82" s="152"/>
      <c r="D82" s="147"/>
      <c r="E82" s="148"/>
      <c r="F82" s="149"/>
      <c r="G82" s="150"/>
      <c r="H82" s="150"/>
      <c r="I82" s="153"/>
      <c r="J82" s="135"/>
    </row>
    <row r="83" spans="1:10" ht="14.4">
      <c r="A83" s="132"/>
      <c r="B83" s="157"/>
      <c r="C83" s="152"/>
      <c r="D83" s="158"/>
      <c r="E83" s="159"/>
      <c r="F83" s="160"/>
      <c r="G83" s="161"/>
      <c r="H83" s="161"/>
      <c r="I83" s="162"/>
      <c r="J83" s="135"/>
    </row>
    <row r="84" spans="1:10">
      <c r="A84" s="111" t="str">
        <f>'[7]Planilha Orçamentária'!A26</f>
        <v>4.0</v>
      </c>
      <c r="B84" s="112"/>
      <c r="C84" s="113" t="str">
        <f>VLOOKUP(A84,'[7]Planilha Orçamentária'!A:N,4,0)</f>
        <v>TERRAPLENAGEM</v>
      </c>
      <c r="D84" s="114"/>
      <c r="E84" s="115"/>
      <c r="F84" s="116"/>
      <c r="G84" s="116"/>
      <c r="H84" s="116"/>
      <c r="I84" s="117"/>
      <c r="J84" s="118"/>
    </row>
    <row r="85" spans="1:10">
      <c r="A85" s="130" t="str">
        <f>'[7]Planilha Orçamentária'!A27</f>
        <v>4.1</v>
      </c>
      <c r="B85" s="120">
        <f>VLOOKUP(A85,'[7]Planilha Orçamentária'!A:N,2,0)</f>
        <v>93358</v>
      </c>
      <c r="C85" s="121" t="str">
        <f>VLOOKUP(A85,'[7]Planilha Orçamentária'!A:N,4,0)</f>
        <v>ESCAVAÇÃO MANUAL DE VALA. AF_09/2024</v>
      </c>
      <c r="D85" s="122" t="str">
        <f>VLOOKUP(A85,'[7]Planilha Orçamentária'!A:N,5,0)</f>
        <v>M3</v>
      </c>
      <c r="E85" s="121"/>
      <c r="F85" s="123"/>
      <c r="G85" s="123"/>
      <c r="H85" s="123"/>
      <c r="I85" s="123"/>
      <c r="J85" s="124">
        <f>ROUND(SUM(J88:J88),2)</f>
        <v>7375.65</v>
      </c>
    </row>
    <row r="86" spans="1:10">
      <c r="A86" s="130"/>
      <c r="B86" s="120"/>
      <c r="C86" s="163"/>
      <c r="D86" s="122"/>
      <c r="E86" s="121"/>
      <c r="F86" s="123"/>
      <c r="G86" s="123"/>
      <c r="H86" s="123"/>
      <c r="I86" s="123"/>
      <c r="J86" s="124"/>
    </row>
    <row r="87" spans="1:10">
      <c r="A87" s="132"/>
      <c r="B87" s="132"/>
      <c r="C87" s="137" t="s">
        <v>516</v>
      </c>
      <c r="D87" s="164"/>
      <c r="E87" s="141"/>
      <c r="F87" s="141"/>
      <c r="G87" s="141"/>
      <c r="H87" s="141"/>
      <c r="I87" s="141"/>
      <c r="J87" s="127"/>
    </row>
    <row r="88" spans="1:10">
      <c r="A88" s="132"/>
      <c r="B88" s="132"/>
      <c r="C88" s="137" t="s">
        <v>517</v>
      </c>
      <c r="D88" s="142"/>
      <c r="E88" s="143"/>
      <c r="F88" s="136"/>
      <c r="G88" s="136"/>
      <c r="H88" s="136"/>
      <c r="I88" s="136">
        <v>7375.65</v>
      </c>
      <c r="J88" s="127">
        <f>ROUND(PRODUCT(E88:I88),2)</f>
        <v>7375.65</v>
      </c>
    </row>
    <row r="89" spans="1:10">
      <c r="A89" s="132"/>
      <c r="B89" s="132"/>
      <c r="C89" s="137"/>
      <c r="D89" s="142"/>
      <c r="E89" s="143"/>
      <c r="F89" s="136"/>
      <c r="G89" s="136"/>
      <c r="H89" s="136"/>
      <c r="I89" s="136"/>
      <c r="J89" s="127"/>
    </row>
    <row r="90" spans="1:10" ht="26.4">
      <c r="A90" s="130" t="str">
        <f>'[7]Planilha Orçamentária'!A28</f>
        <v>4.2</v>
      </c>
      <c r="B90" s="120">
        <f>VLOOKUP(A90,'[7]Planilha Orçamentária'!A:N,2,0)</f>
        <v>104737</v>
      </c>
      <c r="C90" s="121" t="str">
        <f>VLOOKUP(A90,'[7]Planilha Orçamentária'!A:N,4,0)</f>
        <v>REATERRO MANUAL DE VALAS, COM PLACA VIBRATÓRIA. AF_08/2023</v>
      </c>
      <c r="D90" s="122" t="str">
        <f>VLOOKUP(A90,'[7]Planilha Orçamentária'!A:N,5,0)</f>
        <v>M3</v>
      </c>
      <c r="E90" s="121"/>
      <c r="F90" s="123"/>
      <c r="G90" s="123"/>
      <c r="H90" s="123"/>
      <c r="I90" s="123"/>
      <c r="J90" s="124">
        <f>ROUND(SUM(J93:J93),2)</f>
        <v>6701.65</v>
      </c>
    </row>
    <row r="91" spans="1:10">
      <c r="A91" s="130"/>
      <c r="B91" s="120"/>
      <c r="C91" s="163"/>
      <c r="D91" s="122"/>
      <c r="E91" s="121"/>
      <c r="F91" s="123"/>
      <c r="G91" s="123"/>
      <c r="H91" s="123"/>
      <c r="I91" s="123"/>
      <c r="J91" s="124"/>
    </row>
    <row r="92" spans="1:10">
      <c r="A92" s="132"/>
      <c r="B92" s="132"/>
      <c r="C92" s="137" t="s">
        <v>516</v>
      </c>
      <c r="D92" s="164"/>
      <c r="E92" s="141"/>
      <c r="F92" s="141"/>
      <c r="G92" s="141"/>
      <c r="H92" s="141"/>
      <c r="I92" s="141"/>
      <c r="J92" s="127"/>
    </row>
    <row r="93" spans="1:10">
      <c r="A93" s="132"/>
      <c r="B93" s="132"/>
      <c r="C93" s="137" t="s">
        <v>517</v>
      </c>
      <c r="D93" s="142"/>
      <c r="E93" s="143"/>
      <c r="F93" s="136"/>
      <c r="G93" s="136"/>
      <c r="H93" s="136"/>
      <c r="I93" s="136">
        <v>6701.65</v>
      </c>
      <c r="J93" s="127">
        <f>ROUND(PRODUCT(E93:I93),2)</f>
        <v>6701.65</v>
      </c>
    </row>
    <row r="94" spans="1:10">
      <c r="A94" s="132"/>
      <c r="B94" s="132"/>
      <c r="C94" s="137"/>
      <c r="D94" s="142"/>
      <c r="E94" s="143"/>
      <c r="F94" s="136"/>
      <c r="G94" s="136"/>
      <c r="H94" s="136"/>
      <c r="I94" s="136"/>
      <c r="J94" s="155"/>
    </row>
    <row r="95" spans="1:10" ht="26.4">
      <c r="A95" s="130" t="str">
        <f>'[7]Planilha Orçamentária'!A29</f>
        <v>4.3</v>
      </c>
      <c r="B95" s="120">
        <f>VLOOKUP(A95,'[7]Planilha Orçamentária'!A:N,2,0)</f>
        <v>100206</v>
      </c>
      <c r="C95" s="121" t="str">
        <f>VLOOKUP(A95,'[7]Planilha Orçamentária'!A:N,4,0)</f>
        <v>TRANSPORTE HORIZONTAL COM JERICA DE 90 L, DE MASSA/ GRANEL (UNIDADE: M3XKM). AF_07/2019</v>
      </c>
      <c r="D95" s="122" t="str">
        <f>VLOOKUP(A95,'[7]Planilha Orçamentária'!A:N,5,0)</f>
        <v>M3XKM</v>
      </c>
      <c r="E95" s="121"/>
      <c r="F95" s="123"/>
      <c r="G95" s="123"/>
      <c r="H95" s="123"/>
      <c r="I95" s="123"/>
      <c r="J95" s="124">
        <f>ROUND(SUM(J97),2)</f>
        <v>73.02</v>
      </c>
    </row>
    <row r="96" spans="1:10">
      <c r="A96" s="130"/>
      <c r="B96" s="120"/>
      <c r="C96" s="163"/>
      <c r="D96" s="122"/>
      <c r="E96" s="140" t="s">
        <v>499</v>
      </c>
      <c r="F96" s="140" t="s">
        <v>500</v>
      </c>
      <c r="G96" s="141"/>
      <c r="H96" s="123"/>
      <c r="I96" s="123"/>
      <c r="J96" s="124"/>
    </row>
    <row r="97" spans="1:10">
      <c r="A97" s="132"/>
      <c r="B97" s="132"/>
      <c r="C97" s="137" t="s">
        <v>518</v>
      </c>
      <c r="D97" s="142"/>
      <c r="E97" s="144">
        <v>1.25</v>
      </c>
      <c r="F97" s="144">
        <f>F50</f>
        <v>8.666666666666667E-2</v>
      </c>
      <c r="G97" s="136"/>
      <c r="H97" s="136"/>
      <c r="I97" s="165">
        <f>I88-I93</f>
        <v>674</v>
      </c>
      <c r="J97" s="127">
        <f>ROUND(PRODUCT(E97:I97),2)</f>
        <v>73.02</v>
      </c>
    </row>
    <row r="98" spans="1:10" ht="14.4">
      <c r="A98" s="132"/>
      <c r="B98" s="132"/>
      <c r="C98" s="152"/>
      <c r="D98" s="156"/>
      <c r="E98" s="155"/>
      <c r="F98" s="155"/>
      <c r="G98" s="155"/>
      <c r="H98" s="155"/>
      <c r="I98" s="155"/>
      <c r="J98" s="155"/>
    </row>
    <row r="99" spans="1:10" ht="26.4">
      <c r="A99" s="130" t="str">
        <f>'[7]Planilha Orçamentária'!A30</f>
        <v>4.4</v>
      </c>
      <c r="B99" s="120" t="str">
        <f>VLOOKUP(A99,'[7]Planilha Orçamentária'!A:N,2,0)</f>
        <v>CP-72897-80530767</v>
      </c>
      <c r="C99" s="121" t="str">
        <f>VLOOKUP(A99,'[7]Planilha Orçamentária'!A:N,4,0)</f>
        <v>CARGA MANUAL DE ENTULHO EM CAMINHAO BASCULANTE 14 M3</v>
      </c>
      <c r="D99" s="122" t="str">
        <f>VLOOKUP(A99,'[7]Planilha Orçamentária'!A:N,5,0)</f>
        <v>M3</v>
      </c>
      <c r="E99" s="121"/>
      <c r="F99" s="123"/>
      <c r="G99" s="123"/>
      <c r="H99" s="123"/>
      <c r="I99" s="123"/>
      <c r="J99" s="124">
        <f>ROUND(SUM(J101),2)</f>
        <v>842.5</v>
      </c>
    </row>
    <row r="100" spans="1:10">
      <c r="A100" s="130"/>
      <c r="B100" s="120"/>
      <c r="C100" s="163"/>
      <c r="D100" s="122"/>
      <c r="E100" s="140" t="s">
        <v>499</v>
      </c>
      <c r="F100" s="123"/>
      <c r="G100" s="123"/>
      <c r="H100" s="123"/>
      <c r="I100" s="123"/>
      <c r="J100" s="124"/>
    </row>
    <row r="101" spans="1:10">
      <c r="A101" s="132"/>
      <c r="B101" s="132"/>
      <c r="C101" s="137" t="s">
        <v>519</v>
      </c>
      <c r="D101" s="142"/>
      <c r="E101" s="143">
        <v>1.25</v>
      </c>
      <c r="F101" s="136"/>
      <c r="G101" s="136"/>
      <c r="H101" s="136"/>
      <c r="I101" s="144">
        <f>J85-J90</f>
        <v>674</v>
      </c>
      <c r="J101" s="127">
        <f>ROUND(PRODUCT(E101:I101),2)</f>
        <v>842.5</v>
      </c>
    </row>
    <row r="102" spans="1:10" ht="14.4">
      <c r="A102" s="132"/>
      <c r="B102" s="132"/>
      <c r="C102" s="152"/>
      <c r="D102" s="156"/>
      <c r="E102" s="155"/>
      <c r="F102" s="155"/>
      <c r="G102" s="155"/>
      <c r="H102" s="155"/>
      <c r="I102" s="155"/>
      <c r="J102" s="155"/>
    </row>
    <row r="103" spans="1:10" ht="39.6">
      <c r="A103" s="130" t="str">
        <f>'[7]Planilha Orçamentária'!A31</f>
        <v>4.5</v>
      </c>
      <c r="B103" s="120">
        <f>VLOOKUP(A103,'[7]Planilha Orçamentária'!A:N,2,0)</f>
        <v>95876</v>
      </c>
      <c r="C103" s="121" t="str">
        <f>VLOOKUP(A103,'[7]Planilha Orçamentária'!A:N,4,0)</f>
        <v>TRANSPORTE COM CAMINHÃO BASCULANTE DE 14 M³, EM VIA URBANA PAVIMENTADA, DMT ATÉ 30 KM (UNIDADE: M3XKM). AF_07/2020</v>
      </c>
      <c r="D103" s="122" t="str">
        <f>VLOOKUP(A103,'[7]Planilha Orçamentária'!A:N,5,0)</f>
        <v>M3XKM</v>
      </c>
      <c r="E103" s="121"/>
      <c r="F103" s="123"/>
      <c r="G103" s="123"/>
      <c r="H103" s="123"/>
      <c r="I103" s="123"/>
      <c r="J103" s="124">
        <f>ROUND(SUM(J105),2)</f>
        <v>12469</v>
      </c>
    </row>
    <row r="104" spans="1:10">
      <c r="A104" s="130"/>
      <c r="B104" s="120"/>
      <c r="C104" s="163"/>
      <c r="D104" s="122"/>
      <c r="E104" s="145" t="s">
        <v>520</v>
      </c>
      <c r="F104" s="123"/>
      <c r="G104" s="123"/>
      <c r="H104" s="123"/>
      <c r="I104" s="123"/>
      <c r="J104" s="124"/>
    </row>
    <row r="105" spans="1:10">
      <c r="A105" s="132"/>
      <c r="B105" s="132"/>
      <c r="C105" s="137" t="s">
        <v>521</v>
      </c>
      <c r="D105" s="142"/>
      <c r="E105" s="143">
        <f>E59</f>
        <v>14.8</v>
      </c>
      <c r="F105" s="144"/>
      <c r="G105" s="144"/>
      <c r="H105" s="144"/>
      <c r="I105" s="144">
        <f>J99</f>
        <v>842.5</v>
      </c>
      <c r="J105" s="127">
        <f>ROUND(PRODUCT(E105:I105),2)</f>
        <v>12469</v>
      </c>
    </row>
    <row r="106" spans="1:10" ht="14.4">
      <c r="A106" s="132"/>
      <c r="B106" s="132"/>
      <c r="C106" s="152"/>
      <c r="D106" s="156"/>
      <c r="E106" s="155"/>
      <c r="F106" s="155"/>
      <c r="G106" s="155"/>
      <c r="H106" s="155"/>
      <c r="I106" s="155"/>
      <c r="J106" s="155"/>
    </row>
    <row r="107" spans="1:10">
      <c r="A107" s="111" t="str">
        <f>'[7]Planilha Orçamentária'!A32</f>
        <v>5.0</v>
      </c>
      <c r="B107" s="112"/>
      <c r="C107" s="113" t="str">
        <f>VLOOKUP(A107,'[7]Planilha Orçamentária'!A:N,4,0)</f>
        <v>CONTENÇÃO DE ENCOSTA</v>
      </c>
      <c r="D107" s="114"/>
      <c r="E107" s="115"/>
      <c r="F107" s="116"/>
      <c r="G107" s="116"/>
      <c r="H107" s="116"/>
      <c r="I107" s="117"/>
      <c r="J107" s="118"/>
    </row>
    <row r="108" spans="1:10" ht="26.4">
      <c r="A108" s="130" t="str">
        <f>'[7]Planilha Orçamentária'!A33</f>
        <v>5.1</v>
      </c>
      <c r="B108" s="120">
        <f>VLOOKUP(A108,'[7]Planilha Orçamentária'!A:N,2,0)</f>
        <v>100206</v>
      </c>
      <c r="C108" s="121" t="str">
        <f>VLOOKUP(A108,'[7]Planilha Orçamentária'!A:N,4,0)</f>
        <v>TRANSPORTE HORIZONTAL COM JERICA DE 90 L, DE MASSA/ GRANEL (UNIDADE: M3XKM). AF_07/2019</v>
      </c>
      <c r="D108" s="122" t="str">
        <f>VLOOKUP(A108,'[7]Planilha Orçamentária'!A:N,5,0)</f>
        <v>M3XKM</v>
      </c>
      <c r="E108" s="121"/>
      <c r="F108" s="123"/>
      <c r="G108" s="123"/>
      <c r="H108" s="123"/>
      <c r="I108" s="123"/>
      <c r="J108" s="124">
        <f>ROUND(SUM(J110:J112),2)</f>
        <v>38.06</v>
      </c>
    </row>
    <row r="109" spans="1:10">
      <c r="A109" s="130"/>
      <c r="B109" s="120"/>
      <c r="C109" s="163"/>
      <c r="D109" s="122"/>
      <c r="E109" s="140" t="s">
        <v>499</v>
      </c>
      <c r="F109" s="140" t="s">
        <v>500</v>
      </c>
      <c r="G109" s="123"/>
      <c r="H109" s="123"/>
      <c r="I109" s="122" t="s">
        <v>522</v>
      </c>
      <c r="J109" s="124"/>
    </row>
    <row r="110" spans="1:10">
      <c r="A110" s="132"/>
      <c r="B110" s="132"/>
      <c r="C110" s="137" t="s">
        <v>523</v>
      </c>
      <c r="D110" s="142"/>
      <c r="E110" s="143">
        <v>1.25</v>
      </c>
      <c r="F110" s="136">
        <f>F97</f>
        <v>8.666666666666667E-2</v>
      </c>
      <c r="G110" s="136"/>
      <c r="H110" s="136"/>
      <c r="I110" s="144">
        <f>J131</f>
        <v>146.31</v>
      </c>
      <c r="J110" s="127">
        <f t="shared" ref="J110" si="1">ROUND(PRODUCT(E110:I110),2)</f>
        <v>15.85</v>
      </c>
    </row>
    <row r="111" spans="1:10">
      <c r="A111" s="132"/>
      <c r="B111" s="132"/>
      <c r="C111" s="137" t="s">
        <v>524</v>
      </c>
      <c r="D111" s="142"/>
      <c r="E111" s="143">
        <v>1.25</v>
      </c>
      <c r="F111" s="136">
        <f>F110</f>
        <v>8.666666666666667E-2</v>
      </c>
      <c r="G111" s="136"/>
      <c r="H111" s="136"/>
      <c r="I111" s="144">
        <f>J140</f>
        <v>146.31</v>
      </c>
      <c r="J111" s="127">
        <f>ROUND(PRODUCT(E111:I111),2)</f>
        <v>15.85</v>
      </c>
    </row>
    <row r="112" spans="1:10">
      <c r="A112" s="132"/>
      <c r="B112" s="132"/>
      <c r="C112" s="137" t="s">
        <v>525</v>
      </c>
      <c r="D112" s="142"/>
      <c r="E112" s="143"/>
      <c r="F112" s="136">
        <f>F111</f>
        <v>8.666666666666667E-2</v>
      </c>
      <c r="G112" s="136"/>
      <c r="H112" s="136"/>
      <c r="I112" s="144">
        <f>J171</f>
        <v>73.400000000000006</v>
      </c>
      <c r="J112" s="127">
        <f t="shared" ref="J112" si="2">ROUND(PRODUCT(E112:I112),2)</f>
        <v>6.36</v>
      </c>
    </row>
    <row r="113" spans="1:10">
      <c r="A113" s="132"/>
      <c r="B113" s="132"/>
      <c r="C113" s="137"/>
      <c r="D113" s="142"/>
      <c r="E113" s="143"/>
      <c r="F113" s="136"/>
      <c r="G113" s="136"/>
      <c r="H113" s="136"/>
      <c r="I113" s="144"/>
      <c r="J113" s="135"/>
    </row>
    <row r="114" spans="1:10" ht="26.4">
      <c r="A114" s="130" t="str">
        <f>'[7]Planilha Orçamentária'!A34</f>
        <v>5.2</v>
      </c>
      <c r="B114" s="120" t="str">
        <f>VLOOKUP(A114,'[7]Planilha Orçamentária'!A:N,2,0)</f>
        <v>CP-100206-86548087</v>
      </c>
      <c r="C114" s="121" t="str">
        <f>VLOOKUP(A114,'[7]Planilha Orçamentária'!A:N,4,0)</f>
        <v>TRANSPORTE HORIZONTAL COM JERICA DE 90 L, DE PEDRA RACHÃO GRANEL (UNIDADE: M3XKM). AF_07/2019</v>
      </c>
      <c r="D114" s="122" t="str">
        <f>VLOOKUP(A114,'[7]Planilha Orçamentária'!A:N,5,0)</f>
        <v>M3xKM</v>
      </c>
      <c r="E114" s="121"/>
      <c r="F114" s="123"/>
      <c r="G114" s="123"/>
      <c r="H114" s="123"/>
      <c r="I114" s="123"/>
      <c r="J114" s="124">
        <f>ROUND(SUM(J116:J116),2)</f>
        <v>466.19</v>
      </c>
    </row>
    <row r="115" spans="1:10">
      <c r="A115" s="132"/>
      <c r="B115" s="120"/>
      <c r="C115" s="163"/>
      <c r="D115" s="122"/>
      <c r="E115" s="140" t="s">
        <v>499</v>
      </c>
      <c r="F115" s="140" t="s">
        <v>500</v>
      </c>
      <c r="G115" s="123"/>
      <c r="H115" s="123"/>
      <c r="I115" s="122" t="s">
        <v>522</v>
      </c>
      <c r="J115" s="124"/>
    </row>
    <row r="116" spans="1:10">
      <c r="A116" s="132"/>
      <c r="B116" s="132"/>
      <c r="C116" s="137" t="s">
        <v>526</v>
      </c>
      <c r="D116" s="142"/>
      <c r="E116" s="143">
        <v>1.4</v>
      </c>
      <c r="F116" s="143">
        <f>F50</f>
        <v>8.666666666666667E-2</v>
      </c>
      <c r="G116" s="136"/>
      <c r="H116" s="136"/>
      <c r="I116" s="144">
        <f>J118</f>
        <v>3842.24</v>
      </c>
      <c r="J116" s="127">
        <f>ROUND(PRODUCT(E116:I116),2)</f>
        <v>466.19</v>
      </c>
    </row>
    <row r="117" spans="1:10">
      <c r="A117" s="132"/>
      <c r="B117" s="132"/>
      <c r="C117" s="137"/>
      <c r="D117" s="142"/>
      <c r="E117" s="143"/>
      <c r="F117" s="136"/>
      <c r="G117" s="136"/>
      <c r="H117" s="136"/>
      <c r="I117" s="144"/>
      <c r="J117" s="135"/>
    </row>
    <row r="118" spans="1:10" ht="52.8">
      <c r="A118" s="130" t="str">
        <f>'[7]Planilha Orçamentária'!A35</f>
        <v>5.3</v>
      </c>
      <c r="B118" s="120">
        <f>VLOOKUP(A118,'[7]Planilha Orçamentária'!A:N,2,0)</f>
        <v>103800</v>
      </c>
      <c r="C118" s="121" t="str">
        <f>VLOOKUP(A118,'[7]Planilha Orçamentária'!A:N,4,0)</f>
        <v>PEDRA ARGAMASSADA COM CIMENTO E AREIA 1:3, 40% DE ARGAMASSA EM VOLUME - AREIA E PEDRA DE MÃO COMERCIAIS - FORNECIMENTO E ASSENTAMENTO. AF_08/2022</v>
      </c>
      <c r="D118" s="122" t="str">
        <f>VLOOKUP(A118,'[7]Planilha Orçamentária'!A:N,5,0)</f>
        <v>M3</v>
      </c>
      <c r="E118" s="121"/>
      <c r="F118" s="123"/>
      <c r="G118" s="123"/>
      <c r="H118" s="123"/>
      <c r="I118" s="123"/>
      <c r="J118" s="124">
        <f>ROUND(SUM(J121:J125),2)</f>
        <v>3842.24</v>
      </c>
    </row>
    <row r="119" spans="1:10">
      <c r="A119" s="130"/>
      <c r="B119" s="120"/>
      <c r="C119" s="163"/>
      <c r="D119" s="122"/>
      <c r="E119" s="121"/>
      <c r="F119" s="123"/>
      <c r="G119" s="123"/>
      <c r="H119" s="123"/>
      <c r="I119" s="123"/>
      <c r="J119" s="124"/>
    </row>
    <row r="120" spans="1:10">
      <c r="A120" s="132"/>
      <c r="B120" s="132"/>
      <c r="C120" s="137" t="s">
        <v>527</v>
      </c>
      <c r="D120" s="142"/>
      <c r="E120" s="143"/>
      <c r="F120" s="166" t="s">
        <v>528</v>
      </c>
      <c r="G120" s="167"/>
      <c r="H120" s="167"/>
      <c r="I120" s="167" t="s">
        <v>522</v>
      </c>
      <c r="J120" s="127"/>
    </row>
    <row r="121" spans="1:10" ht="12.75" customHeight="1">
      <c r="A121" s="132"/>
      <c r="B121" s="132"/>
      <c r="C121" s="137" t="s">
        <v>529</v>
      </c>
      <c r="D121" s="168"/>
      <c r="E121" s="169"/>
      <c r="F121" s="170">
        <v>81.23</v>
      </c>
      <c r="G121" s="170"/>
      <c r="H121" s="135"/>
      <c r="I121" s="126">
        <v>16.57</v>
      </c>
      <c r="J121" s="127">
        <f t="shared" ref="J121:J125" si="3">ROUND(PRODUCT(E121:I121),2)</f>
        <v>1345.98</v>
      </c>
    </row>
    <row r="122" spans="1:10" ht="12.75" customHeight="1">
      <c r="A122" s="132"/>
      <c r="B122" s="132"/>
      <c r="C122" s="137" t="s">
        <v>530</v>
      </c>
      <c r="D122" s="168"/>
      <c r="E122" s="169"/>
      <c r="F122" s="170">
        <v>60.79</v>
      </c>
      <c r="G122" s="170"/>
      <c r="H122" s="135"/>
      <c r="I122" s="126">
        <v>16.57</v>
      </c>
      <c r="J122" s="127">
        <f t="shared" si="3"/>
        <v>1007.29</v>
      </c>
    </row>
    <row r="123" spans="1:10" ht="12.75" customHeight="1">
      <c r="A123" s="132"/>
      <c r="B123" s="132"/>
      <c r="C123" s="137" t="s">
        <v>531</v>
      </c>
      <c r="D123" s="168"/>
      <c r="E123" s="169"/>
      <c r="F123" s="170">
        <v>80.73</v>
      </c>
      <c r="G123" s="170"/>
      <c r="H123" s="135"/>
      <c r="I123" s="126">
        <v>7.39</v>
      </c>
      <c r="J123" s="127">
        <f t="shared" si="3"/>
        <v>596.59</v>
      </c>
    </row>
    <row r="124" spans="1:10" ht="12.75" customHeight="1">
      <c r="A124" s="132"/>
      <c r="B124" s="132"/>
      <c r="C124" s="137" t="s">
        <v>532</v>
      </c>
      <c r="D124" s="168"/>
      <c r="E124" s="169"/>
      <c r="F124" s="170">
        <v>129.97</v>
      </c>
      <c r="G124" s="170"/>
      <c r="H124" s="135"/>
      <c r="I124" s="126">
        <v>5.56</v>
      </c>
      <c r="J124" s="127">
        <f t="shared" si="3"/>
        <v>722.63</v>
      </c>
    </row>
    <row r="125" spans="1:10" ht="12.75" customHeight="1">
      <c r="A125" s="132"/>
      <c r="B125" s="132"/>
      <c r="C125" s="137" t="s">
        <v>533</v>
      </c>
      <c r="D125" s="168"/>
      <c r="E125" s="169"/>
      <c r="F125" s="170">
        <v>22.97</v>
      </c>
      <c r="G125" s="170"/>
      <c r="H125" s="135"/>
      <c r="I125" s="126">
        <v>7.39</v>
      </c>
      <c r="J125" s="127">
        <f t="shared" si="3"/>
        <v>169.75</v>
      </c>
    </row>
    <row r="126" spans="1:10">
      <c r="A126" s="132"/>
      <c r="B126" s="132"/>
      <c r="C126" s="132"/>
      <c r="D126" s="134"/>
      <c r="E126" s="132"/>
      <c r="F126" s="135"/>
      <c r="G126" s="135"/>
      <c r="H126" s="135"/>
      <c r="I126" s="135"/>
      <c r="J126" s="135"/>
    </row>
    <row r="127" spans="1:10" ht="26.4">
      <c r="A127" s="130" t="str">
        <f>'[7]Planilha Orçamentária'!A36</f>
        <v>5.4</v>
      </c>
      <c r="B127" s="120" t="str">
        <f>VLOOKUP(A127,'[7]Planilha Orçamentária'!A:N,2,0)</f>
        <v>COMP-83526730</v>
      </c>
      <c r="C127" s="121" t="str">
        <f>VLOOKUP(A127,'[7]Planilha Orçamentária'!A:N,4,0)</f>
        <v>TRANSPORTE COMERCIAL DE BRITA</v>
      </c>
      <c r="D127" s="122" t="str">
        <f>VLOOKUP(A127,'[7]Planilha Orçamentária'!A:N,5,0)</f>
        <v>M3XKM</v>
      </c>
      <c r="E127" s="121"/>
      <c r="F127" s="123"/>
      <c r="G127" s="123"/>
      <c r="H127" s="123"/>
      <c r="I127" s="123"/>
      <c r="J127" s="124">
        <f>ROUND(SUM(J129),2)</f>
        <v>3273.69</v>
      </c>
    </row>
    <row r="128" spans="1:10" ht="26.4">
      <c r="A128" s="130"/>
      <c r="B128" s="120"/>
      <c r="C128" s="163"/>
      <c r="D128" s="122"/>
      <c r="E128" s="140" t="s">
        <v>499</v>
      </c>
      <c r="F128" s="171" t="s">
        <v>534</v>
      </c>
      <c r="G128" s="123"/>
      <c r="H128" s="123"/>
      <c r="I128" s="123"/>
      <c r="J128" s="124"/>
    </row>
    <row r="129" spans="1:10">
      <c r="A129" s="132"/>
      <c r="B129" s="132"/>
      <c r="C129" s="137" t="s">
        <v>535</v>
      </c>
      <c r="D129" s="142"/>
      <c r="E129" s="143">
        <v>1.25</v>
      </c>
      <c r="F129" s="136">
        <v>17.899999999999999</v>
      </c>
      <c r="G129" s="136"/>
      <c r="H129" s="136"/>
      <c r="I129" s="144">
        <f>J131</f>
        <v>146.31</v>
      </c>
      <c r="J129" s="127">
        <f>ROUND(PRODUCT(E129:I129),2)</f>
        <v>3273.69</v>
      </c>
    </row>
    <row r="130" spans="1:10">
      <c r="A130" s="132"/>
      <c r="B130" s="132"/>
      <c r="C130" s="132"/>
      <c r="D130" s="134"/>
      <c r="E130" s="132"/>
      <c r="F130" s="135"/>
      <c r="G130" s="135"/>
      <c r="H130" s="135"/>
      <c r="I130" s="135"/>
      <c r="J130" s="135"/>
    </row>
    <row r="131" spans="1:10" ht="26.4">
      <c r="A131" s="130" t="str">
        <f>'[7]Planilha Orçamentária'!A37</f>
        <v>5.5</v>
      </c>
      <c r="B131" s="120" t="str">
        <f>VLOOKUP(A131,'[7]Planilha Orçamentária'!A:N,2,0)</f>
        <v>CP-73883/002-13051595</v>
      </c>
      <c r="C131" s="121" t="str">
        <f>VLOOKUP(A131,'[7]Planilha Orçamentária'!A:N,4,0)</f>
        <v>EXECUCAO DE DRENO FRANCES COM BRITA NUM 2</v>
      </c>
      <c r="D131" s="122" t="str">
        <f>VLOOKUP(A131,'[7]Planilha Orçamentária'!A:N,5,0)</f>
        <v>M3</v>
      </c>
      <c r="E131" s="121"/>
      <c r="F131" s="123"/>
      <c r="G131" s="123"/>
      <c r="H131" s="123"/>
      <c r="I131" s="123"/>
      <c r="J131" s="124">
        <f>ROUND(SUM(J133:J138),2)</f>
        <v>146.31</v>
      </c>
    </row>
    <row r="132" spans="1:10">
      <c r="A132" s="130"/>
      <c r="B132" s="120"/>
      <c r="C132" s="163"/>
      <c r="D132" s="122"/>
      <c r="E132" s="121"/>
      <c r="F132" s="123"/>
      <c r="G132" s="123"/>
      <c r="H132" s="123"/>
      <c r="I132" s="123"/>
      <c r="J132" s="124"/>
    </row>
    <row r="133" spans="1:10">
      <c r="A133" s="132"/>
      <c r="B133" s="132"/>
      <c r="C133" s="137" t="s">
        <v>536</v>
      </c>
      <c r="D133" s="142"/>
      <c r="E133" s="143"/>
      <c r="F133" s="166" t="s">
        <v>528</v>
      </c>
      <c r="G133" s="141" t="s">
        <v>537</v>
      </c>
      <c r="H133" s="141" t="s">
        <v>538</v>
      </c>
      <c r="I133" s="141"/>
      <c r="J133" s="127"/>
    </row>
    <row r="134" spans="1:10" ht="12.75" customHeight="1">
      <c r="A134" s="132"/>
      <c r="B134" s="132"/>
      <c r="C134" s="137" t="s">
        <v>529</v>
      </c>
      <c r="D134" s="168"/>
      <c r="E134" s="169"/>
      <c r="F134" s="170">
        <v>81.23</v>
      </c>
      <c r="G134" s="170">
        <v>0.1</v>
      </c>
      <c r="H134" s="126">
        <v>5</v>
      </c>
      <c r="I134" s="135"/>
      <c r="J134" s="127">
        <f t="shared" ref="J134:J138" si="4">ROUND(PRODUCT(E134:I134),2)</f>
        <v>40.619999999999997</v>
      </c>
    </row>
    <row r="135" spans="1:10" ht="12.75" customHeight="1">
      <c r="A135" s="132"/>
      <c r="B135" s="132"/>
      <c r="C135" s="137" t="s">
        <v>530</v>
      </c>
      <c r="D135" s="168"/>
      <c r="E135" s="169"/>
      <c r="F135" s="170">
        <v>60.79</v>
      </c>
      <c r="G135" s="170">
        <v>0.1</v>
      </c>
      <c r="H135" s="126">
        <v>5</v>
      </c>
      <c r="I135" s="135"/>
      <c r="J135" s="127">
        <f t="shared" si="4"/>
        <v>30.4</v>
      </c>
    </row>
    <row r="136" spans="1:10" ht="12.75" customHeight="1">
      <c r="A136" s="132"/>
      <c r="B136" s="132"/>
      <c r="C136" s="137" t="s">
        <v>531</v>
      </c>
      <c r="D136" s="168"/>
      <c r="E136" s="169"/>
      <c r="F136" s="170">
        <v>80.73</v>
      </c>
      <c r="G136" s="170">
        <v>0.1</v>
      </c>
      <c r="H136" s="126">
        <v>3.5</v>
      </c>
      <c r="I136" s="135"/>
      <c r="J136" s="127">
        <f t="shared" si="4"/>
        <v>28.26</v>
      </c>
    </row>
    <row r="137" spans="1:10" ht="12.75" customHeight="1">
      <c r="A137" s="132"/>
      <c r="B137" s="132"/>
      <c r="C137" s="137" t="s">
        <v>532</v>
      </c>
      <c r="D137" s="168"/>
      <c r="E137" s="169"/>
      <c r="F137" s="170">
        <v>129.97</v>
      </c>
      <c r="G137" s="170">
        <v>0.1</v>
      </c>
      <c r="H137" s="126">
        <v>3</v>
      </c>
      <c r="I137" s="135"/>
      <c r="J137" s="127">
        <f t="shared" si="4"/>
        <v>38.99</v>
      </c>
    </row>
    <row r="138" spans="1:10" ht="12.75" customHeight="1">
      <c r="A138" s="132"/>
      <c r="B138" s="132"/>
      <c r="C138" s="137" t="s">
        <v>533</v>
      </c>
      <c r="D138" s="168"/>
      <c r="E138" s="169"/>
      <c r="F138" s="170">
        <v>22.97</v>
      </c>
      <c r="G138" s="170">
        <v>0.1</v>
      </c>
      <c r="H138" s="126">
        <v>3.5</v>
      </c>
      <c r="I138" s="135"/>
      <c r="J138" s="127">
        <f t="shared" si="4"/>
        <v>8.0399999999999991</v>
      </c>
    </row>
    <row r="139" spans="1:10">
      <c r="A139" s="132"/>
      <c r="B139" s="132"/>
      <c r="C139" s="132"/>
      <c r="D139" s="134"/>
      <c r="E139" s="132"/>
      <c r="F139" s="135"/>
      <c r="G139" s="135"/>
      <c r="H139" s="135"/>
      <c r="I139" s="135"/>
      <c r="J139" s="135"/>
    </row>
    <row r="140" spans="1:10" ht="26.4">
      <c r="A140" s="130" t="str">
        <f>'[7]Planilha Orçamentária'!A38</f>
        <v>5.6</v>
      </c>
      <c r="B140" s="120" t="str">
        <f>VLOOKUP(A140,'[7]Planilha Orçamentária'!A:N,2,0)</f>
        <v>CP-73883/001-30509153</v>
      </c>
      <c r="C140" s="121" t="str">
        <f>VLOOKUP(A140,'[7]Planilha Orçamentária'!A:N,4,0)</f>
        <v>EXECUCAO DE DRENO FRANCES COM AREIA MEDIA</v>
      </c>
      <c r="D140" s="122" t="str">
        <f>VLOOKUP(A140,'[7]Planilha Orçamentária'!A:N,5,0)</f>
        <v>M3</v>
      </c>
      <c r="E140" s="121"/>
      <c r="F140" s="123"/>
      <c r="G140" s="123"/>
      <c r="H140" s="123"/>
      <c r="I140" s="123"/>
      <c r="J140" s="124">
        <f>ROUND(SUM(J143:J147),2)</f>
        <v>146.31</v>
      </c>
    </row>
    <row r="141" spans="1:10">
      <c r="A141" s="130"/>
      <c r="B141" s="120"/>
      <c r="C141" s="163"/>
      <c r="D141" s="122"/>
      <c r="E141" s="121"/>
      <c r="F141" s="123"/>
      <c r="G141" s="123"/>
      <c r="H141" s="123"/>
      <c r="I141" s="123"/>
      <c r="J141" s="124"/>
    </row>
    <row r="142" spans="1:10">
      <c r="A142" s="132"/>
      <c r="B142" s="132"/>
      <c r="C142" s="137" t="s">
        <v>536</v>
      </c>
      <c r="D142" s="142"/>
      <c r="E142" s="143"/>
      <c r="F142" s="166" t="s">
        <v>528</v>
      </c>
      <c r="G142" s="141" t="s">
        <v>537</v>
      </c>
      <c r="H142" s="141" t="s">
        <v>538</v>
      </c>
      <c r="I142" s="141"/>
      <c r="J142" s="127"/>
    </row>
    <row r="143" spans="1:10" ht="12.75" customHeight="1">
      <c r="A143" s="132"/>
      <c r="B143" s="132"/>
      <c r="C143" s="137" t="s">
        <v>529</v>
      </c>
      <c r="D143" s="168"/>
      <c r="E143" s="169"/>
      <c r="F143" s="170">
        <v>81.23</v>
      </c>
      <c r="G143" s="170">
        <v>0.1</v>
      </c>
      <c r="H143" s="126">
        <v>5</v>
      </c>
      <c r="I143" s="135"/>
      <c r="J143" s="127">
        <f t="shared" ref="J143:J147" si="5">ROUND(PRODUCT(E143:I143),2)</f>
        <v>40.619999999999997</v>
      </c>
    </row>
    <row r="144" spans="1:10" ht="12.75" customHeight="1">
      <c r="A144" s="132"/>
      <c r="B144" s="132"/>
      <c r="C144" s="137" t="s">
        <v>530</v>
      </c>
      <c r="D144" s="168"/>
      <c r="E144" s="169"/>
      <c r="F144" s="170">
        <v>60.79</v>
      </c>
      <c r="G144" s="170">
        <v>0.1</v>
      </c>
      <c r="H144" s="126">
        <v>5</v>
      </c>
      <c r="I144" s="135"/>
      <c r="J144" s="127">
        <f t="shared" si="5"/>
        <v>30.4</v>
      </c>
    </row>
    <row r="145" spans="1:11" ht="12.75" customHeight="1">
      <c r="A145" s="132"/>
      <c r="B145" s="132"/>
      <c r="C145" s="137" t="s">
        <v>531</v>
      </c>
      <c r="D145" s="168"/>
      <c r="E145" s="169"/>
      <c r="F145" s="170">
        <v>80.73</v>
      </c>
      <c r="G145" s="170">
        <v>0.1</v>
      </c>
      <c r="H145" s="126">
        <v>3.5</v>
      </c>
      <c r="I145" s="135"/>
      <c r="J145" s="127">
        <f t="shared" si="5"/>
        <v>28.26</v>
      </c>
    </row>
    <row r="146" spans="1:11" ht="12.75" customHeight="1">
      <c r="A146" s="132"/>
      <c r="B146" s="132"/>
      <c r="C146" s="137" t="s">
        <v>532</v>
      </c>
      <c r="D146" s="168"/>
      <c r="E146" s="169"/>
      <c r="F146" s="170">
        <v>129.97</v>
      </c>
      <c r="G146" s="170">
        <v>0.1</v>
      </c>
      <c r="H146" s="126">
        <v>3</v>
      </c>
      <c r="I146" s="135"/>
      <c r="J146" s="127">
        <f t="shared" si="5"/>
        <v>38.99</v>
      </c>
    </row>
    <row r="147" spans="1:11" ht="12.75" customHeight="1">
      <c r="A147" s="132"/>
      <c r="B147" s="132"/>
      <c r="C147" s="137" t="s">
        <v>533</v>
      </c>
      <c r="D147" s="168"/>
      <c r="E147" s="169"/>
      <c r="F147" s="170">
        <v>22.97</v>
      </c>
      <c r="G147" s="170">
        <v>0.1</v>
      </c>
      <c r="H147" s="126">
        <v>3.5</v>
      </c>
      <c r="I147" s="135"/>
      <c r="J147" s="127">
        <f t="shared" si="5"/>
        <v>8.0399999999999991</v>
      </c>
    </row>
    <row r="148" spans="1:11">
      <c r="A148" s="132"/>
      <c r="B148" s="132"/>
      <c r="C148" s="132"/>
      <c r="D148" s="134"/>
      <c r="E148" s="132"/>
      <c r="F148" s="135"/>
      <c r="G148" s="135"/>
      <c r="H148" s="135"/>
      <c r="I148" s="135"/>
      <c r="J148" s="135"/>
    </row>
    <row r="149" spans="1:11" ht="26.4">
      <c r="A149" s="130" t="str">
        <f>'[7]Planilha Orçamentária'!A39</f>
        <v>5.7</v>
      </c>
      <c r="B149" s="120" t="str">
        <f>VLOOKUP(A149,'[7]Planilha Orçamentária'!A:N,2,0)</f>
        <v>CP-83729-53696259</v>
      </c>
      <c r="C149" s="121" t="str">
        <f>VLOOKUP(A149,'[7]Planilha Orçamentária'!A:N,4,0)</f>
        <v>FORNECIMENTO/INSTALACAO DE MANTA BIDIM RT-31</v>
      </c>
      <c r="D149" s="122" t="str">
        <f>VLOOKUP(A149,'[7]Planilha Orçamentária'!A:N,5,0)</f>
        <v>M3</v>
      </c>
      <c r="E149" s="122" t="s">
        <v>488</v>
      </c>
      <c r="F149" s="172"/>
      <c r="G149" s="172"/>
      <c r="H149" s="172"/>
      <c r="I149" s="122" t="s">
        <v>331</v>
      </c>
      <c r="J149" s="124">
        <f>ROUND(SUM(J151),2)</f>
        <v>31.02</v>
      </c>
    </row>
    <row r="150" spans="1:11">
      <c r="A150" s="130"/>
      <c r="B150" s="120"/>
      <c r="C150" s="163"/>
      <c r="D150" s="122"/>
      <c r="E150" s="121"/>
      <c r="F150" s="123"/>
      <c r="G150" s="123"/>
      <c r="H150" s="123"/>
      <c r="I150" s="123"/>
      <c r="J150" s="124"/>
    </row>
    <row r="151" spans="1:11" ht="39.6">
      <c r="A151" s="132"/>
      <c r="B151" s="132"/>
      <c r="C151" s="137" t="s">
        <v>539</v>
      </c>
      <c r="D151" s="142"/>
      <c r="E151" s="144">
        <v>5.5E-2</v>
      </c>
      <c r="F151" s="143"/>
      <c r="G151" s="136"/>
      <c r="H151" s="136"/>
      <c r="I151" s="144">
        <f>ROUND(J162,0)</f>
        <v>564</v>
      </c>
      <c r="J151" s="127">
        <f>ROUND(PRODUCT(E151:I151),2)</f>
        <v>31.02</v>
      </c>
    </row>
    <row r="152" spans="1:11">
      <c r="A152" s="132"/>
      <c r="B152" s="132"/>
      <c r="C152" s="132"/>
      <c r="D152" s="134"/>
      <c r="E152" s="132"/>
      <c r="F152" s="135"/>
      <c r="G152" s="135"/>
      <c r="H152" s="135"/>
      <c r="I152" s="135"/>
      <c r="J152" s="135"/>
    </row>
    <row r="153" spans="1:11" ht="26.4">
      <c r="A153" s="130" t="str">
        <f>'[7]Planilha Orçamentária'!A40</f>
        <v>5.8</v>
      </c>
      <c r="B153" s="120" t="str">
        <f>VLOOKUP(A153,'[7]Planilha Orçamentária'!A:N,2,0)</f>
        <v>CP-83681-82667036</v>
      </c>
      <c r="C153" s="121" t="str">
        <f>VLOOKUP(A153,'[7]Planilha Orçamentária'!A:N,4,0)</f>
        <v>TUBO PVC D=4" COM MATERIAL DRENANTE PARA DRENO/BARBACA - FORNECIMENTO E INSTALACAO</v>
      </c>
      <c r="D153" s="122" t="str">
        <f>VLOOKUP(A153,'[7]Planilha Orçamentária'!A:N,5,0)</f>
        <v>M</v>
      </c>
      <c r="E153" s="121"/>
      <c r="F153" s="122"/>
      <c r="G153" s="123"/>
      <c r="H153" s="123"/>
      <c r="I153" s="123"/>
      <c r="J153" s="124">
        <f>ROUND(SUM(J156:J160),2)</f>
        <v>2765.25</v>
      </c>
    </row>
    <row r="154" spans="1:11">
      <c r="A154" s="130"/>
      <c r="B154" s="120"/>
      <c r="C154" s="163"/>
      <c r="D154" s="122"/>
      <c r="E154" s="121"/>
      <c r="F154" s="123"/>
      <c r="G154" s="123"/>
      <c r="H154" s="123"/>
      <c r="I154" s="123"/>
      <c r="J154" s="124"/>
    </row>
    <row r="155" spans="1:11" ht="26.4">
      <c r="A155" s="132"/>
      <c r="B155" s="132"/>
      <c r="C155" s="137" t="s">
        <v>540</v>
      </c>
      <c r="D155" s="142"/>
      <c r="E155" s="143"/>
      <c r="F155" s="143"/>
      <c r="G155" s="136"/>
      <c r="H155" s="136"/>
      <c r="I155" s="136"/>
      <c r="J155" s="127"/>
      <c r="K155" s="173"/>
    </row>
    <row r="156" spans="1:11" ht="12.75" customHeight="1">
      <c r="A156" s="132"/>
      <c r="B156" s="132"/>
      <c r="C156" s="137" t="s">
        <v>529</v>
      </c>
      <c r="D156" s="168"/>
      <c r="E156" s="169"/>
      <c r="F156" s="170">
        <f>F143</f>
        <v>81.23</v>
      </c>
      <c r="G156" s="174">
        <f>(1.5+3.7)/2</f>
        <v>2.6</v>
      </c>
      <c r="H156" s="135"/>
      <c r="I156" s="126">
        <v>5</v>
      </c>
      <c r="J156" s="127">
        <f>ROUND(PRODUCT(E156:I156),2)</f>
        <v>1055.99</v>
      </c>
    </row>
    <row r="157" spans="1:11" ht="12.75" customHeight="1">
      <c r="A157" s="132"/>
      <c r="B157" s="132"/>
      <c r="C157" s="137" t="s">
        <v>530</v>
      </c>
      <c r="D157" s="168"/>
      <c r="E157" s="169"/>
      <c r="F157" s="170">
        <f>F144</f>
        <v>60.79</v>
      </c>
      <c r="G157" s="174">
        <f>(1.5+3.7)/2</f>
        <v>2.6</v>
      </c>
      <c r="H157" s="135"/>
      <c r="I157" s="126">
        <v>5</v>
      </c>
      <c r="J157" s="127">
        <f t="shared" ref="J157:J160" si="6">ROUND(PRODUCT(E157:I157),2)</f>
        <v>790.27</v>
      </c>
    </row>
    <row r="158" spans="1:11" ht="12.75" customHeight="1">
      <c r="A158" s="132"/>
      <c r="B158" s="132"/>
      <c r="C158" s="137" t="s">
        <v>531</v>
      </c>
      <c r="D158" s="168"/>
      <c r="E158" s="169"/>
      <c r="F158" s="170">
        <f>F145</f>
        <v>80.73</v>
      </c>
      <c r="G158" s="174">
        <f>(0.6+2.3)/2</f>
        <v>1.45</v>
      </c>
      <c r="H158" s="135"/>
      <c r="I158" s="126">
        <v>3</v>
      </c>
      <c r="J158" s="127">
        <f t="shared" si="6"/>
        <v>351.18</v>
      </c>
    </row>
    <row r="159" spans="1:11" ht="12.75" customHeight="1">
      <c r="A159" s="132"/>
      <c r="B159" s="132"/>
      <c r="C159" s="137" t="s">
        <v>532</v>
      </c>
      <c r="D159" s="168"/>
      <c r="E159" s="169"/>
      <c r="F159" s="170">
        <f>F146</f>
        <v>129.97</v>
      </c>
      <c r="G159" s="174">
        <f>(0.6+1.8)/2</f>
        <v>1.2</v>
      </c>
      <c r="H159" s="135"/>
      <c r="I159" s="126">
        <v>3</v>
      </c>
      <c r="J159" s="127">
        <f t="shared" si="6"/>
        <v>467.89</v>
      </c>
    </row>
    <row r="160" spans="1:11" ht="12.75" customHeight="1">
      <c r="A160" s="132"/>
      <c r="B160" s="132"/>
      <c r="C160" s="137" t="s">
        <v>533</v>
      </c>
      <c r="D160" s="168"/>
      <c r="E160" s="169"/>
      <c r="F160" s="170">
        <f>F147</f>
        <v>22.97</v>
      </c>
      <c r="G160" s="174">
        <f>(0.6+2.3)/2</f>
        <v>1.45</v>
      </c>
      <c r="H160" s="135"/>
      <c r="I160" s="126">
        <v>3</v>
      </c>
      <c r="J160" s="127">
        <f t="shared" si="6"/>
        <v>99.92</v>
      </c>
    </row>
    <row r="161" spans="1:10">
      <c r="A161" s="132"/>
      <c r="B161" s="132"/>
      <c r="C161" s="132"/>
      <c r="D161" s="134"/>
      <c r="E161" s="132"/>
      <c r="F161" s="135"/>
      <c r="G161" s="135"/>
      <c r="H161" s="135"/>
      <c r="I161" s="135"/>
      <c r="J161" s="135"/>
    </row>
    <row r="162" spans="1:10" ht="26.4">
      <c r="A162" s="130" t="str">
        <f>'[7]Planilha Orçamentária'!A41</f>
        <v>5.9</v>
      </c>
      <c r="B162" s="120" t="str">
        <f>VLOOKUP(A162,'[7]Planilha Orçamentária'!A:N,2,0)</f>
        <v>CP-S10448-80966267</v>
      </c>
      <c r="C162" s="121" t="str">
        <f>VLOOKUP(A162,'[7]Planilha Orçamentária'!A:N,4,0)</f>
        <v>Abraçadeira metálica tipo "D" de 4"</v>
      </c>
      <c r="D162" s="122" t="str">
        <f>VLOOKUP(A162,'[7]Planilha Orçamentária'!A:N,5,0)</f>
        <v>UND</v>
      </c>
      <c r="E162" s="121"/>
      <c r="F162" s="123"/>
      <c r="G162" s="123"/>
      <c r="H162" s="123"/>
      <c r="I162" s="123"/>
      <c r="J162" s="124">
        <f>ROUND(SUM(J165:J169),0)</f>
        <v>564</v>
      </c>
    </row>
    <row r="163" spans="1:10">
      <c r="A163" s="130"/>
      <c r="B163" s="120"/>
      <c r="C163" s="163"/>
      <c r="D163" s="122"/>
      <c r="E163" s="121"/>
      <c r="F163" s="123"/>
      <c r="G163" s="123"/>
      <c r="H163" s="123"/>
      <c r="I163" s="123"/>
      <c r="J163" s="124"/>
    </row>
    <row r="164" spans="1:10" ht="26.4">
      <c r="A164" s="132"/>
      <c r="B164" s="132"/>
      <c r="C164" s="137" t="s">
        <v>541</v>
      </c>
      <c r="D164" s="142"/>
      <c r="E164" s="175"/>
      <c r="F164" s="143"/>
      <c r="G164" s="136"/>
      <c r="H164" s="136"/>
      <c r="I164" s="136"/>
      <c r="J164" s="127"/>
    </row>
    <row r="165" spans="1:10" ht="12.75" customHeight="1">
      <c r="A165" s="132"/>
      <c r="B165" s="132"/>
      <c r="C165" s="137" t="s">
        <v>529</v>
      </c>
      <c r="D165" s="168"/>
      <c r="E165" s="169"/>
      <c r="F165" s="170">
        <f>F156</f>
        <v>81.23</v>
      </c>
      <c r="G165" s="174"/>
      <c r="H165" s="135"/>
      <c r="I165" s="126">
        <v>1.5</v>
      </c>
      <c r="J165" s="127">
        <f t="shared" ref="J165:J169" si="7">ROUND(PRODUCT(E165:I165),2)</f>
        <v>121.85</v>
      </c>
    </row>
    <row r="166" spans="1:10" ht="12.75" customHeight="1">
      <c r="A166" s="132"/>
      <c r="B166" s="132"/>
      <c r="C166" s="137" t="s">
        <v>530</v>
      </c>
      <c r="D166" s="168"/>
      <c r="E166" s="169"/>
      <c r="F166" s="170">
        <f>F157</f>
        <v>60.79</v>
      </c>
      <c r="G166" s="174"/>
      <c r="H166" s="135"/>
      <c r="I166" s="126">
        <v>1.5</v>
      </c>
      <c r="J166" s="127">
        <f t="shared" si="7"/>
        <v>91.19</v>
      </c>
    </row>
    <row r="167" spans="1:10" ht="12.75" customHeight="1">
      <c r="A167" s="132"/>
      <c r="B167" s="132"/>
      <c r="C167" s="137" t="s">
        <v>531</v>
      </c>
      <c r="D167" s="168"/>
      <c r="E167" s="169"/>
      <c r="F167" s="170">
        <f>F158</f>
        <v>80.73</v>
      </c>
      <c r="G167" s="174"/>
      <c r="H167" s="135"/>
      <c r="I167" s="126">
        <v>1.5</v>
      </c>
      <c r="J167" s="127">
        <f t="shared" si="7"/>
        <v>121.1</v>
      </c>
    </row>
    <row r="168" spans="1:10" ht="12.75" customHeight="1">
      <c r="A168" s="132"/>
      <c r="B168" s="132"/>
      <c r="C168" s="137" t="s">
        <v>532</v>
      </c>
      <c r="D168" s="168"/>
      <c r="E168" s="169"/>
      <c r="F168" s="170">
        <f>F159</f>
        <v>129.97</v>
      </c>
      <c r="G168" s="174"/>
      <c r="H168" s="135"/>
      <c r="I168" s="126">
        <v>1.5</v>
      </c>
      <c r="J168" s="127">
        <f t="shared" si="7"/>
        <v>194.96</v>
      </c>
    </row>
    <row r="169" spans="1:10" ht="12.75" customHeight="1">
      <c r="A169" s="132"/>
      <c r="B169" s="132"/>
      <c r="C169" s="137" t="s">
        <v>533</v>
      </c>
      <c r="D169" s="168"/>
      <c r="E169" s="169"/>
      <c r="F169" s="170">
        <f>F160</f>
        <v>22.97</v>
      </c>
      <c r="G169" s="174"/>
      <c r="H169" s="135"/>
      <c r="I169" s="126">
        <v>1.5</v>
      </c>
      <c r="J169" s="127">
        <f t="shared" si="7"/>
        <v>34.46</v>
      </c>
    </row>
    <row r="170" spans="1:10">
      <c r="A170" s="132"/>
      <c r="B170" s="132"/>
      <c r="C170" s="132"/>
      <c r="D170" s="134"/>
      <c r="E170" s="132"/>
      <c r="F170" s="135"/>
      <c r="G170" s="135"/>
      <c r="H170" s="135"/>
      <c r="I170" s="135"/>
      <c r="J170" s="135"/>
    </row>
    <row r="171" spans="1:10" ht="26.4">
      <c r="A171" s="130" t="str">
        <f>'[7]Planilha Orçamentária'!A42</f>
        <v>5.10</v>
      </c>
      <c r="B171" s="120">
        <f>VLOOKUP(A171,'[7]Planilha Orçamentária'!A:N,2,0)</f>
        <v>96620</v>
      </c>
      <c r="C171" s="121" t="str">
        <f>VLOOKUP(A171,'[7]Planilha Orçamentária'!A:N,4,0)</f>
        <v>LASTRO DE CONCRETO MAGRO, APLICADO EM PISOS, LAJES SOBRE SOLO OU RADIERS. AF_01/2024</v>
      </c>
      <c r="D171" s="122" t="str">
        <f>VLOOKUP(A171,'[7]Planilha Orçamentária'!A:N,5,0)</f>
        <v>M3</v>
      </c>
      <c r="E171" s="121"/>
      <c r="F171" s="123"/>
      <c r="G171" s="123"/>
      <c r="H171" s="123"/>
      <c r="I171" s="123"/>
      <c r="J171" s="124">
        <f>ROUND(SUM(J174:J178),2)</f>
        <v>73.400000000000006</v>
      </c>
    </row>
    <row r="172" spans="1:10">
      <c r="A172" s="130"/>
      <c r="B172" s="120"/>
      <c r="C172" s="163"/>
      <c r="D172" s="122"/>
      <c r="E172" s="121"/>
      <c r="F172" s="123"/>
      <c r="G172" s="123"/>
      <c r="H172" s="123"/>
      <c r="I172" s="123"/>
      <c r="J172" s="124"/>
    </row>
    <row r="173" spans="1:10" ht="26.4">
      <c r="A173" s="132"/>
      <c r="B173" s="132"/>
      <c r="C173" s="137" t="s">
        <v>542</v>
      </c>
      <c r="D173" s="142"/>
      <c r="E173" s="175"/>
      <c r="F173" s="143"/>
      <c r="G173" s="136"/>
      <c r="H173" s="136"/>
      <c r="I173" s="141"/>
      <c r="J173" s="127"/>
    </row>
    <row r="174" spans="1:10" ht="12.75" customHeight="1">
      <c r="A174" s="132"/>
      <c r="B174" s="132"/>
      <c r="C174" s="137" t="s">
        <v>529</v>
      </c>
      <c r="D174" s="168"/>
      <c r="E174" s="169"/>
      <c r="F174" s="170">
        <f>F143</f>
        <v>81.23</v>
      </c>
      <c r="G174" s="174">
        <f>5.1+0.1</f>
        <v>5.1999999999999993</v>
      </c>
      <c r="H174" s="144">
        <v>0.05</v>
      </c>
      <c r="I174" s="135"/>
      <c r="J174" s="127">
        <f t="shared" ref="J174:J178" si="8">ROUND(PRODUCT(E174:I174),2)</f>
        <v>21.12</v>
      </c>
    </row>
    <row r="175" spans="1:10" ht="12.75" customHeight="1">
      <c r="A175" s="132"/>
      <c r="B175" s="132"/>
      <c r="C175" s="137" t="s">
        <v>530</v>
      </c>
      <c r="D175" s="168"/>
      <c r="E175" s="169"/>
      <c r="F175" s="170">
        <f>F144</f>
        <v>60.79</v>
      </c>
      <c r="G175" s="174">
        <f>5.1+0.1</f>
        <v>5.1999999999999993</v>
      </c>
      <c r="H175" s="144">
        <v>0.05</v>
      </c>
      <c r="I175" s="135"/>
      <c r="J175" s="127">
        <f t="shared" si="8"/>
        <v>15.81</v>
      </c>
    </row>
    <row r="176" spans="1:10" ht="12.75" customHeight="1">
      <c r="A176" s="132"/>
      <c r="B176" s="132"/>
      <c r="C176" s="137" t="s">
        <v>531</v>
      </c>
      <c r="D176" s="168"/>
      <c r="E176" s="169"/>
      <c r="F176" s="170">
        <f>F145</f>
        <v>80.73</v>
      </c>
      <c r="G176" s="174">
        <f>3.3+0.1</f>
        <v>3.4</v>
      </c>
      <c r="H176" s="144">
        <v>0.05</v>
      </c>
      <c r="I176" s="135"/>
      <c r="J176" s="127">
        <f t="shared" si="8"/>
        <v>13.72</v>
      </c>
    </row>
    <row r="177" spans="1:10" ht="12.75" customHeight="1">
      <c r="A177" s="132"/>
      <c r="B177" s="132"/>
      <c r="C177" s="137" t="s">
        <v>532</v>
      </c>
      <c r="D177" s="168"/>
      <c r="E177" s="169"/>
      <c r="F177" s="170">
        <f>F146</f>
        <v>129.97</v>
      </c>
      <c r="G177" s="174">
        <f>2.8+0.1</f>
        <v>2.9</v>
      </c>
      <c r="H177" s="144">
        <v>0.05</v>
      </c>
      <c r="I177" s="135"/>
      <c r="J177" s="127">
        <f t="shared" si="8"/>
        <v>18.850000000000001</v>
      </c>
    </row>
    <row r="178" spans="1:10" ht="12.75" customHeight="1">
      <c r="A178" s="132"/>
      <c r="B178" s="132"/>
      <c r="C178" s="137" t="s">
        <v>533</v>
      </c>
      <c r="D178" s="168"/>
      <c r="E178" s="169"/>
      <c r="F178" s="170">
        <f>F169</f>
        <v>22.97</v>
      </c>
      <c r="G178" s="174">
        <f>3.3+0.1</f>
        <v>3.4</v>
      </c>
      <c r="H178" s="144">
        <v>0.05</v>
      </c>
      <c r="I178" s="135"/>
      <c r="J178" s="127">
        <f t="shared" si="8"/>
        <v>3.9</v>
      </c>
    </row>
    <row r="179" spans="1:10">
      <c r="A179" s="132"/>
      <c r="B179" s="132"/>
      <c r="C179" s="132"/>
      <c r="D179" s="134"/>
      <c r="E179" s="132"/>
      <c r="F179" s="135"/>
      <c r="G179" s="135"/>
      <c r="H179" s="135"/>
      <c r="I179" s="135"/>
      <c r="J179" s="135"/>
    </row>
    <row r="180" spans="1:10" ht="26.4">
      <c r="A180" s="130" t="str">
        <f>'[7]Planilha Orçamentária'!A43</f>
        <v>5.11</v>
      </c>
      <c r="B180" s="120" t="str">
        <f>VLOOKUP(A180,'[7]Planilha Orçamentária'!A:N,2,0)</f>
        <v>CP-83356-32589970</v>
      </c>
      <c r="C180" s="121" t="str">
        <f>VLOOKUP(A180,'[7]Planilha Orçamentária'!A:N,4,0)</f>
        <v>TRANSPORTE COMERCIAL DE PEDRA RACHÃO</v>
      </c>
      <c r="D180" s="122" t="str">
        <f>VLOOKUP(A180,'[7]Planilha Orçamentária'!A:N,5,0)</f>
        <v>M3XKM</v>
      </c>
      <c r="E180" s="121" t="s">
        <v>543</v>
      </c>
      <c r="F180" s="123"/>
      <c r="G180" s="123"/>
      <c r="H180" s="123"/>
      <c r="I180" s="123"/>
      <c r="J180" s="124">
        <f>ROUND(SUM(J182),2)</f>
        <v>96286.53</v>
      </c>
    </row>
    <row r="181" spans="1:10" ht="26.4">
      <c r="A181" s="130"/>
      <c r="B181" s="120"/>
      <c r="C181" s="163"/>
      <c r="D181" s="122"/>
      <c r="E181" s="140" t="s">
        <v>499</v>
      </c>
      <c r="F181" s="171" t="s">
        <v>534</v>
      </c>
      <c r="G181" s="123"/>
      <c r="H181" s="123"/>
      <c r="I181" s="123"/>
      <c r="J181" s="124"/>
    </row>
    <row r="182" spans="1:10">
      <c r="A182" s="132"/>
      <c r="B182" s="132"/>
      <c r="C182" s="137" t="s">
        <v>544</v>
      </c>
      <c r="D182" s="142"/>
      <c r="E182" s="144">
        <v>1.4</v>
      </c>
      <c r="F182" s="143">
        <f>F129</f>
        <v>17.899999999999999</v>
      </c>
      <c r="G182" s="136"/>
      <c r="H182" s="136"/>
      <c r="I182" s="144">
        <f>J118</f>
        <v>3842.24</v>
      </c>
      <c r="J182" s="127">
        <f>ROUND(PRODUCT(E182:I182),2)</f>
        <v>96286.53</v>
      </c>
    </row>
    <row r="183" spans="1:10">
      <c r="A183" s="132"/>
      <c r="B183" s="132"/>
      <c r="C183" s="132"/>
      <c r="D183" s="134"/>
      <c r="E183" s="132"/>
      <c r="F183" s="135"/>
      <c r="G183" s="135"/>
      <c r="H183" s="135"/>
      <c r="I183" s="135"/>
      <c r="J183" s="135"/>
    </row>
    <row r="184" spans="1:10" ht="26.4">
      <c r="A184" s="130" t="str">
        <f>'[7]Planilha Orçamentária'!A44</f>
        <v>5.12</v>
      </c>
      <c r="B184" s="120" t="str">
        <f>VLOOKUP(A184,'[7]Planilha Orçamentária'!A:N,2,0)</f>
        <v>COMP-82259696</v>
      </c>
      <c r="C184" s="121" t="str">
        <f>VLOOKUP(A184,'[7]Planilha Orçamentária'!A:N,4,0)</f>
        <v>PREENCHIMENTO DE JUNTAS COM SELANTE A BASE DE ASFALTO</v>
      </c>
      <c r="D184" s="122" t="str">
        <f>VLOOKUP(A184,'[7]Planilha Orçamentária'!A:N,5,0)</f>
        <v>M</v>
      </c>
      <c r="E184" s="121"/>
      <c r="F184" s="123"/>
      <c r="G184" s="123"/>
      <c r="H184" s="123"/>
      <c r="I184" s="123"/>
      <c r="J184" s="124">
        <f>ROUND(SUM(J187:J191),2)</f>
        <v>706.27</v>
      </c>
    </row>
    <row r="185" spans="1:10">
      <c r="A185" s="130"/>
      <c r="B185" s="120"/>
      <c r="C185" s="163"/>
      <c r="D185" s="122"/>
      <c r="E185" s="121"/>
      <c r="F185" s="123"/>
      <c r="G185" s="123"/>
      <c r="H185" s="123"/>
      <c r="I185" s="123"/>
      <c r="J185" s="124"/>
    </row>
    <row r="186" spans="1:10">
      <c r="A186" s="132"/>
      <c r="B186" s="132"/>
      <c r="C186" s="137" t="s">
        <v>545</v>
      </c>
      <c r="D186" s="142"/>
      <c r="E186" s="143"/>
      <c r="F186" s="143"/>
      <c r="G186" s="136"/>
      <c r="H186" s="136"/>
      <c r="I186" s="136"/>
      <c r="J186" s="127"/>
    </row>
    <row r="187" spans="1:10" ht="12.75" customHeight="1">
      <c r="A187" s="132"/>
      <c r="B187" s="132"/>
      <c r="C187" s="137" t="s">
        <v>529</v>
      </c>
      <c r="D187" s="168"/>
      <c r="E187" s="169"/>
      <c r="F187" s="170">
        <f>F174/6</f>
        <v>13.538333333333334</v>
      </c>
      <c r="G187" s="174"/>
      <c r="H187" s="144"/>
      <c r="I187" s="126">
        <f>(2*0.7)+(0.7*2)+(2*5)+1.5</f>
        <v>14.3</v>
      </c>
      <c r="J187" s="127">
        <f>ROUND(PRODUCT(E187:I187),2)</f>
        <v>193.6</v>
      </c>
    </row>
    <row r="188" spans="1:10" ht="12.75" customHeight="1">
      <c r="A188" s="132"/>
      <c r="B188" s="132"/>
      <c r="C188" s="137" t="s">
        <v>530</v>
      </c>
      <c r="D188" s="168"/>
      <c r="E188" s="169"/>
      <c r="F188" s="170">
        <f>F175/6</f>
        <v>10.131666666666666</v>
      </c>
      <c r="G188" s="174"/>
      <c r="H188" s="144"/>
      <c r="I188" s="126">
        <f>(2*0.7)+(0.7*2)+(2*5)+1.5</f>
        <v>14.3</v>
      </c>
      <c r="J188" s="127">
        <f t="shared" ref="J188:J191" si="9">ROUND(PRODUCT(E188:I188),2)</f>
        <v>144.88</v>
      </c>
    </row>
    <row r="189" spans="1:10" ht="12.75" customHeight="1">
      <c r="A189" s="132"/>
      <c r="B189" s="132"/>
      <c r="C189" s="137" t="s">
        <v>531</v>
      </c>
      <c r="D189" s="168"/>
      <c r="E189" s="169"/>
      <c r="F189" s="170">
        <f>F176/6</f>
        <v>13.455</v>
      </c>
      <c r="G189" s="174"/>
      <c r="H189" s="144"/>
      <c r="I189" s="126">
        <f>(0.7*2)+(0.5*2)+(3.5*2)+0.6</f>
        <v>10</v>
      </c>
      <c r="J189" s="127">
        <f t="shared" si="9"/>
        <v>134.55000000000001</v>
      </c>
    </row>
    <row r="190" spans="1:10" ht="12.75" customHeight="1">
      <c r="A190" s="132"/>
      <c r="B190" s="132"/>
      <c r="C190" s="137" t="s">
        <v>532</v>
      </c>
      <c r="D190" s="168"/>
      <c r="E190" s="169"/>
      <c r="F190" s="170">
        <f>F177/6</f>
        <v>21.661666666666665</v>
      </c>
      <c r="G190" s="174"/>
      <c r="H190" s="144"/>
      <c r="I190" s="126">
        <f>(2*0.7)+(0.5*2)+(3*2)+0.6</f>
        <v>9</v>
      </c>
      <c r="J190" s="127">
        <f t="shared" si="9"/>
        <v>194.96</v>
      </c>
    </row>
    <row r="191" spans="1:10" ht="12.75" customHeight="1">
      <c r="A191" s="132"/>
      <c r="B191" s="132"/>
      <c r="C191" s="137" t="s">
        <v>533</v>
      </c>
      <c r="D191" s="168"/>
      <c r="E191" s="169"/>
      <c r="F191" s="170">
        <f>F178/6</f>
        <v>3.8283333333333331</v>
      </c>
      <c r="G191" s="174"/>
      <c r="H191" s="144"/>
      <c r="I191" s="126">
        <f>(0.7*2)+(0.5*2)+(3.5*2)+0.6</f>
        <v>10</v>
      </c>
      <c r="J191" s="127">
        <f t="shared" si="9"/>
        <v>38.28</v>
      </c>
    </row>
    <row r="192" spans="1:10">
      <c r="A192" s="132"/>
      <c r="B192" s="132"/>
      <c r="C192" s="132"/>
      <c r="D192" s="134"/>
      <c r="E192" s="132"/>
      <c r="F192" s="135"/>
      <c r="G192" s="135"/>
      <c r="H192" s="135"/>
      <c r="I192" s="135"/>
      <c r="J192" s="135"/>
    </row>
    <row r="193" spans="1:11">
      <c r="A193" s="111" t="str">
        <f>'[7]Planilha Orçamentária'!A45</f>
        <v>6.0</v>
      </c>
      <c r="B193" s="112"/>
      <c r="C193" s="113" t="str">
        <f>VLOOKUP(A193,'[7]Planilha Orçamentária'!A:N,4,0)</f>
        <v>DRENAGEM PLUVIAL</v>
      </c>
      <c r="D193" s="114"/>
      <c r="E193" s="115"/>
      <c r="F193" s="116"/>
      <c r="G193" s="116"/>
      <c r="H193" s="116"/>
      <c r="I193" s="117"/>
      <c r="J193" s="118"/>
    </row>
    <row r="194" spans="1:11">
      <c r="A194" s="176" t="str">
        <f>'[7]Planilha Orçamentária'!A46</f>
        <v>6.1</v>
      </c>
      <c r="B194" s="177"/>
      <c r="C194" s="178" t="str">
        <f>VLOOKUP(A194,'[7]Planilha Orçamentária'!A:N,4,0)</f>
        <v>CANALETA 0,40x0,40m (SEM TAMPA)</v>
      </c>
      <c r="D194" s="179"/>
      <c r="E194" s="180"/>
      <c r="F194" s="181"/>
      <c r="G194" s="181"/>
      <c r="H194" s="181"/>
      <c r="I194" s="182"/>
      <c r="J194" s="183"/>
    </row>
    <row r="195" spans="1:11" ht="26.4">
      <c r="A195" s="130" t="str">
        <f>'[7]Planilha Orçamentária'!A47</f>
        <v>6.1.1</v>
      </c>
      <c r="B195" s="120" t="str">
        <f>VLOOKUP(A195,'[7]Planilha Orçamentária'!A:N,2,0)</f>
        <v>COMP-74909598</v>
      </c>
      <c r="C195" s="121" t="str">
        <f>VLOOKUP(A195,'[7]Planilha Orçamentária'!A:N,4,0)</f>
        <v>CANALETA EM CONCRETO ARMADO FCK 25MPa NAS DIMENSÕES (0,40M X 0,40M), SEM LAJE DE TAMPA.</v>
      </c>
      <c r="D195" s="122" t="str">
        <f>VLOOKUP(A195,'[7]Planilha Orçamentária'!A:N,5,0)</f>
        <v>M</v>
      </c>
      <c r="E195" s="121"/>
      <c r="F195" s="123"/>
      <c r="G195" s="123"/>
      <c r="H195" s="123"/>
      <c r="I195" s="184"/>
      <c r="J195" s="124">
        <f>ROUND(SUM(J197:J197),2)</f>
        <v>595.11</v>
      </c>
    </row>
    <row r="196" spans="1:11">
      <c r="A196" s="132"/>
      <c r="B196" s="132"/>
      <c r="C196" s="163" t="s">
        <v>498</v>
      </c>
      <c r="D196" s="134"/>
      <c r="E196" s="132"/>
      <c r="F196" s="185" t="s">
        <v>483</v>
      </c>
      <c r="G196" s="135"/>
      <c r="H196" s="135"/>
      <c r="I196" s="186"/>
      <c r="J196" s="135"/>
    </row>
    <row r="197" spans="1:11">
      <c r="A197" s="132"/>
      <c r="B197" s="132"/>
      <c r="C197" s="137" t="s">
        <v>546</v>
      </c>
      <c r="D197" s="134"/>
      <c r="E197" s="132"/>
      <c r="F197" s="136">
        <f>432.86+162.25</f>
        <v>595.11</v>
      </c>
      <c r="G197" s="135"/>
      <c r="H197" s="135"/>
      <c r="I197" s="186"/>
      <c r="J197" s="127">
        <f t="shared" ref="J197" si="10">ROUND(PRODUCT(E197:I197),2)</f>
        <v>595.11</v>
      </c>
    </row>
    <row r="198" spans="1:11">
      <c r="A198" s="132"/>
      <c r="B198" s="132"/>
      <c r="C198" s="132"/>
      <c r="D198" s="134"/>
      <c r="E198" s="132"/>
      <c r="F198" s="135"/>
      <c r="G198" s="135"/>
      <c r="H198" s="135"/>
      <c r="I198" s="186"/>
      <c r="J198" s="135"/>
    </row>
    <row r="199" spans="1:11">
      <c r="A199" s="176" t="str">
        <f>'[7]Planilha Orçamentária'!A48</f>
        <v>6.2</v>
      </c>
      <c r="B199" s="177"/>
      <c r="C199" s="178" t="str">
        <f>VLOOKUP(A199,'[7]Planilha Orçamentária'!A:N,4,0)</f>
        <v xml:space="preserve">CANALETA EM CONCRETO DAR 60-30 </v>
      </c>
      <c r="D199" s="179"/>
      <c r="E199" s="180"/>
      <c r="F199" s="181"/>
      <c r="G199" s="181"/>
      <c r="H199" s="181"/>
      <c r="I199" s="182"/>
      <c r="J199" s="183"/>
    </row>
    <row r="200" spans="1:11" ht="39.6">
      <c r="A200" s="130" t="str">
        <f>'[7]Planilha Orçamentária'!A49</f>
        <v>6.2.1</v>
      </c>
      <c r="B200" s="120">
        <f>VLOOKUP(A200,'[7]Planilha Orçamentária'!A:N,2,0)</f>
        <v>92760</v>
      </c>
      <c r="C200" s="121" t="str">
        <f>VLOOKUP(A200,'[7]Planilha Orçamentária'!A:N,4,0)</f>
        <v>ARMAÇÃO DE PILAR OU VIGA DE ESTRUTURA CONVENCIONAL DE CONCRETO ARMADO UTILIZANDO AÇO CA-50 DE 6,3 MM - MONTAGEM. AF_06/2022</v>
      </c>
      <c r="D200" s="122" t="str">
        <f>VLOOKUP(A200,'[7]Planilha Orçamentária'!A:N,5,0)</f>
        <v>KG</v>
      </c>
      <c r="E200" s="121"/>
      <c r="F200" s="122" t="s">
        <v>483</v>
      </c>
      <c r="G200" s="123"/>
      <c r="H200" s="123"/>
      <c r="I200" s="120" t="s">
        <v>547</v>
      </c>
      <c r="J200" s="124">
        <f>ROUND(SUM(J201:J203),2)</f>
        <v>4697.5</v>
      </c>
    </row>
    <row r="201" spans="1:11" ht="26.4">
      <c r="A201" s="132"/>
      <c r="B201" s="132"/>
      <c r="C201" s="121" t="s">
        <v>548</v>
      </c>
      <c r="D201" s="134"/>
      <c r="E201" s="134"/>
      <c r="F201" s="135"/>
      <c r="G201" s="135"/>
      <c r="H201" s="135"/>
      <c r="I201" s="129"/>
      <c r="J201" s="127"/>
    </row>
    <row r="202" spans="1:11">
      <c r="A202" s="132"/>
      <c r="B202" s="132"/>
      <c r="C202" s="163" t="s">
        <v>549</v>
      </c>
      <c r="D202" s="134"/>
      <c r="E202" s="134"/>
      <c r="F202" s="135">
        <v>141.24</v>
      </c>
      <c r="G202" s="135"/>
      <c r="H202" s="135"/>
      <c r="I202" s="187">
        <v>11.562799999999999</v>
      </c>
      <c r="J202" s="127">
        <f t="shared" ref="J202:J203" si="11">ROUND(PRODUCT(E202:I202),2)</f>
        <v>1633.13</v>
      </c>
      <c r="K202" s="100" t="s">
        <v>550</v>
      </c>
    </row>
    <row r="203" spans="1:11">
      <c r="A203" s="132"/>
      <c r="B203" s="132"/>
      <c r="C203" s="188" t="s">
        <v>551</v>
      </c>
      <c r="D203" s="134"/>
      <c r="E203" s="189"/>
      <c r="F203" s="135">
        <v>265.02</v>
      </c>
      <c r="G203" s="135"/>
      <c r="H203" s="135"/>
      <c r="I203" s="187">
        <v>11.562799999999999</v>
      </c>
      <c r="J203" s="127">
        <f t="shared" si="11"/>
        <v>3064.37</v>
      </c>
    </row>
    <row r="204" spans="1:11">
      <c r="A204" s="132"/>
      <c r="B204" s="132"/>
      <c r="C204" s="190"/>
      <c r="D204" s="134"/>
      <c r="E204" s="191"/>
      <c r="F204" s="135"/>
      <c r="G204" s="135"/>
      <c r="H204" s="135"/>
      <c r="I204" s="129"/>
      <c r="J204" s="127"/>
    </row>
    <row r="205" spans="1:11" ht="26.4">
      <c r="A205" s="130" t="str">
        <f>'[7]Planilha Orçamentária'!A50</f>
        <v>6.2.2</v>
      </c>
      <c r="B205" s="120">
        <f>VLOOKUP(A205,'[7]Planilha Orçamentária'!A:N,2,0)</f>
        <v>92267</v>
      </c>
      <c r="C205" s="121" t="str">
        <f>VLOOKUP(A205,'[7]Planilha Orçamentária'!A:N,4,0)</f>
        <v>FABRICAÇÃO DE FÔRMA PARA LAJES, EM CHAPA DE MADEIRA COMPENSADA RESINADA, E = 17 MM. AF_09/2020</v>
      </c>
      <c r="D205" s="122" t="str">
        <f>VLOOKUP(A205,'[7]Planilha Orçamentária'!A:N,5,0)</f>
        <v>M2</v>
      </c>
      <c r="E205" s="121"/>
      <c r="F205" s="122" t="s">
        <v>483</v>
      </c>
      <c r="G205" s="123"/>
      <c r="H205" s="123"/>
      <c r="I205" s="192" t="s">
        <v>552</v>
      </c>
      <c r="J205" s="124">
        <f>ROUND(SUM(J206:J208),2)</f>
        <v>585.02</v>
      </c>
    </row>
    <row r="206" spans="1:11" ht="26.4">
      <c r="A206" s="130"/>
      <c r="B206" s="120"/>
      <c r="C206" s="121" t="s">
        <v>548</v>
      </c>
      <c r="D206" s="122"/>
      <c r="E206" s="121"/>
      <c r="F206" s="135"/>
      <c r="G206" s="123"/>
      <c r="H206" s="123"/>
      <c r="I206" s="135"/>
      <c r="J206" s="127"/>
    </row>
    <row r="207" spans="1:11">
      <c r="A207" s="130"/>
      <c r="B207" s="120"/>
      <c r="C207" s="163" t="s">
        <v>549</v>
      </c>
      <c r="D207" s="122"/>
      <c r="E207" s="140"/>
      <c r="F207" s="135">
        <f>F202</f>
        <v>141.24</v>
      </c>
      <c r="G207" s="123"/>
      <c r="H207" s="123"/>
      <c r="I207" s="135">
        <v>1.44</v>
      </c>
      <c r="J207" s="127">
        <f t="shared" ref="J207:J208" si="12">ROUND(PRODUCT(E207:I207),2)</f>
        <v>203.39</v>
      </c>
      <c r="K207" s="100" t="s">
        <v>550</v>
      </c>
    </row>
    <row r="208" spans="1:11">
      <c r="A208" s="132"/>
      <c r="B208" s="132"/>
      <c r="C208" s="188" t="s">
        <v>551</v>
      </c>
      <c r="D208" s="142"/>
      <c r="E208" s="143"/>
      <c r="F208" s="135">
        <f>F203</f>
        <v>265.02</v>
      </c>
      <c r="G208" s="123"/>
      <c r="H208" s="123"/>
      <c r="I208" s="135">
        <v>1.44</v>
      </c>
      <c r="J208" s="127">
        <f t="shared" si="12"/>
        <v>381.63</v>
      </c>
    </row>
    <row r="209" spans="1:11">
      <c r="A209" s="132"/>
      <c r="B209" s="132"/>
      <c r="C209" s="137"/>
      <c r="D209" s="142"/>
      <c r="E209" s="143"/>
      <c r="F209" s="135"/>
      <c r="G209" s="135"/>
      <c r="H209" s="135"/>
      <c r="I209" s="135"/>
      <c r="J209" s="127"/>
    </row>
    <row r="210" spans="1:11" ht="39.6">
      <c r="A210" s="130" t="str">
        <f>'[7]Planilha Orçamentária'!A51</f>
        <v>6.2.3</v>
      </c>
      <c r="B210" s="120">
        <f>VLOOKUP(A210,'[7]Planilha Orçamentária'!A:N,2,0)</f>
        <v>94965</v>
      </c>
      <c r="C210" s="121" t="str">
        <f>VLOOKUP(A210,'[7]Planilha Orçamentária'!A:N,4,0)</f>
        <v>CONCRETO FCK = 25MPA, TRAÇO 1:2,3:2,7 (EM MASSA SECA DE CIMENTO/ AREIA MÉDIA/ BRITA 1) - PREPARO MECÂNICO COM BETONEIRA 400 L. AF_05/2021</v>
      </c>
      <c r="D210" s="122" t="str">
        <f>VLOOKUP(A210,'[7]Planilha Orçamentária'!A:N,5,0)</f>
        <v>M3</v>
      </c>
      <c r="E210" s="121"/>
      <c r="F210" s="122" t="s">
        <v>483</v>
      </c>
      <c r="G210" s="123"/>
      <c r="H210" s="123"/>
      <c r="I210" s="192" t="s">
        <v>553</v>
      </c>
      <c r="J210" s="124">
        <f>ROUND(SUM(J211:J213),2)</f>
        <v>77.23</v>
      </c>
    </row>
    <row r="211" spans="1:11" ht="26.4">
      <c r="A211" s="130"/>
      <c r="B211" s="132"/>
      <c r="C211" s="121" t="s">
        <v>548</v>
      </c>
      <c r="D211" s="142"/>
      <c r="E211" s="143"/>
      <c r="F211" s="135"/>
      <c r="G211" s="123"/>
      <c r="H211" s="123"/>
      <c r="I211" s="135"/>
      <c r="J211" s="127"/>
    </row>
    <row r="212" spans="1:11">
      <c r="A212" s="130"/>
      <c r="B212" s="132"/>
      <c r="C212" s="163" t="s">
        <v>549</v>
      </c>
      <c r="D212" s="142"/>
      <c r="E212" s="143"/>
      <c r="F212" s="135">
        <f>F207</f>
        <v>141.24</v>
      </c>
      <c r="G212" s="123"/>
      <c r="H212" s="123"/>
      <c r="I212" s="135">
        <v>0.19009999999999999</v>
      </c>
      <c r="J212" s="127">
        <f t="shared" ref="J212:J213" si="13">ROUND(PRODUCT(E212:I212),2)</f>
        <v>26.85</v>
      </c>
      <c r="K212" s="100" t="s">
        <v>550</v>
      </c>
    </row>
    <row r="213" spans="1:11">
      <c r="A213" s="130"/>
      <c r="B213" s="132"/>
      <c r="C213" s="188" t="s">
        <v>551</v>
      </c>
      <c r="D213" s="142"/>
      <c r="E213" s="143"/>
      <c r="F213" s="135">
        <f>F208</f>
        <v>265.02</v>
      </c>
      <c r="G213" s="123"/>
      <c r="H213" s="123"/>
      <c r="I213" s="135">
        <v>0.19009999999999999</v>
      </c>
      <c r="J213" s="127">
        <f t="shared" si="13"/>
        <v>50.38</v>
      </c>
    </row>
    <row r="214" spans="1:11">
      <c r="A214" s="130"/>
      <c r="B214" s="132"/>
      <c r="C214" s="137"/>
      <c r="D214" s="142"/>
      <c r="E214" s="143"/>
      <c r="F214" s="193"/>
      <c r="G214" s="135"/>
      <c r="H214" s="135"/>
      <c r="I214" s="135"/>
      <c r="J214" s="127"/>
    </row>
    <row r="215" spans="1:11" ht="39.6">
      <c r="A215" s="130" t="str">
        <f>'[7]Planilha Orçamentária'!A52</f>
        <v>6.2.4</v>
      </c>
      <c r="B215" s="120">
        <f>VLOOKUP(A215,'[7]Planilha Orçamentária'!A:N,2,0)</f>
        <v>96619</v>
      </c>
      <c r="C215" s="121" t="str">
        <f>VLOOKUP(A215,'[7]Planilha Orçamentária'!A:N,4,0)</f>
        <v>LASTRO DE CONCRETO MAGRO, APLICADO EM BLOCOS DE COROAMENTO OU SAPATAS, ESPESSURA DE 5 CM. AF_01/2024</v>
      </c>
      <c r="D215" s="122" t="str">
        <f>VLOOKUP(A215,'[7]Planilha Orçamentária'!A:N,5,0)</f>
        <v>M2</v>
      </c>
      <c r="E215" s="121"/>
      <c r="F215" s="122" t="s">
        <v>483</v>
      </c>
      <c r="G215" s="122" t="s">
        <v>484</v>
      </c>
      <c r="H215" s="122" t="s">
        <v>554</v>
      </c>
      <c r="I215" s="135"/>
      <c r="J215" s="124">
        <f>ROUND(SUM(J217:J218),2)</f>
        <v>17.239999999999998</v>
      </c>
    </row>
    <row r="216" spans="1:11" ht="26.4">
      <c r="A216" s="130"/>
      <c r="B216" s="132"/>
      <c r="C216" s="137" t="s">
        <v>555</v>
      </c>
      <c r="D216" s="142"/>
      <c r="E216" s="143"/>
      <c r="F216" s="135"/>
      <c r="G216" s="135"/>
      <c r="H216" s="135"/>
      <c r="I216" s="135"/>
      <c r="J216" s="127"/>
    </row>
    <row r="217" spans="1:11">
      <c r="A217" s="130"/>
      <c r="B217" s="132"/>
      <c r="C217" s="137" t="s">
        <v>556</v>
      </c>
      <c r="D217" s="142"/>
      <c r="E217" s="143"/>
      <c r="F217" s="135">
        <f>F212</f>
        <v>141.24</v>
      </c>
      <c r="G217" s="194">
        <f>0.84+0.1</f>
        <v>0.94</v>
      </c>
      <c r="H217" s="129">
        <v>0.05</v>
      </c>
      <c r="I217" s="192"/>
      <c r="J217" s="127">
        <f t="shared" ref="J217:J218" si="14">ROUND(PRODUCT(E217:I217),2)</f>
        <v>6.64</v>
      </c>
      <c r="K217" s="100" t="s">
        <v>557</v>
      </c>
    </row>
    <row r="218" spans="1:11">
      <c r="A218" s="130"/>
      <c r="B218" s="132"/>
      <c r="C218" s="137" t="s">
        <v>558</v>
      </c>
      <c r="D218" s="142"/>
      <c r="E218" s="143"/>
      <c r="F218" s="135">
        <f>F213</f>
        <v>265.02</v>
      </c>
      <c r="G218" s="195">
        <f>0.7+0.1</f>
        <v>0.79999999999999993</v>
      </c>
      <c r="H218" s="129">
        <v>0.05</v>
      </c>
      <c r="I218" s="192"/>
      <c r="J218" s="127">
        <f t="shared" si="14"/>
        <v>10.6</v>
      </c>
    </row>
    <row r="219" spans="1:11">
      <c r="A219" s="130"/>
      <c r="B219" s="132"/>
      <c r="C219" s="132"/>
      <c r="D219" s="134"/>
      <c r="E219" s="132"/>
      <c r="F219" s="135"/>
      <c r="G219" s="135"/>
      <c r="H219" s="135"/>
      <c r="I219" s="135"/>
      <c r="J219" s="135"/>
    </row>
    <row r="220" spans="1:11" ht="26.4">
      <c r="A220" s="130" t="str">
        <f>'[7]Planilha Orçamentária'!A53</f>
        <v>6.2.5</v>
      </c>
      <c r="B220" s="120">
        <f>VLOOKUP(A220,'[7]Planilha Orçamentária'!A:N,2,0)</f>
        <v>103673</v>
      </c>
      <c r="C220" s="121" t="str">
        <f>VLOOKUP(A220,'[7]Planilha Orçamentária'!A:N,4,0)</f>
        <v>LANÇAMENTO COM USO DE BOMBA, ADENSAMENTO E ACABAMENTO DE CONCRETO EM ESTRUTURAS. AF_02/2022</v>
      </c>
      <c r="D220" s="122" t="str">
        <f>VLOOKUP(A220,'[7]Planilha Orçamentária'!A:N,5,0)</f>
        <v>M3</v>
      </c>
      <c r="E220" s="121"/>
      <c r="F220" s="129"/>
      <c r="G220" s="194"/>
      <c r="H220" s="129"/>
      <c r="I220" s="122" t="s">
        <v>522</v>
      </c>
      <c r="J220" s="124">
        <f>ROUND(SUM(J221),2)</f>
        <v>17.239999999999998</v>
      </c>
    </row>
    <row r="221" spans="1:11">
      <c r="A221" s="132"/>
      <c r="B221" s="132"/>
      <c r="C221" s="137"/>
      <c r="D221" s="142"/>
      <c r="E221" s="143"/>
      <c r="F221" s="135"/>
      <c r="G221" s="135"/>
      <c r="H221" s="135"/>
      <c r="I221" s="196">
        <f>J215</f>
        <v>17.239999999999998</v>
      </c>
      <c r="J221" s="127">
        <f t="shared" ref="J221" si="15">ROUND(PRODUCT(E221:I221),2)</f>
        <v>17.239999999999998</v>
      </c>
      <c r="K221" s="100" t="s">
        <v>559</v>
      </c>
    </row>
    <row r="222" spans="1:11">
      <c r="A222" s="132"/>
      <c r="B222" s="132"/>
      <c r="C222" s="137"/>
      <c r="D222" s="142"/>
      <c r="E222" s="143"/>
      <c r="F222" s="122"/>
      <c r="G222" s="122"/>
      <c r="H222" s="122"/>
      <c r="I222" s="122"/>
      <c r="J222" s="127"/>
    </row>
    <row r="223" spans="1:11" ht="52.8">
      <c r="A223" s="130" t="str">
        <f>'[7]Planilha Orçamentária'!A54</f>
        <v>6.2.6</v>
      </c>
      <c r="B223" s="120" t="str">
        <f>VLOOKUP(A223,'[7]Planilha Orçamentária'!A:N,2,0)</f>
        <v>COM-65912306</v>
      </c>
      <c r="C223" s="121" t="str">
        <f>VLOOKUP(A223,'[7]Planilha Orçamentária'!A:N,4,0)</f>
        <v>TAMPA EM CONCRETO ARMADO FCK 25MPa NAS DIMENSÕES (1,00M X 0,84M), BASEADA EM PROJETO TIPO (DNIT) PARA CONTENÇÃO DE ENCOSTAS, COM LANÇAMENTO EM FORMA MANUAL</v>
      </c>
      <c r="D223" s="122" t="str">
        <f>VLOOKUP(A223,'[7]Planilha Orçamentária'!A:N,5,0)</f>
        <v>M</v>
      </c>
      <c r="E223" s="121"/>
      <c r="F223" s="122" t="s">
        <v>483</v>
      </c>
      <c r="G223" s="194"/>
      <c r="H223" s="129"/>
      <c r="I223" s="122"/>
      <c r="J223" s="124">
        <f>ROUND(SUM(J224),2)</f>
        <v>265.02</v>
      </c>
    </row>
    <row r="224" spans="1:11">
      <c r="A224" s="132"/>
      <c r="B224" s="132"/>
      <c r="C224" s="137" t="s">
        <v>560</v>
      </c>
      <c r="D224" s="142"/>
      <c r="E224" s="143"/>
      <c r="F224" s="135">
        <f>F203</f>
        <v>265.02</v>
      </c>
      <c r="G224" s="122"/>
      <c r="H224" s="122"/>
      <c r="I224" s="122"/>
      <c r="J224" s="127">
        <f t="shared" ref="J224" si="16">ROUND(PRODUCT(E224:I224),2)</f>
        <v>265.02</v>
      </c>
    </row>
    <row r="225" spans="1:12">
      <c r="A225" s="132"/>
      <c r="B225" s="132"/>
      <c r="C225" s="137"/>
      <c r="D225" s="142"/>
      <c r="E225" s="143"/>
      <c r="F225" s="122"/>
      <c r="G225" s="122"/>
      <c r="H225" s="122"/>
      <c r="I225" s="122"/>
      <c r="J225" s="127"/>
    </row>
    <row r="226" spans="1:12">
      <c r="A226" s="176" t="str">
        <f>'[7]Planilha Orçamentária'!A55</f>
        <v>6.3</v>
      </c>
      <c r="B226" s="177"/>
      <c r="C226" s="178" t="str">
        <f>VLOOKUP(A226,'[7]Planilha Orçamentária'!A:N,4,0)</f>
        <v>CANALETA EM CONCRETO DAD 60-36</v>
      </c>
      <c r="D226" s="179"/>
      <c r="E226" s="180"/>
      <c r="F226" s="181"/>
      <c r="G226" s="181"/>
      <c r="H226" s="181"/>
      <c r="I226" s="182"/>
      <c r="J226" s="183"/>
    </row>
    <row r="227" spans="1:12" ht="39.6">
      <c r="A227" s="130" t="str">
        <f>'[7]Planilha Orçamentária'!A56</f>
        <v>6.3.1</v>
      </c>
      <c r="B227" s="120">
        <f>VLOOKUP(A227,'[7]Planilha Orçamentária'!A:N,2,0)</f>
        <v>92760</v>
      </c>
      <c r="C227" s="121" t="str">
        <f>VLOOKUP(A227,'[7]Planilha Orçamentária'!A:N,4,0)</f>
        <v>ARMAÇÃO DE PILAR OU VIGA DE ESTRUTURA CONVENCIONAL DE CONCRETO ARMADO UTILIZANDO AÇO CA-50 DE 6,3 MM - MONTAGEM. AF_06/2022</v>
      </c>
      <c r="D227" s="122" t="str">
        <f>VLOOKUP(A227,'[7]Planilha Orçamentária'!A:N,5,0)</f>
        <v>KG</v>
      </c>
      <c r="E227" s="121"/>
      <c r="F227" s="122" t="s">
        <v>483</v>
      </c>
      <c r="G227" s="123"/>
      <c r="H227" s="123"/>
      <c r="I227" s="120" t="s">
        <v>547</v>
      </c>
      <c r="J227" s="124">
        <f>ROUND(SUM(J228:J229),2)</f>
        <v>786.38</v>
      </c>
    </row>
    <row r="228" spans="1:12" ht="26.4">
      <c r="A228" s="132"/>
      <c r="B228" s="132"/>
      <c r="C228" s="121" t="s">
        <v>561</v>
      </c>
      <c r="D228" s="134"/>
      <c r="E228" s="134"/>
      <c r="F228" s="135"/>
      <c r="G228" s="135"/>
      <c r="H228" s="135"/>
      <c r="I228" s="129"/>
      <c r="J228" s="127"/>
      <c r="L228" s="100">
        <v>3.2227999999999999</v>
      </c>
    </row>
    <row r="229" spans="1:12">
      <c r="A229" s="132"/>
      <c r="B229" s="132"/>
      <c r="C229" s="163" t="s">
        <v>549</v>
      </c>
      <c r="D229" s="134"/>
      <c r="E229" s="134"/>
      <c r="F229" s="135">
        <v>37.5</v>
      </c>
      <c r="G229" s="135"/>
      <c r="H229" s="135"/>
      <c r="I229" s="197">
        <v>20.97</v>
      </c>
      <c r="J229" s="127">
        <f t="shared" ref="J229" si="17">ROUND(PRODUCT(E229:I229),2)</f>
        <v>786.38</v>
      </c>
      <c r="L229" s="100">
        <v>1.4487000000000001</v>
      </c>
    </row>
    <row r="230" spans="1:12">
      <c r="A230" s="132"/>
      <c r="B230" s="132"/>
      <c r="C230" s="190"/>
      <c r="D230" s="134"/>
      <c r="E230" s="191"/>
      <c r="F230" s="135"/>
      <c r="G230" s="135"/>
      <c r="H230" s="135"/>
      <c r="I230" s="129"/>
      <c r="J230" s="127"/>
      <c r="L230" s="100">
        <v>2.9459</v>
      </c>
    </row>
    <row r="231" spans="1:12" ht="26.4">
      <c r="A231" s="130" t="str">
        <f>'[7]Planilha Orçamentária'!A57</f>
        <v>6.3.2</v>
      </c>
      <c r="B231" s="120">
        <f>VLOOKUP(A231,'[7]Planilha Orçamentária'!A:N,2,0)</f>
        <v>92267</v>
      </c>
      <c r="C231" s="121" t="str">
        <f>VLOOKUP(A231,'[7]Planilha Orçamentária'!A:N,4,0)</f>
        <v>FABRICAÇÃO DE FÔRMA PARA LAJES, EM CHAPA DE MADEIRA COMPENSADA RESINADA, E = 17 MM. AF_09/2020</v>
      </c>
      <c r="D231" s="122" t="str">
        <f>VLOOKUP(A231,'[7]Planilha Orçamentária'!A:N,5,0)</f>
        <v>M2</v>
      </c>
      <c r="E231" s="121"/>
      <c r="F231" s="122" t="s">
        <v>483</v>
      </c>
      <c r="G231" s="123"/>
      <c r="H231" s="123"/>
      <c r="I231" s="192" t="s">
        <v>552</v>
      </c>
      <c r="J231" s="124">
        <f>ROUND(SUM(J232:J233),2)</f>
        <v>107.81</v>
      </c>
      <c r="L231" s="100">
        <v>2.9083000000000001</v>
      </c>
    </row>
    <row r="232" spans="1:12" ht="26.4">
      <c r="A232" s="130"/>
      <c r="B232" s="120"/>
      <c r="C232" s="121" t="s">
        <v>561</v>
      </c>
      <c r="D232" s="122"/>
      <c r="E232" s="121"/>
      <c r="F232" s="135"/>
      <c r="G232" s="123"/>
      <c r="H232" s="123"/>
      <c r="I232" s="135"/>
      <c r="J232" s="127"/>
      <c r="L232" s="100">
        <v>2</v>
      </c>
    </row>
    <row r="233" spans="1:12">
      <c r="A233" s="130"/>
      <c r="B233" s="120"/>
      <c r="C233" s="163" t="s">
        <v>549</v>
      </c>
      <c r="D233" s="122"/>
      <c r="E233" s="140"/>
      <c r="F233" s="135">
        <f>F229</f>
        <v>37.5</v>
      </c>
      <c r="G233" s="123"/>
      <c r="H233" s="123"/>
      <c r="I233" s="198">
        <v>2.8748</v>
      </c>
      <c r="J233" s="127">
        <f t="shared" ref="J233" si="18">ROUND(PRODUCT(E233:I233),2)</f>
        <v>107.81</v>
      </c>
      <c r="L233" s="100">
        <v>2.6612</v>
      </c>
    </row>
    <row r="234" spans="1:12">
      <c r="A234" s="132"/>
      <c r="B234" s="132"/>
      <c r="C234" s="137"/>
      <c r="D234" s="142"/>
      <c r="E234" s="143"/>
      <c r="F234" s="135"/>
      <c r="G234" s="135"/>
      <c r="H234" s="135"/>
      <c r="I234" s="135"/>
      <c r="J234" s="127"/>
      <c r="L234" s="100">
        <v>4.7252000000000001</v>
      </c>
    </row>
    <row r="235" spans="1:12" ht="39.6">
      <c r="A235" s="130" t="str">
        <f>'[7]Planilha Orçamentária'!A58</f>
        <v>6.3.3</v>
      </c>
      <c r="B235" s="120">
        <f>VLOOKUP(A235,'[7]Planilha Orçamentária'!A:N,2,0)</f>
        <v>94965</v>
      </c>
      <c r="C235" s="121" t="str">
        <f>VLOOKUP(A235,'[7]Planilha Orçamentária'!A:N,4,0)</f>
        <v>CONCRETO FCK = 25MPA, TRAÇO 1:2,3:2,7 (EM MASSA SECA DE CIMENTO/ AREIA MÉDIA/ BRITA 1) - PREPARO MECÂNICO COM BETONEIRA 400 L. AF_05/2021</v>
      </c>
      <c r="D235" s="122" t="str">
        <f>VLOOKUP(A235,'[7]Planilha Orçamentária'!A:N,5,0)</f>
        <v>M3</v>
      </c>
      <c r="E235" s="121"/>
      <c r="F235" s="122" t="s">
        <v>483</v>
      </c>
      <c r="G235" s="123"/>
      <c r="H235" s="123"/>
      <c r="I235" s="192" t="s">
        <v>553</v>
      </c>
      <c r="J235" s="124">
        <f>ROUND(SUM(J236:J237),2)</f>
        <v>12.22</v>
      </c>
      <c r="L235" s="100">
        <v>0.55649999999999999</v>
      </c>
    </row>
    <row r="236" spans="1:12" ht="26.4">
      <c r="A236" s="130"/>
      <c r="B236" s="132"/>
      <c r="C236" s="121" t="s">
        <v>561</v>
      </c>
      <c r="D236" s="142"/>
      <c r="E236" s="143"/>
      <c r="F236" s="135"/>
      <c r="G236" s="123"/>
      <c r="H236" s="123"/>
      <c r="I236" s="135"/>
      <c r="J236" s="127"/>
      <c r="L236" s="100">
        <v>0.22919999999999999</v>
      </c>
    </row>
    <row r="237" spans="1:12">
      <c r="A237" s="130"/>
      <c r="B237" s="132"/>
      <c r="C237" s="163" t="s">
        <v>549</v>
      </c>
      <c r="D237" s="142"/>
      <c r="E237" s="143"/>
      <c r="F237" s="135">
        <f>F229</f>
        <v>37.5</v>
      </c>
      <c r="G237" s="123"/>
      <c r="H237" s="123"/>
      <c r="I237" s="198">
        <v>0.32579999999999998</v>
      </c>
      <c r="J237" s="127">
        <f t="shared" ref="J237" si="19">ROUND(PRODUCT(E237:I237),2)</f>
        <v>12.22</v>
      </c>
      <c r="L237" s="100">
        <v>0.27729999999999999</v>
      </c>
    </row>
    <row r="238" spans="1:12">
      <c r="A238" s="130"/>
      <c r="B238" s="132"/>
      <c r="C238" s="137"/>
      <c r="D238" s="142"/>
      <c r="E238" s="143"/>
      <c r="F238" s="193"/>
      <c r="G238" s="135"/>
      <c r="H238" s="135"/>
      <c r="I238" s="135"/>
      <c r="J238" s="127"/>
      <c r="L238" s="100">
        <f>SUM(L228:L237)</f>
        <v>20.975100000000001</v>
      </c>
    </row>
    <row r="239" spans="1:12" ht="39.6">
      <c r="A239" s="130" t="str">
        <f>'[7]Planilha Orçamentária'!A59</f>
        <v>6.3.4</v>
      </c>
      <c r="B239" s="120">
        <f>VLOOKUP(A239,'[7]Planilha Orçamentária'!A:N,2,0)</f>
        <v>96619</v>
      </c>
      <c r="C239" s="121" t="str">
        <f>VLOOKUP(A239,'[7]Planilha Orçamentária'!A:N,4,0)</f>
        <v>LASTRO DE CONCRETO MAGRO, APLICADO EM BLOCOS DE COROAMENTO OU SAPATAS, ESPESSURA DE 5 CM. AF_01/2024</v>
      </c>
      <c r="D239" s="122" t="str">
        <f>VLOOKUP(A239,'[7]Planilha Orçamentária'!A:N,5,0)</f>
        <v>M2</v>
      </c>
      <c r="E239" s="121"/>
      <c r="F239" s="122" t="s">
        <v>483</v>
      </c>
      <c r="G239" s="122" t="s">
        <v>484</v>
      </c>
      <c r="H239" s="122" t="s">
        <v>554</v>
      </c>
      <c r="I239" s="135"/>
      <c r="J239" s="124">
        <f>ROUND(SUM(J241:J241),2)</f>
        <v>1.58</v>
      </c>
    </row>
    <row r="240" spans="1:12">
      <c r="A240" s="130"/>
      <c r="B240" s="132"/>
      <c r="C240" s="121"/>
      <c r="D240" s="142"/>
      <c r="E240" s="143"/>
      <c r="F240" s="135"/>
      <c r="G240" s="135"/>
      <c r="H240" s="135"/>
      <c r="I240" s="135"/>
      <c r="J240" s="127"/>
    </row>
    <row r="241" spans="1:10">
      <c r="A241" s="130"/>
      <c r="B241" s="132"/>
      <c r="C241" s="137"/>
      <c r="D241" s="142"/>
      <c r="E241" s="143"/>
      <c r="F241" s="135">
        <f>F229</f>
        <v>37.5</v>
      </c>
      <c r="G241" s="194">
        <v>0.84</v>
      </c>
      <c r="H241" s="129">
        <v>0.05</v>
      </c>
      <c r="I241" s="192"/>
      <c r="J241" s="127">
        <f t="shared" ref="J241" si="20">ROUND(PRODUCT(E241:I241),2)</f>
        <v>1.58</v>
      </c>
    </row>
    <row r="242" spans="1:10">
      <c r="A242" s="130"/>
      <c r="B242" s="132"/>
      <c r="C242" s="132"/>
      <c r="D242" s="134"/>
      <c r="E242" s="132"/>
      <c r="F242" s="135"/>
      <c r="G242" s="135"/>
      <c r="H242" s="135"/>
      <c r="I242" s="135"/>
      <c r="J242" s="135"/>
    </row>
    <row r="243" spans="1:10" ht="26.4">
      <c r="A243" s="130" t="str">
        <f>'[7]Planilha Orçamentária'!A60</f>
        <v>6.3.5</v>
      </c>
      <c r="B243" s="120">
        <f>VLOOKUP(A243,'[7]Planilha Orçamentária'!A:N,2,0)</f>
        <v>103673</v>
      </c>
      <c r="C243" s="121" t="str">
        <f>VLOOKUP(A243,'[7]Planilha Orçamentária'!A:N,4,0)</f>
        <v>LANÇAMENTO COM USO DE BOMBA, ADENSAMENTO E ACABAMENTO DE CONCRETO EM ESTRUTURAS. AF_02/2022</v>
      </c>
      <c r="D243" s="122" t="str">
        <f>VLOOKUP(A243,'[7]Planilha Orçamentária'!A:N,5,0)</f>
        <v>M3</v>
      </c>
      <c r="E243" s="121"/>
      <c r="F243" s="129"/>
      <c r="G243" s="194"/>
      <c r="H243" s="129"/>
      <c r="I243" s="122" t="s">
        <v>522</v>
      </c>
      <c r="J243" s="124">
        <f>ROUND(SUM(J244),2)</f>
        <v>1.58</v>
      </c>
    </row>
    <row r="244" spans="1:10">
      <c r="A244" s="132"/>
      <c r="B244" s="132"/>
      <c r="C244" s="137"/>
      <c r="D244" s="142"/>
      <c r="E244" s="143"/>
      <c r="F244" s="135"/>
      <c r="G244" s="135"/>
      <c r="H244" s="135"/>
      <c r="I244" s="196">
        <f>J239</f>
        <v>1.58</v>
      </c>
      <c r="J244" s="127">
        <f t="shared" ref="J244" si="21">ROUND(PRODUCT(E244:I244),2)</f>
        <v>1.58</v>
      </c>
    </row>
    <row r="245" spans="1:10">
      <c r="A245" s="132"/>
      <c r="B245" s="132"/>
      <c r="C245" s="137"/>
      <c r="D245" s="142"/>
      <c r="E245" s="143"/>
      <c r="F245" s="122"/>
      <c r="G245" s="122"/>
      <c r="H245" s="122"/>
      <c r="I245" s="122"/>
      <c r="J245" s="127"/>
    </row>
    <row r="246" spans="1:10">
      <c r="A246" s="111" t="str">
        <f>'[7]Planilha Orçamentária'!A61</f>
        <v>7.0</v>
      </c>
      <c r="B246" s="112"/>
      <c r="C246" s="113" t="str">
        <f>VLOOKUP(A246,'[7]Planilha Orçamentária'!A:N,4,0)</f>
        <v>REVESTIMENTO E PROTEÇÃO DA ENCOSTA</v>
      </c>
      <c r="D246" s="114"/>
      <c r="E246" s="115"/>
      <c r="F246" s="116"/>
      <c r="G246" s="116"/>
      <c r="H246" s="116"/>
      <c r="I246" s="117"/>
      <c r="J246" s="118"/>
    </row>
    <row r="247" spans="1:10" ht="26.4">
      <c r="A247" s="130" t="str">
        <f>'[7]Planilha Orçamentária'!A62</f>
        <v>7.1</v>
      </c>
      <c r="B247" s="120" t="str">
        <f>VLOOKUP(A247,'[7]Planilha Orçamentária'!A:N,2,0)</f>
        <v>CP-97084-89637704</v>
      </c>
      <c r="C247" s="121" t="str">
        <f>VLOOKUP(A247,'[7]Planilha Orçamentária'!A:N,4,0)</f>
        <v>REGULARIZACAO E COMPACTAÇÃO MANUAL DE TERRENO COM PLACA VIBRATÓRIA</v>
      </c>
      <c r="D247" s="122" t="str">
        <f>VLOOKUP(A247,'[7]Planilha Orçamentária'!A:N,5,0)</f>
        <v>M2</v>
      </c>
      <c r="E247" s="122" t="s">
        <v>487</v>
      </c>
      <c r="F247" s="172"/>
      <c r="G247" s="172"/>
      <c r="H247" s="172"/>
      <c r="I247" s="122" t="s">
        <v>488</v>
      </c>
      <c r="J247" s="124">
        <f>ROUND(SUM(J248:J255),2)</f>
        <v>6015.49</v>
      </c>
    </row>
    <row r="248" spans="1:10" ht="39.6">
      <c r="A248" s="132"/>
      <c r="B248" s="132"/>
      <c r="C248" s="138" t="s">
        <v>490</v>
      </c>
      <c r="D248" s="134"/>
      <c r="E248" s="132"/>
      <c r="F248" s="135"/>
      <c r="G248" s="135"/>
      <c r="H248" s="135"/>
      <c r="I248" s="136"/>
      <c r="J248" s="127"/>
    </row>
    <row r="249" spans="1:10">
      <c r="A249" s="132"/>
      <c r="B249" s="132"/>
      <c r="C249" s="138" t="s">
        <v>491</v>
      </c>
      <c r="D249" s="134"/>
      <c r="E249" s="139">
        <f>1/0.87</f>
        <v>1.1494252873563218</v>
      </c>
      <c r="F249" s="135"/>
      <c r="G249" s="135"/>
      <c r="H249" s="135"/>
      <c r="I249" s="136">
        <v>2219.83</v>
      </c>
      <c r="J249" s="127">
        <f t="shared" ref="J249:J255" si="22">ROUND(PRODUCT(E249:I249),2)</f>
        <v>2551.5300000000002</v>
      </c>
    </row>
    <row r="250" spans="1:10">
      <c r="A250" s="132"/>
      <c r="B250" s="132"/>
      <c r="C250" s="138" t="s">
        <v>492</v>
      </c>
      <c r="D250" s="134"/>
      <c r="E250" s="139">
        <f>1/0.93</f>
        <v>1.075268817204301</v>
      </c>
      <c r="F250" s="135"/>
      <c r="G250" s="135"/>
      <c r="H250" s="135"/>
      <c r="I250" s="136">
        <v>540.95000000000005</v>
      </c>
      <c r="J250" s="127">
        <f t="shared" si="22"/>
        <v>581.66999999999996</v>
      </c>
    </row>
    <row r="251" spans="1:10">
      <c r="A251" s="132"/>
      <c r="B251" s="132"/>
      <c r="C251" s="138" t="s">
        <v>493</v>
      </c>
      <c r="D251" s="134"/>
      <c r="E251" s="139">
        <f>1/0.87</f>
        <v>1.1494252873563218</v>
      </c>
      <c r="F251" s="135"/>
      <c r="G251" s="135"/>
      <c r="H251" s="135"/>
      <c r="I251" s="136">
        <v>588.04</v>
      </c>
      <c r="J251" s="127">
        <f t="shared" si="22"/>
        <v>675.91</v>
      </c>
    </row>
    <row r="252" spans="1:10">
      <c r="A252" s="132"/>
      <c r="B252" s="132"/>
      <c r="C252" s="138" t="s">
        <v>494</v>
      </c>
      <c r="D252" s="134"/>
      <c r="E252" s="139">
        <f>1/0.93</f>
        <v>1.075268817204301</v>
      </c>
      <c r="F252" s="135"/>
      <c r="G252" s="135"/>
      <c r="H252" s="135"/>
      <c r="I252" s="136">
        <v>746.52</v>
      </c>
      <c r="J252" s="127">
        <f t="shared" si="22"/>
        <v>802.71</v>
      </c>
    </row>
    <row r="253" spans="1:10">
      <c r="A253" s="132"/>
      <c r="B253" s="132"/>
      <c r="C253" s="138" t="s">
        <v>495</v>
      </c>
      <c r="D253" s="134"/>
      <c r="E253" s="139">
        <f>1/0.92</f>
        <v>1.0869565217391304</v>
      </c>
      <c r="F253" s="135"/>
      <c r="G253" s="135"/>
      <c r="H253" s="135"/>
      <c r="I253" s="136">
        <v>751.72</v>
      </c>
      <c r="J253" s="127">
        <f t="shared" si="22"/>
        <v>817.09</v>
      </c>
    </row>
    <row r="254" spans="1:10">
      <c r="A254" s="132"/>
      <c r="B254" s="132"/>
      <c r="C254" s="138" t="s">
        <v>496</v>
      </c>
      <c r="D254" s="134"/>
      <c r="E254" s="139">
        <f>1/0.81</f>
        <v>1.2345679012345678</v>
      </c>
      <c r="F254" s="135"/>
      <c r="G254" s="135"/>
      <c r="H254" s="135"/>
      <c r="I254" s="136">
        <v>330.67</v>
      </c>
      <c r="J254" s="127">
        <f t="shared" si="22"/>
        <v>408.23</v>
      </c>
    </row>
    <row r="255" spans="1:10">
      <c r="A255" s="132"/>
      <c r="B255" s="132"/>
      <c r="C255" s="138" t="s">
        <v>497</v>
      </c>
      <c r="D255" s="134"/>
      <c r="E255" s="139">
        <f>1/0.83</f>
        <v>1.2048192771084338</v>
      </c>
      <c r="F255" s="135"/>
      <c r="G255" s="135"/>
      <c r="H255" s="135"/>
      <c r="I255" s="136">
        <v>148.03</v>
      </c>
      <c r="J255" s="127">
        <f t="shared" si="22"/>
        <v>178.35</v>
      </c>
    </row>
    <row r="256" spans="1:10">
      <c r="A256" s="132"/>
      <c r="B256" s="132"/>
      <c r="C256" s="137"/>
      <c r="D256" s="142"/>
      <c r="E256" s="143"/>
      <c r="F256" s="143"/>
      <c r="G256" s="136"/>
      <c r="H256" s="136"/>
      <c r="I256" s="136"/>
      <c r="J256" s="127"/>
    </row>
    <row r="257" spans="1:10" ht="79.2">
      <c r="A257" s="130" t="str">
        <f>'[7]Planilha Orçamentária'!A63</f>
        <v>7.2</v>
      </c>
      <c r="B257" s="120" t="str">
        <f>VLOOKUP(A257,'[7]Planilha Orçamentária'!A:N,2,0)</f>
        <v>COMP-44028973</v>
      </c>
      <c r="C257" s="121" t="str">
        <f>VLOOKUP(A257,'[7]Planilha Orçamentária'!A:N,4,0)</f>
        <v>EXECUÇÃO DE REVESTIMENTO DE CONCRETO PROJETADO COM ESPESSURA DE 4 CM, ARMADO COM TELA Q 138, INCLINAÇÃO MENOR QUE 90°, APLICAÇÃO DESCONTÍNUA, UTILIZANDO EQUIPAMENTO DE PROJEÇÃO COM 6 M³/H DE CAPACIDADE, INCLUSIVE GRAMPOS DE FIXAÇÃO DE TELA A CADA 2M</v>
      </c>
      <c r="D257" s="122" t="str">
        <f>VLOOKUP(A257,'[7]Planilha Orçamentária'!A:N,5,0)</f>
        <v>M2</v>
      </c>
      <c r="E257" s="122" t="s">
        <v>487</v>
      </c>
      <c r="F257" s="172"/>
      <c r="G257" s="172"/>
      <c r="H257" s="172"/>
      <c r="I257" s="122" t="s">
        <v>488</v>
      </c>
      <c r="J257" s="124">
        <f>ROUND(SUM(J259:J265),2)</f>
        <v>6015.49</v>
      </c>
    </row>
    <row r="258" spans="1:10" ht="39.6">
      <c r="A258" s="130"/>
      <c r="B258" s="120"/>
      <c r="C258" s="138" t="s">
        <v>490</v>
      </c>
      <c r="D258" s="134"/>
      <c r="E258" s="132"/>
      <c r="F258" s="135"/>
      <c r="G258" s="135"/>
      <c r="H258" s="135"/>
      <c r="I258" s="136"/>
      <c r="J258" s="127"/>
    </row>
    <row r="259" spans="1:10">
      <c r="A259" s="132"/>
      <c r="B259" s="132"/>
      <c r="C259" s="138" t="s">
        <v>491</v>
      </c>
      <c r="D259" s="134"/>
      <c r="E259" s="139">
        <f>1/0.87</f>
        <v>1.1494252873563218</v>
      </c>
      <c r="F259" s="135"/>
      <c r="G259" s="135"/>
      <c r="H259" s="135"/>
      <c r="I259" s="136">
        <v>2219.83</v>
      </c>
      <c r="J259" s="127">
        <f t="shared" ref="J259:J265" si="23">ROUND(PRODUCT(E259:I259),2)</f>
        <v>2551.5300000000002</v>
      </c>
    </row>
    <row r="260" spans="1:10">
      <c r="A260" s="132"/>
      <c r="B260" s="132"/>
      <c r="C260" s="138" t="s">
        <v>492</v>
      </c>
      <c r="D260" s="134"/>
      <c r="E260" s="139">
        <f>1/0.93</f>
        <v>1.075268817204301</v>
      </c>
      <c r="F260" s="135"/>
      <c r="G260" s="135"/>
      <c r="H260" s="135"/>
      <c r="I260" s="136">
        <v>540.95000000000005</v>
      </c>
      <c r="J260" s="127">
        <f t="shared" si="23"/>
        <v>581.66999999999996</v>
      </c>
    </row>
    <row r="261" spans="1:10">
      <c r="A261" s="132"/>
      <c r="B261" s="132"/>
      <c r="C261" s="138" t="s">
        <v>493</v>
      </c>
      <c r="D261" s="134"/>
      <c r="E261" s="139">
        <f>1/0.87</f>
        <v>1.1494252873563218</v>
      </c>
      <c r="F261" s="135"/>
      <c r="G261" s="135"/>
      <c r="H261" s="135"/>
      <c r="I261" s="136">
        <v>588.04</v>
      </c>
      <c r="J261" s="127">
        <f t="shared" si="23"/>
        <v>675.91</v>
      </c>
    </row>
    <row r="262" spans="1:10">
      <c r="A262" s="132"/>
      <c r="B262" s="132"/>
      <c r="C262" s="138" t="s">
        <v>494</v>
      </c>
      <c r="D262" s="134"/>
      <c r="E262" s="139">
        <f>1/0.93</f>
        <v>1.075268817204301</v>
      </c>
      <c r="F262" s="135"/>
      <c r="G262" s="135"/>
      <c r="H262" s="135"/>
      <c r="I262" s="136">
        <v>746.52</v>
      </c>
      <c r="J262" s="127">
        <f t="shared" si="23"/>
        <v>802.71</v>
      </c>
    </row>
    <row r="263" spans="1:10">
      <c r="A263" s="132"/>
      <c r="B263" s="132"/>
      <c r="C263" s="138" t="s">
        <v>495</v>
      </c>
      <c r="D263" s="134"/>
      <c r="E263" s="139">
        <f>1/0.92</f>
        <v>1.0869565217391304</v>
      </c>
      <c r="F263" s="135"/>
      <c r="G263" s="135"/>
      <c r="H263" s="135"/>
      <c r="I263" s="136">
        <v>751.72</v>
      </c>
      <c r="J263" s="127">
        <f t="shared" si="23"/>
        <v>817.09</v>
      </c>
    </row>
    <row r="264" spans="1:10">
      <c r="A264" s="132"/>
      <c r="B264" s="132"/>
      <c r="C264" s="138" t="s">
        <v>496</v>
      </c>
      <c r="D264" s="134"/>
      <c r="E264" s="139">
        <f>1/0.81</f>
        <v>1.2345679012345678</v>
      </c>
      <c r="F264" s="135"/>
      <c r="G264" s="135"/>
      <c r="H264" s="135"/>
      <c r="I264" s="136">
        <v>330.67</v>
      </c>
      <c r="J264" s="127">
        <f t="shared" si="23"/>
        <v>408.23</v>
      </c>
    </row>
    <row r="265" spans="1:10">
      <c r="A265" s="132"/>
      <c r="B265" s="132"/>
      <c r="C265" s="138" t="s">
        <v>497</v>
      </c>
      <c r="D265" s="134"/>
      <c r="E265" s="139">
        <f>1/0.83</f>
        <v>1.2048192771084338</v>
      </c>
      <c r="F265" s="135"/>
      <c r="G265" s="135"/>
      <c r="H265" s="135"/>
      <c r="I265" s="136">
        <v>148.03</v>
      </c>
      <c r="J265" s="127">
        <f t="shared" si="23"/>
        <v>178.35</v>
      </c>
    </row>
    <row r="266" spans="1:10">
      <c r="A266" s="132"/>
      <c r="B266" s="132"/>
      <c r="C266" s="137"/>
      <c r="D266" s="142"/>
      <c r="E266" s="143"/>
      <c r="F266" s="136"/>
      <c r="G266" s="136"/>
      <c r="H266" s="136"/>
      <c r="I266" s="136"/>
      <c r="J266" s="127"/>
    </row>
    <row r="267" spans="1:10" ht="26.4">
      <c r="A267" s="130" t="str">
        <f>'[7]Planilha Orçamentária'!A64</f>
        <v>7.3</v>
      </c>
      <c r="B267" s="120" t="str">
        <f>VLOOKUP(A267,'[7]Planilha Orçamentária'!A:N,2,0)</f>
        <v>CP-S03644-77614840</v>
      </c>
      <c r="C267" s="121" t="str">
        <f>VLOOKUP(A267,'[7]Planilha Orçamentária'!A:N,4,0)</f>
        <v>Acabamento de superfície de piso de concreto com desempolamento manual</v>
      </c>
      <c r="D267" s="122" t="str">
        <f>VLOOKUP(A267,'[7]Planilha Orçamentária'!A:N,5,0)</f>
        <v>M2</v>
      </c>
      <c r="E267" s="122" t="s">
        <v>487</v>
      </c>
      <c r="F267" s="172"/>
      <c r="G267" s="172"/>
      <c r="H267" s="172"/>
      <c r="I267" s="122" t="s">
        <v>488</v>
      </c>
      <c r="J267" s="124">
        <f>ROUND(SUM(J269:J275),2)</f>
        <v>6015.49</v>
      </c>
    </row>
    <row r="268" spans="1:10" ht="39.6">
      <c r="A268" s="132"/>
      <c r="B268" s="120"/>
      <c r="C268" s="138" t="s">
        <v>490</v>
      </c>
      <c r="D268" s="134"/>
      <c r="E268" s="132"/>
      <c r="F268" s="135"/>
      <c r="G268" s="135"/>
      <c r="H268" s="135"/>
      <c r="I268" s="136"/>
      <c r="J268" s="127"/>
    </row>
    <row r="269" spans="1:10">
      <c r="A269" s="132"/>
      <c r="B269" s="132"/>
      <c r="C269" s="138" t="s">
        <v>491</v>
      </c>
      <c r="D269" s="134"/>
      <c r="E269" s="139">
        <f>1/0.87</f>
        <v>1.1494252873563218</v>
      </c>
      <c r="F269" s="135"/>
      <c r="G269" s="135"/>
      <c r="H269" s="135"/>
      <c r="I269" s="136">
        <v>2219.83</v>
      </c>
      <c r="J269" s="127">
        <f t="shared" ref="J269:J275" si="24">ROUND(PRODUCT(E269:I269),2)</f>
        <v>2551.5300000000002</v>
      </c>
    </row>
    <row r="270" spans="1:10">
      <c r="A270" s="132"/>
      <c r="B270" s="132"/>
      <c r="C270" s="138" t="s">
        <v>492</v>
      </c>
      <c r="D270" s="134"/>
      <c r="E270" s="139">
        <f>1/0.93</f>
        <v>1.075268817204301</v>
      </c>
      <c r="F270" s="135"/>
      <c r="G270" s="135"/>
      <c r="H270" s="135"/>
      <c r="I270" s="136">
        <v>540.95000000000005</v>
      </c>
      <c r="J270" s="127">
        <f t="shared" si="24"/>
        <v>581.66999999999996</v>
      </c>
    </row>
    <row r="271" spans="1:10">
      <c r="A271" s="132"/>
      <c r="B271" s="132"/>
      <c r="C271" s="138" t="s">
        <v>493</v>
      </c>
      <c r="D271" s="134"/>
      <c r="E271" s="139">
        <f>1/0.87</f>
        <v>1.1494252873563218</v>
      </c>
      <c r="F271" s="135"/>
      <c r="G271" s="135"/>
      <c r="H271" s="135"/>
      <c r="I271" s="136">
        <v>588.04</v>
      </c>
      <c r="J271" s="127">
        <f t="shared" si="24"/>
        <v>675.91</v>
      </c>
    </row>
    <row r="272" spans="1:10">
      <c r="A272" s="132"/>
      <c r="B272" s="132"/>
      <c r="C272" s="138" t="s">
        <v>494</v>
      </c>
      <c r="D272" s="134"/>
      <c r="E272" s="139">
        <f>1/0.93</f>
        <v>1.075268817204301</v>
      </c>
      <c r="F272" s="135"/>
      <c r="G272" s="135"/>
      <c r="H272" s="135"/>
      <c r="I272" s="136">
        <v>746.52</v>
      </c>
      <c r="J272" s="127">
        <f t="shared" si="24"/>
        <v>802.71</v>
      </c>
    </row>
    <row r="273" spans="1:10">
      <c r="A273" s="132"/>
      <c r="B273" s="132"/>
      <c r="C273" s="138" t="s">
        <v>495</v>
      </c>
      <c r="D273" s="134"/>
      <c r="E273" s="139">
        <f>1/0.92</f>
        <v>1.0869565217391304</v>
      </c>
      <c r="F273" s="135"/>
      <c r="G273" s="135"/>
      <c r="H273" s="135"/>
      <c r="I273" s="136">
        <v>751.72</v>
      </c>
      <c r="J273" s="127">
        <f t="shared" si="24"/>
        <v>817.09</v>
      </c>
    </row>
    <row r="274" spans="1:10">
      <c r="A274" s="132"/>
      <c r="B274" s="132"/>
      <c r="C274" s="138" t="s">
        <v>496</v>
      </c>
      <c r="D274" s="134"/>
      <c r="E274" s="139">
        <f>1/0.81</f>
        <v>1.2345679012345678</v>
      </c>
      <c r="F274" s="135"/>
      <c r="G274" s="135"/>
      <c r="H274" s="135"/>
      <c r="I274" s="136">
        <v>330.67</v>
      </c>
      <c r="J274" s="127">
        <f t="shared" si="24"/>
        <v>408.23</v>
      </c>
    </row>
    <row r="275" spans="1:10">
      <c r="A275" s="132"/>
      <c r="B275" s="132"/>
      <c r="C275" s="138" t="s">
        <v>497</v>
      </c>
      <c r="D275" s="134"/>
      <c r="E275" s="139">
        <f>1/0.83</f>
        <v>1.2048192771084338</v>
      </c>
      <c r="F275" s="135"/>
      <c r="G275" s="135"/>
      <c r="H275" s="135"/>
      <c r="I275" s="136">
        <v>148.03</v>
      </c>
      <c r="J275" s="127">
        <f t="shared" si="24"/>
        <v>178.35</v>
      </c>
    </row>
    <row r="276" spans="1:10">
      <c r="A276" s="132"/>
      <c r="B276" s="132"/>
      <c r="C276" s="137"/>
      <c r="D276" s="142"/>
      <c r="E276" s="143"/>
      <c r="F276" s="136"/>
      <c r="G276" s="136"/>
      <c r="H276" s="136"/>
      <c r="I276" s="136"/>
      <c r="J276" s="127"/>
    </row>
    <row r="277" spans="1:10" ht="26.4">
      <c r="A277" s="130" t="str">
        <f>'[7]Planilha Orçamentária'!A65</f>
        <v>7.4</v>
      </c>
      <c r="B277" s="120">
        <f>VLOOKUP(A277,'[7]Planilha Orçamentária'!A:N,2,0)</f>
        <v>88489</v>
      </c>
      <c r="C277" s="121" t="str">
        <f>VLOOKUP(A277,'[7]Planilha Orçamentária'!A:N,4,0)</f>
        <v>PINTURA LÁTEX ACRÍLICA PREMIUM, APLICAÇÃO MANUAL EM PAREDES, DUAS DEMÃOS. AF_04/2023</v>
      </c>
      <c r="D277" s="122" t="str">
        <f>VLOOKUP(A277,'[7]Planilha Orçamentária'!A:N,5,0)</f>
        <v>M2</v>
      </c>
      <c r="E277" s="122" t="s">
        <v>487</v>
      </c>
      <c r="F277" s="123"/>
      <c r="G277" s="123"/>
      <c r="H277" s="123"/>
      <c r="I277" s="123"/>
      <c r="J277" s="124">
        <f>ROUND(SUM(J279:J285),2)</f>
        <v>6015.49</v>
      </c>
    </row>
    <row r="278" spans="1:10" ht="39.6">
      <c r="A278" s="130"/>
      <c r="B278" s="120"/>
      <c r="C278" s="138" t="s">
        <v>490</v>
      </c>
      <c r="D278" s="134"/>
      <c r="E278" s="132"/>
      <c r="F278" s="135"/>
      <c r="G278" s="135"/>
      <c r="H278" s="135"/>
      <c r="I278" s="136"/>
      <c r="J278" s="127"/>
    </row>
    <row r="279" spans="1:10">
      <c r="A279" s="132"/>
      <c r="B279" s="132"/>
      <c r="C279" s="138" t="s">
        <v>491</v>
      </c>
      <c r="D279" s="134"/>
      <c r="E279" s="139">
        <f>1/0.87</f>
        <v>1.1494252873563218</v>
      </c>
      <c r="F279" s="135"/>
      <c r="G279" s="135"/>
      <c r="H279" s="135"/>
      <c r="I279" s="136">
        <v>2219.83</v>
      </c>
      <c r="J279" s="127">
        <f t="shared" ref="J279:J285" si="25">ROUND(PRODUCT(E279:I279),2)</f>
        <v>2551.5300000000002</v>
      </c>
    </row>
    <row r="280" spans="1:10">
      <c r="A280" s="132"/>
      <c r="B280" s="132"/>
      <c r="C280" s="138" t="s">
        <v>492</v>
      </c>
      <c r="D280" s="134"/>
      <c r="E280" s="139">
        <f>1/0.93</f>
        <v>1.075268817204301</v>
      </c>
      <c r="F280" s="135"/>
      <c r="G280" s="135"/>
      <c r="H280" s="135"/>
      <c r="I280" s="136">
        <v>540.95000000000005</v>
      </c>
      <c r="J280" s="127">
        <f t="shared" si="25"/>
        <v>581.66999999999996</v>
      </c>
    </row>
    <row r="281" spans="1:10">
      <c r="A281" s="132"/>
      <c r="B281" s="132"/>
      <c r="C281" s="138" t="s">
        <v>493</v>
      </c>
      <c r="D281" s="134"/>
      <c r="E281" s="139">
        <f>1/0.87</f>
        <v>1.1494252873563218</v>
      </c>
      <c r="F281" s="135"/>
      <c r="G281" s="135"/>
      <c r="H281" s="135"/>
      <c r="I281" s="136">
        <v>588.04</v>
      </c>
      <c r="J281" s="127">
        <f t="shared" si="25"/>
        <v>675.91</v>
      </c>
    </row>
    <row r="282" spans="1:10">
      <c r="A282" s="132"/>
      <c r="B282" s="132"/>
      <c r="C282" s="138" t="s">
        <v>494</v>
      </c>
      <c r="D282" s="134"/>
      <c r="E282" s="139">
        <f>1/0.93</f>
        <v>1.075268817204301</v>
      </c>
      <c r="F282" s="135"/>
      <c r="G282" s="135"/>
      <c r="H282" s="135"/>
      <c r="I282" s="136">
        <v>746.52</v>
      </c>
      <c r="J282" s="127">
        <f t="shared" si="25"/>
        <v>802.71</v>
      </c>
    </row>
    <row r="283" spans="1:10">
      <c r="A283" s="132"/>
      <c r="B283" s="132"/>
      <c r="C283" s="138" t="s">
        <v>495</v>
      </c>
      <c r="D283" s="134"/>
      <c r="E283" s="139">
        <f>1/0.92</f>
        <v>1.0869565217391304</v>
      </c>
      <c r="F283" s="135"/>
      <c r="G283" s="135"/>
      <c r="H283" s="135"/>
      <c r="I283" s="136">
        <v>751.72</v>
      </c>
      <c r="J283" s="127">
        <f t="shared" si="25"/>
        <v>817.09</v>
      </c>
    </row>
    <row r="284" spans="1:10">
      <c r="A284" s="132"/>
      <c r="B284" s="132"/>
      <c r="C284" s="138" t="s">
        <v>496</v>
      </c>
      <c r="D284" s="134"/>
      <c r="E284" s="139">
        <f>1/0.81</f>
        <v>1.2345679012345678</v>
      </c>
      <c r="F284" s="135"/>
      <c r="G284" s="135"/>
      <c r="H284" s="135"/>
      <c r="I284" s="136">
        <v>330.67</v>
      </c>
      <c r="J284" s="127">
        <f t="shared" si="25"/>
        <v>408.23</v>
      </c>
    </row>
    <row r="285" spans="1:10">
      <c r="A285" s="132"/>
      <c r="B285" s="132"/>
      <c r="C285" s="138" t="s">
        <v>497</v>
      </c>
      <c r="D285" s="134"/>
      <c r="E285" s="139">
        <f>1/0.83</f>
        <v>1.2048192771084338</v>
      </c>
      <c r="F285" s="135"/>
      <c r="G285" s="135"/>
      <c r="H285" s="135"/>
      <c r="I285" s="136">
        <v>148.03</v>
      </c>
      <c r="J285" s="127">
        <f t="shared" si="25"/>
        <v>178.35</v>
      </c>
    </row>
    <row r="286" spans="1:10">
      <c r="A286" s="132"/>
      <c r="B286" s="132"/>
      <c r="C286" s="132"/>
      <c r="D286" s="134"/>
      <c r="E286" s="132"/>
      <c r="F286" s="135"/>
      <c r="G286" s="135"/>
      <c r="H286" s="135"/>
      <c r="I286" s="135"/>
      <c r="J286" s="135"/>
    </row>
    <row r="287" spans="1:10" ht="26.4">
      <c r="A287" s="130" t="str">
        <f>'[7]Planilha Orçamentária'!A66</f>
        <v>7.5</v>
      </c>
      <c r="B287" s="120">
        <f>VLOOKUP(A287,'[7]Planilha Orçamentária'!A:N,2,0)</f>
        <v>96620</v>
      </c>
      <c r="C287" s="121" t="str">
        <f>VLOOKUP(A287,'[7]Planilha Orçamentária'!A:N,4,0)</f>
        <v>LASTRO DE CONCRETO MAGRO, APLICADO EM PISOS, LAJES SOBRE SOLO OU RADIERS. AF_01/2024</v>
      </c>
      <c r="D287" s="122" t="str">
        <f>VLOOKUP(A287,'[7]Planilha Orçamentária'!A:N,5,0)</f>
        <v>M3</v>
      </c>
      <c r="E287" s="122"/>
      <c r="F287" s="122" t="s">
        <v>483</v>
      </c>
      <c r="G287" s="122" t="s">
        <v>484</v>
      </c>
      <c r="H287" s="122" t="s">
        <v>562</v>
      </c>
      <c r="I287" s="123"/>
      <c r="J287" s="124">
        <f>ROUND(SUM(J289),2)</f>
        <v>10.4</v>
      </c>
    </row>
    <row r="288" spans="1:10">
      <c r="A288" s="132"/>
      <c r="B288" s="132"/>
      <c r="C288" s="132" t="s">
        <v>563</v>
      </c>
      <c r="D288" s="134"/>
      <c r="E288" s="132"/>
      <c r="F288" s="135"/>
      <c r="G288" s="135"/>
      <c r="H288" s="135"/>
      <c r="I288" s="186"/>
      <c r="J288" s="135"/>
    </row>
    <row r="289" spans="1:12">
      <c r="A289" s="132"/>
      <c r="B289" s="132"/>
      <c r="C289" s="132"/>
      <c r="D289" s="134"/>
      <c r="E289" s="132"/>
      <c r="F289" s="139">
        <v>130</v>
      </c>
      <c r="G289" s="139">
        <v>0.2</v>
      </c>
      <c r="H289" s="139">
        <v>0.4</v>
      </c>
      <c r="I289" s="186"/>
      <c r="J289" s="127">
        <f t="shared" ref="J289" si="26">ROUND(PRODUCT(E289:I289),2)</f>
        <v>10.4</v>
      </c>
    </row>
    <row r="290" spans="1:12">
      <c r="A290" s="132"/>
      <c r="B290" s="132"/>
      <c r="C290" s="132"/>
      <c r="D290" s="134"/>
      <c r="E290" s="132"/>
      <c r="F290" s="135"/>
      <c r="G290" s="135"/>
      <c r="H290" s="135"/>
      <c r="I290" s="186"/>
      <c r="J290" s="135"/>
    </row>
    <row r="291" spans="1:12">
      <c r="A291" s="111" t="str">
        <f>'[7]Planilha Orçamentária'!A67</f>
        <v>8.0</v>
      </c>
      <c r="B291" s="112"/>
      <c r="C291" s="113" t="str">
        <f>VLOOKUP(A291,'[7]Planilha Orçamentária'!A:N,4,0)</f>
        <v>ESCADARIA</v>
      </c>
      <c r="D291" s="114"/>
      <c r="E291" s="115"/>
      <c r="F291" s="116"/>
      <c r="G291" s="116"/>
      <c r="H291" s="116"/>
      <c r="I291" s="117"/>
      <c r="J291" s="118"/>
    </row>
    <row r="292" spans="1:12" ht="39.6">
      <c r="A292" s="130" t="str">
        <f>'[7]Planilha Orçamentária'!A68</f>
        <v>8.1</v>
      </c>
      <c r="B292" s="120" t="str">
        <f>VLOOKUP(A292,'[7]Planilha Orçamentária'!A:N,2,0)</f>
        <v>COMP-82583347</v>
      </c>
      <c r="C292" s="121" t="str">
        <f>VLOOKUP(A292,'[7]Planilha Orçamentária'!A:N,4,0)</f>
        <v>ESCADA TIPO 3 DE PROJETO DE CONTENÇÃO DE ENCOSTAS - EM AVENARIA DE 1 VEZ E CONCRETO DE 15 MPA INCLUINDO REVESTIMENTOS</v>
      </c>
      <c r="D292" s="122" t="str">
        <f>VLOOKUP(A292,'[7]Planilha Orçamentária'!A:N,5,0)</f>
        <v>M</v>
      </c>
      <c r="E292" s="121"/>
      <c r="F292" s="172" t="s">
        <v>483</v>
      </c>
      <c r="G292" s="123"/>
      <c r="H292" s="123"/>
      <c r="I292" s="123"/>
      <c r="J292" s="124">
        <f>ROUND(SUM(J293:J294),2)</f>
        <v>163.41999999999999</v>
      </c>
    </row>
    <row r="293" spans="1:12">
      <c r="A293" s="132"/>
      <c r="B293" s="132"/>
      <c r="C293" s="132"/>
      <c r="D293" s="134"/>
      <c r="E293" s="132"/>
      <c r="F293" s="136">
        <f>74.12+89.3</f>
        <v>163.42000000000002</v>
      </c>
      <c r="G293" s="135"/>
      <c r="H293" s="135"/>
      <c r="I293" s="186"/>
      <c r="J293" s="127">
        <f t="shared" ref="J293" si="27">ROUND(PRODUCT(E293:I293),2)</f>
        <v>163.41999999999999</v>
      </c>
      <c r="L293" s="100">
        <f>54.31+40+39.3</f>
        <v>133.61000000000001</v>
      </c>
    </row>
    <row r="294" spans="1:12">
      <c r="A294" s="132"/>
      <c r="B294" s="132"/>
      <c r="C294" s="132"/>
      <c r="D294" s="134"/>
      <c r="E294" s="132"/>
      <c r="F294" s="135"/>
      <c r="G294" s="135"/>
      <c r="H294" s="135"/>
      <c r="I294" s="186"/>
      <c r="J294" s="135"/>
    </row>
    <row r="295" spans="1:12">
      <c r="A295" s="132"/>
      <c r="B295" s="132"/>
      <c r="C295" s="132"/>
      <c r="D295" s="134"/>
      <c r="E295" s="132"/>
      <c r="F295" s="135"/>
      <c r="G295" s="135"/>
      <c r="H295" s="135"/>
      <c r="I295" s="186"/>
      <c r="J295" s="135"/>
    </row>
    <row r="296" spans="1:12">
      <c r="A296" s="111" t="str">
        <f>'[7]Planilha Orçamentária'!A69</f>
        <v>9.0</v>
      </c>
      <c r="B296" s="112"/>
      <c r="C296" s="113" t="str">
        <f>VLOOKUP(A296,'[7]Planilha Orçamentária'!A:N,4,0)</f>
        <v>SERVIÇOS COMPLEMENTARES</v>
      </c>
      <c r="D296" s="114"/>
      <c r="E296" s="115"/>
      <c r="F296" s="116"/>
      <c r="G296" s="116"/>
      <c r="H296" s="116"/>
      <c r="I296" s="117"/>
      <c r="J296" s="118"/>
    </row>
    <row r="297" spans="1:12" ht="39.6">
      <c r="A297" s="130" t="str">
        <f>'[7]Planilha Orçamentária'!A70</f>
        <v>9.1</v>
      </c>
      <c r="B297" s="120">
        <f>VLOOKUP(A297,'[7]Planilha Orçamentária'!A:N,2,0)</f>
        <v>94990</v>
      </c>
      <c r="C297" s="121" t="str">
        <f>VLOOKUP(A297,'[7]Planilha Orçamentária'!A:N,4,0)</f>
        <v>EXECUÇÃO DE PASSEIO (CALÇADA) OU PISO DE CONCRETO COM CONCRETO MOLDADO IN LOCO, FEITO EM OBRA, ACABAMENTO CONVENCIONAL, NÃO ARMADO. AF_08/2022</v>
      </c>
      <c r="D297" s="122" t="str">
        <f>VLOOKUP(A297,'[7]Planilha Orçamentária'!A:N,5,0)</f>
        <v>M3</v>
      </c>
      <c r="E297" s="121"/>
      <c r="F297" s="123"/>
      <c r="G297" s="123"/>
      <c r="H297" s="123"/>
      <c r="I297" s="123"/>
      <c r="J297" s="124">
        <f>ROUND(SUM(J299),2)</f>
        <v>13.85</v>
      </c>
    </row>
    <row r="298" spans="1:12">
      <c r="A298" s="130"/>
      <c r="B298" s="120"/>
      <c r="C298" s="163"/>
      <c r="D298" s="122"/>
      <c r="E298" s="140"/>
      <c r="F298" s="185"/>
      <c r="G298" s="123"/>
      <c r="H298" s="123" t="s">
        <v>554</v>
      </c>
      <c r="I298" s="123" t="s">
        <v>488</v>
      </c>
      <c r="J298" s="124"/>
    </row>
    <row r="299" spans="1:12">
      <c r="A299" s="132"/>
      <c r="B299" s="132"/>
      <c r="C299" s="137" t="s">
        <v>564</v>
      </c>
      <c r="D299" s="142"/>
      <c r="E299" s="143"/>
      <c r="F299" s="143"/>
      <c r="G299" s="136"/>
      <c r="H299" s="136">
        <v>7.0000000000000007E-2</v>
      </c>
      <c r="I299" s="136">
        <v>197.82</v>
      </c>
      <c r="J299" s="127">
        <f t="shared" ref="J299" si="28">ROUND(PRODUCT(E299:I299),2)</f>
        <v>13.85</v>
      </c>
    </row>
    <row r="300" spans="1:12">
      <c r="A300" s="132"/>
      <c r="B300" s="132"/>
      <c r="C300" s="132"/>
      <c r="D300" s="134"/>
      <c r="E300" s="132"/>
      <c r="F300" s="135"/>
      <c r="G300" s="135"/>
      <c r="H300" s="135"/>
      <c r="I300" s="135"/>
      <c r="J300" s="135"/>
    </row>
    <row r="301" spans="1:12" ht="26.4">
      <c r="A301" s="130" t="str">
        <f>'[7]Planilha Orçamentária'!A71</f>
        <v>9.2</v>
      </c>
      <c r="B301" s="120" t="str">
        <f>VLOOKUP(A301,'[7]Planilha Orçamentária'!A:N,2,0)</f>
        <v>CP-97084-89637704</v>
      </c>
      <c r="C301" s="121" t="str">
        <f>VLOOKUP(A301,'[7]Planilha Orçamentária'!A:N,4,0)</f>
        <v>REGULARIZACAO E COMPACTAÇÃO MANUAL DE TERRENO COM PLACA VIBRATÓRIA</v>
      </c>
      <c r="D301" s="122" t="str">
        <f>VLOOKUP(A301,'[7]Planilha Orçamentária'!A:N,5,0)</f>
        <v>M2</v>
      </c>
      <c r="E301" s="121"/>
      <c r="F301" s="123"/>
      <c r="G301" s="123"/>
      <c r="H301" s="123"/>
      <c r="I301" s="123"/>
      <c r="J301" s="124">
        <f>ROUND(SUM(J303),2)</f>
        <v>197.82</v>
      </c>
    </row>
    <row r="302" spans="1:12">
      <c r="A302" s="130"/>
      <c r="B302" s="120"/>
      <c r="C302" s="163"/>
      <c r="D302" s="122"/>
      <c r="E302" s="140"/>
      <c r="F302" s="185"/>
      <c r="G302" s="123"/>
      <c r="H302" s="123"/>
      <c r="I302" s="123" t="s">
        <v>488</v>
      </c>
      <c r="J302" s="124"/>
    </row>
    <row r="303" spans="1:12">
      <c r="A303" s="132"/>
      <c r="B303" s="132"/>
      <c r="C303" s="137" t="s">
        <v>565</v>
      </c>
      <c r="D303" s="142"/>
      <c r="E303" s="143"/>
      <c r="F303" s="143"/>
      <c r="G303" s="136"/>
      <c r="H303" s="136"/>
      <c r="I303" s="136">
        <v>197.82</v>
      </c>
      <c r="J303" s="127">
        <f t="shared" ref="J303" si="29">ROUND(PRODUCT(E303:I303),2)</f>
        <v>197.82</v>
      </c>
    </row>
    <row r="304" spans="1:12">
      <c r="A304" s="132"/>
      <c r="B304" s="132"/>
      <c r="C304" s="132"/>
      <c r="D304" s="134"/>
      <c r="E304" s="132"/>
      <c r="F304" s="135"/>
      <c r="G304" s="135"/>
      <c r="H304" s="135"/>
      <c r="I304" s="135"/>
      <c r="J304" s="135"/>
    </row>
    <row r="305" spans="1:10" ht="66">
      <c r="A305" s="130" t="str">
        <f>'[7]Planilha Orçamentária'!A72</f>
        <v>9.3</v>
      </c>
      <c r="B305" s="120">
        <f>VLOOKUP(A305,'[7]Planilha Orçamentária'!A:N,2,0)</f>
        <v>99839</v>
      </c>
      <c r="C305" s="121" t="str">
        <f>VLOOKUP(A305,'[7]Planilha Orçamentária'!A:N,4,0)</f>
        <v>GUARDA-CORPO DE AÇO GALVANIZADO DE 1,10M DE ALTURA, MONTANTES TUBULARES DE 1.1/2  ESPAÇADOS DE 1,20M, TRAVESSA SUPERIOR DE 2 , GRADIL FORMADO POR BARRAS CHATAS EM FERRO DE 32X4,8MM, FIXADO COM CHUMBADOR MECÂNICO. AF_04/2019_PS</v>
      </c>
      <c r="D305" s="122" t="str">
        <f>VLOOKUP(A305,'[7]Planilha Orçamentária'!A:N,5,0)</f>
        <v>M</v>
      </c>
      <c r="E305" s="121"/>
      <c r="F305" s="123"/>
      <c r="G305" s="123"/>
      <c r="H305" s="123"/>
      <c r="I305" s="123"/>
      <c r="J305" s="124">
        <f>ROUND(SUM(J307),2)</f>
        <v>338.76</v>
      </c>
    </row>
    <row r="306" spans="1:10">
      <c r="A306" s="130"/>
      <c r="B306" s="120"/>
      <c r="C306" s="163"/>
      <c r="D306" s="122"/>
      <c r="E306" s="140"/>
      <c r="F306" s="185" t="s">
        <v>483</v>
      </c>
      <c r="G306" s="123"/>
      <c r="H306" s="123"/>
      <c r="I306" s="123"/>
      <c r="J306" s="124"/>
    </row>
    <row r="307" spans="1:10">
      <c r="A307" s="132"/>
      <c r="B307" s="132"/>
      <c r="C307" s="137" t="s">
        <v>498</v>
      </c>
      <c r="D307" s="142"/>
      <c r="E307" s="143"/>
      <c r="F307" s="143">
        <f>F293+175.34</f>
        <v>338.76</v>
      </c>
      <c r="G307" s="136"/>
      <c r="H307" s="136"/>
      <c r="I307" s="136"/>
      <c r="J307" s="127">
        <f>ROUND(PRODUCT(E307:I307),2)</f>
        <v>338.76</v>
      </c>
    </row>
    <row r="308" spans="1:10">
      <c r="I308" s="202"/>
    </row>
  </sheetData>
  <mergeCells count="8">
    <mergeCell ref="A7:J7"/>
    <mergeCell ref="A8:I8"/>
    <mergeCell ref="A1:J1"/>
    <mergeCell ref="A2:J2"/>
    <mergeCell ref="A3:J3"/>
    <mergeCell ref="A4:J4"/>
    <mergeCell ref="A5:J5"/>
    <mergeCell ref="A6:J6"/>
  </mergeCells>
  <printOptions horizontalCentered="1"/>
  <pageMargins left="0.39370078740157483" right="0.19685039370078741" top="0.39370078740157483" bottom="0.78740157480314965" header="0" footer="0"/>
  <pageSetup paperSize="9" scale="52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/>
  </sheetPr>
  <dimension ref="A1:G224"/>
  <sheetViews>
    <sheetView view="pageBreakPreview" zoomScale="90" zoomScaleNormal="100" zoomScaleSheetLayoutView="90" workbookViewId="0">
      <selection activeCell="E17" sqref="E17"/>
    </sheetView>
  </sheetViews>
  <sheetFormatPr defaultRowHeight="12"/>
  <cols>
    <col min="1" max="1" width="10.33203125" style="2" customWidth="1"/>
    <col min="2" max="2" width="45.77734375" style="2" customWidth="1"/>
    <col min="3" max="3" width="15.44140625" style="2" customWidth="1"/>
    <col min="4" max="4" width="6.109375" style="2" customWidth="1"/>
    <col min="5" max="7" width="12.44140625" style="2" customWidth="1"/>
    <col min="8" max="16384" width="8.88671875" style="2"/>
  </cols>
  <sheetData>
    <row r="1" spans="1:7" ht="67.05" customHeight="1">
      <c r="A1" s="207"/>
      <c r="B1" s="207"/>
      <c r="C1" s="207"/>
      <c r="D1" s="207"/>
      <c r="E1" s="207"/>
      <c r="F1" s="207"/>
      <c r="G1" s="207"/>
    </row>
    <row r="2" spans="1:7" ht="10.050000000000001" customHeight="1">
      <c r="A2" s="6"/>
      <c r="B2" s="6"/>
      <c r="C2" s="6"/>
      <c r="D2" s="6"/>
      <c r="E2" s="226"/>
      <c r="F2" s="226"/>
      <c r="G2" s="226"/>
    </row>
    <row r="3" spans="1:7" ht="19.95" customHeight="1">
      <c r="A3" s="223" t="s">
        <v>181</v>
      </c>
      <c r="B3" s="223"/>
      <c r="C3" s="223"/>
      <c r="D3" s="223"/>
      <c r="E3" s="223"/>
      <c r="F3" s="223"/>
      <c r="G3" s="223"/>
    </row>
    <row r="4" spans="1:7" ht="15" customHeight="1">
      <c r="A4" s="224" t="s">
        <v>182</v>
      </c>
      <c r="B4" s="224"/>
      <c r="C4" s="17" t="s">
        <v>183</v>
      </c>
      <c r="D4" s="17" t="s">
        <v>184</v>
      </c>
      <c r="E4" s="17" t="s">
        <v>185</v>
      </c>
      <c r="F4" s="17" t="s">
        <v>186</v>
      </c>
      <c r="G4" s="17" t="s">
        <v>187</v>
      </c>
    </row>
    <row r="5" spans="1:7" ht="21" customHeight="1">
      <c r="A5" s="18" t="s">
        <v>13</v>
      </c>
      <c r="B5" s="19" t="s">
        <v>15</v>
      </c>
      <c r="C5" s="18" t="s">
        <v>188</v>
      </c>
      <c r="D5" s="18" t="s">
        <v>16</v>
      </c>
      <c r="E5" s="20">
        <v>1</v>
      </c>
      <c r="F5" s="21">
        <v>883.33</v>
      </c>
      <c r="G5" s="21">
        <f>ROUND(ROUND(E5,4)*F5,2)</f>
        <v>883.33</v>
      </c>
    </row>
    <row r="6" spans="1:7" ht="15" customHeight="1">
      <c r="A6" s="6"/>
      <c r="B6" s="6"/>
      <c r="C6" s="6"/>
      <c r="D6" s="6"/>
      <c r="E6" s="225" t="s">
        <v>189</v>
      </c>
      <c r="F6" s="225"/>
      <c r="G6" s="22">
        <f>SUM(G5:G5)</f>
        <v>883.33</v>
      </c>
    </row>
    <row r="7" spans="1:7" ht="15" customHeight="1">
      <c r="A7" s="6"/>
      <c r="B7" s="6"/>
      <c r="C7" s="6"/>
      <c r="D7" s="6"/>
      <c r="E7" s="222" t="s">
        <v>190</v>
      </c>
      <c r="F7" s="222"/>
      <c r="G7" s="23">
        <f>ROUND(SUM(G6),2)</f>
        <v>883.33</v>
      </c>
    </row>
    <row r="8" spans="1:7" ht="10.050000000000001" customHeight="1">
      <c r="A8" s="6"/>
      <c r="B8" s="6"/>
      <c r="C8" s="6"/>
      <c r="D8" s="6"/>
      <c r="E8" s="226"/>
      <c r="F8" s="226"/>
      <c r="G8" s="226"/>
    </row>
    <row r="9" spans="1:7" ht="19.95" customHeight="1">
      <c r="A9" s="223" t="s">
        <v>191</v>
      </c>
      <c r="B9" s="223"/>
      <c r="C9" s="223"/>
      <c r="D9" s="223"/>
      <c r="E9" s="223"/>
      <c r="F9" s="223"/>
      <c r="G9" s="223"/>
    </row>
    <row r="10" spans="1:7" ht="15" customHeight="1">
      <c r="A10" s="224" t="s">
        <v>182</v>
      </c>
      <c r="B10" s="224"/>
      <c r="C10" s="17" t="s">
        <v>183</v>
      </c>
      <c r="D10" s="17" t="s">
        <v>184</v>
      </c>
      <c r="E10" s="17" t="s">
        <v>185</v>
      </c>
      <c r="F10" s="17" t="s">
        <v>186</v>
      </c>
      <c r="G10" s="17" t="s">
        <v>187</v>
      </c>
    </row>
    <row r="11" spans="1:7" ht="21" customHeight="1">
      <c r="A11" s="18" t="s">
        <v>18</v>
      </c>
      <c r="B11" s="19" t="s">
        <v>19</v>
      </c>
      <c r="C11" s="18" t="s">
        <v>188</v>
      </c>
      <c r="D11" s="18" t="s">
        <v>16</v>
      </c>
      <c r="E11" s="20">
        <v>1</v>
      </c>
      <c r="F11" s="21">
        <v>883.33</v>
      </c>
      <c r="G11" s="21">
        <f>ROUND(ROUND(E11,4)*F11,2)</f>
        <v>883.33</v>
      </c>
    </row>
    <row r="12" spans="1:7" ht="15" customHeight="1">
      <c r="A12" s="6"/>
      <c r="B12" s="6"/>
      <c r="C12" s="6"/>
      <c r="D12" s="6"/>
      <c r="E12" s="225" t="s">
        <v>189</v>
      </c>
      <c r="F12" s="225"/>
      <c r="G12" s="22">
        <f>SUM(G11:G11)</f>
        <v>883.33</v>
      </c>
    </row>
    <row r="13" spans="1:7" ht="15" customHeight="1">
      <c r="A13" s="6"/>
      <c r="B13" s="6"/>
      <c r="C13" s="6"/>
      <c r="D13" s="6"/>
      <c r="E13" s="222" t="s">
        <v>190</v>
      </c>
      <c r="F13" s="222"/>
      <c r="G13" s="23">
        <f>ROUND(SUM(G12),2)</f>
        <v>883.33</v>
      </c>
    </row>
    <row r="14" spans="1:7" ht="10.050000000000001" customHeight="1">
      <c r="A14" s="6"/>
      <c r="B14" s="6"/>
      <c r="C14" s="6"/>
      <c r="D14" s="6"/>
      <c r="E14" s="226"/>
      <c r="F14" s="226"/>
      <c r="G14" s="226"/>
    </row>
    <row r="15" spans="1:7" ht="19.95" customHeight="1">
      <c r="A15" s="223" t="s">
        <v>192</v>
      </c>
      <c r="B15" s="223"/>
      <c r="C15" s="223"/>
      <c r="D15" s="223"/>
      <c r="E15" s="223"/>
      <c r="F15" s="223"/>
      <c r="G15" s="223"/>
    </row>
    <row r="16" spans="1:7" ht="15" customHeight="1">
      <c r="A16" s="224" t="s">
        <v>182</v>
      </c>
      <c r="B16" s="224"/>
      <c r="C16" s="17" t="s">
        <v>183</v>
      </c>
      <c r="D16" s="17" t="s">
        <v>184</v>
      </c>
      <c r="E16" s="17" t="s">
        <v>185</v>
      </c>
      <c r="F16" s="17" t="s">
        <v>186</v>
      </c>
      <c r="G16" s="17" t="s">
        <v>187</v>
      </c>
    </row>
    <row r="17" spans="1:7" ht="21" customHeight="1">
      <c r="A17" s="18" t="s">
        <v>21</v>
      </c>
      <c r="B17" s="19" t="s">
        <v>22</v>
      </c>
      <c r="C17" s="18" t="s">
        <v>188</v>
      </c>
      <c r="D17" s="18" t="s">
        <v>23</v>
      </c>
      <c r="E17" s="20">
        <v>1</v>
      </c>
      <c r="F17" s="21">
        <v>1000</v>
      </c>
      <c r="G17" s="21">
        <f>ROUND(ROUND(E17,4)*F17,2)</f>
        <v>1000</v>
      </c>
    </row>
    <row r="18" spans="1:7" ht="15" customHeight="1">
      <c r="A18" s="6"/>
      <c r="B18" s="6"/>
      <c r="C18" s="6"/>
      <c r="D18" s="6"/>
      <c r="E18" s="225" t="s">
        <v>189</v>
      </c>
      <c r="F18" s="225"/>
      <c r="G18" s="22">
        <f>SUM(G17:G17)</f>
        <v>1000</v>
      </c>
    </row>
    <row r="19" spans="1:7" ht="15" customHeight="1">
      <c r="A19" s="6"/>
      <c r="B19" s="6"/>
      <c r="C19" s="6"/>
      <c r="D19" s="6"/>
      <c r="E19" s="222" t="s">
        <v>190</v>
      </c>
      <c r="F19" s="222"/>
      <c r="G19" s="23">
        <f>ROUND(SUM(G18),2)</f>
        <v>1000</v>
      </c>
    </row>
    <row r="20" spans="1:7" ht="10.050000000000001" customHeight="1">
      <c r="A20" s="6"/>
      <c r="B20" s="6"/>
      <c r="C20" s="6"/>
      <c r="D20" s="6"/>
      <c r="E20" s="226"/>
      <c r="F20" s="226"/>
      <c r="G20" s="226"/>
    </row>
    <row r="21" spans="1:7" ht="19.95" customHeight="1">
      <c r="A21" s="223" t="s">
        <v>193</v>
      </c>
      <c r="B21" s="223"/>
      <c r="C21" s="223"/>
      <c r="D21" s="223"/>
      <c r="E21" s="223"/>
      <c r="F21" s="223"/>
      <c r="G21" s="223"/>
    </row>
    <row r="22" spans="1:7" ht="15" customHeight="1">
      <c r="A22" s="224" t="s">
        <v>182</v>
      </c>
      <c r="B22" s="224"/>
      <c r="C22" s="17" t="s">
        <v>183</v>
      </c>
      <c r="D22" s="17" t="s">
        <v>184</v>
      </c>
      <c r="E22" s="17" t="s">
        <v>185</v>
      </c>
      <c r="F22" s="17" t="s">
        <v>186</v>
      </c>
      <c r="G22" s="17" t="s">
        <v>187</v>
      </c>
    </row>
    <row r="23" spans="1:7" ht="21" customHeight="1">
      <c r="A23" s="18" t="s">
        <v>25</v>
      </c>
      <c r="B23" s="19" t="s">
        <v>26</v>
      </c>
      <c r="C23" s="18" t="s">
        <v>188</v>
      </c>
      <c r="D23" s="18" t="s">
        <v>23</v>
      </c>
      <c r="E23" s="20">
        <v>1</v>
      </c>
      <c r="F23" s="21">
        <v>1083.33</v>
      </c>
      <c r="G23" s="21">
        <f>ROUND(ROUND(E23,4)*F23,2)</f>
        <v>1083.33</v>
      </c>
    </row>
    <row r="24" spans="1:7" ht="15" customHeight="1">
      <c r="A24" s="6"/>
      <c r="B24" s="6"/>
      <c r="C24" s="6"/>
      <c r="D24" s="6"/>
      <c r="E24" s="225" t="s">
        <v>189</v>
      </c>
      <c r="F24" s="225"/>
      <c r="G24" s="22">
        <f>SUM(G23:G23)</f>
        <v>1083.33</v>
      </c>
    </row>
    <row r="25" spans="1:7" ht="15" customHeight="1">
      <c r="A25" s="6"/>
      <c r="B25" s="6"/>
      <c r="C25" s="6"/>
      <c r="D25" s="6"/>
      <c r="E25" s="222" t="s">
        <v>190</v>
      </c>
      <c r="F25" s="222"/>
      <c r="G25" s="23">
        <f>ROUND(SUM(G24),2)</f>
        <v>1083.33</v>
      </c>
    </row>
    <row r="26" spans="1:7" ht="10.050000000000001" customHeight="1">
      <c r="A26" s="6"/>
      <c r="B26" s="6"/>
      <c r="C26" s="6"/>
      <c r="D26" s="6"/>
      <c r="E26" s="226"/>
      <c r="F26" s="226"/>
      <c r="G26" s="226"/>
    </row>
    <row r="27" spans="1:7" ht="19.95" customHeight="1">
      <c r="A27" s="223" t="s">
        <v>194</v>
      </c>
      <c r="B27" s="223"/>
      <c r="C27" s="223"/>
      <c r="D27" s="223"/>
      <c r="E27" s="223"/>
      <c r="F27" s="223"/>
      <c r="G27" s="223"/>
    </row>
    <row r="28" spans="1:7" ht="15" customHeight="1">
      <c r="A28" s="224" t="s">
        <v>195</v>
      </c>
      <c r="B28" s="224"/>
      <c r="C28" s="17" t="s">
        <v>183</v>
      </c>
      <c r="D28" s="17" t="s">
        <v>184</v>
      </c>
      <c r="E28" s="17" t="s">
        <v>185</v>
      </c>
      <c r="F28" s="17" t="s">
        <v>186</v>
      </c>
      <c r="G28" s="17" t="s">
        <v>187</v>
      </c>
    </row>
    <row r="29" spans="1:7" ht="21" customHeight="1">
      <c r="A29" s="18" t="s">
        <v>196</v>
      </c>
      <c r="B29" s="19" t="s">
        <v>197</v>
      </c>
      <c r="C29" s="18" t="s">
        <v>31</v>
      </c>
      <c r="D29" s="18" t="s">
        <v>23</v>
      </c>
      <c r="E29" s="20">
        <v>12</v>
      </c>
      <c r="F29" s="21">
        <v>8475.4699999999993</v>
      </c>
      <c r="G29" s="21">
        <f>ROUND(ROUND(E29,4)*F29,2)</f>
        <v>101705.64</v>
      </c>
    </row>
    <row r="30" spans="1:7" ht="21" customHeight="1">
      <c r="A30" s="18" t="s">
        <v>198</v>
      </c>
      <c r="B30" s="19" t="s">
        <v>199</v>
      </c>
      <c r="C30" s="18" t="s">
        <v>31</v>
      </c>
      <c r="D30" s="18" t="s">
        <v>23</v>
      </c>
      <c r="E30" s="20">
        <v>7.5</v>
      </c>
      <c r="F30" s="21">
        <v>23154.54</v>
      </c>
      <c r="G30" s="21">
        <f>ROUND(ROUND(E30,4)*F30,2)</f>
        <v>173659.05</v>
      </c>
    </row>
    <row r="31" spans="1:7" ht="21" customHeight="1">
      <c r="A31" s="18" t="s">
        <v>200</v>
      </c>
      <c r="B31" s="19" t="s">
        <v>201</v>
      </c>
      <c r="C31" s="18" t="s">
        <v>31</v>
      </c>
      <c r="D31" s="18" t="s">
        <v>23</v>
      </c>
      <c r="E31" s="20">
        <v>12</v>
      </c>
      <c r="F31" s="21">
        <v>6086.55</v>
      </c>
      <c r="G31" s="21">
        <f>ROUND(ROUND(E31,4)*F31,2)</f>
        <v>73038.600000000006</v>
      </c>
    </row>
    <row r="32" spans="1:7" ht="15" customHeight="1">
      <c r="A32" s="18" t="s">
        <v>202</v>
      </c>
      <c r="B32" s="19" t="s">
        <v>203</v>
      </c>
      <c r="C32" s="18" t="s">
        <v>31</v>
      </c>
      <c r="D32" s="18" t="s">
        <v>23</v>
      </c>
      <c r="E32" s="20">
        <v>3</v>
      </c>
      <c r="F32" s="21">
        <v>7080.1</v>
      </c>
      <c r="G32" s="21">
        <f>ROUND(ROUND(E32,4)*F32,2)</f>
        <v>21240.3</v>
      </c>
    </row>
    <row r="33" spans="1:7" ht="18" customHeight="1">
      <c r="A33" s="6"/>
      <c r="B33" s="6"/>
      <c r="C33" s="6"/>
      <c r="D33" s="6"/>
      <c r="E33" s="225" t="s">
        <v>204</v>
      </c>
      <c r="F33" s="225"/>
      <c r="G33" s="22">
        <f>SUM(G29:G32)</f>
        <v>369643.59</v>
      </c>
    </row>
    <row r="34" spans="1:7" ht="15" customHeight="1">
      <c r="A34" s="6"/>
      <c r="B34" s="6"/>
      <c r="C34" s="6"/>
      <c r="D34" s="6"/>
      <c r="E34" s="222" t="s">
        <v>190</v>
      </c>
      <c r="F34" s="222"/>
      <c r="G34" s="23">
        <f>ROUND(SUM(G33),2)</f>
        <v>369643.59</v>
      </c>
    </row>
    <row r="35" spans="1:7" ht="10.050000000000001" customHeight="1">
      <c r="A35" s="6"/>
      <c r="B35" s="6"/>
      <c r="C35" s="6"/>
      <c r="D35" s="6"/>
      <c r="E35" s="226"/>
      <c r="F35" s="226"/>
      <c r="G35" s="226"/>
    </row>
    <row r="36" spans="1:7" ht="19.95" customHeight="1">
      <c r="A36" s="223" t="s">
        <v>205</v>
      </c>
      <c r="B36" s="223"/>
      <c r="C36" s="223"/>
      <c r="D36" s="223"/>
      <c r="E36" s="223"/>
      <c r="F36" s="223"/>
      <c r="G36" s="223"/>
    </row>
    <row r="37" spans="1:7" ht="15" customHeight="1">
      <c r="A37" s="224" t="s">
        <v>206</v>
      </c>
      <c r="B37" s="224"/>
      <c r="C37" s="17" t="s">
        <v>183</v>
      </c>
      <c r="D37" s="17" t="s">
        <v>184</v>
      </c>
      <c r="E37" s="17" t="s">
        <v>185</v>
      </c>
      <c r="F37" s="17" t="s">
        <v>186</v>
      </c>
      <c r="G37" s="17" t="s">
        <v>187</v>
      </c>
    </row>
    <row r="38" spans="1:7" ht="37.950000000000003" customHeight="1">
      <c r="A38" s="18" t="s">
        <v>207</v>
      </c>
      <c r="B38" s="19" t="s">
        <v>208</v>
      </c>
      <c r="C38" s="18" t="s">
        <v>31</v>
      </c>
      <c r="D38" s="18" t="s">
        <v>209</v>
      </c>
      <c r="E38" s="20">
        <v>0.25</v>
      </c>
      <c r="F38" s="21">
        <v>88.79</v>
      </c>
      <c r="G38" s="21">
        <f>ROUND(ROUND(E38,4)*F38,2)</f>
        <v>22.2</v>
      </c>
    </row>
    <row r="39" spans="1:7" ht="18" customHeight="1">
      <c r="A39" s="6"/>
      <c r="B39" s="6"/>
      <c r="C39" s="6"/>
      <c r="D39" s="6"/>
      <c r="E39" s="225" t="s">
        <v>210</v>
      </c>
      <c r="F39" s="225"/>
      <c r="G39" s="22">
        <f>SUM(G38:G38)</f>
        <v>22.2</v>
      </c>
    </row>
    <row r="40" spans="1:7" ht="15" customHeight="1">
      <c r="A40" s="224" t="s">
        <v>195</v>
      </c>
      <c r="B40" s="224"/>
      <c r="C40" s="17" t="s">
        <v>183</v>
      </c>
      <c r="D40" s="17" t="s">
        <v>184</v>
      </c>
      <c r="E40" s="17" t="s">
        <v>185</v>
      </c>
      <c r="F40" s="17" t="s">
        <v>186</v>
      </c>
      <c r="G40" s="17" t="s">
        <v>187</v>
      </c>
    </row>
    <row r="41" spans="1:7" ht="15" customHeight="1">
      <c r="A41" s="18" t="s">
        <v>211</v>
      </c>
      <c r="B41" s="19" t="s">
        <v>212</v>
      </c>
      <c r="C41" s="18" t="s">
        <v>31</v>
      </c>
      <c r="D41" s="18" t="s">
        <v>213</v>
      </c>
      <c r="E41" s="20">
        <v>0.7</v>
      </c>
      <c r="F41" s="21">
        <v>24.08</v>
      </c>
      <c r="G41" s="21">
        <f>ROUND(ROUND(E41,4)*F41,2)</f>
        <v>16.86</v>
      </c>
    </row>
    <row r="42" spans="1:7" ht="18" customHeight="1">
      <c r="A42" s="6"/>
      <c r="B42" s="6"/>
      <c r="C42" s="6"/>
      <c r="D42" s="6"/>
      <c r="E42" s="225" t="s">
        <v>204</v>
      </c>
      <c r="F42" s="225"/>
      <c r="G42" s="22">
        <f>SUM(G41:G41)</f>
        <v>16.86</v>
      </c>
    </row>
    <row r="43" spans="1:7" ht="15" customHeight="1">
      <c r="A43" s="6"/>
      <c r="B43" s="6"/>
      <c r="C43" s="6"/>
      <c r="D43" s="6"/>
      <c r="E43" s="222" t="s">
        <v>190</v>
      </c>
      <c r="F43" s="222"/>
      <c r="G43" s="23">
        <f>ROUND(SUM(G39,G42),2)</f>
        <v>39.06</v>
      </c>
    </row>
    <row r="44" spans="1:7" ht="10.050000000000001" customHeight="1">
      <c r="A44" s="6"/>
      <c r="B44" s="6"/>
      <c r="C44" s="6"/>
      <c r="D44" s="6"/>
      <c r="E44" s="226"/>
      <c r="F44" s="226"/>
      <c r="G44" s="226"/>
    </row>
    <row r="45" spans="1:7" ht="19.95" customHeight="1">
      <c r="A45" s="223" t="s">
        <v>214</v>
      </c>
      <c r="B45" s="223"/>
      <c r="C45" s="223"/>
      <c r="D45" s="223"/>
      <c r="E45" s="223"/>
      <c r="F45" s="223"/>
      <c r="G45" s="223"/>
    </row>
    <row r="46" spans="1:7" ht="15" customHeight="1">
      <c r="A46" s="224" t="s">
        <v>195</v>
      </c>
      <c r="B46" s="224"/>
      <c r="C46" s="17" t="s">
        <v>183</v>
      </c>
      <c r="D46" s="17" t="s">
        <v>184</v>
      </c>
      <c r="E46" s="17" t="s">
        <v>185</v>
      </c>
      <c r="F46" s="17" t="s">
        <v>186</v>
      </c>
      <c r="G46" s="17" t="s">
        <v>187</v>
      </c>
    </row>
    <row r="47" spans="1:7" ht="15" customHeight="1">
      <c r="A47" s="18" t="s">
        <v>211</v>
      </c>
      <c r="B47" s="19" t="s">
        <v>212</v>
      </c>
      <c r="C47" s="18" t="s">
        <v>31</v>
      </c>
      <c r="D47" s="18" t="s">
        <v>213</v>
      </c>
      <c r="E47" s="20">
        <v>49.374000000000002</v>
      </c>
      <c r="F47" s="21">
        <v>24.08</v>
      </c>
      <c r="G47" s="21">
        <f>ROUND(ROUND(E47,4)*F47,2)</f>
        <v>1188.93</v>
      </c>
    </row>
    <row r="48" spans="1:7" ht="18" customHeight="1">
      <c r="A48" s="6"/>
      <c r="B48" s="6"/>
      <c r="C48" s="6"/>
      <c r="D48" s="6"/>
      <c r="E48" s="225" t="s">
        <v>204</v>
      </c>
      <c r="F48" s="225"/>
      <c r="G48" s="22">
        <f>SUM(G47:G47)</f>
        <v>1188.93</v>
      </c>
    </row>
    <row r="49" spans="1:7" ht="15" customHeight="1">
      <c r="A49" s="6"/>
      <c r="B49" s="6"/>
      <c r="C49" s="6"/>
      <c r="D49" s="6"/>
      <c r="E49" s="222" t="s">
        <v>190</v>
      </c>
      <c r="F49" s="222"/>
      <c r="G49" s="23">
        <f>ROUND(SUM(G48),2)</f>
        <v>1188.93</v>
      </c>
    </row>
    <row r="50" spans="1:7" ht="10.050000000000001" customHeight="1">
      <c r="A50" s="6"/>
      <c r="B50" s="6"/>
      <c r="C50" s="6"/>
      <c r="D50" s="6"/>
      <c r="E50" s="226"/>
      <c r="F50" s="226"/>
      <c r="G50" s="226"/>
    </row>
    <row r="51" spans="1:7" ht="19.95" customHeight="1">
      <c r="A51" s="223" t="s">
        <v>215</v>
      </c>
      <c r="B51" s="223"/>
      <c r="C51" s="223"/>
      <c r="D51" s="223"/>
      <c r="E51" s="223"/>
      <c r="F51" s="223"/>
      <c r="G51" s="223"/>
    </row>
    <row r="52" spans="1:7" ht="15" customHeight="1">
      <c r="A52" s="224" t="s">
        <v>206</v>
      </c>
      <c r="B52" s="224"/>
      <c r="C52" s="17" t="s">
        <v>183</v>
      </c>
      <c r="D52" s="17" t="s">
        <v>184</v>
      </c>
      <c r="E52" s="17" t="s">
        <v>185</v>
      </c>
      <c r="F52" s="17" t="s">
        <v>186</v>
      </c>
      <c r="G52" s="17" t="s">
        <v>187</v>
      </c>
    </row>
    <row r="53" spans="1:7" ht="46.05" customHeight="1">
      <c r="A53" s="18" t="s">
        <v>216</v>
      </c>
      <c r="B53" s="19" t="s">
        <v>217</v>
      </c>
      <c r="C53" s="18" t="s">
        <v>31</v>
      </c>
      <c r="D53" s="18" t="s">
        <v>218</v>
      </c>
      <c r="E53" s="20">
        <v>4.5999999999999999E-3</v>
      </c>
      <c r="F53" s="21">
        <v>273.31</v>
      </c>
      <c r="G53" s="21">
        <f>ROUND(ROUND(E53,4)*F53,2)</f>
        <v>1.26</v>
      </c>
    </row>
    <row r="54" spans="1:7" ht="18" customHeight="1">
      <c r="A54" s="6"/>
      <c r="B54" s="6"/>
      <c r="C54" s="6"/>
      <c r="D54" s="6"/>
      <c r="E54" s="225" t="s">
        <v>210</v>
      </c>
      <c r="F54" s="225"/>
      <c r="G54" s="22">
        <f>SUM(G53:G53)</f>
        <v>1.26</v>
      </c>
    </row>
    <row r="55" spans="1:7" ht="15" customHeight="1">
      <c r="A55" s="6"/>
      <c r="B55" s="6"/>
      <c r="C55" s="6"/>
      <c r="D55" s="6"/>
      <c r="E55" s="222" t="s">
        <v>190</v>
      </c>
      <c r="F55" s="222"/>
      <c r="G55" s="23">
        <f>ROUND(SUM(G54),2)</f>
        <v>1.26</v>
      </c>
    </row>
    <row r="56" spans="1:7" ht="10.050000000000001" customHeight="1">
      <c r="A56" s="6"/>
      <c r="B56" s="6"/>
      <c r="C56" s="6"/>
      <c r="D56" s="6"/>
      <c r="E56" s="226"/>
      <c r="F56" s="226"/>
      <c r="G56" s="226"/>
    </row>
    <row r="57" spans="1:7" ht="19.95" customHeight="1">
      <c r="A57" s="223" t="s">
        <v>219</v>
      </c>
      <c r="B57" s="223"/>
      <c r="C57" s="223"/>
      <c r="D57" s="223"/>
      <c r="E57" s="223"/>
      <c r="F57" s="223"/>
      <c r="G57" s="223"/>
    </row>
    <row r="58" spans="1:7" ht="15" customHeight="1">
      <c r="A58" s="224" t="s">
        <v>220</v>
      </c>
      <c r="B58" s="224"/>
      <c r="C58" s="17" t="s">
        <v>183</v>
      </c>
      <c r="D58" s="17" t="s">
        <v>184</v>
      </c>
      <c r="E58" s="17" t="s">
        <v>185</v>
      </c>
      <c r="F58" s="17" t="s">
        <v>186</v>
      </c>
      <c r="G58" s="17" t="s">
        <v>187</v>
      </c>
    </row>
    <row r="59" spans="1:7" ht="21" customHeight="1">
      <c r="A59" s="18" t="s">
        <v>221</v>
      </c>
      <c r="B59" s="19" t="s">
        <v>222</v>
      </c>
      <c r="C59" s="18" t="s">
        <v>31</v>
      </c>
      <c r="D59" s="18" t="s">
        <v>48</v>
      </c>
      <c r="E59" s="20">
        <v>1.1499999999999999</v>
      </c>
      <c r="F59" s="21">
        <v>101.14</v>
      </c>
      <c r="G59" s="21">
        <f>ROUND(ROUND(E59,4)*F59,2)</f>
        <v>116.31</v>
      </c>
    </row>
    <row r="60" spans="1:7" ht="15" customHeight="1">
      <c r="A60" s="6"/>
      <c r="B60" s="6"/>
      <c r="C60" s="6"/>
      <c r="D60" s="6"/>
      <c r="E60" s="225" t="s">
        <v>223</v>
      </c>
      <c r="F60" s="225"/>
      <c r="G60" s="22">
        <f>SUM(G59:G59)</f>
        <v>116.31</v>
      </c>
    </row>
    <row r="61" spans="1:7" ht="15" customHeight="1">
      <c r="A61" s="224" t="s">
        <v>195</v>
      </c>
      <c r="B61" s="224"/>
      <c r="C61" s="17" t="s">
        <v>183</v>
      </c>
      <c r="D61" s="17" t="s">
        <v>184</v>
      </c>
      <c r="E61" s="17" t="s">
        <v>185</v>
      </c>
      <c r="F61" s="17" t="s">
        <v>186</v>
      </c>
      <c r="G61" s="17" t="s">
        <v>187</v>
      </c>
    </row>
    <row r="62" spans="1:7" ht="15" customHeight="1">
      <c r="A62" s="18" t="s">
        <v>211</v>
      </c>
      <c r="B62" s="19" t="s">
        <v>212</v>
      </c>
      <c r="C62" s="18" t="s">
        <v>31</v>
      </c>
      <c r="D62" s="18" t="s">
        <v>213</v>
      </c>
      <c r="E62" s="20">
        <v>2</v>
      </c>
      <c r="F62" s="21">
        <v>24.08</v>
      </c>
      <c r="G62" s="21">
        <f>ROUND(ROUND(E62,4)*F62,2)</f>
        <v>48.16</v>
      </c>
    </row>
    <row r="63" spans="1:7" ht="18" customHeight="1">
      <c r="A63" s="6"/>
      <c r="B63" s="6"/>
      <c r="C63" s="6"/>
      <c r="D63" s="6"/>
      <c r="E63" s="225" t="s">
        <v>204</v>
      </c>
      <c r="F63" s="225"/>
      <c r="G63" s="22">
        <f>SUM(G62:G62)</f>
        <v>48.16</v>
      </c>
    </row>
    <row r="64" spans="1:7" ht="15" customHeight="1">
      <c r="A64" s="6"/>
      <c r="B64" s="6"/>
      <c r="C64" s="6"/>
      <c r="D64" s="6"/>
      <c r="E64" s="222" t="s">
        <v>190</v>
      </c>
      <c r="F64" s="222"/>
      <c r="G64" s="23">
        <f>ROUND(SUM(G60,G63),2)</f>
        <v>164.47</v>
      </c>
    </row>
    <row r="65" spans="1:7" ht="10.050000000000001" customHeight="1">
      <c r="A65" s="6"/>
      <c r="B65" s="6"/>
      <c r="C65" s="6"/>
      <c r="D65" s="6"/>
      <c r="E65" s="226"/>
      <c r="F65" s="226"/>
      <c r="G65" s="226"/>
    </row>
    <row r="66" spans="1:7" ht="19.95" customHeight="1">
      <c r="A66" s="223" t="s">
        <v>224</v>
      </c>
      <c r="B66" s="223"/>
      <c r="C66" s="223"/>
      <c r="D66" s="223"/>
      <c r="E66" s="223"/>
      <c r="F66" s="223"/>
      <c r="G66" s="223"/>
    </row>
    <row r="67" spans="1:7" ht="15" customHeight="1">
      <c r="A67" s="224" t="s">
        <v>220</v>
      </c>
      <c r="B67" s="224"/>
      <c r="C67" s="17" t="s">
        <v>183</v>
      </c>
      <c r="D67" s="17" t="s">
        <v>184</v>
      </c>
      <c r="E67" s="17" t="s">
        <v>185</v>
      </c>
      <c r="F67" s="17" t="s">
        <v>186</v>
      </c>
      <c r="G67" s="17" t="s">
        <v>187</v>
      </c>
    </row>
    <row r="68" spans="1:7" ht="21" customHeight="1">
      <c r="A68" s="18" t="s">
        <v>225</v>
      </c>
      <c r="B68" s="19" t="s">
        <v>226</v>
      </c>
      <c r="C68" s="18" t="s">
        <v>31</v>
      </c>
      <c r="D68" s="18" t="s">
        <v>48</v>
      </c>
      <c r="E68" s="20">
        <v>1.2</v>
      </c>
      <c r="F68" s="21">
        <v>140</v>
      </c>
      <c r="G68" s="21">
        <f>ROUND(ROUND(E68,4)*F68,2)</f>
        <v>168</v>
      </c>
    </row>
    <row r="69" spans="1:7" ht="15" customHeight="1">
      <c r="A69" s="6"/>
      <c r="B69" s="6"/>
      <c r="C69" s="6"/>
      <c r="D69" s="6"/>
      <c r="E69" s="225" t="s">
        <v>223</v>
      </c>
      <c r="F69" s="225"/>
      <c r="G69" s="22">
        <f>SUM(G68:G68)</f>
        <v>168</v>
      </c>
    </row>
    <row r="70" spans="1:7" ht="15" customHeight="1">
      <c r="A70" s="224" t="s">
        <v>195</v>
      </c>
      <c r="B70" s="224"/>
      <c r="C70" s="17" t="s">
        <v>183</v>
      </c>
      <c r="D70" s="17" t="s">
        <v>184</v>
      </c>
      <c r="E70" s="17" t="s">
        <v>185</v>
      </c>
      <c r="F70" s="17" t="s">
        <v>186</v>
      </c>
      <c r="G70" s="17" t="s">
        <v>187</v>
      </c>
    </row>
    <row r="71" spans="1:7" ht="15" customHeight="1">
      <c r="A71" s="18" t="s">
        <v>211</v>
      </c>
      <c r="B71" s="19" t="s">
        <v>212</v>
      </c>
      <c r="C71" s="18" t="s">
        <v>31</v>
      </c>
      <c r="D71" s="18" t="s">
        <v>213</v>
      </c>
      <c r="E71" s="20">
        <v>1.3</v>
      </c>
      <c r="F71" s="21">
        <v>24.08</v>
      </c>
      <c r="G71" s="21">
        <f>ROUND(ROUND(E71,4)*F71,2)</f>
        <v>31.3</v>
      </c>
    </row>
    <row r="72" spans="1:7" ht="18" customHeight="1">
      <c r="A72" s="6"/>
      <c r="B72" s="6"/>
      <c r="C72" s="6"/>
      <c r="D72" s="6"/>
      <c r="E72" s="225" t="s">
        <v>204</v>
      </c>
      <c r="F72" s="225"/>
      <c r="G72" s="22">
        <f>SUM(G71:G71)</f>
        <v>31.3</v>
      </c>
    </row>
    <row r="73" spans="1:7" ht="15" customHeight="1">
      <c r="A73" s="6"/>
      <c r="B73" s="6"/>
      <c r="C73" s="6"/>
      <c r="D73" s="6"/>
      <c r="E73" s="222" t="s">
        <v>190</v>
      </c>
      <c r="F73" s="222"/>
      <c r="G73" s="23">
        <f>ROUND(SUM(G69,G72),2)</f>
        <v>199.3</v>
      </c>
    </row>
    <row r="74" spans="1:7" ht="10.050000000000001" customHeight="1">
      <c r="A74" s="6"/>
      <c r="B74" s="6"/>
      <c r="C74" s="6"/>
      <c r="D74" s="6"/>
      <c r="E74" s="226"/>
      <c r="F74" s="226"/>
      <c r="G74" s="226"/>
    </row>
    <row r="75" spans="1:7" ht="19.95" customHeight="1">
      <c r="A75" s="223" t="s">
        <v>227</v>
      </c>
      <c r="B75" s="223"/>
      <c r="C75" s="223"/>
      <c r="D75" s="223"/>
      <c r="E75" s="223"/>
      <c r="F75" s="223"/>
      <c r="G75" s="223"/>
    </row>
    <row r="76" spans="1:7" ht="15" customHeight="1">
      <c r="A76" s="224" t="s">
        <v>220</v>
      </c>
      <c r="B76" s="224"/>
      <c r="C76" s="17" t="s">
        <v>183</v>
      </c>
      <c r="D76" s="17" t="s">
        <v>184</v>
      </c>
      <c r="E76" s="17" t="s">
        <v>185</v>
      </c>
      <c r="F76" s="17" t="s">
        <v>186</v>
      </c>
      <c r="G76" s="17" t="s">
        <v>187</v>
      </c>
    </row>
    <row r="77" spans="1:7" ht="28.95" customHeight="1">
      <c r="A77" s="18" t="s">
        <v>228</v>
      </c>
      <c r="B77" s="19" t="s">
        <v>229</v>
      </c>
      <c r="C77" s="18" t="s">
        <v>31</v>
      </c>
      <c r="D77" s="18" t="s">
        <v>33</v>
      </c>
      <c r="E77" s="20">
        <v>1.08</v>
      </c>
      <c r="F77" s="21">
        <v>23.22</v>
      </c>
      <c r="G77" s="21">
        <f>ROUND(ROUND(E77,4)*F77,2)</f>
        <v>25.08</v>
      </c>
    </row>
    <row r="78" spans="1:7" ht="15" customHeight="1">
      <c r="A78" s="6"/>
      <c r="B78" s="6"/>
      <c r="C78" s="6"/>
      <c r="D78" s="6"/>
      <c r="E78" s="225" t="s">
        <v>223</v>
      </c>
      <c r="F78" s="225"/>
      <c r="G78" s="22">
        <f>SUM(G77:G77)</f>
        <v>25.08</v>
      </c>
    </row>
    <row r="79" spans="1:7" ht="15" customHeight="1">
      <c r="A79" s="224" t="s">
        <v>195</v>
      </c>
      <c r="B79" s="224"/>
      <c r="C79" s="17" t="s">
        <v>183</v>
      </c>
      <c r="D79" s="17" t="s">
        <v>184</v>
      </c>
      <c r="E79" s="17" t="s">
        <v>185</v>
      </c>
      <c r="F79" s="17" t="s">
        <v>186</v>
      </c>
      <c r="G79" s="17" t="s">
        <v>187</v>
      </c>
    </row>
    <row r="80" spans="1:7" ht="15" customHeight="1">
      <c r="A80" s="18" t="s">
        <v>211</v>
      </c>
      <c r="B80" s="19" t="s">
        <v>212</v>
      </c>
      <c r="C80" s="18" t="s">
        <v>31</v>
      </c>
      <c r="D80" s="18" t="s">
        <v>213</v>
      </c>
      <c r="E80" s="20">
        <v>0.03</v>
      </c>
      <c r="F80" s="21">
        <v>24.08</v>
      </c>
      <c r="G80" s="21">
        <f>ROUND(ROUND(E80,4)*F80,2)</f>
        <v>0.72</v>
      </c>
    </row>
    <row r="81" spans="1:7" ht="18" customHeight="1">
      <c r="A81" s="6"/>
      <c r="B81" s="6"/>
      <c r="C81" s="6"/>
      <c r="D81" s="6"/>
      <c r="E81" s="225" t="s">
        <v>204</v>
      </c>
      <c r="F81" s="225"/>
      <c r="G81" s="22">
        <f>SUM(G80:G80)</f>
        <v>0.72</v>
      </c>
    </row>
    <row r="82" spans="1:7" ht="15" customHeight="1">
      <c r="A82" s="6"/>
      <c r="B82" s="6"/>
      <c r="C82" s="6"/>
      <c r="D82" s="6"/>
      <c r="E82" s="222" t="s">
        <v>190</v>
      </c>
      <c r="F82" s="222"/>
      <c r="G82" s="23">
        <f>ROUND(SUM(G78,G81),2)</f>
        <v>25.8</v>
      </c>
    </row>
    <row r="83" spans="1:7" ht="10.050000000000001" customHeight="1">
      <c r="A83" s="6"/>
      <c r="B83" s="6"/>
      <c r="C83" s="6"/>
      <c r="D83" s="6"/>
      <c r="E83" s="226"/>
      <c r="F83" s="226"/>
      <c r="G83" s="226"/>
    </row>
    <row r="84" spans="1:7" ht="19.95" customHeight="1">
      <c r="A84" s="223" t="s">
        <v>230</v>
      </c>
      <c r="B84" s="223"/>
      <c r="C84" s="223"/>
      <c r="D84" s="223"/>
      <c r="E84" s="223"/>
      <c r="F84" s="223"/>
      <c r="G84" s="223"/>
    </row>
    <row r="85" spans="1:7" ht="15" customHeight="1">
      <c r="A85" s="224" t="s">
        <v>220</v>
      </c>
      <c r="B85" s="224"/>
      <c r="C85" s="17" t="s">
        <v>183</v>
      </c>
      <c r="D85" s="17" t="s">
        <v>184</v>
      </c>
      <c r="E85" s="17" t="s">
        <v>185</v>
      </c>
      <c r="F85" s="17" t="s">
        <v>186</v>
      </c>
      <c r="G85" s="17" t="s">
        <v>187</v>
      </c>
    </row>
    <row r="86" spans="1:7" ht="21" customHeight="1">
      <c r="A86" s="18" t="s">
        <v>231</v>
      </c>
      <c r="B86" s="19" t="s">
        <v>232</v>
      </c>
      <c r="C86" s="18" t="s">
        <v>31</v>
      </c>
      <c r="D86" s="18" t="s">
        <v>48</v>
      </c>
      <c r="E86" s="20">
        <v>4.0000000000000001E-3</v>
      </c>
      <c r="F86" s="21">
        <v>95.03</v>
      </c>
      <c r="G86" s="21">
        <f>ROUND(ROUND(E86,4)*F86,2)</f>
        <v>0.38</v>
      </c>
    </row>
    <row r="87" spans="1:7" ht="21" customHeight="1">
      <c r="A87" s="18" t="s">
        <v>233</v>
      </c>
      <c r="B87" s="19" t="s">
        <v>234</v>
      </c>
      <c r="C87" s="18" t="s">
        <v>31</v>
      </c>
      <c r="D87" s="18" t="s">
        <v>95</v>
      </c>
      <c r="E87" s="20">
        <v>1.05</v>
      </c>
      <c r="F87" s="21">
        <v>12.32</v>
      </c>
      <c r="G87" s="21">
        <f>ROUND(ROUND(E87,4)*F87,2)</f>
        <v>12.94</v>
      </c>
    </row>
    <row r="88" spans="1:7" ht="15" customHeight="1">
      <c r="A88" s="6"/>
      <c r="B88" s="6"/>
      <c r="C88" s="6"/>
      <c r="D88" s="6"/>
      <c r="E88" s="225" t="s">
        <v>223</v>
      </c>
      <c r="F88" s="225"/>
      <c r="G88" s="22">
        <f>SUM(G86:G87)</f>
        <v>13.32</v>
      </c>
    </row>
    <row r="89" spans="1:7" ht="15" customHeight="1">
      <c r="A89" s="224" t="s">
        <v>195</v>
      </c>
      <c r="B89" s="224"/>
      <c r="C89" s="17" t="s">
        <v>183</v>
      </c>
      <c r="D89" s="17" t="s">
        <v>184</v>
      </c>
      <c r="E89" s="17" t="s">
        <v>185</v>
      </c>
      <c r="F89" s="17" t="s">
        <v>186</v>
      </c>
      <c r="G89" s="17" t="s">
        <v>187</v>
      </c>
    </row>
    <row r="90" spans="1:7" ht="15" customHeight="1">
      <c r="A90" s="18" t="s">
        <v>211</v>
      </c>
      <c r="B90" s="19" t="s">
        <v>212</v>
      </c>
      <c r="C90" s="18" t="s">
        <v>31</v>
      </c>
      <c r="D90" s="18" t="s">
        <v>213</v>
      </c>
      <c r="E90" s="20">
        <v>0.5</v>
      </c>
      <c r="F90" s="21">
        <v>24.08</v>
      </c>
      <c r="G90" s="21">
        <f>ROUND(ROUND(E90,4)*F90,2)</f>
        <v>12.04</v>
      </c>
    </row>
    <row r="91" spans="1:7" ht="18" customHeight="1">
      <c r="A91" s="6"/>
      <c r="B91" s="6"/>
      <c r="C91" s="6"/>
      <c r="D91" s="6"/>
      <c r="E91" s="225" t="s">
        <v>204</v>
      </c>
      <c r="F91" s="225"/>
      <c r="G91" s="22">
        <f>SUM(G90:G90)</f>
        <v>12.04</v>
      </c>
    </row>
    <row r="92" spans="1:7" ht="15" customHeight="1">
      <c r="A92" s="6"/>
      <c r="B92" s="6"/>
      <c r="C92" s="6"/>
      <c r="D92" s="6"/>
      <c r="E92" s="222" t="s">
        <v>190</v>
      </c>
      <c r="F92" s="222"/>
      <c r="G92" s="23">
        <f>ROUND(SUM(G88,G91),2)</f>
        <v>25.36</v>
      </c>
    </row>
    <row r="93" spans="1:7" ht="10.050000000000001" customHeight="1">
      <c r="A93" s="6"/>
      <c r="B93" s="6"/>
      <c r="C93" s="6"/>
      <c r="D93" s="6"/>
      <c r="E93" s="226"/>
      <c r="F93" s="226"/>
      <c r="G93" s="226"/>
    </row>
    <row r="94" spans="1:7" ht="19.95" customHeight="1">
      <c r="A94" s="223" t="s">
        <v>235</v>
      </c>
      <c r="B94" s="223"/>
      <c r="C94" s="223"/>
      <c r="D94" s="223"/>
      <c r="E94" s="223"/>
      <c r="F94" s="223"/>
      <c r="G94" s="223"/>
    </row>
    <row r="95" spans="1:7" ht="15" customHeight="1">
      <c r="A95" s="224" t="s">
        <v>220</v>
      </c>
      <c r="B95" s="224"/>
      <c r="C95" s="17" t="s">
        <v>183</v>
      </c>
      <c r="D95" s="17" t="s">
        <v>184</v>
      </c>
      <c r="E95" s="17" t="s">
        <v>185</v>
      </c>
      <c r="F95" s="17" t="s">
        <v>186</v>
      </c>
      <c r="G95" s="17" t="s">
        <v>187</v>
      </c>
    </row>
    <row r="96" spans="1:7" ht="21" customHeight="1">
      <c r="A96" s="18" t="s">
        <v>236</v>
      </c>
      <c r="B96" s="19" t="s">
        <v>237</v>
      </c>
      <c r="C96" s="18" t="s">
        <v>31</v>
      </c>
      <c r="D96" s="18" t="s">
        <v>40</v>
      </c>
      <c r="E96" s="20">
        <v>1</v>
      </c>
      <c r="F96" s="21">
        <v>10.62</v>
      </c>
      <c r="G96" s="21">
        <f>ROUND(ROUND(E96,4)*F96,2)</f>
        <v>10.62</v>
      </c>
    </row>
    <row r="97" spans="1:7" ht="15" customHeight="1">
      <c r="A97" s="6"/>
      <c r="B97" s="6"/>
      <c r="C97" s="6"/>
      <c r="D97" s="6"/>
      <c r="E97" s="225" t="s">
        <v>223</v>
      </c>
      <c r="F97" s="225"/>
      <c r="G97" s="22">
        <f>SUM(G96:G96)</f>
        <v>10.62</v>
      </c>
    </row>
    <row r="98" spans="1:7" ht="15" customHeight="1">
      <c r="A98" s="224" t="s">
        <v>195</v>
      </c>
      <c r="B98" s="224"/>
      <c r="C98" s="17" t="s">
        <v>183</v>
      </c>
      <c r="D98" s="17" t="s">
        <v>184</v>
      </c>
      <c r="E98" s="17" t="s">
        <v>185</v>
      </c>
      <c r="F98" s="17" t="s">
        <v>186</v>
      </c>
      <c r="G98" s="17" t="s">
        <v>187</v>
      </c>
    </row>
    <row r="99" spans="1:7" ht="21" customHeight="1">
      <c r="A99" s="18" t="s">
        <v>238</v>
      </c>
      <c r="B99" s="19" t="s">
        <v>239</v>
      </c>
      <c r="C99" s="18" t="s">
        <v>31</v>
      </c>
      <c r="D99" s="18" t="s">
        <v>213</v>
      </c>
      <c r="E99" s="20">
        <v>0.1</v>
      </c>
      <c r="F99" s="21">
        <v>29.13</v>
      </c>
      <c r="G99" s="21">
        <f>ROUND(ROUND(E99,4)*F99,2)</f>
        <v>2.91</v>
      </c>
    </row>
    <row r="100" spans="1:7" ht="15" customHeight="1">
      <c r="A100" s="18" t="s">
        <v>211</v>
      </c>
      <c r="B100" s="19" t="s">
        <v>212</v>
      </c>
      <c r="C100" s="18" t="s">
        <v>31</v>
      </c>
      <c r="D100" s="18" t="s">
        <v>213</v>
      </c>
      <c r="E100" s="20">
        <v>0.1</v>
      </c>
      <c r="F100" s="21">
        <v>24.08</v>
      </c>
      <c r="G100" s="21">
        <f>ROUND(ROUND(E100,4)*F100,2)</f>
        <v>2.41</v>
      </c>
    </row>
    <row r="101" spans="1:7" ht="18" customHeight="1">
      <c r="A101" s="6"/>
      <c r="B101" s="6"/>
      <c r="C101" s="6"/>
      <c r="D101" s="6"/>
      <c r="E101" s="225" t="s">
        <v>204</v>
      </c>
      <c r="F101" s="225"/>
      <c r="G101" s="22">
        <f>SUM(G99:G100)</f>
        <v>5.32</v>
      </c>
    </row>
    <row r="102" spans="1:7" ht="15" customHeight="1">
      <c r="A102" s="6"/>
      <c r="B102" s="6"/>
      <c r="C102" s="6"/>
      <c r="D102" s="6"/>
      <c r="E102" s="222" t="s">
        <v>190</v>
      </c>
      <c r="F102" s="222"/>
      <c r="G102" s="23">
        <f>ROUND(SUM(G97,G101),2)</f>
        <v>15.94</v>
      </c>
    </row>
    <row r="103" spans="1:7" ht="10.050000000000001" customHeight="1">
      <c r="A103" s="6"/>
      <c r="B103" s="6"/>
      <c r="C103" s="6"/>
      <c r="D103" s="6"/>
      <c r="E103" s="226"/>
      <c r="F103" s="226"/>
      <c r="G103" s="226"/>
    </row>
    <row r="104" spans="1:7" ht="19.95" customHeight="1">
      <c r="A104" s="223" t="s">
        <v>240</v>
      </c>
      <c r="B104" s="223"/>
      <c r="C104" s="223"/>
      <c r="D104" s="223"/>
      <c r="E104" s="223"/>
      <c r="F104" s="223"/>
      <c r="G104" s="223"/>
    </row>
    <row r="105" spans="1:7" ht="15" customHeight="1">
      <c r="A105" s="224" t="s">
        <v>206</v>
      </c>
      <c r="B105" s="224"/>
      <c r="C105" s="17" t="s">
        <v>183</v>
      </c>
      <c r="D105" s="17" t="s">
        <v>184</v>
      </c>
      <c r="E105" s="17" t="s">
        <v>185</v>
      </c>
      <c r="F105" s="17" t="s">
        <v>186</v>
      </c>
      <c r="G105" s="17" t="s">
        <v>187</v>
      </c>
    </row>
    <row r="106" spans="1:7" ht="46.05" customHeight="1">
      <c r="A106" s="18" t="s">
        <v>216</v>
      </c>
      <c r="B106" s="19" t="s">
        <v>217</v>
      </c>
      <c r="C106" s="18" t="s">
        <v>31</v>
      </c>
      <c r="D106" s="18" t="s">
        <v>218</v>
      </c>
      <c r="E106" s="20">
        <v>4.5999999999999999E-3</v>
      </c>
      <c r="F106" s="21">
        <v>273.31</v>
      </c>
      <c r="G106" s="21">
        <f>ROUND(ROUND(E106,4)*F106,2)</f>
        <v>1.26</v>
      </c>
    </row>
    <row r="107" spans="1:7" ht="18" customHeight="1">
      <c r="A107" s="6"/>
      <c r="B107" s="6"/>
      <c r="C107" s="6"/>
      <c r="D107" s="6"/>
      <c r="E107" s="225" t="s">
        <v>210</v>
      </c>
      <c r="F107" s="225"/>
      <c r="G107" s="22">
        <f>SUM(G106:G106)</f>
        <v>1.26</v>
      </c>
    </row>
    <row r="108" spans="1:7" ht="15" customHeight="1">
      <c r="A108" s="6"/>
      <c r="B108" s="6"/>
      <c r="C108" s="6"/>
      <c r="D108" s="6"/>
      <c r="E108" s="222" t="s">
        <v>190</v>
      </c>
      <c r="F108" s="222"/>
      <c r="G108" s="23">
        <f>ROUND(SUM(G107),2)</f>
        <v>1.26</v>
      </c>
    </row>
    <row r="109" spans="1:7" ht="10.050000000000001" customHeight="1">
      <c r="A109" s="6"/>
      <c r="B109" s="6"/>
      <c r="C109" s="6"/>
      <c r="D109" s="6"/>
      <c r="E109" s="226"/>
      <c r="F109" s="226"/>
      <c r="G109" s="226"/>
    </row>
    <row r="110" spans="1:7" ht="19.95" customHeight="1">
      <c r="A110" s="223" t="s">
        <v>241</v>
      </c>
      <c r="B110" s="223"/>
      <c r="C110" s="223"/>
      <c r="D110" s="223"/>
      <c r="E110" s="223"/>
      <c r="F110" s="223"/>
      <c r="G110" s="223"/>
    </row>
    <row r="111" spans="1:7" ht="15" customHeight="1">
      <c r="A111" s="224" t="s">
        <v>206</v>
      </c>
      <c r="B111" s="224"/>
      <c r="C111" s="17" t="s">
        <v>183</v>
      </c>
      <c r="D111" s="17" t="s">
        <v>184</v>
      </c>
      <c r="E111" s="17" t="s">
        <v>185</v>
      </c>
      <c r="F111" s="17" t="s">
        <v>186</v>
      </c>
      <c r="G111" s="17" t="s">
        <v>187</v>
      </c>
    </row>
    <row r="112" spans="1:7" ht="28.95" customHeight="1">
      <c r="A112" s="18" t="s">
        <v>242</v>
      </c>
      <c r="B112" s="19" t="s">
        <v>243</v>
      </c>
      <c r="C112" s="18" t="s">
        <v>31</v>
      </c>
      <c r="D112" s="18" t="s">
        <v>218</v>
      </c>
      <c r="E112" s="20">
        <v>1.2500000000000001E-2</v>
      </c>
      <c r="F112" s="21">
        <v>38.76</v>
      </c>
      <c r="G112" s="21">
        <f>ROUND(ROUND(E112,4)*F112,2)</f>
        <v>0.48</v>
      </c>
    </row>
    <row r="113" spans="1:7" ht="18" customHeight="1">
      <c r="A113" s="6"/>
      <c r="B113" s="6"/>
      <c r="C113" s="6"/>
      <c r="D113" s="6"/>
      <c r="E113" s="225" t="s">
        <v>210</v>
      </c>
      <c r="F113" s="225"/>
      <c r="G113" s="22">
        <f>SUM(G112:G112)</f>
        <v>0.48</v>
      </c>
    </row>
    <row r="114" spans="1:7" ht="15" customHeight="1">
      <c r="A114" s="224" t="s">
        <v>220</v>
      </c>
      <c r="B114" s="224"/>
      <c r="C114" s="17" t="s">
        <v>183</v>
      </c>
      <c r="D114" s="17" t="s">
        <v>184</v>
      </c>
      <c r="E114" s="17" t="s">
        <v>185</v>
      </c>
      <c r="F114" s="17" t="s">
        <v>186</v>
      </c>
      <c r="G114" s="17" t="s">
        <v>187</v>
      </c>
    </row>
    <row r="115" spans="1:7" ht="28.95" customHeight="1">
      <c r="A115" s="18" t="s">
        <v>244</v>
      </c>
      <c r="B115" s="19" t="s">
        <v>245</v>
      </c>
      <c r="C115" s="18" t="s">
        <v>31</v>
      </c>
      <c r="D115" s="18" t="s">
        <v>124</v>
      </c>
      <c r="E115" s="20">
        <v>0.31</v>
      </c>
      <c r="F115" s="21">
        <v>16.59</v>
      </c>
      <c r="G115" s="21">
        <f>ROUND(ROUND(E115,4)*F115,2)</f>
        <v>5.14</v>
      </c>
    </row>
    <row r="116" spans="1:7" ht="15" customHeight="1">
      <c r="A116" s="6"/>
      <c r="B116" s="6"/>
      <c r="C116" s="6"/>
      <c r="D116" s="6"/>
      <c r="E116" s="225" t="s">
        <v>223</v>
      </c>
      <c r="F116" s="225"/>
      <c r="G116" s="22">
        <f>SUM(G115:G115)</f>
        <v>5.14</v>
      </c>
    </row>
    <row r="117" spans="1:7" ht="15" customHeight="1">
      <c r="A117" s="224" t="s">
        <v>195</v>
      </c>
      <c r="B117" s="224"/>
      <c r="C117" s="17" t="s">
        <v>183</v>
      </c>
      <c r="D117" s="17" t="s">
        <v>184</v>
      </c>
      <c r="E117" s="17" t="s">
        <v>185</v>
      </c>
      <c r="F117" s="17" t="s">
        <v>186</v>
      </c>
      <c r="G117" s="17" t="s">
        <v>187</v>
      </c>
    </row>
    <row r="118" spans="1:7" ht="15" customHeight="1">
      <c r="A118" s="18" t="s">
        <v>246</v>
      </c>
      <c r="B118" s="19" t="s">
        <v>247</v>
      </c>
      <c r="C118" s="18" t="s">
        <v>31</v>
      </c>
      <c r="D118" s="18" t="s">
        <v>213</v>
      </c>
      <c r="E118" s="20">
        <v>1.2500000000000001E-2</v>
      </c>
      <c r="F118" s="21">
        <v>48.14</v>
      </c>
      <c r="G118" s="21">
        <f>ROUND(ROUND(E118,4)*F118,2)</f>
        <v>0.6</v>
      </c>
    </row>
    <row r="119" spans="1:7" ht="15" customHeight="1">
      <c r="A119" s="18" t="s">
        <v>211</v>
      </c>
      <c r="B119" s="19" t="s">
        <v>212</v>
      </c>
      <c r="C119" s="18" t="s">
        <v>31</v>
      </c>
      <c r="D119" s="18" t="s">
        <v>213</v>
      </c>
      <c r="E119" s="20">
        <v>7.4999999999999997E-2</v>
      </c>
      <c r="F119" s="21">
        <v>24.08</v>
      </c>
      <c r="G119" s="21">
        <f>ROUND(ROUND(E119,4)*F119,2)</f>
        <v>1.81</v>
      </c>
    </row>
    <row r="120" spans="1:7" ht="18" customHeight="1">
      <c r="A120" s="6"/>
      <c r="B120" s="6"/>
      <c r="C120" s="6"/>
      <c r="D120" s="6"/>
      <c r="E120" s="225" t="s">
        <v>204</v>
      </c>
      <c r="F120" s="225"/>
      <c r="G120" s="22">
        <f>SUM(G118:G119)</f>
        <v>2.41</v>
      </c>
    </row>
    <row r="121" spans="1:7" ht="15" customHeight="1">
      <c r="A121" s="224" t="s">
        <v>248</v>
      </c>
      <c r="B121" s="224"/>
      <c r="C121" s="17" t="s">
        <v>183</v>
      </c>
      <c r="D121" s="17" t="s">
        <v>184</v>
      </c>
      <c r="E121" s="17" t="s">
        <v>185</v>
      </c>
      <c r="F121" s="17" t="s">
        <v>186</v>
      </c>
      <c r="G121" s="17" t="s">
        <v>187</v>
      </c>
    </row>
    <row r="122" spans="1:7" ht="28.95" customHeight="1">
      <c r="A122" s="18" t="s">
        <v>249</v>
      </c>
      <c r="B122" s="19" t="s">
        <v>250</v>
      </c>
      <c r="C122" s="18" t="s">
        <v>31</v>
      </c>
      <c r="D122" s="18" t="s">
        <v>213</v>
      </c>
      <c r="E122" s="20">
        <v>1.2500000000000001E-2</v>
      </c>
      <c r="F122" s="21">
        <v>60.98</v>
      </c>
      <c r="G122" s="21">
        <f>ROUND(ROUND(E122,4)*F122,2)</f>
        <v>0.76</v>
      </c>
    </row>
    <row r="123" spans="1:7" ht="15" customHeight="1">
      <c r="A123" s="6"/>
      <c r="B123" s="6"/>
      <c r="C123" s="6"/>
      <c r="D123" s="6"/>
      <c r="E123" s="225" t="s">
        <v>251</v>
      </c>
      <c r="F123" s="225"/>
      <c r="G123" s="22">
        <f>SUM(G122:G122)</f>
        <v>0.76</v>
      </c>
    </row>
    <row r="124" spans="1:7" ht="15" customHeight="1">
      <c r="A124" s="6"/>
      <c r="B124" s="6"/>
      <c r="C124" s="6"/>
      <c r="D124" s="6"/>
      <c r="E124" s="222" t="s">
        <v>190</v>
      </c>
      <c r="F124" s="222"/>
      <c r="G124" s="23">
        <f>ROUND(SUM(G113,G116,G120,G123),2)</f>
        <v>8.7899999999999991</v>
      </c>
    </row>
    <row r="125" spans="1:7" ht="10.050000000000001" customHeight="1">
      <c r="A125" s="6"/>
      <c r="B125" s="6"/>
      <c r="C125" s="6"/>
      <c r="D125" s="6"/>
      <c r="E125" s="226"/>
      <c r="F125" s="226"/>
      <c r="G125" s="226"/>
    </row>
    <row r="126" spans="1:7" ht="19.95" customHeight="1">
      <c r="A126" s="223" t="s">
        <v>252</v>
      </c>
      <c r="B126" s="223"/>
      <c r="C126" s="223"/>
      <c r="D126" s="223"/>
      <c r="E126" s="223"/>
      <c r="F126" s="223"/>
      <c r="G126" s="223"/>
    </row>
    <row r="127" spans="1:7" ht="15" customHeight="1">
      <c r="A127" s="224" t="s">
        <v>248</v>
      </c>
      <c r="B127" s="224"/>
      <c r="C127" s="17" t="s">
        <v>183</v>
      </c>
      <c r="D127" s="17" t="s">
        <v>184</v>
      </c>
      <c r="E127" s="17" t="s">
        <v>185</v>
      </c>
      <c r="F127" s="17" t="s">
        <v>186</v>
      </c>
      <c r="G127" s="17" t="s">
        <v>187</v>
      </c>
    </row>
    <row r="128" spans="1:7" ht="37.950000000000003" customHeight="1">
      <c r="A128" s="18" t="s">
        <v>253</v>
      </c>
      <c r="B128" s="19" t="s">
        <v>254</v>
      </c>
      <c r="C128" s="18" t="s">
        <v>31</v>
      </c>
      <c r="D128" s="18" t="s">
        <v>124</v>
      </c>
      <c r="E128" s="20">
        <v>9.2360000000000007</v>
      </c>
      <c r="F128" s="21">
        <v>14.8</v>
      </c>
      <c r="G128" s="21">
        <f t="shared" ref="G128:G133" si="0">ROUND(ROUND(E128,4)*F128,2)</f>
        <v>136.69</v>
      </c>
    </row>
    <row r="129" spans="1:7" ht="37.950000000000003" customHeight="1">
      <c r="A129" s="18" t="s">
        <v>255</v>
      </c>
      <c r="B129" s="19" t="s">
        <v>256</v>
      </c>
      <c r="C129" s="18" t="s">
        <v>31</v>
      </c>
      <c r="D129" s="18" t="s">
        <v>124</v>
      </c>
      <c r="E129" s="20">
        <v>4.9800000000000004</v>
      </c>
      <c r="F129" s="21">
        <v>13.23</v>
      </c>
      <c r="G129" s="21">
        <f t="shared" si="0"/>
        <v>65.89</v>
      </c>
    </row>
    <row r="130" spans="1:7" ht="28.95" customHeight="1">
      <c r="A130" s="18" t="s">
        <v>129</v>
      </c>
      <c r="B130" s="19" t="s">
        <v>130</v>
      </c>
      <c r="C130" s="18" t="s">
        <v>31</v>
      </c>
      <c r="D130" s="18" t="s">
        <v>48</v>
      </c>
      <c r="E130" s="20">
        <v>0.19</v>
      </c>
      <c r="F130" s="21">
        <v>527.07000000000005</v>
      </c>
      <c r="G130" s="21">
        <f t="shared" si="0"/>
        <v>100.14</v>
      </c>
    </row>
    <row r="131" spans="1:7" ht="28.95" customHeight="1">
      <c r="A131" s="18" t="s">
        <v>257</v>
      </c>
      <c r="B131" s="19" t="s">
        <v>258</v>
      </c>
      <c r="C131" s="18" t="s">
        <v>31</v>
      </c>
      <c r="D131" s="18" t="s">
        <v>48</v>
      </c>
      <c r="E131" s="20">
        <v>4.4999999999999998E-2</v>
      </c>
      <c r="F131" s="21">
        <v>497.34</v>
      </c>
      <c r="G131" s="21">
        <f t="shared" si="0"/>
        <v>22.38</v>
      </c>
    </row>
    <row r="132" spans="1:7" ht="28.95" customHeight="1">
      <c r="A132" s="18" t="s">
        <v>126</v>
      </c>
      <c r="B132" s="19" t="s">
        <v>127</v>
      </c>
      <c r="C132" s="18" t="s">
        <v>31</v>
      </c>
      <c r="D132" s="18" t="s">
        <v>33</v>
      </c>
      <c r="E132" s="20">
        <v>1.9</v>
      </c>
      <c r="F132" s="21">
        <v>45.09</v>
      </c>
      <c r="G132" s="21">
        <f t="shared" si="0"/>
        <v>85.67</v>
      </c>
    </row>
    <row r="133" spans="1:7" ht="21" customHeight="1">
      <c r="A133" s="18" t="s">
        <v>135</v>
      </c>
      <c r="B133" s="19" t="s">
        <v>136</v>
      </c>
      <c r="C133" s="18" t="s">
        <v>31</v>
      </c>
      <c r="D133" s="18" t="s">
        <v>48</v>
      </c>
      <c r="E133" s="20">
        <v>0.23499999999999999</v>
      </c>
      <c r="F133" s="21">
        <v>45.84</v>
      </c>
      <c r="G133" s="21">
        <f t="shared" si="0"/>
        <v>10.77</v>
      </c>
    </row>
    <row r="134" spans="1:7" ht="15" customHeight="1">
      <c r="A134" s="6"/>
      <c r="B134" s="6"/>
      <c r="C134" s="6"/>
      <c r="D134" s="6"/>
      <c r="E134" s="225" t="s">
        <v>251</v>
      </c>
      <c r="F134" s="225"/>
      <c r="G134" s="22">
        <f>SUM(G128:G133)</f>
        <v>421.53999999999996</v>
      </c>
    </row>
    <row r="135" spans="1:7" ht="15" customHeight="1">
      <c r="A135" s="6"/>
      <c r="B135" s="6"/>
      <c r="C135" s="6"/>
      <c r="D135" s="6"/>
      <c r="E135" s="222" t="s">
        <v>190</v>
      </c>
      <c r="F135" s="222"/>
      <c r="G135" s="23">
        <f>ROUND(SUM(G134),2)</f>
        <v>421.54</v>
      </c>
    </row>
    <row r="136" spans="1:7" ht="10.050000000000001" customHeight="1">
      <c r="A136" s="6"/>
      <c r="B136" s="6"/>
      <c r="C136" s="6"/>
      <c r="D136" s="6"/>
      <c r="E136" s="226"/>
      <c r="F136" s="226"/>
      <c r="G136" s="226"/>
    </row>
    <row r="137" spans="1:7" ht="19.95" customHeight="1">
      <c r="A137" s="223" t="s">
        <v>259</v>
      </c>
      <c r="B137" s="223"/>
      <c r="C137" s="223"/>
      <c r="D137" s="223"/>
      <c r="E137" s="223"/>
      <c r="F137" s="223"/>
      <c r="G137" s="223"/>
    </row>
    <row r="138" spans="1:7" ht="15" customHeight="1">
      <c r="A138" s="224" t="s">
        <v>248</v>
      </c>
      <c r="B138" s="224"/>
      <c r="C138" s="17" t="s">
        <v>183</v>
      </c>
      <c r="D138" s="17" t="s">
        <v>184</v>
      </c>
      <c r="E138" s="17" t="s">
        <v>185</v>
      </c>
      <c r="F138" s="17" t="s">
        <v>186</v>
      </c>
      <c r="G138" s="17" t="s">
        <v>187</v>
      </c>
    </row>
    <row r="139" spans="1:7" ht="37.950000000000003" customHeight="1">
      <c r="A139" s="18" t="s">
        <v>260</v>
      </c>
      <c r="B139" s="19" t="s">
        <v>261</v>
      </c>
      <c r="C139" s="18" t="s">
        <v>31</v>
      </c>
      <c r="D139" s="18" t="s">
        <v>124</v>
      </c>
      <c r="E139" s="20">
        <v>5.07</v>
      </c>
      <c r="F139" s="21">
        <v>11.41</v>
      </c>
      <c r="G139" s="21">
        <f>ROUND(ROUND(E139,4)*F139,2)</f>
        <v>57.85</v>
      </c>
    </row>
    <row r="140" spans="1:7" ht="28.95" customHeight="1">
      <c r="A140" s="18" t="s">
        <v>129</v>
      </c>
      <c r="B140" s="19" t="s">
        <v>130</v>
      </c>
      <c r="C140" s="18" t="s">
        <v>31</v>
      </c>
      <c r="D140" s="18" t="s">
        <v>48</v>
      </c>
      <c r="E140" s="20">
        <v>0.13</v>
      </c>
      <c r="F140" s="21">
        <v>527.07000000000005</v>
      </c>
      <c r="G140" s="21">
        <f>ROUND(ROUND(E140,4)*F140,2)</f>
        <v>68.52</v>
      </c>
    </row>
    <row r="141" spans="1:7" ht="28.95" customHeight="1">
      <c r="A141" s="18" t="s">
        <v>126</v>
      </c>
      <c r="B141" s="19" t="s">
        <v>127</v>
      </c>
      <c r="C141" s="18" t="s">
        <v>31</v>
      </c>
      <c r="D141" s="18" t="s">
        <v>33</v>
      </c>
      <c r="E141" s="20">
        <v>0.55000000000000004</v>
      </c>
      <c r="F141" s="21">
        <v>45.09</v>
      </c>
      <c r="G141" s="21">
        <f>ROUND(ROUND(E141,4)*F141,2)</f>
        <v>24.8</v>
      </c>
    </row>
    <row r="142" spans="1:7" ht="21" customHeight="1">
      <c r="A142" s="18" t="s">
        <v>262</v>
      </c>
      <c r="B142" s="19" t="s">
        <v>263</v>
      </c>
      <c r="C142" s="18" t="s">
        <v>31</v>
      </c>
      <c r="D142" s="18" t="s">
        <v>48</v>
      </c>
      <c r="E142" s="20">
        <v>0.13</v>
      </c>
      <c r="F142" s="21">
        <v>325.60000000000002</v>
      </c>
      <c r="G142" s="21">
        <f>ROUND(ROUND(E142,4)*F142,2)</f>
        <v>42.33</v>
      </c>
    </row>
    <row r="143" spans="1:7" ht="15" customHeight="1">
      <c r="A143" s="6"/>
      <c r="B143" s="6"/>
      <c r="C143" s="6"/>
      <c r="D143" s="6"/>
      <c r="E143" s="225" t="s">
        <v>251</v>
      </c>
      <c r="F143" s="225"/>
      <c r="G143" s="22">
        <f>SUM(G139:G142)</f>
        <v>193.5</v>
      </c>
    </row>
    <row r="144" spans="1:7" ht="15" customHeight="1">
      <c r="A144" s="6"/>
      <c r="B144" s="6"/>
      <c r="C144" s="6"/>
      <c r="D144" s="6"/>
      <c r="E144" s="222" t="s">
        <v>190</v>
      </c>
      <c r="F144" s="222"/>
      <c r="G144" s="23">
        <f>ROUND(SUM(G143),2)</f>
        <v>193.5</v>
      </c>
    </row>
    <row r="145" spans="1:7" ht="10.050000000000001" customHeight="1">
      <c r="A145" s="6"/>
      <c r="B145" s="6"/>
      <c r="C145" s="6"/>
      <c r="D145" s="6"/>
      <c r="E145" s="226"/>
      <c r="F145" s="226"/>
      <c r="G145" s="226"/>
    </row>
    <row r="146" spans="1:7" ht="19.95" customHeight="1">
      <c r="A146" s="223" t="s">
        <v>264</v>
      </c>
      <c r="B146" s="223"/>
      <c r="C146" s="223"/>
      <c r="D146" s="223"/>
      <c r="E146" s="223"/>
      <c r="F146" s="223"/>
      <c r="G146" s="223"/>
    </row>
    <row r="147" spans="1:7" ht="15" customHeight="1">
      <c r="A147" s="224" t="s">
        <v>206</v>
      </c>
      <c r="B147" s="224"/>
      <c r="C147" s="17" t="s">
        <v>183</v>
      </c>
      <c r="D147" s="17" t="s">
        <v>184</v>
      </c>
      <c r="E147" s="17" t="s">
        <v>185</v>
      </c>
      <c r="F147" s="17" t="s">
        <v>186</v>
      </c>
      <c r="G147" s="17" t="s">
        <v>187</v>
      </c>
    </row>
    <row r="148" spans="1:7" ht="28.95" customHeight="1">
      <c r="A148" s="18" t="s">
        <v>265</v>
      </c>
      <c r="B148" s="19" t="s">
        <v>266</v>
      </c>
      <c r="C148" s="18" t="s">
        <v>31</v>
      </c>
      <c r="D148" s="18" t="s">
        <v>218</v>
      </c>
      <c r="E148" s="20">
        <v>5.0000000000000001E-3</v>
      </c>
      <c r="F148" s="21">
        <v>10.67</v>
      </c>
      <c r="G148" s="21">
        <f>ROUND(ROUND(E148,4)*F148,2)</f>
        <v>0.05</v>
      </c>
    </row>
    <row r="149" spans="1:7" ht="18" customHeight="1">
      <c r="A149" s="6"/>
      <c r="B149" s="6"/>
      <c r="C149" s="6"/>
      <c r="D149" s="6"/>
      <c r="E149" s="225" t="s">
        <v>210</v>
      </c>
      <c r="F149" s="225"/>
      <c r="G149" s="22">
        <f>SUM(G148:G148)</f>
        <v>0.05</v>
      </c>
    </row>
    <row r="150" spans="1:7" ht="15" customHeight="1">
      <c r="A150" s="224" t="s">
        <v>195</v>
      </c>
      <c r="B150" s="224"/>
      <c r="C150" s="17" t="s">
        <v>183</v>
      </c>
      <c r="D150" s="17" t="s">
        <v>184</v>
      </c>
      <c r="E150" s="17" t="s">
        <v>185</v>
      </c>
      <c r="F150" s="17" t="s">
        <v>186</v>
      </c>
      <c r="G150" s="17" t="s">
        <v>187</v>
      </c>
    </row>
    <row r="151" spans="1:7" ht="15" customHeight="1">
      <c r="A151" s="18" t="s">
        <v>267</v>
      </c>
      <c r="B151" s="19" t="s">
        <v>268</v>
      </c>
      <c r="C151" s="18" t="s">
        <v>31</v>
      </c>
      <c r="D151" s="18" t="s">
        <v>213</v>
      </c>
      <c r="E151" s="20">
        <v>8.9999999999999993E-3</v>
      </c>
      <c r="F151" s="21">
        <v>29.85</v>
      </c>
      <c r="G151" s="21">
        <f>ROUND(ROUND(E151,4)*F151,2)</f>
        <v>0.27</v>
      </c>
    </row>
    <row r="152" spans="1:7" ht="15" customHeight="1">
      <c r="A152" s="18" t="s">
        <v>211</v>
      </c>
      <c r="B152" s="19" t="s">
        <v>212</v>
      </c>
      <c r="C152" s="18" t="s">
        <v>31</v>
      </c>
      <c r="D152" s="18" t="s">
        <v>213</v>
      </c>
      <c r="E152" s="20">
        <v>1.9E-2</v>
      </c>
      <c r="F152" s="21">
        <v>24.08</v>
      </c>
      <c r="G152" s="21">
        <f>ROUND(ROUND(E152,4)*F152,2)</f>
        <v>0.46</v>
      </c>
    </row>
    <row r="153" spans="1:7" ht="18" customHeight="1">
      <c r="A153" s="6"/>
      <c r="B153" s="6"/>
      <c r="C153" s="6"/>
      <c r="D153" s="6"/>
      <c r="E153" s="225" t="s">
        <v>204</v>
      </c>
      <c r="F153" s="225"/>
      <c r="G153" s="22">
        <f>SUM(G151:G152)</f>
        <v>0.73</v>
      </c>
    </row>
    <row r="154" spans="1:7" ht="15" customHeight="1">
      <c r="A154" s="6"/>
      <c r="B154" s="6"/>
      <c r="C154" s="6"/>
      <c r="D154" s="6"/>
      <c r="E154" s="222" t="s">
        <v>190</v>
      </c>
      <c r="F154" s="222"/>
      <c r="G154" s="23">
        <f>ROUND(SUM(G149,G153),2)</f>
        <v>0.78</v>
      </c>
    </row>
    <row r="155" spans="1:7" ht="10.050000000000001" customHeight="1">
      <c r="A155" s="6"/>
      <c r="B155" s="6"/>
      <c r="C155" s="6"/>
      <c r="D155" s="6"/>
      <c r="E155" s="226"/>
      <c r="F155" s="226"/>
      <c r="G155" s="226"/>
    </row>
    <row r="156" spans="1:7" ht="27" customHeight="1">
      <c r="A156" s="223" t="s">
        <v>269</v>
      </c>
      <c r="B156" s="223"/>
      <c r="C156" s="223"/>
      <c r="D156" s="223"/>
      <c r="E156" s="223"/>
      <c r="F156" s="223"/>
      <c r="G156" s="223"/>
    </row>
    <row r="157" spans="1:7" ht="15" customHeight="1">
      <c r="A157" s="224" t="s">
        <v>206</v>
      </c>
      <c r="B157" s="224"/>
      <c r="C157" s="17" t="s">
        <v>183</v>
      </c>
      <c r="D157" s="17" t="s">
        <v>184</v>
      </c>
      <c r="E157" s="17" t="s">
        <v>185</v>
      </c>
      <c r="F157" s="17" t="s">
        <v>186</v>
      </c>
      <c r="G157" s="17" t="s">
        <v>187</v>
      </c>
    </row>
    <row r="158" spans="1:7" ht="37.950000000000003" customHeight="1">
      <c r="A158" s="18" t="s">
        <v>270</v>
      </c>
      <c r="B158" s="19" t="s">
        <v>271</v>
      </c>
      <c r="C158" s="18" t="s">
        <v>31</v>
      </c>
      <c r="D158" s="18" t="s">
        <v>209</v>
      </c>
      <c r="E158" s="20">
        <v>0.23100000000000001</v>
      </c>
      <c r="F158" s="21">
        <v>0.41</v>
      </c>
      <c r="G158" s="21">
        <f t="shared" ref="G158:G165" si="1">ROUND(ROUND(E158,4)*F158,2)</f>
        <v>0.09</v>
      </c>
    </row>
    <row r="159" spans="1:7" ht="37.950000000000003" customHeight="1">
      <c r="A159" s="18" t="s">
        <v>272</v>
      </c>
      <c r="B159" s="19" t="s">
        <v>273</v>
      </c>
      <c r="C159" s="18" t="s">
        <v>31</v>
      </c>
      <c r="D159" s="18" t="s">
        <v>218</v>
      </c>
      <c r="E159" s="20">
        <v>2.4400000000000002E-2</v>
      </c>
      <c r="F159" s="21">
        <v>2.0499999999999998</v>
      </c>
      <c r="G159" s="21">
        <f t="shared" si="1"/>
        <v>0.05</v>
      </c>
    </row>
    <row r="160" spans="1:7" ht="37.950000000000003" customHeight="1">
      <c r="A160" s="18" t="s">
        <v>274</v>
      </c>
      <c r="B160" s="19" t="s">
        <v>275</v>
      </c>
      <c r="C160" s="18" t="s">
        <v>31</v>
      </c>
      <c r="D160" s="18" t="s">
        <v>209</v>
      </c>
      <c r="E160" s="20">
        <v>0.23269999999999999</v>
      </c>
      <c r="F160" s="21">
        <v>0.71</v>
      </c>
      <c r="G160" s="21">
        <f t="shared" si="1"/>
        <v>0.17</v>
      </c>
    </row>
    <row r="161" spans="1:7" ht="37.950000000000003" customHeight="1">
      <c r="A161" s="18" t="s">
        <v>276</v>
      </c>
      <c r="B161" s="19" t="s">
        <v>277</v>
      </c>
      <c r="C161" s="18" t="s">
        <v>31</v>
      </c>
      <c r="D161" s="18" t="s">
        <v>218</v>
      </c>
      <c r="E161" s="20">
        <v>2.3400000000000001E-2</v>
      </c>
      <c r="F161" s="21">
        <v>11.23</v>
      </c>
      <c r="G161" s="21">
        <f t="shared" si="1"/>
        <v>0.26</v>
      </c>
    </row>
    <row r="162" spans="1:7" ht="21" customHeight="1">
      <c r="A162" s="18" t="s">
        <v>278</v>
      </c>
      <c r="B162" s="19" t="s">
        <v>279</v>
      </c>
      <c r="C162" s="18" t="s">
        <v>31</v>
      </c>
      <c r="D162" s="18" t="s">
        <v>209</v>
      </c>
      <c r="E162" s="20">
        <v>0.23269999999999999</v>
      </c>
      <c r="F162" s="21">
        <v>5.49</v>
      </c>
      <c r="G162" s="21">
        <f t="shared" si="1"/>
        <v>1.28</v>
      </c>
    </row>
    <row r="163" spans="1:7" ht="21" customHeight="1">
      <c r="A163" s="18" t="s">
        <v>280</v>
      </c>
      <c r="B163" s="19" t="s">
        <v>281</v>
      </c>
      <c r="C163" s="18" t="s">
        <v>31</v>
      </c>
      <c r="D163" s="18" t="s">
        <v>218</v>
      </c>
      <c r="E163" s="20">
        <v>2.3400000000000001E-2</v>
      </c>
      <c r="F163" s="21">
        <v>16.88</v>
      </c>
      <c r="G163" s="21">
        <f t="shared" si="1"/>
        <v>0.39</v>
      </c>
    </row>
    <row r="164" spans="1:7" ht="28.95" customHeight="1">
      <c r="A164" s="18" t="s">
        <v>282</v>
      </c>
      <c r="B164" s="19" t="s">
        <v>283</v>
      </c>
      <c r="C164" s="18" t="s">
        <v>31</v>
      </c>
      <c r="D164" s="18" t="s">
        <v>209</v>
      </c>
      <c r="E164" s="20">
        <v>0.23269999999999999</v>
      </c>
      <c r="F164" s="21">
        <v>22.69</v>
      </c>
      <c r="G164" s="21">
        <f t="shared" si="1"/>
        <v>5.28</v>
      </c>
    </row>
    <row r="165" spans="1:7" ht="28.95" customHeight="1">
      <c r="A165" s="18" t="s">
        <v>284</v>
      </c>
      <c r="B165" s="19" t="s">
        <v>285</v>
      </c>
      <c r="C165" s="18" t="s">
        <v>31</v>
      </c>
      <c r="D165" s="18" t="s">
        <v>218</v>
      </c>
      <c r="E165" s="20">
        <v>2.3400000000000001E-2</v>
      </c>
      <c r="F165" s="21">
        <v>203.28</v>
      </c>
      <c r="G165" s="21">
        <f t="shared" si="1"/>
        <v>4.76</v>
      </c>
    </row>
    <row r="166" spans="1:7" ht="18" customHeight="1">
      <c r="A166" s="6"/>
      <c r="B166" s="6"/>
      <c r="C166" s="6"/>
      <c r="D166" s="6"/>
      <c r="E166" s="225" t="s">
        <v>210</v>
      </c>
      <c r="F166" s="225"/>
      <c r="G166" s="22">
        <f>SUM(G158:G165)</f>
        <v>12.280000000000001</v>
      </c>
    </row>
    <row r="167" spans="1:7" ht="15" customHeight="1">
      <c r="A167" s="224" t="s">
        <v>220</v>
      </c>
      <c r="B167" s="224"/>
      <c r="C167" s="17" t="s">
        <v>183</v>
      </c>
      <c r="D167" s="17" t="s">
        <v>184</v>
      </c>
      <c r="E167" s="17" t="s">
        <v>185</v>
      </c>
      <c r="F167" s="17" t="s">
        <v>186</v>
      </c>
      <c r="G167" s="17" t="s">
        <v>187</v>
      </c>
    </row>
    <row r="168" spans="1:7" ht="21" customHeight="1">
      <c r="A168" s="18" t="s">
        <v>225</v>
      </c>
      <c r="B168" s="19" t="s">
        <v>226</v>
      </c>
      <c r="C168" s="18" t="s">
        <v>31</v>
      </c>
      <c r="D168" s="18" t="s">
        <v>48</v>
      </c>
      <c r="E168" s="20">
        <v>5.7099999999999998E-2</v>
      </c>
      <c r="F168" s="21">
        <v>140</v>
      </c>
      <c r="G168" s="21">
        <f>ROUND(ROUND(E168,4)*F168,2)</f>
        <v>7.99</v>
      </c>
    </row>
    <row r="169" spans="1:7" ht="15" customHeight="1">
      <c r="A169" s="18" t="s">
        <v>286</v>
      </c>
      <c r="B169" s="19" t="s">
        <v>287</v>
      </c>
      <c r="C169" s="18" t="s">
        <v>31</v>
      </c>
      <c r="D169" s="18" t="s">
        <v>124</v>
      </c>
      <c r="E169" s="20">
        <v>24.229399999999998</v>
      </c>
      <c r="F169" s="21">
        <v>0.76</v>
      </c>
      <c r="G169" s="21">
        <f>ROUND(ROUND(E169,4)*F169,2)</f>
        <v>18.41</v>
      </c>
    </row>
    <row r="170" spans="1:7" ht="21" customHeight="1">
      <c r="A170" s="18" t="s">
        <v>288</v>
      </c>
      <c r="B170" s="19" t="s">
        <v>289</v>
      </c>
      <c r="C170" s="18" t="s">
        <v>31</v>
      </c>
      <c r="D170" s="18" t="s">
        <v>48</v>
      </c>
      <c r="E170" s="20">
        <v>3.73E-2</v>
      </c>
      <c r="F170" s="21">
        <v>116.15</v>
      </c>
      <c r="G170" s="21">
        <f>ROUND(ROUND(E170,4)*F170,2)</f>
        <v>4.33</v>
      </c>
    </row>
    <row r="171" spans="1:7" ht="28.95" customHeight="1">
      <c r="A171" s="18" t="s">
        <v>290</v>
      </c>
      <c r="B171" s="19" t="s">
        <v>291</v>
      </c>
      <c r="C171" s="18" t="s">
        <v>31</v>
      </c>
      <c r="D171" s="18" t="s">
        <v>33</v>
      </c>
      <c r="E171" s="20">
        <v>1.2190000000000001</v>
      </c>
      <c r="F171" s="21">
        <v>15.83</v>
      </c>
      <c r="G171" s="21">
        <f>ROUND(ROUND(E171,4)*F171,2)</f>
        <v>19.3</v>
      </c>
    </row>
    <row r="172" spans="1:7" ht="15" customHeight="1">
      <c r="A172" s="6"/>
      <c r="B172" s="6"/>
      <c r="C172" s="6"/>
      <c r="D172" s="6"/>
      <c r="E172" s="225" t="s">
        <v>223</v>
      </c>
      <c r="F172" s="225"/>
      <c r="G172" s="22">
        <f>SUM(G168:G171)</f>
        <v>50.03</v>
      </c>
    </row>
    <row r="173" spans="1:7" ht="15" customHeight="1">
      <c r="A173" s="224" t="s">
        <v>195</v>
      </c>
      <c r="B173" s="224"/>
      <c r="C173" s="17" t="s">
        <v>183</v>
      </c>
      <c r="D173" s="17" t="s">
        <v>184</v>
      </c>
      <c r="E173" s="17" t="s">
        <v>185</v>
      </c>
      <c r="F173" s="17" t="s">
        <v>186</v>
      </c>
      <c r="G173" s="17" t="s">
        <v>187</v>
      </c>
    </row>
    <row r="174" spans="1:7" ht="21" customHeight="1">
      <c r="A174" s="18" t="s">
        <v>292</v>
      </c>
      <c r="B174" s="19" t="s">
        <v>293</v>
      </c>
      <c r="C174" s="18" t="s">
        <v>31</v>
      </c>
      <c r="D174" s="18" t="s">
        <v>213</v>
      </c>
      <c r="E174" s="20">
        <v>0.1565</v>
      </c>
      <c r="F174" s="21">
        <v>22.59</v>
      </c>
      <c r="G174" s="21">
        <f>ROUND(ROUND(E174,4)*F174,2)</f>
        <v>3.54</v>
      </c>
    </row>
    <row r="175" spans="1:7" ht="21" customHeight="1">
      <c r="A175" s="18" t="s">
        <v>294</v>
      </c>
      <c r="B175" s="19" t="s">
        <v>295</v>
      </c>
      <c r="C175" s="18" t="s">
        <v>31</v>
      </c>
      <c r="D175" s="18" t="s">
        <v>213</v>
      </c>
      <c r="E175" s="20">
        <v>0.31290000000000001</v>
      </c>
      <c r="F175" s="21">
        <v>25.65</v>
      </c>
      <c r="G175" s="21">
        <f>ROUND(ROUND(E175,4)*F175,2)</f>
        <v>8.0299999999999994</v>
      </c>
    </row>
    <row r="176" spans="1:7" ht="15" customHeight="1">
      <c r="A176" s="18" t="s">
        <v>211</v>
      </c>
      <c r="B176" s="19" t="s">
        <v>212</v>
      </c>
      <c r="C176" s="18" t="s">
        <v>31</v>
      </c>
      <c r="D176" s="18" t="s">
        <v>213</v>
      </c>
      <c r="E176" s="20">
        <v>0.46929999999999999</v>
      </c>
      <c r="F176" s="21">
        <v>24.08</v>
      </c>
      <c r="G176" s="21">
        <f>ROUND(ROUND(E176,4)*F176,2)</f>
        <v>11.3</v>
      </c>
    </row>
    <row r="177" spans="1:7" ht="18" customHeight="1">
      <c r="A177" s="6"/>
      <c r="B177" s="6"/>
      <c r="C177" s="6"/>
      <c r="D177" s="6"/>
      <c r="E177" s="225" t="s">
        <v>204</v>
      </c>
      <c r="F177" s="225"/>
      <c r="G177" s="22">
        <f>SUM(G174:G176)</f>
        <v>22.87</v>
      </c>
    </row>
    <row r="178" spans="1:7" ht="15" customHeight="1">
      <c r="A178" s="224" t="s">
        <v>248</v>
      </c>
      <c r="B178" s="224"/>
      <c r="C178" s="17" t="s">
        <v>183</v>
      </c>
      <c r="D178" s="17" t="s">
        <v>184</v>
      </c>
      <c r="E178" s="17" t="s">
        <v>185</v>
      </c>
      <c r="F178" s="17" t="s">
        <v>186</v>
      </c>
      <c r="G178" s="17" t="s">
        <v>187</v>
      </c>
    </row>
    <row r="179" spans="1:7" ht="21" customHeight="1">
      <c r="A179" s="18" t="s">
        <v>296</v>
      </c>
      <c r="B179" s="19" t="s">
        <v>297</v>
      </c>
      <c r="C179" s="18" t="s">
        <v>31</v>
      </c>
      <c r="D179" s="18" t="s">
        <v>124</v>
      </c>
      <c r="E179" s="20">
        <v>0.80200000000000005</v>
      </c>
      <c r="F179" s="21">
        <v>8.5</v>
      </c>
      <c r="G179" s="21">
        <f>ROUND(ROUND(E179,4)*F179,2)</f>
        <v>6.82</v>
      </c>
    </row>
    <row r="180" spans="1:7" ht="21" customHeight="1">
      <c r="A180" s="18" t="s">
        <v>298</v>
      </c>
      <c r="B180" s="19" t="s">
        <v>299</v>
      </c>
      <c r="C180" s="18" t="s">
        <v>31</v>
      </c>
      <c r="D180" s="18" t="s">
        <v>40</v>
      </c>
      <c r="E180" s="20">
        <v>0.125</v>
      </c>
      <c r="F180" s="21">
        <v>27.02</v>
      </c>
      <c r="G180" s="21">
        <f>ROUND(ROUND(E180,4)*F180,2)</f>
        <v>3.38</v>
      </c>
    </row>
    <row r="181" spans="1:7" ht="21" customHeight="1">
      <c r="A181" s="18" t="s">
        <v>300</v>
      </c>
      <c r="B181" s="19" t="s">
        <v>301</v>
      </c>
      <c r="C181" s="18" t="s">
        <v>31</v>
      </c>
      <c r="D181" s="18" t="s">
        <v>95</v>
      </c>
      <c r="E181" s="20">
        <v>0.1</v>
      </c>
      <c r="F181" s="21">
        <v>91.7</v>
      </c>
      <c r="G181" s="21">
        <f>ROUND(ROUND(E181,4)*F181,2)</f>
        <v>9.17</v>
      </c>
    </row>
    <row r="182" spans="1:7" ht="15" customHeight="1">
      <c r="A182" s="6"/>
      <c r="B182" s="6"/>
      <c r="C182" s="6"/>
      <c r="D182" s="6"/>
      <c r="E182" s="225" t="s">
        <v>251</v>
      </c>
      <c r="F182" s="225"/>
      <c r="G182" s="22">
        <f>SUM(G179:G181)</f>
        <v>19.369999999999997</v>
      </c>
    </row>
    <row r="183" spans="1:7" ht="15" customHeight="1">
      <c r="A183" s="6"/>
      <c r="B183" s="6"/>
      <c r="C183" s="6"/>
      <c r="D183" s="6"/>
      <c r="E183" s="222" t="s">
        <v>190</v>
      </c>
      <c r="F183" s="222"/>
      <c r="G183" s="23">
        <f>ROUND(SUM(G166,G172,G177,G182),2)</f>
        <v>104.55</v>
      </c>
    </row>
    <row r="184" spans="1:7" ht="10.050000000000001" customHeight="1">
      <c r="A184" s="6"/>
      <c r="B184" s="6"/>
      <c r="C184" s="6"/>
      <c r="D184" s="6"/>
      <c r="E184" s="226"/>
      <c r="F184" s="226"/>
      <c r="G184" s="226"/>
    </row>
    <row r="185" spans="1:7" ht="19.95" customHeight="1">
      <c r="A185" s="223" t="s">
        <v>302</v>
      </c>
      <c r="B185" s="223"/>
      <c r="C185" s="223"/>
      <c r="D185" s="223"/>
      <c r="E185" s="223"/>
      <c r="F185" s="223"/>
      <c r="G185" s="223"/>
    </row>
    <row r="186" spans="1:7" ht="15" customHeight="1">
      <c r="A186" s="224" t="s">
        <v>195</v>
      </c>
      <c r="B186" s="224"/>
      <c r="C186" s="17" t="s">
        <v>183</v>
      </c>
      <c r="D186" s="17" t="s">
        <v>184</v>
      </c>
      <c r="E186" s="17" t="s">
        <v>185</v>
      </c>
      <c r="F186" s="17" t="s">
        <v>186</v>
      </c>
      <c r="G186" s="17" t="s">
        <v>187</v>
      </c>
    </row>
    <row r="187" spans="1:7" ht="15" customHeight="1">
      <c r="A187" s="18" t="s">
        <v>267</v>
      </c>
      <c r="B187" s="19" t="s">
        <v>268</v>
      </c>
      <c r="C187" s="18" t="s">
        <v>31</v>
      </c>
      <c r="D187" s="18" t="s">
        <v>213</v>
      </c>
      <c r="E187" s="20">
        <v>0.4</v>
      </c>
      <c r="F187" s="21">
        <v>29.85</v>
      </c>
      <c r="G187" s="21">
        <f>ROUND(ROUND(E187,4)*F187,2)</f>
        <v>11.94</v>
      </c>
    </row>
    <row r="188" spans="1:7" ht="15" customHeight="1">
      <c r="A188" s="18" t="s">
        <v>211</v>
      </c>
      <c r="B188" s="19" t="s">
        <v>212</v>
      </c>
      <c r="C188" s="18" t="s">
        <v>31</v>
      </c>
      <c r="D188" s="18" t="s">
        <v>213</v>
      </c>
      <c r="E188" s="20">
        <v>0.4</v>
      </c>
      <c r="F188" s="21">
        <v>24.08</v>
      </c>
      <c r="G188" s="21">
        <f>ROUND(ROUND(E188,4)*F188,2)</f>
        <v>9.6300000000000008</v>
      </c>
    </row>
    <row r="189" spans="1:7" ht="18" customHeight="1">
      <c r="A189" s="6"/>
      <c r="B189" s="6"/>
      <c r="C189" s="6"/>
      <c r="D189" s="6"/>
      <c r="E189" s="225" t="s">
        <v>204</v>
      </c>
      <c r="F189" s="225"/>
      <c r="G189" s="22">
        <f>SUM(G187:G188)</f>
        <v>21.57</v>
      </c>
    </row>
    <row r="190" spans="1:7" ht="15" customHeight="1">
      <c r="A190" s="6"/>
      <c r="B190" s="6"/>
      <c r="C190" s="6"/>
      <c r="D190" s="6"/>
      <c r="E190" s="222" t="s">
        <v>190</v>
      </c>
      <c r="F190" s="222"/>
      <c r="G190" s="23">
        <f>ROUND(SUM(G189),2)</f>
        <v>21.57</v>
      </c>
    </row>
    <row r="191" spans="1:7" ht="10.050000000000001" customHeight="1">
      <c r="A191" s="6"/>
      <c r="B191" s="6"/>
      <c r="C191" s="6"/>
      <c r="D191" s="6"/>
      <c r="E191" s="226"/>
      <c r="F191" s="226"/>
      <c r="G191" s="226"/>
    </row>
    <row r="192" spans="1:7" ht="19.95" customHeight="1">
      <c r="A192" s="223" t="s">
        <v>303</v>
      </c>
      <c r="B192" s="223"/>
      <c r="C192" s="223"/>
      <c r="D192" s="223"/>
      <c r="E192" s="223"/>
      <c r="F192" s="223"/>
      <c r="G192" s="223"/>
    </row>
    <row r="193" spans="1:7" ht="15" customHeight="1">
      <c r="A193" s="224" t="s">
        <v>248</v>
      </c>
      <c r="B193" s="224"/>
      <c r="C193" s="17" t="s">
        <v>183</v>
      </c>
      <c r="D193" s="17" t="s">
        <v>184</v>
      </c>
      <c r="E193" s="17" t="s">
        <v>185</v>
      </c>
      <c r="F193" s="17" t="s">
        <v>186</v>
      </c>
      <c r="G193" s="17" t="s">
        <v>187</v>
      </c>
    </row>
    <row r="194" spans="1:7" ht="37.950000000000003" customHeight="1">
      <c r="A194" s="18" t="s">
        <v>304</v>
      </c>
      <c r="B194" s="19" t="s">
        <v>305</v>
      </c>
      <c r="C194" s="18" t="s">
        <v>31</v>
      </c>
      <c r="D194" s="18" t="s">
        <v>33</v>
      </c>
      <c r="E194" s="20">
        <v>0.5</v>
      </c>
      <c r="F194" s="21">
        <v>145.43</v>
      </c>
      <c r="G194" s="21">
        <f>ROUND(ROUND(E194,4)*F194,2)</f>
        <v>72.72</v>
      </c>
    </row>
    <row r="195" spans="1:7" ht="28.95" customHeight="1">
      <c r="A195" s="18" t="s">
        <v>306</v>
      </c>
      <c r="B195" s="19" t="s">
        <v>307</v>
      </c>
      <c r="C195" s="18" t="s">
        <v>31</v>
      </c>
      <c r="D195" s="18" t="s">
        <v>48</v>
      </c>
      <c r="E195" s="20">
        <v>0.12</v>
      </c>
      <c r="F195" s="21">
        <v>469.5</v>
      </c>
      <c r="G195" s="21">
        <f>ROUND(ROUND(E195,4)*F195,2)</f>
        <v>56.34</v>
      </c>
    </row>
    <row r="196" spans="1:7" ht="21" customHeight="1">
      <c r="A196" s="18" t="s">
        <v>308</v>
      </c>
      <c r="B196" s="19" t="s">
        <v>309</v>
      </c>
      <c r="C196" s="18" t="s">
        <v>31</v>
      </c>
      <c r="D196" s="18" t="s">
        <v>48</v>
      </c>
      <c r="E196" s="20">
        <v>0.12</v>
      </c>
      <c r="F196" s="21">
        <v>157.61000000000001</v>
      </c>
      <c r="G196" s="21">
        <f>ROUND(ROUND(E196,4)*F196,2)</f>
        <v>18.91</v>
      </c>
    </row>
    <row r="197" spans="1:7" ht="21" customHeight="1">
      <c r="A197" s="18" t="s">
        <v>150</v>
      </c>
      <c r="B197" s="19" t="s">
        <v>310</v>
      </c>
      <c r="C197" s="18" t="s">
        <v>31</v>
      </c>
      <c r="D197" s="18" t="s">
        <v>33</v>
      </c>
      <c r="E197" s="20">
        <v>1.2</v>
      </c>
      <c r="F197" s="21">
        <v>0.78</v>
      </c>
      <c r="G197" s="21">
        <f>ROUND(ROUND(E197,4)*F197,2)</f>
        <v>0.94</v>
      </c>
    </row>
    <row r="198" spans="1:7" ht="15" customHeight="1">
      <c r="A198" s="6"/>
      <c r="B198" s="6"/>
      <c r="C198" s="6"/>
      <c r="D198" s="6"/>
      <c r="E198" s="225" t="s">
        <v>251</v>
      </c>
      <c r="F198" s="225"/>
      <c r="G198" s="22">
        <f>SUM(G194:G197)</f>
        <v>148.91</v>
      </c>
    </row>
    <row r="199" spans="1:7" ht="15" customHeight="1">
      <c r="A199" s="6"/>
      <c r="B199" s="6"/>
      <c r="C199" s="6"/>
      <c r="D199" s="6"/>
      <c r="E199" s="222" t="s">
        <v>190</v>
      </c>
      <c r="F199" s="222"/>
      <c r="G199" s="23">
        <f>ROUND(SUM(G198),2)</f>
        <v>148.91</v>
      </c>
    </row>
    <row r="200" spans="1:7" ht="10.050000000000001" customHeight="1">
      <c r="A200" s="6"/>
      <c r="B200" s="6"/>
      <c r="C200" s="6"/>
      <c r="D200" s="6"/>
      <c r="E200" s="226"/>
      <c r="F200" s="226"/>
      <c r="G200" s="226"/>
    </row>
    <row r="201" spans="1:7" ht="19.95" customHeight="1">
      <c r="A201" s="223" t="s">
        <v>264</v>
      </c>
      <c r="B201" s="223"/>
      <c r="C201" s="223"/>
      <c r="D201" s="223"/>
      <c r="E201" s="223"/>
      <c r="F201" s="223"/>
      <c r="G201" s="223"/>
    </row>
    <row r="202" spans="1:7" ht="15" customHeight="1">
      <c r="A202" s="224" t="s">
        <v>206</v>
      </c>
      <c r="B202" s="224"/>
      <c r="C202" s="17" t="s">
        <v>183</v>
      </c>
      <c r="D202" s="17" t="s">
        <v>184</v>
      </c>
      <c r="E202" s="17" t="s">
        <v>185</v>
      </c>
      <c r="F202" s="17" t="s">
        <v>186</v>
      </c>
      <c r="G202" s="17" t="s">
        <v>187</v>
      </c>
    </row>
    <row r="203" spans="1:7" ht="28.95" customHeight="1">
      <c r="A203" s="18" t="s">
        <v>265</v>
      </c>
      <c r="B203" s="19" t="s">
        <v>266</v>
      </c>
      <c r="C203" s="18" t="s">
        <v>31</v>
      </c>
      <c r="D203" s="18" t="s">
        <v>218</v>
      </c>
      <c r="E203" s="20">
        <v>5.0000000000000001E-3</v>
      </c>
      <c r="F203" s="21">
        <v>10.67</v>
      </c>
      <c r="G203" s="21">
        <f>ROUND(ROUND(E203,4)*F203,2)</f>
        <v>0.05</v>
      </c>
    </row>
    <row r="204" spans="1:7" ht="18" customHeight="1">
      <c r="A204" s="6"/>
      <c r="B204" s="6"/>
      <c r="C204" s="6"/>
      <c r="D204" s="6"/>
      <c r="E204" s="225" t="s">
        <v>210</v>
      </c>
      <c r="F204" s="225"/>
      <c r="G204" s="22">
        <f>SUM(G203:G203)</f>
        <v>0.05</v>
      </c>
    </row>
    <row r="205" spans="1:7" ht="15" customHeight="1">
      <c r="A205" s="224" t="s">
        <v>195</v>
      </c>
      <c r="B205" s="224"/>
      <c r="C205" s="17" t="s">
        <v>183</v>
      </c>
      <c r="D205" s="17" t="s">
        <v>184</v>
      </c>
      <c r="E205" s="17" t="s">
        <v>185</v>
      </c>
      <c r="F205" s="17" t="s">
        <v>186</v>
      </c>
      <c r="G205" s="17" t="s">
        <v>187</v>
      </c>
    </row>
    <row r="206" spans="1:7" ht="15" customHeight="1">
      <c r="A206" s="18" t="s">
        <v>267</v>
      </c>
      <c r="B206" s="19" t="s">
        <v>268</v>
      </c>
      <c r="C206" s="18" t="s">
        <v>31</v>
      </c>
      <c r="D206" s="18" t="s">
        <v>213</v>
      </c>
      <c r="E206" s="20">
        <v>8.9999999999999993E-3</v>
      </c>
      <c r="F206" s="21">
        <v>29.85</v>
      </c>
      <c r="G206" s="21">
        <f>ROUND(ROUND(E206,4)*F206,2)</f>
        <v>0.27</v>
      </c>
    </row>
    <row r="207" spans="1:7" ht="15" customHeight="1">
      <c r="A207" s="18" t="s">
        <v>211</v>
      </c>
      <c r="B207" s="19" t="s">
        <v>212</v>
      </c>
      <c r="C207" s="18" t="s">
        <v>31</v>
      </c>
      <c r="D207" s="18" t="s">
        <v>213</v>
      </c>
      <c r="E207" s="20">
        <v>1.9E-2</v>
      </c>
      <c r="F207" s="21">
        <v>24.08</v>
      </c>
      <c r="G207" s="21">
        <f>ROUND(ROUND(E207,4)*F207,2)</f>
        <v>0.46</v>
      </c>
    </row>
    <row r="208" spans="1:7" ht="18" customHeight="1">
      <c r="A208" s="6"/>
      <c r="B208" s="6"/>
      <c r="C208" s="6"/>
      <c r="D208" s="6"/>
      <c r="E208" s="225" t="s">
        <v>204</v>
      </c>
      <c r="F208" s="225"/>
      <c r="G208" s="22">
        <f>SUM(G206:G207)</f>
        <v>0.73</v>
      </c>
    </row>
    <row r="209" spans="1:7" ht="15" customHeight="1">
      <c r="A209" s="6"/>
      <c r="B209" s="6"/>
      <c r="C209" s="6"/>
      <c r="D209" s="6"/>
      <c r="E209" s="222" t="s">
        <v>190</v>
      </c>
      <c r="F209" s="222"/>
      <c r="G209" s="23">
        <f>ROUND(SUM(G204,G208),2)</f>
        <v>0.78</v>
      </c>
    </row>
    <row r="210" spans="1:7" ht="10.050000000000001" customHeight="1">
      <c r="A210" s="6"/>
      <c r="B210" s="6"/>
      <c r="C210" s="6"/>
      <c r="D210" s="6"/>
      <c r="E210" s="226"/>
      <c r="F210" s="226"/>
      <c r="G210" s="226"/>
    </row>
    <row r="211" spans="1:7" ht="27" customHeight="1">
      <c r="A211" s="223" t="s">
        <v>311</v>
      </c>
      <c r="B211" s="223"/>
      <c r="C211" s="223"/>
      <c r="D211" s="223"/>
      <c r="E211" s="223"/>
      <c r="F211" s="223"/>
      <c r="G211" s="223"/>
    </row>
    <row r="212" spans="1:7" ht="15" customHeight="1">
      <c r="A212" s="224" t="s">
        <v>220</v>
      </c>
      <c r="B212" s="224"/>
      <c r="C212" s="17" t="s">
        <v>183</v>
      </c>
      <c r="D212" s="17" t="s">
        <v>184</v>
      </c>
      <c r="E212" s="17" t="s">
        <v>185</v>
      </c>
      <c r="F212" s="17" t="s">
        <v>186</v>
      </c>
      <c r="G212" s="17" t="s">
        <v>187</v>
      </c>
    </row>
    <row r="213" spans="1:7" ht="15" customHeight="1">
      <c r="A213" s="18" t="s">
        <v>312</v>
      </c>
      <c r="B213" s="19" t="s">
        <v>313</v>
      </c>
      <c r="C213" s="18" t="s">
        <v>31</v>
      </c>
      <c r="D213" s="18" t="s">
        <v>124</v>
      </c>
      <c r="E213" s="20">
        <v>9.2240000000000002</v>
      </c>
      <c r="F213" s="21">
        <v>9.1999999999999993</v>
      </c>
      <c r="G213" s="21">
        <f t="shared" ref="G213:G218" si="2">ROUND(ROUND(E213,4)*F213,2)</f>
        <v>84.86</v>
      </c>
    </row>
    <row r="214" spans="1:7" ht="21" customHeight="1">
      <c r="A214" s="18" t="s">
        <v>314</v>
      </c>
      <c r="B214" s="19" t="s">
        <v>315</v>
      </c>
      <c r="C214" s="18" t="s">
        <v>31</v>
      </c>
      <c r="D214" s="18" t="s">
        <v>124</v>
      </c>
      <c r="E214" s="20">
        <v>0.89600000000000002</v>
      </c>
      <c r="F214" s="21">
        <v>7.98</v>
      </c>
      <c r="G214" s="21">
        <f t="shared" si="2"/>
        <v>7.15</v>
      </c>
    </row>
    <row r="215" spans="1:7" ht="21" customHeight="1">
      <c r="A215" s="18" t="s">
        <v>316</v>
      </c>
      <c r="B215" s="19" t="s">
        <v>317</v>
      </c>
      <c r="C215" s="18" t="s">
        <v>31</v>
      </c>
      <c r="D215" s="18" t="s">
        <v>124</v>
      </c>
      <c r="E215" s="20">
        <v>7.0999999999999994E-2</v>
      </c>
      <c r="F215" s="21">
        <v>28.81</v>
      </c>
      <c r="G215" s="21">
        <f t="shared" si="2"/>
        <v>2.0499999999999998</v>
      </c>
    </row>
    <row r="216" spans="1:7" ht="21" customHeight="1">
      <c r="A216" s="18" t="s">
        <v>318</v>
      </c>
      <c r="B216" s="19" t="s">
        <v>319</v>
      </c>
      <c r="C216" s="18" t="s">
        <v>31</v>
      </c>
      <c r="D216" s="18" t="s">
        <v>40</v>
      </c>
      <c r="E216" s="20">
        <v>3.3330000000000002</v>
      </c>
      <c r="F216" s="21">
        <v>3.58</v>
      </c>
      <c r="G216" s="21">
        <f t="shared" si="2"/>
        <v>11.93</v>
      </c>
    </row>
    <row r="217" spans="1:7" ht="21" customHeight="1">
      <c r="A217" s="18" t="s">
        <v>320</v>
      </c>
      <c r="B217" s="19" t="s">
        <v>321</v>
      </c>
      <c r="C217" s="18" t="s">
        <v>31</v>
      </c>
      <c r="D217" s="18" t="s">
        <v>95</v>
      </c>
      <c r="E217" s="20">
        <v>0.9</v>
      </c>
      <c r="F217" s="21">
        <v>45.88</v>
      </c>
      <c r="G217" s="21">
        <f t="shared" si="2"/>
        <v>41.29</v>
      </c>
    </row>
    <row r="218" spans="1:7" ht="21" customHeight="1">
      <c r="A218" s="18" t="s">
        <v>322</v>
      </c>
      <c r="B218" s="19" t="s">
        <v>323</v>
      </c>
      <c r="C218" s="18" t="s">
        <v>31</v>
      </c>
      <c r="D218" s="18" t="s">
        <v>95</v>
      </c>
      <c r="E218" s="20">
        <v>1.0289999999999999</v>
      </c>
      <c r="F218" s="21">
        <v>59.88</v>
      </c>
      <c r="G218" s="21">
        <f t="shared" si="2"/>
        <v>61.62</v>
      </c>
    </row>
    <row r="219" spans="1:7" ht="15" customHeight="1">
      <c r="A219" s="6"/>
      <c r="B219" s="6"/>
      <c r="C219" s="6"/>
      <c r="D219" s="6"/>
      <c r="E219" s="225" t="s">
        <v>223</v>
      </c>
      <c r="F219" s="225"/>
      <c r="G219" s="22">
        <f>SUM(G213:G218)</f>
        <v>208.9</v>
      </c>
    </row>
    <row r="220" spans="1:7" ht="15" customHeight="1">
      <c r="A220" s="224" t="s">
        <v>195</v>
      </c>
      <c r="B220" s="224"/>
      <c r="C220" s="17" t="s">
        <v>183</v>
      </c>
      <c r="D220" s="17" t="s">
        <v>184</v>
      </c>
      <c r="E220" s="17" t="s">
        <v>185</v>
      </c>
      <c r="F220" s="17" t="s">
        <v>186</v>
      </c>
      <c r="G220" s="17" t="s">
        <v>187</v>
      </c>
    </row>
    <row r="221" spans="1:7" ht="21" customHeight="1">
      <c r="A221" s="18" t="s">
        <v>324</v>
      </c>
      <c r="B221" s="19" t="s">
        <v>325</v>
      </c>
      <c r="C221" s="18" t="s">
        <v>31</v>
      </c>
      <c r="D221" s="18" t="s">
        <v>213</v>
      </c>
      <c r="E221" s="20">
        <v>4.7480000000000002</v>
      </c>
      <c r="F221" s="21">
        <v>25.04</v>
      </c>
      <c r="G221" s="21">
        <f>ROUND(ROUND(E221,4)*F221,2)</f>
        <v>118.89</v>
      </c>
    </row>
    <row r="222" spans="1:7" ht="15" customHeight="1">
      <c r="A222" s="18" t="s">
        <v>326</v>
      </c>
      <c r="B222" s="19" t="s">
        <v>327</v>
      </c>
      <c r="C222" s="18" t="s">
        <v>31</v>
      </c>
      <c r="D222" s="18" t="s">
        <v>213</v>
      </c>
      <c r="E222" s="20">
        <v>5.78</v>
      </c>
      <c r="F222" s="21">
        <v>29.63</v>
      </c>
      <c r="G222" s="21">
        <f>ROUND(ROUND(E222,4)*F222,2)</f>
        <v>171.26</v>
      </c>
    </row>
    <row r="223" spans="1:7" ht="18" customHeight="1">
      <c r="A223" s="6"/>
      <c r="B223" s="6"/>
      <c r="C223" s="6"/>
      <c r="D223" s="6"/>
      <c r="E223" s="225" t="s">
        <v>204</v>
      </c>
      <c r="F223" s="225"/>
      <c r="G223" s="22">
        <f>SUM(G221:G222)</f>
        <v>290.14999999999998</v>
      </c>
    </row>
    <row r="224" spans="1:7" ht="15" customHeight="1">
      <c r="A224" s="6"/>
      <c r="B224" s="6"/>
      <c r="C224" s="6"/>
      <c r="D224" s="6"/>
      <c r="E224" s="222" t="s">
        <v>190</v>
      </c>
      <c r="F224" s="222"/>
      <c r="G224" s="23">
        <f>ROUND(SUM(G219,G223),2)</f>
        <v>499.05</v>
      </c>
    </row>
  </sheetData>
  <mergeCells count="146">
    <mergeCell ref="A1:G1"/>
    <mergeCell ref="E2:G2"/>
    <mergeCell ref="A3:G3"/>
    <mergeCell ref="A4:B4"/>
    <mergeCell ref="E6:F6"/>
    <mergeCell ref="E13:F13"/>
    <mergeCell ref="E14:G14"/>
    <mergeCell ref="A15:G15"/>
    <mergeCell ref="A16:B16"/>
    <mergeCell ref="E18:F18"/>
    <mergeCell ref="E7:F7"/>
    <mergeCell ref="E8:G8"/>
    <mergeCell ref="A9:G9"/>
    <mergeCell ref="A10:B10"/>
    <mergeCell ref="E12:F12"/>
    <mergeCell ref="E25:F25"/>
    <mergeCell ref="E26:G26"/>
    <mergeCell ref="A27:G27"/>
    <mergeCell ref="A28:B28"/>
    <mergeCell ref="E33:F33"/>
    <mergeCell ref="E19:F19"/>
    <mergeCell ref="E20:G20"/>
    <mergeCell ref="A21:G21"/>
    <mergeCell ref="A22:B22"/>
    <mergeCell ref="E24:F24"/>
    <mergeCell ref="A40:B40"/>
    <mergeCell ref="E42:F42"/>
    <mergeCell ref="E43:F43"/>
    <mergeCell ref="E44:G44"/>
    <mergeCell ref="A45:G45"/>
    <mergeCell ref="E34:F34"/>
    <mergeCell ref="E35:G35"/>
    <mergeCell ref="A36:G36"/>
    <mergeCell ref="A37:B37"/>
    <mergeCell ref="E39:F39"/>
    <mergeCell ref="A52:B52"/>
    <mergeCell ref="E54:F54"/>
    <mergeCell ref="E55:F55"/>
    <mergeCell ref="E56:G56"/>
    <mergeCell ref="A57:G57"/>
    <mergeCell ref="A46:B46"/>
    <mergeCell ref="E48:F48"/>
    <mergeCell ref="E49:F49"/>
    <mergeCell ref="E50:G50"/>
    <mergeCell ref="A51:G51"/>
    <mergeCell ref="E65:G65"/>
    <mergeCell ref="A66:G66"/>
    <mergeCell ref="A67:B67"/>
    <mergeCell ref="E69:F69"/>
    <mergeCell ref="A70:B70"/>
    <mergeCell ref="A58:B58"/>
    <mergeCell ref="E60:F60"/>
    <mergeCell ref="A61:B61"/>
    <mergeCell ref="E63:F63"/>
    <mergeCell ref="E64:F64"/>
    <mergeCell ref="E78:F78"/>
    <mergeCell ref="A79:B79"/>
    <mergeCell ref="E81:F81"/>
    <mergeCell ref="E82:F82"/>
    <mergeCell ref="E83:G83"/>
    <mergeCell ref="E72:F72"/>
    <mergeCell ref="E73:F73"/>
    <mergeCell ref="E74:G74"/>
    <mergeCell ref="A75:G75"/>
    <mergeCell ref="A76:B76"/>
    <mergeCell ref="E92:F92"/>
    <mergeCell ref="E93:G93"/>
    <mergeCell ref="A94:G94"/>
    <mergeCell ref="A95:B95"/>
    <mergeCell ref="E97:F97"/>
    <mergeCell ref="A84:G84"/>
    <mergeCell ref="A85:B85"/>
    <mergeCell ref="E88:F88"/>
    <mergeCell ref="A89:B89"/>
    <mergeCell ref="E91:F91"/>
    <mergeCell ref="A105:B105"/>
    <mergeCell ref="E107:F107"/>
    <mergeCell ref="E108:F108"/>
    <mergeCell ref="E109:G109"/>
    <mergeCell ref="A110:G110"/>
    <mergeCell ref="A98:B98"/>
    <mergeCell ref="E101:F101"/>
    <mergeCell ref="E102:F102"/>
    <mergeCell ref="E103:G103"/>
    <mergeCell ref="A104:G104"/>
    <mergeCell ref="E120:F120"/>
    <mergeCell ref="A121:B121"/>
    <mergeCell ref="E123:F123"/>
    <mergeCell ref="E124:F124"/>
    <mergeCell ref="E125:G125"/>
    <mergeCell ref="A111:B111"/>
    <mergeCell ref="E113:F113"/>
    <mergeCell ref="A114:B114"/>
    <mergeCell ref="E116:F116"/>
    <mergeCell ref="A117:B117"/>
    <mergeCell ref="A137:G137"/>
    <mergeCell ref="A138:B138"/>
    <mergeCell ref="E143:F143"/>
    <mergeCell ref="E144:F144"/>
    <mergeCell ref="E145:G145"/>
    <mergeCell ref="A126:G126"/>
    <mergeCell ref="A127:B127"/>
    <mergeCell ref="E134:F134"/>
    <mergeCell ref="E135:F135"/>
    <mergeCell ref="E136:G136"/>
    <mergeCell ref="E154:F154"/>
    <mergeCell ref="E155:G155"/>
    <mergeCell ref="A156:G156"/>
    <mergeCell ref="A157:B157"/>
    <mergeCell ref="E166:F166"/>
    <mergeCell ref="A146:G146"/>
    <mergeCell ref="A147:B147"/>
    <mergeCell ref="E149:F149"/>
    <mergeCell ref="A150:B150"/>
    <mergeCell ref="E153:F153"/>
    <mergeCell ref="E182:F182"/>
    <mergeCell ref="E183:F183"/>
    <mergeCell ref="E184:G184"/>
    <mergeCell ref="A185:G185"/>
    <mergeCell ref="A186:B186"/>
    <mergeCell ref="A167:B167"/>
    <mergeCell ref="E172:F172"/>
    <mergeCell ref="A173:B173"/>
    <mergeCell ref="E177:F177"/>
    <mergeCell ref="A178:B178"/>
    <mergeCell ref="E198:F198"/>
    <mergeCell ref="E199:F199"/>
    <mergeCell ref="E200:G200"/>
    <mergeCell ref="A201:G201"/>
    <mergeCell ref="A202:B202"/>
    <mergeCell ref="E189:F189"/>
    <mergeCell ref="E190:F190"/>
    <mergeCell ref="E191:G191"/>
    <mergeCell ref="A192:G192"/>
    <mergeCell ref="A193:B193"/>
    <mergeCell ref="E224:F224"/>
    <mergeCell ref="A211:G211"/>
    <mergeCell ref="A212:B212"/>
    <mergeCell ref="E219:F219"/>
    <mergeCell ref="A220:B220"/>
    <mergeCell ref="E223:F223"/>
    <mergeCell ref="E204:F204"/>
    <mergeCell ref="A205:B205"/>
    <mergeCell ref="E208:F208"/>
    <mergeCell ref="E209:F209"/>
    <mergeCell ref="E210:G210"/>
  </mergeCells>
  <pageMargins left="0.5" right="0.5" top="0.5" bottom="0.5" header="0" footer="0"/>
  <pageSetup paperSize="9" scale="8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/>
  </sheetPr>
  <dimension ref="A1:K46"/>
  <sheetViews>
    <sheetView view="pageBreakPreview" zoomScale="90" zoomScaleNormal="100" zoomScaleSheetLayoutView="90" workbookViewId="0">
      <selection activeCell="E7" sqref="E7"/>
    </sheetView>
  </sheetViews>
  <sheetFormatPr defaultRowHeight="12"/>
  <cols>
    <col min="1" max="1" width="9.33203125" style="2" customWidth="1"/>
    <col min="2" max="2" width="68.6640625" style="2" customWidth="1"/>
    <col min="3" max="3" width="9.33203125" style="2" customWidth="1"/>
    <col min="4" max="4" width="10.33203125" style="2" customWidth="1"/>
    <col min="5" max="5" width="9.33203125" style="2" customWidth="1"/>
    <col min="6" max="7" width="12.44140625" style="2" customWidth="1"/>
    <col min="8" max="8" width="13.21875" style="2" bestFit="1" customWidth="1"/>
    <col min="9" max="10" width="8.6640625" style="2" customWidth="1"/>
    <col min="11" max="11" width="4.6640625" style="2" customWidth="1"/>
    <col min="12" max="16384" width="8.88671875" style="2"/>
  </cols>
  <sheetData>
    <row r="1" spans="1:11" ht="75" customHeight="1">
      <c r="A1" s="207"/>
      <c r="B1" s="207"/>
      <c r="C1" s="207"/>
      <c r="D1" s="207"/>
      <c r="E1" s="207"/>
      <c r="F1" s="207"/>
      <c r="G1" s="207"/>
      <c r="H1" s="207"/>
      <c r="I1" s="207"/>
      <c r="J1" s="207"/>
      <c r="K1" s="207"/>
    </row>
    <row r="2" spans="1:11" ht="10.050000000000001" customHeight="1">
      <c r="A2" s="6"/>
      <c r="B2" s="227" t="s">
        <v>328</v>
      </c>
      <c r="C2" s="227"/>
      <c r="D2" s="6"/>
      <c r="E2" s="6"/>
      <c r="F2" s="6"/>
      <c r="G2" s="6"/>
      <c r="H2" s="6"/>
      <c r="I2" s="6"/>
      <c r="J2" s="6"/>
      <c r="K2" s="6"/>
    </row>
    <row r="3" spans="1:11" ht="22.05" customHeight="1">
      <c r="A3" s="24" t="s">
        <v>1</v>
      </c>
      <c r="B3" s="25" t="s">
        <v>3</v>
      </c>
      <c r="C3" s="24" t="s">
        <v>183</v>
      </c>
      <c r="D3" s="24" t="s">
        <v>329</v>
      </c>
      <c r="E3" s="24" t="s">
        <v>330</v>
      </c>
      <c r="F3" s="24" t="s">
        <v>331</v>
      </c>
      <c r="G3" s="24" t="s">
        <v>186</v>
      </c>
      <c r="H3" s="24" t="s">
        <v>332</v>
      </c>
      <c r="I3" s="24" t="s">
        <v>333</v>
      </c>
      <c r="J3" s="24" t="s">
        <v>334</v>
      </c>
      <c r="K3" s="24" t="s">
        <v>335</v>
      </c>
    </row>
    <row r="4" spans="1:11" ht="19.95" customHeight="1">
      <c r="A4" s="26" t="s">
        <v>76</v>
      </c>
      <c r="B4" s="27" t="s">
        <v>77</v>
      </c>
      <c r="C4" s="26" t="s">
        <v>31</v>
      </c>
      <c r="D4" s="26" t="s">
        <v>248</v>
      </c>
      <c r="E4" s="26" t="s">
        <v>48</v>
      </c>
      <c r="F4" s="28">
        <v>3842.24</v>
      </c>
      <c r="G4" s="29">
        <v>672.02</v>
      </c>
      <c r="H4" s="29">
        <f t="shared" ref="H4:H42" si="0">ROUND(F4*G4,2)</f>
        <v>2582062.12</v>
      </c>
      <c r="I4" s="30">
        <f t="shared" ref="I4:I42" si="1">H4/VALOR_TOTAL*100</f>
        <v>33.974457233340033</v>
      </c>
      <c r="J4" s="30">
        <f>I4</f>
        <v>33.974457233340033</v>
      </c>
      <c r="K4" s="26" t="str">
        <f t="shared" ref="K4:K42" si="2">IF(J4&lt;=80,"A",IF(J4&lt;=90,"B","C"))</f>
        <v>A</v>
      </c>
    </row>
    <row r="5" spans="1:11" ht="15" customHeight="1">
      <c r="A5" s="26" t="s">
        <v>60</v>
      </c>
      <c r="B5" s="27" t="s">
        <v>61</v>
      </c>
      <c r="C5" s="26" t="s">
        <v>31</v>
      </c>
      <c r="D5" s="26" t="s">
        <v>248</v>
      </c>
      <c r="E5" s="26" t="s">
        <v>48</v>
      </c>
      <c r="F5" s="28">
        <v>7375.65</v>
      </c>
      <c r="G5" s="29">
        <v>117.28</v>
      </c>
      <c r="H5" s="29">
        <f t="shared" si="0"/>
        <v>865016.23</v>
      </c>
      <c r="I5" s="30">
        <f t="shared" si="1"/>
        <v>11.38177764378497</v>
      </c>
      <c r="J5" s="30">
        <f t="shared" ref="J5:J42" si="3">I5+J4</f>
        <v>45.356234877125004</v>
      </c>
      <c r="K5" s="26" t="str">
        <f t="shared" si="2"/>
        <v>A</v>
      </c>
    </row>
    <row r="6" spans="1:11" ht="36" customHeight="1">
      <c r="A6" s="26" t="s">
        <v>153</v>
      </c>
      <c r="B6" s="27" t="s">
        <v>154</v>
      </c>
      <c r="C6" s="26" t="s">
        <v>31</v>
      </c>
      <c r="D6" s="26" t="s">
        <v>248</v>
      </c>
      <c r="E6" s="26" t="s">
        <v>33</v>
      </c>
      <c r="F6" s="28">
        <v>6015.49</v>
      </c>
      <c r="G6" s="29">
        <v>128.72999999999999</v>
      </c>
      <c r="H6" s="29">
        <f t="shared" si="0"/>
        <v>774374.03</v>
      </c>
      <c r="I6" s="30">
        <f t="shared" si="1"/>
        <v>10.189118674202994</v>
      </c>
      <c r="J6" s="30">
        <f t="shared" si="3"/>
        <v>55.545353551327999</v>
      </c>
      <c r="K6" s="26" t="str">
        <f t="shared" si="2"/>
        <v>A</v>
      </c>
    </row>
    <row r="7" spans="1:11" ht="19.95" customHeight="1">
      <c r="A7" s="26" t="s">
        <v>42</v>
      </c>
      <c r="B7" s="27" t="s">
        <v>74</v>
      </c>
      <c r="C7" s="26" t="s">
        <v>31</v>
      </c>
      <c r="D7" s="26" t="s">
        <v>248</v>
      </c>
      <c r="E7" s="26" t="s">
        <v>44</v>
      </c>
      <c r="F7" s="28">
        <v>466.19</v>
      </c>
      <c r="G7" s="29">
        <v>1463.86</v>
      </c>
      <c r="H7" s="29">
        <f t="shared" si="0"/>
        <v>682436.89</v>
      </c>
      <c r="I7" s="30">
        <f t="shared" si="1"/>
        <v>8.9794210426504293</v>
      </c>
      <c r="J7" s="30">
        <f t="shared" si="3"/>
        <v>64.524774593978435</v>
      </c>
      <c r="K7" s="26" t="str">
        <f t="shared" si="2"/>
        <v>A</v>
      </c>
    </row>
    <row r="8" spans="1:11" ht="19.95" customHeight="1">
      <c r="A8" s="26" t="s">
        <v>55</v>
      </c>
      <c r="B8" s="27" t="s">
        <v>56</v>
      </c>
      <c r="C8" s="26" t="s">
        <v>14</v>
      </c>
      <c r="D8" s="26" t="s">
        <v>248</v>
      </c>
      <c r="E8" s="26" t="s">
        <v>16</v>
      </c>
      <c r="F8" s="28">
        <v>1</v>
      </c>
      <c r="G8" s="29">
        <v>455120.34</v>
      </c>
      <c r="H8" s="29">
        <f t="shared" si="0"/>
        <v>455120.34</v>
      </c>
      <c r="I8" s="30">
        <f t="shared" si="1"/>
        <v>5.9884177098547795</v>
      </c>
      <c r="J8" s="30">
        <f t="shared" si="3"/>
        <v>70.513192303833222</v>
      </c>
      <c r="K8" s="26" t="str">
        <f t="shared" si="2"/>
        <v>A</v>
      </c>
    </row>
    <row r="9" spans="1:11" ht="19.95" customHeight="1">
      <c r="A9" s="26" t="s">
        <v>42</v>
      </c>
      <c r="B9" s="27" t="s">
        <v>43</v>
      </c>
      <c r="C9" s="26" t="s">
        <v>31</v>
      </c>
      <c r="D9" s="26" t="s">
        <v>248</v>
      </c>
      <c r="E9" s="26" t="s">
        <v>44</v>
      </c>
      <c r="F9" s="28">
        <v>212.05</v>
      </c>
      <c r="G9" s="29">
        <v>1463.85</v>
      </c>
      <c r="H9" s="29">
        <f t="shared" si="0"/>
        <v>310409.39</v>
      </c>
      <c r="I9" s="30">
        <f t="shared" si="1"/>
        <v>4.0843287478235286</v>
      </c>
      <c r="J9" s="30">
        <f t="shared" si="3"/>
        <v>74.597521051656756</v>
      </c>
      <c r="K9" s="26" t="str">
        <f t="shared" si="2"/>
        <v>A</v>
      </c>
    </row>
    <row r="10" spans="1:11" ht="60" customHeight="1">
      <c r="A10" s="26" t="s">
        <v>115</v>
      </c>
      <c r="B10" s="27" t="s">
        <v>117</v>
      </c>
      <c r="C10" s="26" t="s">
        <v>116</v>
      </c>
      <c r="D10" s="26" t="s">
        <v>248</v>
      </c>
      <c r="E10" s="26" t="s">
        <v>118</v>
      </c>
      <c r="F10" s="28">
        <v>595.11</v>
      </c>
      <c r="G10" s="29">
        <v>519.02</v>
      </c>
      <c r="H10" s="29">
        <f t="shared" si="0"/>
        <v>308873.99</v>
      </c>
      <c r="I10" s="30">
        <f t="shared" si="1"/>
        <v>4.0641261426142981</v>
      </c>
      <c r="J10" s="30">
        <f t="shared" si="3"/>
        <v>78.661647194271055</v>
      </c>
      <c r="K10" s="26" t="str">
        <f t="shared" si="2"/>
        <v>A</v>
      </c>
    </row>
    <row r="11" spans="1:11" ht="28.05" customHeight="1">
      <c r="A11" s="26" t="s">
        <v>176</v>
      </c>
      <c r="B11" s="27" t="s">
        <v>177</v>
      </c>
      <c r="C11" s="26" t="s">
        <v>14</v>
      </c>
      <c r="D11" s="26" t="s">
        <v>248</v>
      </c>
      <c r="E11" s="26" t="s">
        <v>95</v>
      </c>
      <c r="F11" s="28">
        <v>338.76</v>
      </c>
      <c r="G11" s="29">
        <v>614.45000000000005</v>
      </c>
      <c r="H11" s="29">
        <f t="shared" si="0"/>
        <v>208151.08</v>
      </c>
      <c r="I11" s="30">
        <f t="shared" si="1"/>
        <v>2.7388264251107715</v>
      </c>
      <c r="J11" s="30">
        <f t="shared" si="3"/>
        <v>81.400473619381827</v>
      </c>
      <c r="K11" s="26" t="str">
        <f t="shared" si="2"/>
        <v>B</v>
      </c>
    </row>
    <row r="12" spans="1:11" ht="15" customHeight="1">
      <c r="A12" s="26" t="s">
        <v>63</v>
      </c>
      <c r="B12" s="27" t="s">
        <v>64</v>
      </c>
      <c r="C12" s="26" t="s">
        <v>31</v>
      </c>
      <c r="D12" s="26" t="s">
        <v>248</v>
      </c>
      <c r="E12" s="26" t="s">
        <v>48</v>
      </c>
      <c r="F12" s="28">
        <v>6701.65</v>
      </c>
      <c r="G12" s="29">
        <v>29.54</v>
      </c>
      <c r="H12" s="29">
        <f t="shared" si="0"/>
        <v>197966.74</v>
      </c>
      <c r="I12" s="30">
        <f t="shared" si="1"/>
        <v>2.6048221263374352</v>
      </c>
      <c r="J12" s="30">
        <f t="shared" si="3"/>
        <v>84.005295745719266</v>
      </c>
      <c r="K12" s="26" t="str">
        <f t="shared" si="2"/>
        <v>B</v>
      </c>
    </row>
    <row r="13" spans="1:11" ht="15" customHeight="1">
      <c r="A13" s="26" t="s">
        <v>156</v>
      </c>
      <c r="B13" s="27" t="s">
        <v>157</v>
      </c>
      <c r="C13" s="26" t="s">
        <v>98</v>
      </c>
      <c r="D13" s="26" t="s">
        <v>248</v>
      </c>
      <c r="E13" s="26" t="s">
        <v>158</v>
      </c>
      <c r="F13" s="28">
        <v>6015.49</v>
      </c>
      <c r="G13" s="29">
        <v>26.56</v>
      </c>
      <c r="H13" s="29">
        <f t="shared" si="0"/>
        <v>159771.41</v>
      </c>
      <c r="I13" s="30">
        <f t="shared" si="1"/>
        <v>2.1022526507439085</v>
      </c>
      <c r="J13" s="30">
        <f t="shared" si="3"/>
        <v>86.107548396463173</v>
      </c>
      <c r="K13" s="26" t="str">
        <f t="shared" si="2"/>
        <v>B</v>
      </c>
    </row>
    <row r="14" spans="1:11" ht="15" customHeight="1">
      <c r="A14" s="26" t="s">
        <v>105</v>
      </c>
      <c r="B14" s="27" t="s">
        <v>106</v>
      </c>
      <c r="C14" s="26" t="s">
        <v>31</v>
      </c>
      <c r="D14" s="26" t="s">
        <v>248</v>
      </c>
      <c r="E14" s="26" t="s">
        <v>44</v>
      </c>
      <c r="F14" s="28">
        <v>96286.53</v>
      </c>
      <c r="G14" s="29">
        <v>1.55</v>
      </c>
      <c r="H14" s="29">
        <f t="shared" si="0"/>
        <v>149244.12</v>
      </c>
      <c r="I14" s="30">
        <f t="shared" si="1"/>
        <v>1.9637358578605644</v>
      </c>
      <c r="J14" s="30">
        <f t="shared" si="3"/>
        <v>88.071284254323743</v>
      </c>
      <c r="K14" s="26" t="str">
        <f t="shared" si="2"/>
        <v>B</v>
      </c>
    </row>
    <row r="15" spans="1:11" ht="19.95" customHeight="1">
      <c r="A15" s="26" t="s">
        <v>160</v>
      </c>
      <c r="B15" s="27" t="s">
        <v>161</v>
      </c>
      <c r="C15" s="26" t="s">
        <v>31</v>
      </c>
      <c r="D15" s="26" t="s">
        <v>248</v>
      </c>
      <c r="E15" s="26" t="s">
        <v>33</v>
      </c>
      <c r="F15" s="28">
        <v>6015.49</v>
      </c>
      <c r="G15" s="29">
        <v>18.47</v>
      </c>
      <c r="H15" s="29">
        <f t="shared" si="0"/>
        <v>111106.1</v>
      </c>
      <c r="I15" s="30">
        <f t="shared" si="1"/>
        <v>1.4619204602301361</v>
      </c>
      <c r="J15" s="30">
        <f t="shared" si="3"/>
        <v>89.533204714553875</v>
      </c>
      <c r="K15" s="26" t="str">
        <f t="shared" si="2"/>
        <v>B</v>
      </c>
    </row>
    <row r="16" spans="1:11" ht="19.95" customHeight="1">
      <c r="A16" s="26" t="s">
        <v>93</v>
      </c>
      <c r="B16" s="27" t="s">
        <v>94</v>
      </c>
      <c r="C16" s="26" t="s">
        <v>31</v>
      </c>
      <c r="D16" s="26" t="s">
        <v>248</v>
      </c>
      <c r="E16" s="26" t="s">
        <v>95</v>
      </c>
      <c r="F16" s="28">
        <v>2765.25</v>
      </c>
      <c r="G16" s="29">
        <v>31.22</v>
      </c>
      <c r="H16" s="29">
        <f t="shared" si="0"/>
        <v>86331.11</v>
      </c>
      <c r="I16" s="30">
        <f t="shared" si="1"/>
        <v>1.1359341752017083</v>
      </c>
      <c r="J16" s="30">
        <f t="shared" si="3"/>
        <v>90.669138889755587</v>
      </c>
      <c r="K16" s="26" t="str">
        <f t="shared" si="2"/>
        <v>C</v>
      </c>
    </row>
    <row r="17" spans="1:11" ht="19.95" customHeight="1">
      <c r="A17" s="26" t="s">
        <v>50</v>
      </c>
      <c r="B17" s="27" t="s">
        <v>51</v>
      </c>
      <c r="C17" s="26" t="s">
        <v>31</v>
      </c>
      <c r="D17" s="26" t="s">
        <v>248</v>
      </c>
      <c r="E17" s="26" t="s">
        <v>44</v>
      </c>
      <c r="F17" s="28">
        <v>31931</v>
      </c>
      <c r="G17" s="29">
        <v>2.68</v>
      </c>
      <c r="H17" s="29">
        <f t="shared" si="0"/>
        <v>85575.08</v>
      </c>
      <c r="I17" s="30">
        <f t="shared" si="1"/>
        <v>1.1259864250282452</v>
      </c>
      <c r="J17" s="30">
        <f t="shared" si="3"/>
        <v>91.795125314783832</v>
      </c>
      <c r="K17" s="26" t="str">
        <f t="shared" si="2"/>
        <v>C</v>
      </c>
    </row>
    <row r="18" spans="1:11" ht="19.95" customHeight="1">
      <c r="A18" s="26" t="s">
        <v>122</v>
      </c>
      <c r="B18" s="27" t="s">
        <v>123</v>
      </c>
      <c r="C18" s="26" t="s">
        <v>31</v>
      </c>
      <c r="D18" s="26" t="s">
        <v>248</v>
      </c>
      <c r="E18" s="26" t="s">
        <v>124</v>
      </c>
      <c r="F18" s="28">
        <v>5483.88</v>
      </c>
      <c r="G18" s="29">
        <v>15.58</v>
      </c>
      <c r="H18" s="29">
        <f t="shared" si="0"/>
        <v>85438.85</v>
      </c>
      <c r="I18" s="30">
        <f t="shared" si="1"/>
        <v>1.1241939273679264</v>
      </c>
      <c r="J18" s="30">
        <f t="shared" si="3"/>
        <v>92.919319242151758</v>
      </c>
      <c r="K18" s="26" t="str">
        <f t="shared" si="2"/>
        <v>C</v>
      </c>
    </row>
    <row r="19" spans="1:11" ht="19.95" customHeight="1">
      <c r="A19" s="26" t="s">
        <v>102</v>
      </c>
      <c r="B19" s="27" t="s">
        <v>103</v>
      </c>
      <c r="C19" s="26" t="s">
        <v>31</v>
      </c>
      <c r="D19" s="26" t="s">
        <v>248</v>
      </c>
      <c r="E19" s="26" t="s">
        <v>48</v>
      </c>
      <c r="F19" s="28">
        <v>83.8</v>
      </c>
      <c r="G19" s="29">
        <v>960.28</v>
      </c>
      <c r="H19" s="29">
        <f t="shared" si="0"/>
        <v>80471.460000000006</v>
      </c>
      <c r="I19" s="30">
        <f t="shared" si="1"/>
        <v>1.0588336179434883</v>
      </c>
      <c r="J19" s="30">
        <f t="shared" si="3"/>
        <v>93.97815286009525</v>
      </c>
      <c r="K19" s="26" t="str">
        <f t="shared" si="2"/>
        <v>C</v>
      </c>
    </row>
    <row r="20" spans="1:11" ht="28.05" customHeight="1">
      <c r="A20" s="26" t="s">
        <v>138</v>
      </c>
      <c r="B20" s="27" t="s">
        <v>139</v>
      </c>
      <c r="C20" s="26" t="s">
        <v>14</v>
      </c>
      <c r="D20" s="26" t="s">
        <v>248</v>
      </c>
      <c r="E20" s="26" t="s">
        <v>95</v>
      </c>
      <c r="F20" s="28">
        <v>265.02</v>
      </c>
      <c r="G20" s="29">
        <v>238.25</v>
      </c>
      <c r="H20" s="29">
        <f t="shared" si="0"/>
        <v>63141.02</v>
      </c>
      <c r="I20" s="30">
        <f t="shared" si="1"/>
        <v>0.83080181032184752</v>
      </c>
      <c r="J20" s="30">
        <f t="shared" si="3"/>
        <v>94.808954670417094</v>
      </c>
      <c r="K20" s="26" t="str">
        <f t="shared" si="2"/>
        <v>C</v>
      </c>
    </row>
    <row r="21" spans="1:11" ht="19.95" customHeight="1">
      <c r="A21" s="26" t="s">
        <v>129</v>
      </c>
      <c r="B21" s="27" t="s">
        <v>130</v>
      </c>
      <c r="C21" s="26" t="s">
        <v>31</v>
      </c>
      <c r="D21" s="26" t="s">
        <v>248</v>
      </c>
      <c r="E21" s="26" t="s">
        <v>48</v>
      </c>
      <c r="F21" s="28">
        <v>89.45</v>
      </c>
      <c r="G21" s="29">
        <v>648.95000000000005</v>
      </c>
      <c r="H21" s="29">
        <f t="shared" si="0"/>
        <v>58048.58</v>
      </c>
      <c r="I21" s="30">
        <f t="shared" si="1"/>
        <v>0.76379610830823763</v>
      </c>
      <c r="J21" s="30">
        <f t="shared" si="3"/>
        <v>95.572750778725336</v>
      </c>
      <c r="K21" s="26" t="str">
        <f t="shared" si="2"/>
        <v>C</v>
      </c>
    </row>
    <row r="22" spans="1:11" ht="15" customHeight="1">
      <c r="A22" s="26" t="s">
        <v>67</v>
      </c>
      <c r="B22" s="27" t="s">
        <v>68</v>
      </c>
      <c r="C22" s="26" t="s">
        <v>31</v>
      </c>
      <c r="D22" s="26" t="s">
        <v>248</v>
      </c>
      <c r="E22" s="26" t="s">
        <v>48</v>
      </c>
      <c r="F22" s="28">
        <v>842.5</v>
      </c>
      <c r="G22" s="29">
        <v>48.09</v>
      </c>
      <c r="H22" s="29">
        <f t="shared" si="0"/>
        <v>40515.83</v>
      </c>
      <c r="I22" s="30">
        <f t="shared" si="1"/>
        <v>0.53310233047695821</v>
      </c>
      <c r="J22" s="30">
        <f t="shared" si="3"/>
        <v>96.1058531092023</v>
      </c>
      <c r="K22" s="26" t="str">
        <f t="shared" si="2"/>
        <v>C</v>
      </c>
    </row>
    <row r="23" spans="1:11" ht="15" customHeight="1">
      <c r="A23" s="26" t="s">
        <v>35</v>
      </c>
      <c r="B23" s="27" t="s">
        <v>36</v>
      </c>
      <c r="C23" s="26" t="s">
        <v>31</v>
      </c>
      <c r="D23" s="26" t="s">
        <v>248</v>
      </c>
      <c r="E23" s="26" t="s">
        <v>33</v>
      </c>
      <c r="F23" s="28">
        <v>6213.31</v>
      </c>
      <c r="G23" s="29">
        <v>6.32</v>
      </c>
      <c r="H23" s="29">
        <f t="shared" si="0"/>
        <v>39268.120000000003</v>
      </c>
      <c r="I23" s="30">
        <f t="shared" si="1"/>
        <v>0.51668511506363934</v>
      </c>
      <c r="J23" s="30">
        <f t="shared" si="3"/>
        <v>96.622538224265938</v>
      </c>
      <c r="K23" s="26" t="str">
        <f t="shared" si="2"/>
        <v>C</v>
      </c>
    </row>
    <row r="24" spans="1:11" ht="19.95" customHeight="1">
      <c r="A24" s="26" t="s">
        <v>126</v>
      </c>
      <c r="B24" s="27" t="s">
        <v>127</v>
      </c>
      <c r="C24" s="26" t="s">
        <v>31</v>
      </c>
      <c r="D24" s="26" t="s">
        <v>248</v>
      </c>
      <c r="E24" s="26" t="s">
        <v>33</v>
      </c>
      <c r="F24" s="28">
        <v>692.83</v>
      </c>
      <c r="G24" s="29">
        <v>55.52</v>
      </c>
      <c r="H24" s="29">
        <f t="shared" si="0"/>
        <v>38465.919999999998</v>
      </c>
      <c r="I24" s="30">
        <f t="shared" si="1"/>
        <v>0.50612986568312268</v>
      </c>
      <c r="J24" s="30">
        <f t="shared" si="3"/>
        <v>97.128668089949059</v>
      </c>
      <c r="K24" s="26" t="str">
        <f t="shared" si="2"/>
        <v>C</v>
      </c>
    </row>
    <row r="25" spans="1:11" ht="15" customHeight="1">
      <c r="A25" s="26" t="s">
        <v>87</v>
      </c>
      <c r="B25" s="27" t="s">
        <v>88</v>
      </c>
      <c r="C25" s="26" t="s">
        <v>31</v>
      </c>
      <c r="D25" s="26" t="s">
        <v>248</v>
      </c>
      <c r="E25" s="26" t="s">
        <v>48</v>
      </c>
      <c r="F25" s="28">
        <v>146.31</v>
      </c>
      <c r="G25" s="29">
        <v>245.39</v>
      </c>
      <c r="H25" s="29">
        <f t="shared" si="0"/>
        <v>35903.01</v>
      </c>
      <c r="I25" s="30">
        <f t="shared" si="1"/>
        <v>0.47240740969980205</v>
      </c>
      <c r="J25" s="30">
        <f t="shared" si="3"/>
        <v>97.601075499648857</v>
      </c>
      <c r="K25" s="26" t="str">
        <f t="shared" si="2"/>
        <v>C</v>
      </c>
    </row>
    <row r="26" spans="1:11" ht="28.05" customHeight="1">
      <c r="A26" s="26" t="s">
        <v>166</v>
      </c>
      <c r="B26" s="27" t="s">
        <v>168</v>
      </c>
      <c r="C26" s="26" t="s">
        <v>167</v>
      </c>
      <c r="D26" s="26" t="s">
        <v>248</v>
      </c>
      <c r="E26" s="26" t="s">
        <v>118</v>
      </c>
      <c r="F26" s="28">
        <v>163.41999999999999</v>
      </c>
      <c r="G26" s="29">
        <v>183.34</v>
      </c>
      <c r="H26" s="29">
        <f t="shared" si="0"/>
        <v>29961.42</v>
      </c>
      <c r="I26" s="30">
        <f t="shared" si="1"/>
        <v>0.39422869595412319</v>
      </c>
      <c r="J26" s="30">
        <f t="shared" si="3"/>
        <v>97.995304195602984</v>
      </c>
      <c r="K26" s="26" t="str">
        <f t="shared" si="2"/>
        <v>C</v>
      </c>
    </row>
    <row r="27" spans="1:11" ht="15" customHeight="1">
      <c r="A27" s="26" t="s">
        <v>84</v>
      </c>
      <c r="B27" s="27" t="s">
        <v>85</v>
      </c>
      <c r="C27" s="26" t="s">
        <v>31</v>
      </c>
      <c r="D27" s="26" t="s">
        <v>248</v>
      </c>
      <c r="E27" s="26" t="s">
        <v>48</v>
      </c>
      <c r="F27" s="28">
        <v>146.31</v>
      </c>
      <c r="G27" s="29">
        <v>202.5</v>
      </c>
      <c r="H27" s="29">
        <f t="shared" si="0"/>
        <v>29627.78</v>
      </c>
      <c r="I27" s="30">
        <f t="shared" si="1"/>
        <v>0.38983870168422097</v>
      </c>
      <c r="J27" s="30">
        <f t="shared" si="3"/>
        <v>98.38514289728721</v>
      </c>
      <c r="K27" s="26" t="str">
        <f t="shared" si="2"/>
        <v>C</v>
      </c>
    </row>
    <row r="28" spans="1:11" ht="19.95" customHeight="1">
      <c r="A28" s="26" t="s">
        <v>38</v>
      </c>
      <c r="B28" s="27" t="s">
        <v>39</v>
      </c>
      <c r="C28" s="26" t="s">
        <v>31</v>
      </c>
      <c r="D28" s="26" t="s">
        <v>248</v>
      </c>
      <c r="E28" s="26" t="s">
        <v>40</v>
      </c>
      <c r="F28" s="28">
        <v>120</v>
      </c>
      <c r="G28" s="29">
        <v>196.16</v>
      </c>
      <c r="H28" s="29">
        <f t="shared" si="0"/>
        <v>23539.200000000001</v>
      </c>
      <c r="I28" s="30">
        <f t="shared" si="1"/>
        <v>0.30972591151565232</v>
      </c>
      <c r="J28" s="30">
        <f t="shared" si="3"/>
        <v>98.694868808802866</v>
      </c>
      <c r="K28" s="26" t="str">
        <f t="shared" si="2"/>
        <v>C</v>
      </c>
    </row>
    <row r="29" spans="1:11" ht="19.95" customHeight="1">
      <c r="A29" s="26" t="s">
        <v>25</v>
      </c>
      <c r="B29" s="27" t="s">
        <v>26</v>
      </c>
      <c r="C29" s="26" t="s">
        <v>14</v>
      </c>
      <c r="D29" s="26" t="s">
        <v>182</v>
      </c>
      <c r="E29" s="26" t="s">
        <v>23</v>
      </c>
      <c r="F29" s="28">
        <v>12</v>
      </c>
      <c r="G29" s="29">
        <v>1333.84</v>
      </c>
      <c r="H29" s="29">
        <f t="shared" si="0"/>
        <v>16006.08</v>
      </c>
      <c r="I29" s="30">
        <f t="shared" si="1"/>
        <v>0.21060604089316765</v>
      </c>
      <c r="J29" s="30">
        <f t="shared" si="3"/>
        <v>98.905474849696034</v>
      </c>
      <c r="K29" s="26" t="str">
        <f t="shared" si="2"/>
        <v>C</v>
      </c>
    </row>
    <row r="30" spans="1:11" ht="19.95" customHeight="1">
      <c r="A30" s="26" t="s">
        <v>21</v>
      </c>
      <c r="B30" s="27" t="s">
        <v>22</v>
      </c>
      <c r="C30" s="26" t="s">
        <v>14</v>
      </c>
      <c r="D30" s="26" t="s">
        <v>182</v>
      </c>
      <c r="E30" s="26" t="s">
        <v>23</v>
      </c>
      <c r="F30" s="28">
        <v>12</v>
      </c>
      <c r="G30" s="29">
        <v>1231.24</v>
      </c>
      <c r="H30" s="29">
        <f t="shared" si="0"/>
        <v>14774.88</v>
      </c>
      <c r="I30" s="30">
        <f t="shared" si="1"/>
        <v>0.19440606203840322</v>
      </c>
      <c r="J30" s="30">
        <f t="shared" si="3"/>
        <v>99.099880911734431</v>
      </c>
      <c r="K30" s="26" t="str">
        <f t="shared" si="2"/>
        <v>C</v>
      </c>
    </row>
    <row r="31" spans="1:11" ht="28.05" customHeight="1">
      <c r="A31" s="26" t="s">
        <v>46</v>
      </c>
      <c r="B31" s="27" t="s">
        <v>47</v>
      </c>
      <c r="C31" s="26" t="s">
        <v>31</v>
      </c>
      <c r="D31" s="26" t="s">
        <v>248</v>
      </c>
      <c r="E31" s="26" t="s">
        <v>48</v>
      </c>
      <c r="F31" s="28">
        <v>1315</v>
      </c>
      <c r="G31" s="29">
        <v>11.14</v>
      </c>
      <c r="H31" s="29">
        <f t="shared" si="0"/>
        <v>14649.1</v>
      </c>
      <c r="I31" s="30">
        <f t="shared" si="1"/>
        <v>0.19275106419861096</v>
      </c>
      <c r="J31" s="30">
        <f t="shared" si="3"/>
        <v>99.292631975933048</v>
      </c>
      <c r="K31" s="26" t="str">
        <f t="shared" si="2"/>
        <v>C</v>
      </c>
    </row>
    <row r="32" spans="1:11" ht="19.95" customHeight="1">
      <c r="A32" s="26" t="s">
        <v>172</v>
      </c>
      <c r="B32" s="27" t="s">
        <v>173</v>
      </c>
      <c r="C32" s="26" t="s">
        <v>31</v>
      </c>
      <c r="D32" s="26" t="s">
        <v>248</v>
      </c>
      <c r="E32" s="26" t="s">
        <v>48</v>
      </c>
      <c r="F32" s="28">
        <v>13.85</v>
      </c>
      <c r="G32" s="29">
        <v>1013.35</v>
      </c>
      <c r="H32" s="29">
        <f t="shared" si="0"/>
        <v>14034.9</v>
      </c>
      <c r="I32" s="30">
        <f t="shared" si="1"/>
        <v>0.18466949579981601</v>
      </c>
      <c r="J32" s="30">
        <f t="shared" si="3"/>
        <v>99.477301471732858</v>
      </c>
      <c r="K32" s="26" t="str">
        <f t="shared" si="2"/>
        <v>C</v>
      </c>
    </row>
    <row r="33" spans="1:11" ht="15" customHeight="1">
      <c r="A33" s="26" t="s">
        <v>97</v>
      </c>
      <c r="B33" s="27" t="s">
        <v>99</v>
      </c>
      <c r="C33" s="26" t="s">
        <v>98</v>
      </c>
      <c r="D33" s="26" t="s">
        <v>248</v>
      </c>
      <c r="E33" s="26" t="s">
        <v>100</v>
      </c>
      <c r="F33" s="28">
        <v>564</v>
      </c>
      <c r="G33" s="29">
        <v>19.63</v>
      </c>
      <c r="H33" s="29">
        <f t="shared" si="0"/>
        <v>11071.32</v>
      </c>
      <c r="I33" s="30">
        <f t="shared" si="1"/>
        <v>0.1456750730135889</v>
      </c>
      <c r="J33" s="30">
        <f t="shared" si="3"/>
        <v>99.62297654474645</v>
      </c>
      <c r="K33" s="26" t="str">
        <f t="shared" si="2"/>
        <v>C</v>
      </c>
    </row>
    <row r="34" spans="1:11" ht="19.95" customHeight="1">
      <c r="A34" s="26" t="s">
        <v>108</v>
      </c>
      <c r="B34" s="27" t="s">
        <v>109</v>
      </c>
      <c r="C34" s="26" t="s">
        <v>14</v>
      </c>
      <c r="D34" s="26" t="s">
        <v>248</v>
      </c>
      <c r="E34" s="26" t="s">
        <v>95</v>
      </c>
      <c r="F34" s="28">
        <v>706.27</v>
      </c>
      <c r="G34" s="29">
        <v>10.82</v>
      </c>
      <c r="H34" s="29">
        <f t="shared" si="0"/>
        <v>7641.84</v>
      </c>
      <c r="I34" s="30">
        <f t="shared" si="1"/>
        <v>0.10055039507106328</v>
      </c>
      <c r="J34" s="30">
        <f t="shared" si="3"/>
        <v>99.723526939817518</v>
      </c>
      <c r="K34" s="26" t="str">
        <f t="shared" si="2"/>
        <v>C</v>
      </c>
    </row>
    <row r="35" spans="1:11" ht="15" customHeight="1">
      <c r="A35" s="26" t="s">
        <v>150</v>
      </c>
      <c r="B35" s="27" t="s">
        <v>151</v>
      </c>
      <c r="C35" s="26" t="s">
        <v>31</v>
      </c>
      <c r="D35" s="26" t="s">
        <v>248</v>
      </c>
      <c r="E35" s="26" t="s">
        <v>33</v>
      </c>
      <c r="F35" s="28">
        <v>6213.31</v>
      </c>
      <c r="G35" s="29">
        <v>0.96</v>
      </c>
      <c r="H35" s="29">
        <f t="shared" si="0"/>
        <v>5964.78</v>
      </c>
      <c r="I35" s="30">
        <f t="shared" si="1"/>
        <v>7.8483844926349772E-2</v>
      </c>
      <c r="J35" s="30">
        <f t="shared" si="3"/>
        <v>99.802010784743871</v>
      </c>
      <c r="K35" s="26" t="str">
        <f t="shared" si="2"/>
        <v>C</v>
      </c>
    </row>
    <row r="36" spans="1:11" ht="28.05" customHeight="1">
      <c r="A36" s="26" t="s">
        <v>79</v>
      </c>
      <c r="B36" s="27" t="s">
        <v>81</v>
      </c>
      <c r="C36" s="26" t="s">
        <v>80</v>
      </c>
      <c r="D36" s="26" t="s">
        <v>248</v>
      </c>
      <c r="E36" s="26" t="s">
        <v>82</v>
      </c>
      <c r="F36" s="28">
        <v>3273.69</v>
      </c>
      <c r="G36" s="29">
        <v>1.55</v>
      </c>
      <c r="H36" s="29">
        <f t="shared" si="0"/>
        <v>5074.22</v>
      </c>
      <c r="I36" s="30">
        <f t="shared" si="1"/>
        <v>6.6765965484424011E-2</v>
      </c>
      <c r="J36" s="30">
        <f t="shared" si="3"/>
        <v>99.868776750228292</v>
      </c>
      <c r="K36" s="26" t="str">
        <f t="shared" si="2"/>
        <v>C</v>
      </c>
    </row>
    <row r="37" spans="1:11" ht="19.95" customHeight="1">
      <c r="A37" s="26" t="s">
        <v>30</v>
      </c>
      <c r="B37" s="27" t="s">
        <v>32</v>
      </c>
      <c r="C37" s="26" t="s">
        <v>31</v>
      </c>
      <c r="D37" s="26" t="s">
        <v>248</v>
      </c>
      <c r="E37" s="26" t="s">
        <v>33</v>
      </c>
      <c r="F37" s="28">
        <v>4.5</v>
      </c>
      <c r="G37" s="29">
        <v>576.82000000000005</v>
      </c>
      <c r="H37" s="29">
        <f t="shared" si="0"/>
        <v>2595.69</v>
      </c>
      <c r="I37" s="30">
        <f t="shared" si="1"/>
        <v>3.4153771209814422E-2</v>
      </c>
      <c r="J37" s="30">
        <f t="shared" si="3"/>
        <v>99.902930521438108</v>
      </c>
      <c r="K37" s="26" t="str">
        <f t="shared" si="2"/>
        <v>C</v>
      </c>
    </row>
    <row r="38" spans="1:11" ht="19.95" customHeight="1">
      <c r="A38" s="26" t="s">
        <v>18</v>
      </c>
      <c r="B38" s="27" t="s">
        <v>19</v>
      </c>
      <c r="C38" s="26" t="s">
        <v>14</v>
      </c>
      <c r="D38" s="26" t="s">
        <v>182</v>
      </c>
      <c r="E38" s="26" t="s">
        <v>16</v>
      </c>
      <c r="F38" s="28">
        <v>2</v>
      </c>
      <c r="G38" s="29">
        <v>1087.5899999999999</v>
      </c>
      <c r="H38" s="29">
        <f t="shared" si="0"/>
        <v>2175.1799999999998</v>
      </c>
      <c r="I38" s="30">
        <f t="shared" si="1"/>
        <v>2.8620752116070923E-2</v>
      </c>
      <c r="J38" s="30">
        <f t="shared" si="3"/>
        <v>99.931551273554177</v>
      </c>
      <c r="K38" s="26" t="str">
        <f t="shared" si="2"/>
        <v>C</v>
      </c>
    </row>
    <row r="39" spans="1:11" ht="19.95" customHeight="1">
      <c r="A39" s="26" t="s">
        <v>13</v>
      </c>
      <c r="B39" s="27" t="s">
        <v>15</v>
      </c>
      <c r="C39" s="26" t="s">
        <v>14</v>
      </c>
      <c r="D39" s="26" t="s">
        <v>182</v>
      </c>
      <c r="E39" s="26" t="s">
        <v>16</v>
      </c>
      <c r="F39" s="28">
        <v>2</v>
      </c>
      <c r="G39" s="29">
        <v>1087.5899999999999</v>
      </c>
      <c r="H39" s="29">
        <f t="shared" si="0"/>
        <v>2175.1799999999998</v>
      </c>
      <c r="I39" s="30">
        <f t="shared" si="1"/>
        <v>2.8620752116070923E-2</v>
      </c>
      <c r="J39" s="30">
        <f t="shared" si="3"/>
        <v>99.960172025670246</v>
      </c>
      <c r="K39" s="26" t="str">
        <f t="shared" si="2"/>
        <v>C</v>
      </c>
    </row>
    <row r="40" spans="1:11" ht="19.95" customHeight="1">
      <c r="A40" s="26" t="s">
        <v>135</v>
      </c>
      <c r="B40" s="27" t="s">
        <v>136</v>
      </c>
      <c r="C40" s="26" t="s">
        <v>31</v>
      </c>
      <c r="D40" s="26" t="s">
        <v>248</v>
      </c>
      <c r="E40" s="26" t="s">
        <v>48</v>
      </c>
      <c r="F40" s="28">
        <v>18.82</v>
      </c>
      <c r="G40" s="29">
        <v>56.44</v>
      </c>
      <c r="H40" s="29">
        <f t="shared" si="0"/>
        <v>1062.2</v>
      </c>
      <c r="I40" s="30">
        <f t="shared" si="1"/>
        <v>1.3976297546727414E-2</v>
      </c>
      <c r="J40" s="30">
        <f t="shared" si="3"/>
        <v>99.97414832321698</v>
      </c>
      <c r="K40" s="26" t="str">
        <f t="shared" si="2"/>
        <v>C</v>
      </c>
    </row>
    <row r="41" spans="1:11" ht="15" customHeight="1">
      <c r="A41" s="26" t="s">
        <v>90</v>
      </c>
      <c r="B41" s="27" t="s">
        <v>91</v>
      </c>
      <c r="C41" s="26" t="s">
        <v>31</v>
      </c>
      <c r="D41" s="26" t="s">
        <v>248</v>
      </c>
      <c r="E41" s="26" t="s">
        <v>33</v>
      </c>
      <c r="F41" s="28">
        <v>31.02</v>
      </c>
      <c r="G41" s="29">
        <v>31.77</v>
      </c>
      <c r="H41" s="29">
        <f t="shared" si="0"/>
        <v>985.51</v>
      </c>
      <c r="I41" s="30">
        <f t="shared" si="1"/>
        <v>1.2967219916470846E-2</v>
      </c>
      <c r="J41" s="30">
        <f t="shared" si="3"/>
        <v>99.987115543133456</v>
      </c>
      <c r="K41" s="26" t="str">
        <f t="shared" si="2"/>
        <v>C</v>
      </c>
    </row>
    <row r="42" spans="1:11" ht="19.95" customHeight="1">
      <c r="A42" s="26" t="s">
        <v>132</v>
      </c>
      <c r="B42" s="27" t="s">
        <v>133</v>
      </c>
      <c r="C42" s="26" t="s">
        <v>31</v>
      </c>
      <c r="D42" s="26" t="s">
        <v>248</v>
      </c>
      <c r="E42" s="26" t="s">
        <v>33</v>
      </c>
      <c r="F42" s="28">
        <v>18.82</v>
      </c>
      <c r="G42" s="29">
        <v>52.03</v>
      </c>
      <c r="H42" s="29">
        <f t="shared" si="0"/>
        <v>979.2</v>
      </c>
      <c r="I42" s="30">
        <f t="shared" si="1"/>
        <v>1.2884193709052421E-2</v>
      </c>
      <c r="J42" s="30">
        <f t="shared" si="3"/>
        <v>99.999999736842511</v>
      </c>
      <c r="K42" s="26" t="str">
        <f t="shared" si="2"/>
        <v>C</v>
      </c>
    </row>
    <row r="43" spans="1:11" ht="18" customHeight="1">
      <c r="A43" s="6"/>
      <c r="B43" s="6"/>
      <c r="C43" s="227" t="s">
        <v>328</v>
      </c>
      <c r="D43" s="227"/>
      <c r="E43" s="227"/>
      <c r="F43" s="227"/>
      <c r="G43" s="6"/>
      <c r="H43" s="6"/>
      <c r="I43" s="6"/>
      <c r="J43" s="6"/>
      <c r="K43" s="6"/>
    </row>
    <row r="44" spans="1:11" ht="18" customHeight="1">
      <c r="A44" s="6"/>
      <c r="B44" s="6"/>
      <c r="C44" s="6"/>
      <c r="D44" s="6"/>
      <c r="E44" s="6"/>
      <c r="F44" s="6"/>
      <c r="G44" s="227" t="str">
        <f>"Subtotal até "&amp;TRUNC(J42,2)&amp;"%"</f>
        <v>Subtotal até 99,99%</v>
      </c>
      <c r="H44" s="227"/>
      <c r="I44" s="228">
        <f>SUM(H4:H42)</f>
        <v>7600009.8999999994</v>
      </c>
      <c r="J44" s="228"/>
      <c r="K44" s="228"/>
    </row>
    <row r="45" spans="1:11" ht="18" customHeight="1">
      <c r="A45" s="6"/>
      <c r="B45" s="6"/>
      <c r="C45" s="6"/>
      <c r="D45" s="6"/>
      <c r="E45" s="6"/>
      <c r="F45" s="6"/>
      <c r="G45" s="227" t="s">
        <v>336</v>
      </c>
      <c r="H45" s="227"/>
      <c r="I45" s="228">
        <f>I46-I44</f>
        <v>2.0000000484287739E-2</v>
      </c>
      <c r="J45" s="228"/>
      <c r="K45" s="228"/>
    </row>
    <row r="46" spans="1:11" ht="18" customHeight="1">
      <c r="A46" s="6"/>
      <c r="B46" s="6"/>
      <c r="C46" s="6"/>
      <c r="D46" s="6"/>
      <c r="E46" s="6"/>
      <c r="F46" s="6"/>
      <c r="G46" s="227" t="s">
        <v>337</v>
      </c>
      <c r="H46" s="227"/>
      <c r="I46" s="228">
        <v>7600009.9199999999</v>
      </c>
      <c r="J46" s="228"/>
      <c r="K46" s="228"/>
    </row>
  </sheetData>
  <mergeCells count="9">
    <mergeCell ref="G45:H45"/>
    <mergeCell ref="I45:K45"/>
    <mergeCell ref="G46:H46"/>
    <mergeCell ref="I46:K46"/>
    <mergeCell ref="A1:K1"/>
    <mergeCell ref="B2:C2"/>
    <mergeCell ref="C43:F43"/>
    <mergeCell ref="G44:H44"/>
    <mergeCell ref="I44:K44"/>
  </mergeCells>
  <pageMargins left="0.5" right="0.5" top="0.5" bottom="0.5" header="0" footer="0"/>
  <pageSetup paperSize="9"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/>
  </sheetPr>
  <dimension ref="A1:AE14"/>
  <sheetViews>
    <sheetView view="pageBreakPreview" zoomScale="90" zoomScaleNormal="100" zoomScaleSheetLayoutView="90" workbookViewId="0">
      <selection activeCell="H10" sqref="H10"/>
    </sheetView>
  </sheetViews>
  <sheetFormatPr defaultRowHeight="12"/>
  <cols>
    <col min="1" max="1" width="7.109375" style="2" customWidth="1"/>
    <col min="2" max="2" width="31.109375" style="2" customWidth="1"/>
    <col min="3" max="3" width="6.6640625" style="2" customWidth="1"/>
    <col min="4" max="4" width="13.21875" style="2" bestFit="1" customWidth="1"/>
    <col min="5" max="5" width="6.109375" style="2" customWidth="1"/>
    <col min="6" max="6" width="11.77734375" style="2" bestFit="1" customWidth="1"/>
    <col min="7" max="7" width="6.109375" style="2" customWidth="1"/>
    <col min="8" max="8" width="11.77734375" style="2" bestFit="1" customWidth="1"/>
    <col min="9" max="9" width="6.109375" style="2" customWidth="1"/>
    <col min="10" max="10" width="13.21875" style="2" bestFit="1" customWidth="1"/>
    <col min="11" max="11" width="6.109375" style="2" customWidth="1"/>
    <col min="12" max="12" width="1.6640625" style="2" customWidth="1"/>
    <col min="13" max="13" width="11.33203125" style="2" customWidth="1"/>
    <col min="14" max="14" width="6.109375" style="2" customWidth="1"/>
    <col min="15" max="15" width="14.88671875" style="2" customWidth="1"/>
    <col min="16" max="16" width="6.109375" style="2" customWidth="1"/>
    <col min="17" max="17" width="13.5546875" style="2" customWidth="1"/>
    <col min="18" max="18" width="6.109375" style="2" customWidth="1"/>
    <col min="19" max="19" width="13.6640625" style="2" customWidth="1"/>
    <col min="20" max="20" width="6.109375" style="2" customWidth="1"/>
    <col min="21" max="21" width="14" style="2" customWidth="1"/>
    <col min="22" max="22" width="6.109375" style="2" customWidth="1"/>
    <col min="23" max="23" width="14" style="2" customWidth="1"/>
    <col min="24" max="24" width="6.109375" style="2" customWidth="1"/>
    <col min="25" max="25" width="13.5546875" style="2" customWidth="1"/>
    <col min="26" max="26" width="6.109375" style="2" customWidth="1"/>
    <col min="27" max="27" width="14.6640625" style="2" customWidth="1"/>
    <col min="28" max="28" width="6.109375" style="2" customWidth="1"/>
    <col min="29" max="29" width="13.33203125" style="2" customWidth="1"/>
    <col min="30" max="30" width="6.109375" style="2" customWidth="1"/>
    <col min="31" max="31" width="15.21875" style="2" customWidth="1"/>
    <col min="32" max="16384" width="8.88671875" style="2"/>
  </cols>
  <sheetData>
    <row r="1" spans="1:31" ht="67.05" customHeight="1">
      <c r="A1" s="207"/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</row>
    <row r="2" spans="1:31" ht="12" customHeight="1">
      <c r="A2" s="235" t="s">
        <v>0</v>
      </c>
      <c r="B2" s="235" t="s">
        <v>3</v>
      </c>
      <c r="C2" s="235" t="s">
        <v>333</v>
      </c>
      <c r="D2" s="235" t="s">
        <v>338</v>
      </c>
      <c r="E2" s="234" t="s">
        <v>339</v>
      </c>
      <c r="F2" s="234"/>
      <c r="G2" s="234" t="s">
        <v>340</v>
      </c>
      <c r="H2" s="234"/>
      <c r="I2" s="234" t="s">
        <v>341</v>
      </c>
      <c r="J2" s="234"/>
      <c r="K2" s="234" t="s">
        <v>342</v>
      </c>
      <c r="L2" s="234"/>
      <c r="M2" s="234"/>
      <c r="N2" s="234" t="s">
        <v>343</v>
      </c>
      <c r="O2" s="234"/>
      <c r="P2" s="234" t="s">
        <v>344</v>
      </c>
      <c r="Q2" s="234"/>
      <c r="R2" s="234" t="s">
        <v>345</v>
      </c>
      <c r="S2" s="234"/>
      <c r="T2" s="234" t="s">
        <v>346</v>
      </c>
      <c r="U2" s="234"/>
      <c r="V2" s="234" t="s">
        <v>347</v>
      </c>
      <c r="W2" s="234"/>
      <c r="X2" s="234" t="s">
        <v>348</v>
      </c>
      <c r="Y2" s="234"/>
      <c r="Z2" s="234" t="s">
        <v>349</v>
      </c>
      <c r="AA2" s="234"/>
      <c r="AB2" s="234" t="s">
        <v>350</v>
      </c>
      <c r="AC2" s="234"/>
      <c r="AD2" s="235" t="s">
        <v>351</v>
      </c>
      <c r="AE2" s="235"/>
    </row>
    <row r="3" spans="1:31" ht="10.050000000000001" customHeight="1">
      <c r="A3" s="235"/>
      <c r="B3" s="235"/>
      <c r="C3" s="235"/>
      <c r="D3" s="235"/>
      <c r="E3" s="31" t="s">
        <v>333</v>
      </c>
      <c r="F3" s="31" t="s">
        <v>352</v>
      </c>
      <c r="G3" s="31" t="s">
        <v>333</v>
      </c>
      <c r="H3" s="31" t="s">
        <v>352</v>
      </c>
      <c r="I3" s="31" t="s">
        <v>333</v>
      </c>
      <c r="J3" s="31" t="s">
        <v>352</v>
      </c>
      <c r="K3" s="31" t="s">
        <v>333</v>
      </c>
      <c r="L3" s="236" t="s">
        <v>352</v>
      </c>
      <c r="M3" s="236"/>
      <c r="N3" s="31" t="s">
        <v>333</v>
      </c>
      <c r="O3" s="31" t="s">
        <v>352</v>
      </c>
      <c r="P3" s="31" t="s">
        <v>333</v>
      </c>
      <c r="Q3" s="31" t="s">
        <v>352</v>
      </c>
      <c r="R3" s="31" t="s">
        <v>333</v>
      </c>
      <c r="S3" s="31" t="s">
        <v>352</v>
      </c>
      <c r="T3" s="31" t="s">
        <v>333</v>
      </c>
      <c r="U3" s="31" t="s">
        <v>352</v>
      </c>
      <c r="V3" s="31" t="s">
        <v>333</v>
      </c>
      <c r="W3" s="31" t="s">
        <v>352</v>
      </c>
      <c r="X3" s="31" t="s">
        <v>333</v>
      </c>
      <c r="Y3" s="31" t="s">
        <v>352</v>
      </c>
      <c r="Z3" s="31" t="s">
        <v>333</v>
      </c>
      <c r="AA3" s="31" t="s">
        <v>352</v>
      </c>
      <c r="AB3" s="31" t="s">
        <v>333</v>
      </c>
      <c r="AC3" s="31" t="s">
        <v>352</v>
      </c>
      <c r="AD3" s="32" t="s">
        <v>333</v>
      </c>
      <c r="AE3" s="32" t="s">
        <v>352</v>
      </c>
    </row>
    <row r="4" spans="1:31" ht="12" customHeight="1">
      <c r="A4" s="33" t="s">
        <v>10</v>
      </c>
      <c r="B4" s="34" t="s">
        <v>11</v>
      </c>
      <c r="C4" s="35">
        <f>D4/C13*100</f>
        <v>0.46225360716371278</v>
      </c>
      <c r="D4" s="36">
        <v>35131.32</v>
      </c>
      <c r="E4" s="37">
        <v>8.33</v>
      </c>
      <c r="F4" s="15">
        <f t="shared" ref="F4:F12" si="0">IF(E4&gt;0,IF(AND(SUM(0,E4)=100,AD4=100),D4-SUM(0),ROUND(D4*E4/100,2)),"")</f>
        <v>2926.44</v>
      </c>
      <c r="G4" s="37">
        <v>8.33</v>
      </c>
      <c r="H4" s="15">
        <f t="shared" ref="H4:H12" si="1">IF(G4&gt;0,IF(AND(SUM(0,E4,G4)=100,AD4=100),D4-SUM(0,F4),ROUND(D4*G4/100,2)),"")</f>
        <v>2926.44</v>
      </c>
      <c r="I4" s="37">
        <v>8.33</v>
      </c>
      <c r="J4" s="15">
        <f t="shared" ref="J4:J12" si="2">IF(I4&gt;0,IF(AND(SUM(0,E4,G4,I4)=100,AD4=100),D4-SUM(0,F4,H4),ROUND(D4*I4/100,2)),"")</f>
        <v>2926.44</v>
      </c>
      <c r="K4" s="37">
        <v>8.33</v>
      </c>
      <c r="L4" s="233">
        <f t="shared" ref="L4:L12" si="3">IF(K4&gt;0,IF(AND(SUM(0,E4,G4,I4,K4)=100,AD4=100),D4-SUM(0,F4,H4,J4),ROUND(D4*K4/100,2)),"")</f>
        <v>2926.44</v>
      </c>
      <c r="M4" s="233"/>
      <c r="N4" s="37">
        <v>8.33</v>
      </c>
      <c r="O4" s="15">
        <f t="shared" ref="O4:O12" si="4">IF(N4&gt;0,IF(AND(SUM(0,E4,G4,I4,K4,N4)=100,AD4=100),D4-SUM(0,F4,H4,J4,L4),ROUND(D4*N4/100,2)),"")</f>
        <v>2926.44</v>
      </c>
      <c r="P4" s="37">
        <v>8.33</v>
      </c>
      <c r="Q4" s="15">
        <f t="shared" ref="Q4:Q12" si="5">IF(P4&gt;0,IF(AND(SUM(0,E4,G4,I4,K4,N4,P4)=100,AD4=100),D4-SUM(0,F4,H4,J4,L4,O4),ROUND(D4*P4/100,2)),"")</f>
        <v>2926.44</v>
      </c>
      <c r="R4" s="37">
        <v>8.33</v>
      </c>
      <c r="S4" s="15">
        <f t="shared" ref="S4:S12" si="6">IF(R4&gt;0,IF(AND(SUM(0,E4,G4,I4,K4,N4,P4,R4)=100,AD4=100),D4-SUM(0,F4,H4,J4,L4,O4,Q4),ROUND(D4*R4/100,2)),"")</f>
        <v>2926.44</v>
      </c>
      <c r="T4" s="37">
        <v>8.33</v>
      </c>
      <c r="U4" s="15">
        <f t="shared" ref="U4:U12" si="7">IF(T4&gt;0,IF(AND(SUM(0,E4,G4,I4,K4,N4,P4,R4,T4)=100,AD4=100),D4-SUM(0,F4,H4,J4,L4,O4,Q4,S4),ROUND(D4*T4/100,2)),"")</f>
        <v>2926.44</v>
      </c>
      <c r="V4" s="37">
        <v>8.33</v>
      </c>
      <c r="W4" s="15">
        <f t="shared" ref="W4:W12" si="8">IF(V4&gt;0,IF(AND(SUM(0,E4,G4,I4,K4,N4,P4,R4,T4,V4)=100,AD4=100),D4-SUM(0,F4,H4,J4,L4,O4,Q4,S4,U4),ROUND(D4*V4/100,2)),"")</f>
        <v>2926.44</v>
      </c>
      <c r="X4" s="37">
        <v>8.33</v>
      </c>
      <c r="Y4" s="15">
        <f t="shared" ref="Y4:Y12" si="9">IF(X4&gt;0,IF(AND(SUM(0,E4,G4,I4,K4,N4,P4,R4,T4,V4,X4)=100,AD4=100),D4-SUM(0,F4,H4,J4,L4,O4,Q4,S4,U4,W4),ROUND(D4*X4/100,2)),"")</f>
        <v>2926.44</v>
      </c>
      <c r="Z4" s="37">
        <v>8.35</v>
      </c>
      <c r="AA4" s="15">
        <f t="shared" ref="AA4:AA12" si="10">IF(Z4&gt;0,IF(AND(SUM(0,E4,G4,I4,K4,N4,P4,R4,T4,V4,X4,Z4)=100,AD4=100),D4-SUM(0,F4,H4,J4,L4,O4,Q4,S4,U4,W4,Y4),ROUND(D4*Z4/100,2)),"")</f>
        <v>2933.47</v>
      </c>
      <c r="AB4" s="37">
        <v>8.35</v>
      </c>
      <c r="AC4" s="15">
        <f t="shared" ref="AC4:AC12" si="11">IF(AB4&gt;0,IF(AND(SUM(0,E4,G4,I4,K4,N4,P4,R4,T4,V4,X4,Z4,AB4)=100,AD4=100),D4-SUM(0,F4,H4,J4,L4,O4,Q4,S4,U4,W4,Y4,AA4),ROUND(D4*AB4/100,2)),"")</f>
        <v>2933.4500000000044</v>
      </c>
      <c r="AD4" s="35">
        <f t="shared" ref="AD4:AD12" si="12">SUM(0,E4,G4,I4,K4,N4,P4,R4,T4,V4,X4,Z4,AB4)</f>
        <v>99.999999999999986</v>
      </c>
      <c r="AE4" s="38">
        <f t="shared" ref="AE4:AE12" si="13">SUM(0,F4,H4,J4,L4,O4,Q4,S4,U4,W4,Y4,AA4,AC4)</f>
        <v>35131.32</v>
      </c>
    </row>
    <row r="5" spans="1:31" ht="12" customHeight="1">
      <c r="A5" s="33" t="s">
        <v>27</v>
      </c>
      <c r="B5" s="34" t="s">
        <v>28</v>
      </c>
      <c r="C5" s="35">
        <f>D5/C13*100</f>
        <v>3.6844057171967481</v>
      </c>
      <c r="D5" s="36">
        <v>280015.2</v>
      </c>
      <c r="E5" s="37">
        <v>20</v>
      </c>
      <c r="F5" s="15">
        <f t="shared" si="0"/>
        <v>56003.040000000001</v>
      </c>
      <c r="G5" s="37">
        <v>20</v>
      </c>
      <c r="H5" s="15">
        <f t="shared" si="1"/>
        <v>56003.040000000001</v>
      </c>
      <c r="I5" s="37">
        <v>20</v>
      </c>
      <c r="J5" s="15">
        <f t="shared" si="2"/>
        <v>56003.040000000001</v>
      </c>
      <c r="K5" s="37">
        <v>40</v>
      </c>
      <c r="L5" s="233">
        <f t="shared" si="3"/>
        <v>112006.08000000002</v>
      </c>
      <c r="M5" s="233"/>
      <c r="N5" s="39"/>
      <c r="O5" s="40" t="str">
        <f t="shared" si="4"/>
        <v/>
      </c>
      <c r="P5" s="39"/>
      <c r="Q5" s="40" t="str">
        <f t="shared" si="5"/>
        <v/>
      </c>
      <c r="R5" s="39"/>
      <c r="S5" s="40" t="str">
        <f t="shared" si="6"/>
        <v/>
      </c>
      <c r="T5" s="39"/>
      <c r="U5" s="40" t="str">
        <f t="shared" si="7"/>
        <v/>
      </c>
      <c r="V5" s="39"/>
      <c r="W5" s="40" t="str">
        <f t="shared" si="8"/>
        <v/>
      </c>
      <c r="X5" s="39"/>
      <c r="Y5" s="40" t="str">
        <f t="shared" si="9"/>
        <v/>
      </c>
      <c r="Z5" s="39"/>
      <c r="AA5" s="40" t="str">
        <f t="shared" si="10"/>
        <v/>
      </c>
      <c r="AB5" s="39"/>
      <c r="AC5" s="40" t="str">
        <f t="shared" si="11"/>
        <v/>
      </c>
      <c r="AD5" s="35">
        <f t="shared" si="12"/>
        <v>100</v>
      </c>
      <c r="AE5" s="38">
        <f t="shared" si="13"/>
        <v>280015.2</v>
      </c>
    </row>
    <row r="6" spans="1:31" ht="12" customHeight="1">
      <c r="A6" s="33" t="s">
        <v>52</v>
      </c>
      <c r="B6" s="34" t="s">
        <v>53</v>
      </c>
      <c r="C6" s="35">
        <f>D6/C13*100</f>
        <v>5.9884177098547795</v>
      </c>
      <c r="D6" s="36">
        <v>455120.34</v>
      </c>
      <c r="E6" s="37">
        <v>8.33</v>
      </c>
      <c r="F6" s="15">
        <f t="shared" si="0"/>
        <v>37911.519999999997</v>
      </c>
      <c r="G6" s="37">
        <v>8.33</v>
      </c>
      <c r="H6" s="15">
        <f t="shared" si="1"/>
        <v>37911.519999999997</v>
      </c>
      <c r="I6" s="37">
        <v>8.33</v>
      </c>
      <c r="J6" s="15">
        <f t="shared" si="2"/>
        <v>37911.519999999997</v>
      </c>
      <c r="K6" s="37">
        <v>8.33</v>
      </c>
      <c r="L6" s="233">
        <f t="shared" si="3"/>
        <v>37911.519999999997</v>
      </c>
      <c r="M6" s="233"/>
      <c r="N6" s="37">
        <v>8.33</v>
      </c>
      <c r="O6" s="15">
        <f t="shared" si="4"/>
        <v>37911.519999999997</v>
      </c>
      <c r="P6" s="37">
        <v>8.33</v>
      </c>
      <c r="Q6" s="15">
        <f t="shared" si="5"/>
        <v>37911.519999999997</v>
      </c>
      <c r="R6" s="37">
        <v>8.33</v>
      </c>
      <c r="S6" s="15">
        <f t="shared" si="6"/>
        <v>37911.519999999997</v>
      </c>
      <c r="T6" s="37">
        <v>8.33</v>
      </c>
      <c r="U6" s="15">
        <f t="shared" si="7"/>
        <v>37911.519999999997</v>
      </c>
      <c r="V6" s="37">
        <v>8.33</v>
      </c>
      <c r="W6" s="15">
        <f t="shared" si="8"/>
        <v>37911.519999999997</v>
      </c>
      <c r="X6" s="37">
        <v>8.33</v>
      </c>
      <c r="Y6" s="15">
        <f t="shared" si="9"/>
        <v>37911.519999999997</v>
      </c>
      <c r="Z6" s="37">
        <v>8.35</v>
      </c>
      <c r="AA6" s="15">
        <f t="shared" si="10"/>
        <v>38002.550000000003</v>
      </c>
      <c r="AB6" s="37">
        <v>8.35</v>
      </c>
      <c r="AC6" s="15">
        <f t="shared" si="11"/>
        <v>38002.590000000026</v>
      </c>
      <c r="AD6" s="35">
        <f t="shared" si="12"/>
        <v>99.999999999999986</v>
      </c>
      <c r="AE6" s="38">
        <f t="shared" si="13"/>
        <v>455120.34</v>
      </c>
    </row>
    <row r="7" spans="1:31" ht="12" customHeight="1">
      <c r="A7" s="33" t="s">
        <v>57</v>
      </c>
      <c r="B7" s="34" t="s">
        <v>58</v>
      </c>
      <c r="C7" s="35">
        <f>D7/C13*100</f>
        <v>16.365847717209299</v>
      </c>
      <c r="D7" s="41">
        <v>1243806.05</v>
      </c>
      <c r="E7" s="37">
        <v>10</v>
      </c>
      <c r="F7" s="15">
        <f t="shared" si="0"/>
        <v>124380.61</v>
      </c>
      <c r="G7" s="37">
        <v>15</v>
      </c>
      <c r="H7" s="15">
        <f t="shared" si="1"/>
        <v>186570.91</v>
      </c>
      <c r="I7" s="37">
        <v>15</v>
      </c>
      <c r="J7" s="15">
        <f t="shared" si="2"/>
        <v>186570.91</v>
      </c>
      <c r="K7" s="37">
        <v>15</v>
      </c>
      <c r="L7" s="233">
        <f t="shared" si="3"/>
        <v>186570.91</v>
      </c>
      <c r="M7" s="233"/>
      <c r="N7" s="37">
        <v>15</v>
      </c>
      <c r="O7" s="15">
        <f t="shared" si="4"/>
        <v>186570.91</v>
      </c>
      <c r="P7" s="37">
        <v>15</v>
      </c>
      <c r="Q7" s="15">
        <f t="shared" si="5"/>
        <v>186570.91</v>
      </c>
      <c r="R7" s="37">
        <v>15</v>
      </c>
      <c r="S7" s="15">
        <f t="shared" si="6"/>
        <v>186570.8899999999</v>
      </c>
      <c r="T7" s="39"/>
      <c r="U7" s="40" t="str">
        <f t="shared" si="7"/>
        <v/>
      </c>
      <c r="V7" s="39"/>
      <c r="W7" s="40" t="str">
        <f t="shared" si="8"/>
        <v/>
      </c>
      <c r="X7" s="39"/>
      <c r="Y7" s="40" t="str">
        <f t="shared" si="9"/>
        <v/>
      </c>
      <c r="Z7" s="39"/>
      <c r="AA7" s="40" t="str">
        <f t="shared" si="10"/>
        <v/>
      </c>
      <c r="AB7" s="39"/>
      <c r="AC7" s="40" t="str">
        <f t="shared" si="11"/>
        <v/>
      </c>
      <c r="AD7" s="35">
        <f t="shared" si="12"/>
        <v>100</v>
      </c>
      <c r="AE7" s="42">
        <f t="shared" si="13"/>
        <v>1243806.05</v>
      </c>
    </row>
    <row r="8" spans="1:31" ht="12" customHeight="1">
      <c r="A8" s="33" t="s">
        <v>70</v>
      </c>
      <c r="B8" s="34" t="s">
        <v>71</v>
      </c>
      <c r="C8" s="35">
        <f>D8/C13*100</f>
        <v>48.902259853892403</v>
      </c>
      <c r="D8" s="41">
        <v>3716576.6</v>
      </c>
      <c r="E8" s="39"/>
      <c r="F8" s="40" t="str">
        <f t="shared" si="0"/>
        <v/>
      </c>
      <c r="G8" s="39"/>
      <c r="H8" s="40" t="str">
        <f t="shared" si="1"/>
        <v/>
      </c>
      <c r="I8" s="37">
        <v>10</v>
      </c>
      <c r="J8" s="15">
        <f t="shared" si="2"/>
        <v>371657.66</v>
      </c>
      <c r="K8" s="37">
        <v>15</v>
      </c>
      <c r="L8" s="233">
        <f t="shared" si="3"/>
        <v>557486.49</v>
      </c>
      <c r="M8" s="233"/>
      <c r="N8" s="37">
        <v>15</v>
      </c>
      <c r="O8" s="15">
        <f t="shared" si="4"/>
        <v>557486.49</v>
      </c>
      <c r="P8" s="37">
        <v>15</v>
      </c>
      <c r="Q8" s="15">
        <f t="shared" si="5"/>
        <v>557486.49</v>
      </c>
      <c r="R8" s="37">
        <v>15</v>
      </c>
      <c r="S8" s="15">
        <f t="shared" si="6"/>
        <v>557486.49</v>
      </c>
      <c r="T8" s="37">
        <v>15</v>
      </c>
      <c r="U8" s="15">
        <f t="shared" si="7"/>
        <v>557486.49</v>
      </c>
      <c r="V8" s="37">
        <v>15</v>
      </c>
      <c r="W8" s="15">
        <f t="shared" si="8"/>
        <v>557486.48999999976</v>
      </c>
      <c r="X8" s="39"/>
      <c r="Y8" s="40" t="str">
        <f t="shared" si="9"/>
        <v/>
      </c>
      <c r="Z8" s="39"/>
      <c r="AA8" s="40" t="str">
        <f t="shared" si="10"/>
        <v/>
      </c>
      <c r="AB8" s="39"/>
      <c r="AC8" s="40" t="str">
        <f t="shared" si="11"/>
        <v/>
      </c>
      <c r="AD8" s="35">
        <f t="shared" si="12"/>
        <v>100</v>
      </c>
      <c r="AE8" s="42">
        <f t="shared" si="13"/>
        <v>3716576.6</v>
      </c>
    </row>
    <row r="9" spans="1:31" ht="12" customHeight="1">
      <c r="A9" s="33" t="s">
        <v>110</v>
      </c>
      <c r="B9" s="34" t="s">
        <v>111</v>
      </c>
      <c r="C9" s="35">
        <f>D9/C13*100</f>
        <v>7.3159086087087637</v>
      </c>
      <c r="D9" s="36">
        <v>556009.78</v>
      </c>
      <c r="E9" s="39"/>
      <c r="F9" s="40" t="str">
        <f t="shared" si="0"/>
        <v/>
      </c>
      <c r="G9" s="39"/>
      <c r="H9" s="40" t="str">
        <f t="shared" si="1"/>
        <v/>
      </c>
      <c r="I9" s="39"/>
      <c r="J9" s="40" t="str">
        <f t="shared" si="2"/>
        <v/>
      </c>
      <c r="K9" s="39"/>
      <c r="L9" s="43" t="str">
        <f t="shared" si="3"/>
        <v/>
      </c>
      <c r="M9" s="40"/>
      <c r="N9" s="39"/>
      <c r="O9" s="40" t="str">
        <f t="shared" si="4"/>
        <v/>
      </c>
      <c r="P9" s="37">
        <v>20</v>
      </c>
      <c r="Q9" s="15">
        <f t="shared" si="5"/>
        <v>111201.96</v>
      </c>
      <c r="R9" s="37">
        <v>20</v>
      </c>
      <c r="S9" s="15">
        <f t="shared" si="6"/>
        <v>111201.96</v>
      </c>
      <c r="T9" s="37">
        <v>20</v>
      </c>
      <c r="U9" s="15">
        <f t="shared" si="7"/>
        <v>111201.96</v>
      </c>
      <c r="V9" s="37">
        <v>20</v>
      </c>
      <c r="W9" s="15">
        <f t="shared" si="8"/>
        <v>111201.96</v>
      </c>
      <c r="X9" s="37">
        <v>20</v>
      </c>
      <c r="Y9" s="15">
        <f t="shared" si="9"/>
        <v>111201.94</v>
      </c>
      <c r="Z9" s="39"/>
      <c r="AA9" s="40" t="str">
        <f t="shared" si="10"/>
        <v/>
      </c>
      <c r="AB9" s="39"/>
      <c r="AC9" s="40" t="str">
        <f t="shared" si="11"/>
        <v/>
      </c>
      <c r="AD9" s="35">
        <f t="shared" si="12"/>
        <v>100</v>
      </c>
      <c r="AE9" s="38">
        <f t="shared" si="13"/>
        <v>556009.78</v>
      </c>
    </row>
    <row r="10" spans="1:31" ht="18" customHeight="1">
      <c r="A10" s="33" t="s">
        <v>147</v>
      </c>
      <c r="B10" s="34" t="s">
        <v>148</v>
      </c>
      <c r="C10" s="35">
        <f>D10/C13*100</f>
        <v>13.960683356581724</v>
      </c>
      <c r="D10" s="41">
        <v>1061013.32</v>
      </c>
      <c r="E10" s="39"/>
      <c r="F10" s="40" t="str">
        <f t="shared" si="0"/>
        <v/>
      </c>
      <c r="G10" s="39"/>
      <c r="H10" s="40" t="str">
        <f t="shared" si="1"/>
        <v/>
      </c>
      <c r="I10" s="39"/>
      <c r="J10" s="40" t="str">
        <f t="shared" si="2"/>
        <v/>
      </c>
      <c r="K10" s="39"/>
      <c r="L10" s="43" t="str">
        <f t="shared" si="3"/>
        <v/>
      </c>
      <c r="M10" s="40"/>
      <c r="N10" s="39"/>
      <c r="O10" s="40" t="str">
        <f t="shared" si="4"/>
        <v/>
      </c>
      <c r="P10" s="39"/>
      <c r="Q10" s="40" t="str">
        <f t="shared" si="5"/>
        <v/>
      </c>
      <c r="R10" s="39"/>
      <c r="S10" s="40" t="str">
        <f t="shared" si="6"/>
        <v/>
      </c>
      <c r="T10" s="39"/>
      <c r="U10" s="40" t="str">
        <f t="shared" si="7"/>
        <v/>
      </c>
      <c r="V10" s="37">
        <v>20</v>
      </c>
      <c r="W10" s="15">
        <f t="shared" si="8"/>
        <v>212202.66</v>
      </c>
      <c r="X10" s="37">
        <v>20</v>
      </c>
      <c r="Y10" s="15">
        <f t="shared" si="9"/>
        <v>212202.66</v>
      </c>
      <c r="Z10" s="37">
        <v>20</v>
      </c>
      <c r="AA10" s="15">
        <f t="shared" si="10"/>
        <v>212202.66</v>
      </c>
      <c r="AB10" s="37">
        <v>40</v>
      </c>
      <c r="AC10" s="15">
        <f t="shared" si="11"/>
        <v>424405.34000000008</v>
      </c>
      <c r="AD10" s="35">
        <f t="shared" si="12"/>
        <v>100</v>
      </c>
      <c r="AE10" s="42">
        <f t="shared" si="13"/>
        <v>1061013.32</v>
      </c>
    </row>
    <row r="11" spans="1:31" ht="12" customHeight="1">
      <c r="A11" s="33" t="s">
        <v>163</v>
      </c>
      <c r="B11" s="34" t="s">
        <v>164</v>
      </c>
      <c r="C11" s="35">
        <f>D11/C13*100</f>
        <v>0.39422869595412319</v>
      </c>
      <c r="D11" s="36">
        <v>29961.42</v>
      </c>
      <c r="E11" s="39"/>
      <c r="F11" s="40" t="str">
        <f t="shared" si="0"/>
        <v/>
      </c>
      <c r="G11" s="39"/>
      <c r="H11" s="40" t="str">
        <f t="shared" si="1"/>
        <v/>
      </c>
      <c r="I11" s="39"/>
      <c r="J11" s="40" t="str">
        <f t="shared" si="2"/>
        <v/>
      </c>
      <c r="K11" s="39"/>
      <c r="L11" s="43" t="str">
        <f t="shared" si="3"/>
        <v/>
      </c>
      <c r="M11" s="40"/>
      <c r="N11" s="39"/>
      <c r="O11" s="40" t="str">
        <f t="shared" si="4"/>
        <v/>
      </c>
      <c r="P11" s="39"/>
      <c r="Q11" s="40" t="str">
        <f t="shared" si="5"/>
        <v/>
      </c>
      <c r="R11" s="39"/>
      <c r="S11" s="40" t="str">
        <f t="shared" si="6"/>
        <v/>
      </c>
      <c r="T11" s="39"/>
      <c r="U11" s="40" t="str">
        <f t="shared" si="7"/>
        <v/>
      </c>
      <c r="V11" s="39"/>
      <c r="W11" s="40" t="str">
        <f t="shared" si="8"/>
        <v/>
      </c>
      <c r="X11" s="37">
        <v>40</v>
      </c>
      <c r="Y11" s="15">
        <f t="shared" si="9"/>
        <v>11984.57</v>
      </c>
      <c r="Z11" s="37">
        <v>40</v>
      </c>
      <c r="AA11" s="15">
        <f t="shared" si="10"/>
        <v>11984.57</v>
      </c>
      <c r="AB11" s="37">
        <v>20</v>
      </c>
      <c r="AC11" s="15">
        <f t="shared" si="11"/>
        <v>5992.2799999999988</v>
      </c>
      <c r="AD11" s="35">
        <f t="shared" si="12"/>
        <v>100</v>
      </c>
      <c r="AE11" s="38">
        <f t="shared" si="13"/>
        <v>29961.42</v>
      </c>
    </row>
    <row r="12" spans="1:31" ht="12" customHeight="1">
      <c r="A12" s="33" t="s">
        <v>169</v>
      </c>
      <c r="B12" s="34" t="s">
        <v>170</v>
      </c>
      <c r="C12" s="35">
        <f>D12/C13*100</f>
        <v>2.9259947334384537</v>
      </c>
      <c r="D12" s="36">
        <v>222375.89</v>
      </c>
      <c r="E12" s="39"/>
      <c r="F12" s="40" t="str">
        <f t="shared" si="0"/>
        <v/>
      </c>
      <c r="G12" s="39"/>
      <c r="H12" s="40" t="str">
        <f t="shared" si="1"/>
        <v/>
      </c>
      <c r="I12" s="39"/>
      <c r="J12" s="40" t="str">
        <f t="shared" si="2"/>
        <v/>
      </c>
      <c r="K12" s="39"/>
      <c r="L12" s="43" t="str">
        <f t="shared" si="3"/>
        <v/>
      </c>
      <c r="M12" s="40"/>
      <c r="N12" s="39"/>
      <c r="O12" s="40" t="str">
        <f t="shared" si="4"/>
        <v/>
      </c>
      <c r="P12" s="39"/>
      <c r="Q12" s="40" t="str">
        <f t="shared" si="5"/>
        <v/>
      </c>
      <c r="R12" s="39"/>
      <c r="S12" s="40" t="str">
        <f t="shared" si="6"/>
        <v/>
      </c>
      <c r="T12" s="39"/>
      <c r="U12" s="40" t="str">
        <f t="shared" si="7"/>
        <v/>
      </c>
      <c r="V12" s="39"/>
      <c r="W12" s="40" t="str">
        <f t="shared" si="8"/>
        <v/>
      </c>
      <c r="X12" s="37">
        <v>40</v>
      </c>
      <c r="Y12" s="15">
        <f t="shared" si="9"/>
        <v>88950.36</v>
      </c>
      <c r="Z12" s="37">
        <v>40</v>
      </c>
      <c r="AA12" s="15">
        <f t="shared" si="10"/>
        <v>88950.36</v>
      </c>
      <c r="AB12" s="37">
        <v>20</v>
      </c>
      <c r="AC12" s="15">
        <f t="shared" si="11"/>
        <v>44475.170000000013</v>
      </c>
      <c r="AD12" s="35">
        <f t="shared" si="12"/>
        <v>100</v>
      </c>
      <c r="AE12" s="38">
        <f t="shared" si="13"/>
        <v>222375.89</v>
      </c>
    </row>
    <row r="13" spans="1:31" ht="12" customHeight="1">
      <c r="A13" s="44"/>
      <c r="B13" s="45"/>
      <c r="C13" s="229">
        <f>SUM(D4,D5,D6,D7,D8,D9,D10,D11,D12)</f>
        <v>7600009.9199999999</v>
      </c>
      <c r="D13" s="229"/>
      <c r="E13" s="46">
        <f>F13/C13*100</f>
        <v>2.9108068585257847</v>
      </c>
      <c r="F13" s="47">
        <f>SUM(F4,F5,F6,F7,F8,F9,F10,F11,F12)</f>
        <v>221221.61</v>
      </c>
      <c r="G13" s="46">
        <f>H13/C13*100</f>
        <v>3.729099211491556</v>
      </c>
      <c r="H13" s="47">
        <f>SUM(H4,H5,H6,H7,H8,H9,H10,H11,H12)</f>
        <v>283411.91000000003</v>
      </c>
      <c r="I13" s="46">
        <f>J13/C13*100</f>
        <v>8.619325196880796</v>
      </c>
      <c r="J13" s="47">
        <f>SUM(J4,J5,J6,J7,J8,J9,J10,J11,J12)</f>
        <v>655069.57000000007</v>
      </c>
      <c r="K13" s="46">
        <f>L13/C13*100</f>
        <v>11.801319333014765</v>
      </c>
      <c r="L13" s="230">
        <f>SUM(L4,L5,L6,L7,L8,L9,L10,L11,L12)</f>
        <v>896901.44</v>
      </c>
      <c r="M13" s="230"/>
      <c r="N13" s="46">
        <f>O13/C13*100</f>
        <v>10.327557046136066</v>
      </c>
      <c r="O13" s="47">
        <f>SUM(O4,O5,O6,O7,O8,O9,O10,O11,O12)</f>
        <v>784895.36</v>
      </c>
      <c r="P13" s="46">
        <f>Q13/C13*100</f>
        <v>11.790738820509329</v>
      </c>
      <c r="Q13" s="47">
        <f>SUM(Q4,Q5,Q6,Q7,Q8,Q9,Q10,Q11,Q12)</f>
        <v>896097.32</v>
      </c>
      <c r="R13" s="46">
        <f>S13/C13*100</f>
        <v>11.790738557351775</v>
      </c>
      <c r="S13" s="47">
        <f>SUM(S4,S5,S6,S7,S8,S9,S10,S11,S12)</f>
        <v>896097.29999999981</v>
      </c>
      <c r="T13" s="46">
        <f>U13/C13*100</f>
        <v>9.3358616300332411</v>
      </c>
      <c r="U13" s="47">
        <f>SUM(U4,U5,U6,U7,U8,U9,U10,U11,U12)</f>
        <v>709526.40999999992</v>
      </c>
      <c r="V13" s="46">
        <f>W13/C13*100</f>
        <v>12.127998248718072</v>
      </c>
      <c r="W13" s="47">
        <f>SUM(W4,W5,W6,W7,W8,W9,W10,W11,W12)</f>
        <v>921729.06999999972</v>
      </c>
      <c r="X13" s="46">
        <f>Y13/C13*100</f>
        <v>6.1207484581809597</v>
      </c>
      <c r="Y13" s="47">
        <f>SUM(Y4,Y5,Y6,Y7,Y8,Y9,Y10,Y11,Y12)</f>
        <v>465177.49</v>
      </c>
      <c r="Z13" s="46">
        <f>AA13/C13*100</f>
        <v>4.6588572084390121</v>
      </c>
      <c r="AA13" s="47">
        <f>SUM(AA4,AA5,AA6,AA7,AA8,AA9,AA10,AA11,AA12)</f>
        <v>354073.61</v>
      </c>
      <c r="AB13" s="46">
        <f>AC13/C13*100</f>
        <v>6.7869494307186402</v>
      </c>
      <c r="AC13" s="47">
        <f>SUM(AC4,AC5,AC6,AC7,AC8,AC9,AC10,AC11,AC12)</f>
        <v>515808.83000000019</v>
      </c>
      <c r="AD13" s="44"/>
      <c r="AE13" s="231">
        <f>AC14</f>
        <v>7600009.9199999999</v>
      </c>
    </row>
    <row r="14" spans="1:31" ht="12" customHeight="1">
      <c r="A14" s="48"/>
      <c r="B14" s="49"/>
      <c r="C14" s="49"/>
      <c r="D14" s="50"/>
      <c r="E14" s="46">
        <f>F14/C13*100</f>
        <v>2.9108068585257847</v>
      </c>
      <c r="F14" s="51">
        <f>F13</f>
        <v>221221.61</v>
      </c>
      <c r="G14" s="46">
        <f>H14/C13*100</f>
        <v>6.6399060700173402</v>
      </c>
      <c r="H14" s="51">
        <f>H13+F14</f>
        <v>504633.52</v>
      </c>
      <c r="I14" s="46">
        <f>J14/C13*100</f>
        <v>15.259231266898137</v>
      </c>
      <c r="J14" s="52">
        <f>J13+H14</f>
        <v>1159703.0900000001</v>
      </c>
      <c r="K14" s="46">
        <f>L14/C13*100</f>
        <v>27.060550599912901</v>
      </c>
      <c r="L14" s="232">
        <f>L13+J14</f>
        <v>2056604.53</v>
      </c>
      <c r="M14" s="232"/>
      <c r="N14" s="46">
        <f>O14/C13*100</f>
        <v>37.388107646048965</v>
      </c>
      <c r="O14" s="52">
        <f>O13+L14</f>
        <v>2841499.89</v>
      </c>
      <c r="P14" s="46">
        <f>Q14/C13*100</f>
        <v>49.178846466558298</v>
      </c>
      <c r="Q14" s="52">
        <f>Q13+O14</f>
        <v>3737597.21</v>
      </c>
      <c r="R14" s="46">
        <f>S14/C13*100</f>
        <v>60.969585023910064</v>
      </c>
      <c r="S14" s="52">
        <f>S13+Q14</f>
        <v>4633694.51</v>
      </c>
      <c r="T14" s="46">
        <f>U14/C13*100</f>
        <v>70.305446653943321</v>
      </c>
      <c r="U14" s="52">
        <f>U13+S14</f>
        <v>5343220.92</v>
      </c>
      <c r="V14" s="46">
        <f>W14/C13*100</f>
        <v>82.433444902661378</v>
      </c>
      <c r="W14" s="52">
        <f>W13+U14</f>
        <v>6264949.9899999993</v>
      </c>
      <c r="X14" s="46">
        <f>Y14/C13*100</f>
        <v>88.554193360842348</v>
      </c>
      <c r="Y14" s="52">
        <f>Y13+W14</f>
        <v>6730127.4799999995</v>
      </c>
      <c r="Z14" s="46">
        <f>AA14/C13*100</f>
        <v>93.213050569281364</v>
      </c>
      <c r="AA14" s="52">
        <f>AA13+Y14</f>
        <v>7084201.0899999999</v>
      </c>
      <c r="AB14" s="46">
        <f>AC14/C13*100</f>
        <v>100</v>
      </c>
      <c r="AC14" s="52">
        <f>AC13+AA14</f>
        <v>7600009.9199999999</v>
      </c>
      <c r="AD14" s="48"/>
      <c r="AE14" s="231"/>
    </row>
  </sheetData>
  <mergeCells count="28">
    <mergeCell ref="A1:L1"/>
    <mergeCell ref="A2:A3"/>
    <mergeCell ref="B2:B3"/>
    <mergeCell ref="C2:C3"/>
    <mergeCell ref="D2:D3"/>
    <mergeCell ref="E2:F2"/>
    <mergeCell ref="G2:H2"/>
    <mergeCell ref="I2:J2"/>
    <mergeCell ref="K2:M2"/>
    <mergeCell ref="X2:Y2"/>
    <mergeCell ref="Z2:AA2"/>
    <mergeCell ref="AB2:AC2"/>
    <mergeCell ref="AD2:AE2"/>
    <mergeCell ref="L3:M3"/>
    <mergeCell ref="N2:O2"/>
    <mergeCell ref="P2:Q2"/>
    <mergeCell ref="R2:S2"/>
    <mergeCell ref="T2:U2"/>
    <mergeCell ref="V2:W2"/>
    <mergeCell ref="C13:D13"/>
    <mergeCell ref="L13:M13"/>
    <mergeCell ref="AE13:AE14"/>
    <mergeCell ref="L14:M14"/>
    <mergeCell ref="L4:M4"/>
    <mergeCell ref="L5:M5"/>
    <mergeCell ref="L6:M6"/>
    <mergeCell ref="L7:M7"/>
    <mergeCell ref="L8:M8"/>
  </mergeCells>
  <pageMargins left="0.5" right="0.5" top="0.5" bottom="0.5" header="0" footer="0"/>
  <pageSetup paperSize="77" scale="85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/>
  </sheetPr>
  <dimension ref="A1:D26"/>
  <sheetViews>
    <sheetView view="pageBreakPreview" zoomScale="80" zoomScaleNormal="100" zoomScaleSheetLayoutView="80" workbookViewId="0">
      <selection activeCell="D17" sqref="D17"/>
    </sheetView>
  </sheetViews>
  <sheetFormatPr defaultRowHeight="12"/>
  <cols>
    <col min="1" max="1" width="9.33203125" style="2" customWidth="1"/>
    <col min="2" max="2" width="60.33203125" style="2" customWidth="1"/>
    <col min="3" max="3" width="8.33203125" style="2" customWidth="1"/>
    <col min="4" max="4" width="37.44140625" style="2" customWidth="1"/>
    <col min="5" max="16384" width="8.88671875" style="2"/>
  </cols>
  <sheetData>
    <row r="1" spans="1:4" ht="67.05" customHeight="1">
      <c r="A1" s="207"/>
      <c r="B1" s="207"/>
      <c r="C1" s="207"/>
      <c r="D1" s="207"/>
    </row>
    <row r="2" spans="1:4" ht="12" customHeight="1">
      <c r="A2" s="6"/>
      <c r="B2" s="227" t="s">
        <v>328</v>
      </c>
      <c r="C2" s="227"/>
      <c r="D2" s="227"/>
    </row>
    <row r="3" spans="1:4" ht="15" customHeight="1">
      <c r="A3" s="53" t="s">
        <v>353</v>
      </c>
      <c r="B3" s="53" t="s">
        <v>3</v>
      </c>
      <c r="C3" s="53" t="s">
        <v>333</v>
      </c>
      <c r="D3" s="6"/>
    </row>
    <row r="4" spans="1:4" ht="7.95" customHeight="1">
      <c r="A4" s="6"/>
      <c r="B4" s="227"/>
      <c r="C4" s="227"/>
      <c r="D4" s="6"/>
    </row>
    <row r="5" spans="1:4" ht="13.05" customHeight="1">
      <c r="A5" s="6"/>
      <c r="B5" s="54" t="s">
        <v>354</v>
      </c>
      <c r="C5" s="6"/>
      <c r="D5" s="6"/>
    </row>
    <row r="6" spans="1:4" ht="13.05" customHeight="1">
      <c r="A6" s="55" t="s">
        <v>355</v>
      </c>
      <c r="B6" s="56" t="s">
        <v>356</v>
      </c>
      <c r="C6" s="57">
        <v>0.81</v>
      </c>
      <c r="D6" s="6"/>
    </row>
    <row r="7" spans="1:4" ht="13.05" customHeight="1">
      <c r="A7" s="55" t="s">
        <v>357</v>
      </c>
      <c r="B7" s="56" t="s">
        <v>358</v>
      </c>
      <c r="C7" s="57">
        <v>6</v>
      </c>
      <c r="D7" s="6"/>
    </row>
    <row r="8" spans="1:4" ht="15" customHeight="1">
      <c r="A8" s="6"/>
      <c r="B8" s="58" t="s">
        <v>187</v>
      </c>
      <c r="C8" s="59">
        <v>6.8100000000000005</v>
      </c>
      <c r="D8" s="6"/>
    </row>
    <row r="9" spans="1:4" ht="15" customHeight="1">
      <c r="A9" s="6"/>
      <c r="B9" s="227" t="s">
        <v>328</v>
      </c>
      <c r="C9" s="227"/>
      <c r="D9" s="6"/>
    </row>
    <row r="10" spans="1:4" ht="7.95" customHeight="1">
      <c r="A10" s="6"/>
      <c r="B10" s="227"/>
      <c r="C10" s="227"/>
      <c r="D10" s="6"/>
    </row>
    <row r="11" spans="1:4" ht="13.05" customHeight="1">
      <c r="A11" s="6"/>
      <c r="B11" s="54" t="s">
        <v>359</v>
      </c>
      <c r="C11" s="6"/>
      <c r="D11" s="6"/>
    </row>
    <row r="12" spans="1:4" ht="13.05" customHeight="1">
      <c r="A12" s="55" t="s">
        <v>360</v>
      </c>
      <c r="B12" s="56" t="s">
        <v>361</v>
      </c>
      <c r="C12" s="57">
        <v>4</v>
      </c>
      <c r="D12" s="6"/>
    </row>
    <row r="13" spans="1:4" ht="13.05" customHeight="1">
      <c r="A13" s="55" t="s">
        <v>362</v>
      </c>
      <c r="B13" s="56" t="s">
        <v>363</v>
      </c>
      <c r="C13" s="57">
        <v>0.94</v>
      </c>
      <c r="D13" s="6"/>
    </row>
    <row r="14" spans="1:4" ht="13.05" customHeight="1">
      <c r="A14" s="55" t="s">
        <v>364</v>
      </c>
      <c r="B14" s="56" t="s">
        <v>365</v>
      </c>
      <c r="C14" s="57">
        <v>1.46</v>
      </c>
      <c r="D14" s="6"/>
    </row>
    <row r="15" spans="1:4" ht="15" customHeight="1">
      <c r="A15" s="6"/>
      <c r="B15" s="58" t="s">
        <v>187</v>
      </c>
      <c r="C15" s="59">
        <v>6.3999999999999995</v>
      </c>
      <c r="D15" s="6"/>
    </row>
    <row r="16" spans="1:4" ht="15" customHeight="1">
      <c r="A16" s="6"/>
      <c r="B16" s="227" t="s">
        <v>328</v>
      </c>
      <c r="C16" s="227"/>
      <c r="D16" s="6"/>
    </row>
    <row r="17" spans="1:4" ht="7.95" customHeight="1">
      <c r="A17" s="6"/>
      <c r="B17" s="227"/>
      <c r="C17" s="227"/>
      <c r="D17" s="6"/>
    </row>
    <row r="18" spans="1:4" ht="13.05" customHeight="1">
      <c r="A18" s="60" t="s">
        <v>366</v>
      </c>
      <c r="B18" s="54" t="s">
        <v>367</v>
      </c>
      <c r="C18" s="6"/>
      <c r="D18" s="6"/>
    </row>
    <row r="19" spans="1:4" ht="13.05" customHeight="1">
      <c r="A19" s="55"/>
      <c r="B19" s="56" t="s">
        <v>368</v>
      </c>
      <c r="C19" s="57">
        <v>3</v>
      </c>
      <c r="D19" s="6"/>
    </row>
    <row r="20" spans="1:4" ht="13.05" customHeight="1">
      <c r="A20" s="55"/>
      <c r="B20" s="56" t="s">
        <v>369</v>
      </c>
      <c r="C20" s="57">
        <v>4</v>
      </c>
      <c r="D20" s="6"/>
    </row>
    <row r="21" spans="1:4" ht="13.05" customHeight="1">
      <c r="A21" s="55"/>
      <c r="B21" s="56" t="s">
        <v>370</v>
      </c>
      <c r="C21" s="57">
        <v>0.65</v>
      </c>
      <c r="D21" s="6"/>
    </row>
    <row r="22" spans="1:4" ht="13.05" customHeight="1">
      <c r="A22" s="55"/>
      <c r="B22" s="56" t="s">
        <v>371</v>
      </c>
      <c r="C22" s="57">
        <v>0</v>
      </c>
      <c r="D22" s="6"/>
    </row>
    <row r="23" spans="1:4" ht="15" customHeight="1">
      <c r="A23" s="6"/>
      <c r="B23" s="58" t="s">
        <v>187</v>
      </c>
      <c r="C23" s="59">
        <v>7.65</v>
      </c>
      <c r="D23" s="6"/>
    </row>
    <row r="24" spans="1:4" ht="15" customHeight="1">
      <c r="A24" s="6"/>
      <c r="B24" s="227" t="s">
        <v>328</v>
      </c>
      <c r="C24" s="227"/>
      <c r="D24" s="6"/>
    </row>
    <row r="25" spans="1:4" ht="25.95" customHeight="1">
      <c r="A25" s="6"/>
      <c r="B25" s="237" t="s">
        <v>372</v>
      </c>
      <c r="C25" s="237"/>
      <c r="D25" s="6"/>
    </row>
    <row r="26" spans="1:4" ht="43.95" customHeight="1">
      <c r="A26" s="6"/>
      <c r="B26" s="207"/>
      <c r="C26" s="207"/>
      <c r="D26" s="6"/>
    </row>
  </sheetData>
  <mergeCells count="10">
    <mergeCell ref="A1:D1"/>
    <mergeCell ref="B2:D2"/>
    <mergeCell ref="B4:C4"/>
    <mergeCell ref="B9:C9"/>
    <mergeCell ref="B10:C10"/>
    <mergeCell ref="B16:C16"/>
    <mergeCell ref="B17:C17"/>
    <mergeCell ref="B24:C24"/>
    <mergeCell ref="B25:C25"/>
    <mergeCell ref="B26:C26"/>
  </mergeCells>
  <pageMargins left="0.5" right="0.5" top="0.5" bottom="0.5" header="0" footer="0"/>
  <pageSetup paperSize="77" scale="8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/>
  </sheetPr>
  <dimension ref="A1:G43"/>
  <sheetViews>
    <sheetView view="pageBreakPreview" zoomScale="60" zoomScaleNormal="100" workbookViewId="0">
      <selection activeCell="Q49" sqref="Q49"/>
    </sheetView>
  </sheetViews>
  <sheetFormatPr defaultRowHeight="12"/>
  <cols>
    <col min="1" max="1" width="9.33203125" style="2" customWidth="1"/>
    <col min="2" max="2" width="68.6640625" style="2" customWidth="1"/>
    <col min="3" max="3" width="8.77734375" style="2" customWidth="1"/>
    <col min="4" max="4" width="2.44140625" style="2" customWidth="1"/>
    <col min="5" max="5" width="7.6640625" style="2" customWidth="1"/>
    <col min="6" max="6" width="3.6640625" style="2" customWidth="1"/>
    <col min="7" max="7" width="14.44140625" style="2" customWidth="1"/>
    <col min="8" max="16384" width="8.88671875" style="2"/>
  </cols>
  <sheetData>
    <row r="1" spans="1:7" ht="67.05" customHeight="1">
      <c r="A1" s="207"/>
      <c r="B1" s="207"/>
      <c r="C1" s="207"/>
      <c r="D1" s="207"/>
      <c r="E1" s="207"/>
      <c r="F1" s="207"/>
      <c r="G1" s="207"/>
    </row>
    <row r="2" spans="1:7" ht="12" customHeight="1">
      <c r="A2" s="6"/>
      <c r="B2" s="227" t="s">
        <v>328</v>
      </c>
      <c r="C2" s="227"/>
      <c r="D2" s="227"/>
      <c r="E2" s="227"/>
      <c r="F2" s="6"/>
      <c r="G2" s="6"/>
    </row>
    <row r="3" spans="1:7" ht="15" customHeight="1">
      <c r="A3" s="53" t="s">
        <v>353</v>
      </c>
      <c r="B3" s="53" t="s">
        <v>3</v>
      </c>
      <c r="C3" s="242" t="s">
        <v>373</v>
      </c>
      <c r="D3" s="242"/>
      <c r="E3" s="242" t="s">
        <v>374</v>
      </c>
      <c r="F3" s="242"/>
      <c r="G3" s="6"/>
    </row>
    <row r="4" spans="1:7" ht="12" customHeight="1">
      <c r="A4" s="6"/>
      <c r="B4" s="227" t="s">
        <v>328</v>
      </c>
      <c r="C4" s="227"/>
      <c r="D4" s="6"/>
      <c r="E4" s="6"/>
      <c r="F4" s="6"/>
      <c r="G4" s="6"/>
    </row>
    <row r="5" spans="1:7" ht="13.05" customHeight="1">
      <c r="A5" s="60" t="s">
        <v>375</v>
      </c>
      <c r="B5" s="54" t="s">
        <v>376</v>
      </c>
      <c r="C5" s="6"/>
      <c r="D5" s="6"/>
      <c r="E5" s="6"/>
      <c r="F5" s="6"/>
      <c r="G5" s="6"/>
    </row>
    <row r="6" spans="1:7" ht="13.05" customHeight="1">
      <c r="A6" s="55" t="s">
        <v>377</v>
      </c>
      <c r="B6" s="56" t="s">
        <v>378</v>
      </c>
      <c r="C6" s="239">
        <v>20</v>
      </c>
      <c r="D6" s="239"/>
      <c r="E6" s="240">
        <v>20</v>
      </c>
      <c r="F6" s="240"/>
      <c r="G6" s="6"/>
    </row>
    <row r="7" spans="1:7" ht="13.05" customHeight="1">
      <c r="A7" s="55" t="s">
        <v>379</v>
      </c>
      <c r="B7" s="56" t="s">
        <v>380</v>
      </c>
      <c r="C7" s="239">
        <v>1.5</v>
      </c>
      <c r="D7" s="239"/>
      <c r="E7" s="240">
        <v>1.5</v>
      </c>
      <c r="F7" s="240"/>
      <c r="G7" s="6"/>
    </row>
    <row r="8" spans="1:7" ht="13.05" customHeight="1">
      <c r="A8" s="55" t="s">
        <v>381</v>
      </c>
      <c r="B8" s="56" t="s">
        <v>382</v>
      </c>
      <c r="C8" s="239">
        <v>1</v>
      </c>
      <c r="D8" s="239"/>
      <c r="E8" s="240">
        <v>1</v>
      </c>
      <c r="F8" s="240"/>
      <c r="G8" s="6"/>
    </row>
    <row r="9" spans="1:7" ht="13.05" customHeight="1">
      <c r="A9" s="55" t="s">
        <v>383</v>
      </c>
      <c r="B9" s="56" t="s">
        <v>384</v>
      </c>
      <c r="C9" s="239">
        <v>0.2</v>
      </c>
      <c r="D9" s="239"/>
      <c r="E9" s="240">
        <v>0.2</v>
      </c>
      <c r="F9" s="240"/>
      <c r="G9" s="6"/>
    </row>
    <row r="10" spans="1:7" ht="13.05" customHeight="1">
      <c r="A10" s="55" t="s">
        <v>385</v>
      </c>
      <c r="B10" s="56" t="s">
        <v>386</v>
      </c>
      <c r="C10" s="239">
        <v>0.6</v>
      </c>
      <c r="D10" s="239"/>
      <c r="E10" s="240">
        <v>0.6</v>
      </c>
      <c r="F10" s="240"/>
      <c r="G10" s="6"/>
    </row>
    <row r="11" spans="1:7" ht="13.05" customHeight="1">
      <c r="A11" s="55" t="s">
        <v>387</v>
      </c>
      <c r="B11" s="56" t="s">
        <v>388</v>
      </c>
      <c r="C11" s="239">
        <v>2.5</v>
      </c>
      <c r="D11" s="239"/>
      <c r="E11" s="240">
        <v>2.5</v>
      </c>
      <c r="F11" s="240"/>
      <c r="G11" s="6"/>
    </row>
    <row r="12" spans="1:7" ht="13.05" customHeight="1">
      <c r="A12" s="55" t="s">
        <v>389</v>
      </c>
      <c r="B12" s="56" t="s">
        <v>390</v>
      </c>
      <c r="C12" s="239">
        <v>3</v>
      </c>
      <c r="D12" s="239"/>
      <c r="E12" s="240">
        <v>3</v>
      </c>
      <c r="F12" s="240"/>
      <c r="G12" s="6"/>
    </row>
    <row r="13" spans="1:7" ht="13.05" customHeight="1">
      <c r="A13" s="55" t="s">
        <v>391</v>
      </c>
      <c r="B13" s="56" t="s">
        <v>392</v>
      </c>
      <c r="C13" s="239">
        <v>8</v>
      </c>
      <c r="D13" s="239"/>
      <c r="E13" s="240">
        <v>8</v>
      </c>
      <c r="F13" s="240"/>
      <c r="G13" s="6"/>
    </row>
    <row r="14" spans="1:7" ht="13.05" customHeight="1">
      <c r="A14" s="55" t="s">
        <v>393</v>
      </c>
      <c r="B14" s="56" t="s">
        <v>394</v>
      </c>
      <c r="C14" s="239">
        <v>0</v>
      </c>
      <c r="D14" s="239"/>
      <c r="E14" s="240">
        <v>0</v>
      </c>
      <c r="F14" s="240"/>
      <c r="G14" s="6"/>
    </row>
    <row r="15" spans="1:7" ht="15" customHeight="1">
      <c r="A15" s="6"/>
      <c r="B15" s="58" t="s">
        <v>187</v>
      </c>
      <c r="C15" s="241">
        <v>36.799999999999997</v>
      </c>
      <c r="D15" s="241"/>
      <c r="E15" s="241">
        <v>36.799999999999997</v>
      </c>
      <c r="F15" s="241"/>
      <c r="G15" s="6"/>
    </row>
    <row r="16" spans="1:7" ht="12" customHeight="1">
      <c r="A16" s="6"/>
      <c r="B16" s="227" t="s">
        <v>328</v>
      </c>
      <c r="C16" s="227"/>
      <c r="D16" s="6"/>
      <c r="E16" s="6"/>
      <c r="F16" s="6"/>
      <c r="G16" s="6"/>
    </row>
    <row r="17" spans="1:7" ht="13.05" customHeight="1">
      <c r="A17" s="60" t="s">
        <v>395</v>
      </c>
      <c r="B17" s="54" t="s">
        <v>396</v>
      </c>
      <c r="C17" s="6"/>
      <c r="D17" s="6"/>
      <c r="E17" s="6"/>
      <c r="F17" s="6"/>
      <c r="G17" s="6"/>
    </row>
    <row r="18" spans="1:7" ht="13.05" customHeight="1">
      <c r="A18" s="55" t="s">
        <v>397</v>
      </c>
      <c r="B18" s="56" t="s">
        <v>398</v>
      </c>
      <c r="C18" s="239">
        <v>18.010000000000002</v>
      </c>
      <c r="D18" s="239"/>
      <c r="E18" s="240">
        <v>0</v>
      </c>
      <c r="F18" s="240"/>
      <c r="G18" s="6"/>
    </row>
    <row r="19" spans="1:7" ht="13.05" customHeight="1">
      <c r="A19" s="55" t="s">
        <v>399</v>
      </c>
      <c r="B19" s="56" t="s">
        <v>400</v>
      </c>
      <c r="C19" s="239">
        <v>4.32</v>
      </c>
      <c r="D19" s="239"/>
      <c r="E19" s="240">
        <v>0</v>
      </c>
      <c r="F19" s="240"/>
      <c r="G19" s="6"/>
    </row>
    <row r="20" spans="1:7" ht="13.05" customHeight="1">
      <c r="A20" s="55" t="s">
        <v>401</v>
      </c>
      <c r="B20" s="56" t="s">
        <v>402</v>
      </c>
      <c r="C20" s="239">
        <v>0.86</v>
      </c>
      <c r="D20" s="239"/>
      <c r="E20" s="240">
        <v>0.65</v>
      </c>
      <c r="F20" s="240"/>
      <c r="G20" s="6"/>
    </row>
    <row r="21" spans="1:7" ht="13.05" customHeight="1">
      <c r="A21" s="55" t="s">
        <v>403</v>
      </c>
      <c r="B21" s="56" t="s">
        <v>404</v>
      </c>
      <c r="C21" s="239">
        <v>10.97</v>
      </c>
      <c r="D21" s="239"/>
      <c r="E21" s="240">
        <v>8.33</v>
      </c>
      <c r="F21" s="240"/>
      <c r="G21" s="6"/>
    </row>
    <row r="22" spans="1:7" ht="13.05" customHeight="1">
      <c r="A22" s="55" t="s">
        <v>405</v>
      </c>
      <c r="B22" s="56" t="s">
        <v>406</v>
      </c>
      <c r="C22" s="239">
        <v>7.0000000000000007E-2</v>
      </c>
      <c r="D22" s="239"/>
      <c r="E22" s="240">
        <v>0.05</v>
      </c>
      <c r="F22" s="240"/>
      <c r="G22" s="6"/>
    </row>
    <row r="23" spans="1:7" ht="13.05" customHeight="1">
      <c r="A23" s="55" t="s">
        <v>407</v>
      </c>
      <c r="B23" s="56" t="s">
        <v>408</v>
      </c>
      <c r="C23" s="239">
        <v>0.73</v>
      </c>
      <c r="D23" s="239"/>
      <c r="E23" s="240">
        <v>0.56000000000000005</v>
      </c>
      <c r="F23" s="240"/>
      <c r="G23" s="6"/>
    </row>
    <row r="24" spans="1:7" ht="13.05" customHeight="1">
      <c r="A24" s="55" t="s">
        <v>409</v>
      </c>
      <c r="B24" s="56" t="s">
        <v>410</v>
      </c>
      <c r="C24" s="239">
        <v>1.96</v>
      </c>
      <c r="D24" s="239"/>
      <c r="E24" s="240">
        <v>0</v>
      </c>
      <c r="F24" s="240"/>
      <c r="G24" s="6"/>
    </row>
    <row r="25" spans="1:7" ht="13.05" customHeight="1">
      <c r="A25" s="55" t="s">
        <v>411</v>
      </c>
      <c r="B25" s="56" t="s">
        <v>412</v>
      </c>
      <c r="C25" s="239">
        <v>0.1</v>
      </c>
      <c r="D25" s="239"/>
      <c r="E25" s="240">
        <v>7.0000000000000007E-2</v>
      </c>
      <c r="F25" s="240"/>
      <c r="G25" s="6"/>
    </row>
    <row r="26" spans="1:7" ht="13.05" customHeight="1">
      <c r="A26" s="55" t="s">
        <v>413</v>
      </c>
      <c r="B26" s="56" t="s">
        <v>414</v>
      </c>
      <c r="C26" s="239">
        <v>9.9499999999999993</v>
      </c>
      <c r="D26" s="239"/>
      <c r="E26" s="240">
        <v>7.56</v>
      </c>
      <c r="F26" s="240"/>
      <c r="G26" s="6"/>
    </row>
    <row r="27" spans="1:7" ht="13.05" customHeight="1">
      <c r="A27" s="55" t="s">
        <v>415</v>
      </c>
      <c r="B27" s="56" t="s">
        <v>416</v>
      </c>
      <c r="C27" s="239">
        <v>0.03</v>
      </c>
      <c r="D27" s="239"/>
      <c r="E27" s="240">
        <v>0.03</v>
      </c>
      <c r="F27" s="240"/>
      <c r="G27" s="6"/>
    </row>
    <row r="28" spans="1:7" ht="15" customHeight="1">
      <c r="A28" s="6"/>
      <c r="B28" s="58" t="s">
        <v>187</v>
      </c>
      <c r="C28" s="241">
        <v>47</v>
      </c>
      <c r="D28" s="241"/>
      <c r="E28" s="241">
        <v>17.250000000000004</v>
      </c>
      <c r="F28" s="241"/>
      <c r="G28" s="6"/>
    </row>
    <row r="29" spans="1:7" ht="12" customHeight="1">
      <c r="A29" s="6"/>
      <c r="B29" s="227" t="s">
        <v>328</v>
      </c>
      <c r="C29" s="227"/>
      <c r="D29" s="6"/>
      <c r="E29" s="6"/>
      <c r="F29" s="6"/>
      <c r="G29" s="6"/>
    </row>
    <row r="30" spans="1:7" ht="13.05" customHeight="1">
      <c r="A30" s="60" t="s">
        <v>417</v>
      </c>
      <c r="B30" s="54" t="s">
        <v>418</v>
      </c>
      <c r="C30" s="6"/>
      <c r="D30" s="6"/>
      <c r="E30" s="6"/>
      <c r="F30" s="6"/>
      <c r="G30" s="6"/>
    </row>
    <row r="31" spans="1:7" ht="13.05" customHeight="1">
      <c r="A31" s="55" t="s">
        <v>419</v>
      </c>
      <c r="B31" s="56" t="s">
        <v>420</v>
      </c>
      <c r="C31" s="239">
        <v>4.7699999999999996</v>
      </c>
      <c r="D31" s="239"/>
      <c r="E31" s="240">
        <v>3.63</v>
      </c>
      <c r="F31" s="240"/>
      <c r="G31" s="6"/>
    </row>
    <row r="32" spans="1:7" ht="13.05" customHeight="1">
      <c r="A32" s="55" t="s">
        <v>421</v>
      </c>
      <c r="B32" s="56" t="s">
        <v>422</v>
      </c>
      <c r="C32" s="239">
        <v>0.11</v>
      </c>
      <c r="D32" s="239"/>
      <c r="E32" s="240">
        <v>0.09</v>
      </c>
      <c r="F32" s="240"/>
      <c r="G32" s="6"/>
    </row>
    <row r="33" spans="1:7" ht="13.05" customHeight="1">
      <c r="A33" s="55" t="s">
        <v>423</v>
      </c>
      <c r="B33" s="56" t="s">
        <v>424</v>
      </c>
      <c r="C33" s="239">
        <v>3.98</v>
      </c>
      <c r="D33" s="239"/>
      <c r="E33" s="240">
        <v>3.03</v>
      </c>
      <c r="F33" s="240"/>
      <c r="G33" s="6"/>
    </row>
    <row r="34" spans="1:7" ht="13.05" customHeight="1">
      <c r="A34" s="55" t="s">
        <v>425</v>
      </c>
      <c r="B34" s="56" t="s">
        <v>426</v>
      </c>
      <c r="C34" s="239">
        <v>3.06</v>
      </c>
      <c r="D34" s="239"/>
      <c r="E34" s="240">
        <v>2.33</v>
      </c>
      <c r="F34" s="240"/>
      <c r="G34" s="6"/>
    </row>
    <row r="35" spans="1:7" ht="13.05" customHeight="1">
      <c r="A35" s="55" t="s">
        <v>427</v>
      </c>
      <c r="B35" s="56" t="s">
        <v>428</v>
      </c>
      <c r="C35" s="239">
        <v>0.4</v>
      </c>
      <c r="D35" s="239"/>
      <c r="E35" s="240">
        <v>0.31</v>
      </c>
      <c r="F35" s="240"/>
      <c r="G35" s="6"/>
    </row>
    <row r="36" spans="1:7" ht="15" customHeight="1">
      <c r="A36" s="6"/>
      <c r="B36" s="58" t="s">
        <v>187</v>
      </c>
      <c r="C36" s="241">
        <v>12.32</v>
      </c>
      <c r="D36" s="241"/>
      <c r="E36" s="241">
        <v>9.39</v>
      </c>
      <c r="F36" s="241"/>
      <c r="G36" s="6"/>
    </row>
    <row r="37" spans="1:7" ht="12" customHeight="1">
      <c r="A37" s="6"/>
      <c r="B37" s="227" t="s">
        <v>328</v>
      </c>
      <c r="C37" s="227"/>
      <c r="D37" s="6"/>
      <c r="E37" s="6"/>
      <c r="F37" s="6"/>
      <c r="G37" s="6"/>
    </row>
    <row r="38" spans="1:7" ht="13.05" customHeight="1">
      <c r="A38" s="60" t="s">
        <v>429</v>
      </c>
      <c r="B38" s="54" t="s">
        <v>430</v>
      </c>
      <c r="C38" s="6"/>
      <c r="D38" s="6"/>
      <c r="E38" s="6"/>
      <c r="F38" s="6"/>
      <c r="G38" s="6"/>
    </row>
    <row r="39" spans="1:7" ht="13.05" customHeight="1">
      <c r="A39" s="55" t="s">
        <v>431</v>
      </c>
      <c r="B39" s="56" t="s">
        <v>432</v>
      </c>
      <c r="C39" s="239">
        <v>17.3</v>
      </c>
      <c r="D39" s="239"/>
      <c r="E39" s="240">
        <v>6.35</v>
      </c>
      <c r="F39" s="240"/>
      <c r="G39" s="6"/>
    </row>
    <row r="40" spans="1:7" ht="18" customHeight="1">
      <c r="A40" s="55" t="s">
        <v>433</v>
      </c>
      <c r="B40" s="56" t="s">
        <v>434</v>
      </c>
      <c r="C40" s="239">
        <v>0.42</v>
      </c>
      <c r="D40" s="239"/>
      <c r="E40" s="240">
        <v>0.32</v>
      </c>
      <c r="F40" s="240"/>
      <c r="G40" s="6"/>
    </row>
    <row r="41" spans="1:7" ht="15" customHeight="1">
      <c r="A41" s="6"/>
      <c r="B41" s="58" t="s">
        <v>187</v>
      </c>
      <c r="C41" s="241">
        <v>17.720000000000002</v>
      </c>
      <c r="D41" s="241"/>
      <c r="E41" s="241">
        <v>6.67</v>
      </c>
      <c r="F41" s="241"/>
      <c r="G41" s="6"/>
    </row>
    <row r="42" spans="1:7" ht="15" customHeight="1">
      <c r="A42" s="6"/>
      <c r="B42" s="227" t="s">
        <v>328</v>
      </c>
      <c r="C42" s="227"/>
      <c r="D42" s="227"/>
      <c r="E42" s="6"/>
      <c r="F42" s="6"/>
      <c r="G42" s="6"/>
    </row>
    <row r="43" spans="1:7" ht="19.95" customHeight="1">
      <c r="A43" s="6"/>
      <c r="B43" s="1" t="s">
        <v>435</v>
      </c>
      <c r="C43" s="238">
        <v>113.84</v>
      </c>
      <c r="D43" s="238"/>
      <c r="E43" s="238">
        <v>70.11</v>
      </c>
      <c r="F43" s="238"/>
      <c r="G43" s="6"/>
    </row>
  </sheetData>
  <mergeCells count="71">
    <mergeCell ref="A1:G1"/>
    <mergeCell ref="B2:E2"/>
    <mergeCell ref="C3:D3"/>
    <mergeCell ref="E3:F3"/>
    <mergeCell ref="B4:C4"/>
    <mergeCell ref="C6:D6"/>
    <mergeCell ref="E6:F6"/>
    <mergeCell ref="C7:D7"/>
    <mergeCell ref="E7:F7"/>
    <mergeCell ref="C8:D8"/>
    <mergeCell ref="E8:F8"/>
    <mergeCell ref="C9:D9"/>
    <mergeCell ref="E9:F9"/>
    <mergeCell ref="C10:D10"/>
    <mergeCell ref="E10:F10"/>
    <mergeCell ref="C11:D11"/>
    <mergeCell ref="E11:F11"/>
    <mergeCell ref="C12:D12"/>
    <mergeCell ref="E12:F12"/>
    <mergeCell ref="C13:D13"/>
    <mergeCell ref="E13:F13"/>
    <mergeCell ref="C14:D14"/>
    <mergeCell ref="E14:F14"/>
    <mergeCell ref="C15:D15"/>
    <mergeCell ref="E15:F15"/>
    <mergeCell ref="B16:C16"/>
    <mergeCell ref="C18:D18"/>
    <mergeCell ref="E18:F18"/>
    <mergeCell ref="C19:D19"/>
    <mergeCell ref="E19:F19"/>
    <mergeCell ref="C20:D20"/>
    <mergeCell ref="E20:F20"/>
    <mergeCell ref="C21:D21"/>
    <mergeCell ref="E21:F21"/>
    <mergeCell ref="C22:D22"/>
    <mergeCell ref="E22:F22"/>
    <mergeCell ref="C23:D23"/>
    <mergeCell ref="E23:F23"/>
    <mergeCell ref="C24:D24"/>
    <mergeCell ref="E24:F24"/>
    <mergeCell ref="C25:D25"/>
    <mergeCell ref="E25:F25"/>
    <mergeCell ref="C26:D26"/>
    <mergeCell ref="E26:F26"/>
    <mergeCell ref="C27:D27"/>
    <mergeCell ref="E27:F27"/>
    <mergeCell ref="C28:D28"/>
    <mergeCell ref="E28:F28"/>
    <mergeCell ref="B29:C29"/>
    <mergeCell ref="C31:D31"/>
    <mergeCell ref="E31:F31"/>
    <mergeCell ref="C32:D32"/>
    <mergeCell ref="E32:F32"/>
    <mergeCell ref="C33:D33"/>
    <mergeCell ref="E33:F33"/>
    <mergeCell ref="C34:D34"/>
    <mergeCell ref="E34:F34"/>
    <mergeCell ref="C35:D35"/>
    <mergeCell ref="E35:F35"/>
    <mergeCell ref="C36:D36"/>
    <mergeCell ref="E36:F36"/>
    <mergeCell ref="B37:C37"/>
    <mergeCell ref="B42:D42"/>
    <mergeCell ref="C43:D43"/>
    <mergeCell ref="E43:F43"/>
    <mergeCell ref="C39:D39"/>
    <mergeCell ref="E39:F39"/>
    <mergeCell ref="C40:D40"/>
    <mergeCell ref="E40:F40"/>
    <mergeCell ref="C41:D41"/>
    <mergeCell ref="E41:F41"/>
  </mergeCells>
  <pageMargins left="0.5" right="0.5" top="0.5" bottom="0.5" header="0" footer="0"/>
  <pageSetup paperSize="9" scale="8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2709C-5D5A-4513-A1D3-CFD93CA53DE1}">
  <sheetPr>
    <pageSetUpPr fitToPage="1"/>
  </sheetPr>
  <dimension ref="A1:J48"/>
  <sheetViews>
    <sheetView showGridLines="0" view="pageBreakPreview" zoomScale="70" zoomScaleNormal="100" zoomScaleSheetLayoutView="70" workbookViewId="0">
      <selection activeCell="B11" sqref="B11:B18"/>
    </sheetView>
  </sheetViews>
  <sheetFormatPr defaultColWidth="9.109375" defaultRowHeight="13.2"/>
  <cols>
    <col min="1" max="1" width="15" style="64" customWidth="1"/>
    <col min="2" max="2" width="65.5546875" style="64" customWidth="1"/>
    <col min="3" max="3" width="9.109375" style="64"/>
    <col min="4" max="5" width="11.5546875" style="64" customWidth="1"/>
    <col min="6" max="6" width="16.109375" style="64" customWidth="1"/>
    <col min="7" max="7" width="22" style="64" customWidth="1"/>
    <col min="8" max="10" width="25.6640625" style="64" customWidth="1"/>
    <col min="11" max="11" width="26" style="64" customWidth="1"/>
    <col min="12" max="16384" width="9.109375" style="64"/>
  </cols>
  <sheetData>
    <row r="1" spans="1:10" ht="15.6">
      <c r="A1" s="61"/>
      <c r="B1" s="62"/>
      <c r="C1" s="62"/>
      <c r="D1" s="62"/>
      <c r="E1" s="62"/>
      <c r="F1" s="62"/>
      <c r="G1" s="62"/>
      <c r="H1" s="62"/>
      <c r="I1" s="62"/>
      <c r="J1" s="63"/>
    </row>
    <row r="2" spans="1:10" ht="15.6">
      <c r="A2" s="65"/>
      <c r="B2" s="66"/>
      <c r="C2" s="66"/>
      <c r="D2" s="66"/>
      <c r="E2" s="66"/>
      <c r="F2" s="66"/>
      <c r="G2" s="66"/>
      <c r="H2" s="66"/>
      <c r="I2" s="66"/>
      <c r="J2" s="67"/>
    </row>
    <row r="3" spans="1:10" ht="15.6">
      <c r="A3" s="65"/>
      <c r="B3" s="66"/>
      <c r="C3" s="66"/>
      <c r="D3" s="66"/>
      <c r="E3" s="66"/>
      <c r="F3" s="66"/>
      <c r="G3" s="66"/>
      <c r="H3" s="66"/>
      <c r="I3" s="66"/>
      <c r="J3" s="67"/>
    </row>
    <row r="4" spans="1:10" ht="15.6">
      <c r="A4" s="65"/>
      <c r="B4" s="66"/>
      <c r="C4" s="66"/>
      <c r="D4" s="66"/>
      <c r="E4" s="66"/>
      <c r="F4" s="66"/>
      <c r="G4" s="66"/>
      <c r="H4" s="66"/>
      <c r="I4" s="66"/>
      <c r="J4" s="67"/>
    </row>
    <row r="5" spans="1:10" ht="15.6">
      <c r="A5" s="65"/>
      <c r="B5" s="66"/>
      <c r="C5" s="66"/>
      <c r="D5" s="66"/>
      <c r="E5" s="66"/>
      <c r="F5" s="66"/>
      <c r="G5" s="66"/>
      <c r="H5" s="66"/>
      <c r="I5" s="66"/>
      <c r="J5" s="67"/>
    </row>
    <row r="6" spans="1:10" ht="15.6">
      <c r="A6" s="256" t="s">
        <v>436</v>
      </c>
      <c r="B6" s="257"/>
      <c r="C6" s="257"/>
      <c r="D6" s="257"/>
      <c r="E6" s="257"/>
      <c r="F6" s="257"/>
      <c r="G6" s="257"/>
      <c r="H6" s="257"/>
      <c r="I6" s="257"/>
      <c r="J6" s="258"/>
    </row>
    <row r="7" spans="1:10" ht="15.6">
      <c r="A7" s="68"/>
      <c r="B7" s="69"/>
      <c r="C7" s="69"/>
      <c r="D7" s="69"/>
      <c r="E7" s="69"/>
      <c r="F7" s="69"/>
      <c r="G7" s="69"/>
      <c r="H7" s="69"/>
      <c r="I7" s="69"/>
      <c r="J7" s="70"/>
    </row>
    <row r="8" spans="1:10" ht="15.6">
      <c r="A8" s="256" t="s">
        <v>437</v>
      </c>
      <c r="B8" s="257"/>
      <c r="C8" s="257"/>
      <c r="D8" s="257"/>
      <c r="E8" s="257"/>
      <c r="F8" s="257"/>
      <c r="G8" s="257"/>
      <c r="H8" s="257"/>
      <c r="I8" s="257"/>
      <c r="J8" s="258"/>
    </row>
    <row r="9" spans="1:10" ht="15.6">
      <c r="A9" s="71"/>
      <c r="B9" s="72"/>
      <c r="C9" s="69"/>
      <c r="D9" s="69"/>
      <c r="E9" s="69"/>
      <c r="F9" s="69"/>
      <c r="G9" s="69"/>
      <c r="H9" s="69"/>
      <c r="I9" s="69"/>
      <c r="J9" s="70"/>
    </row>
    <row r="10" spans="1:10" ht="15.6">
      <c r="A10" s="73" t="s">
        <v>1</v>
      </c>
      <c r="B10" s="74" t="s">
        <v>3</v>
      </c>
      <c r="C10" s="75" t="s">
        <v>184</v>
      </c>
      <c r="D10" s="75" t="s">
        <v>438</v>
      </c>
      <c r="E10" s="75" t="s">
        <v>439</v>
      </c>
      <c r="F10" s="75" t="s">
        <v>440</v>
      </c>
      <c r="G10" s="75" t="s">
        <v>441</v>
      </c>
      <c r="H10" s="75" t="s">
        <v>442</v>
      </c>
      <c r="I10" s="75" t="s">
        <v>443</v>
      </c>
      <c r="J10" s="76" t="s">
        <v>444</v>
      </c>
    </row>
    <row r="11" spans="1:10" ht="46.8">
      <c r="A11" s="259" t="s">
        <v>13</v>
      </c>
      <c r="B11" s="246" t="s">
        <v>445</v>
      </c>
      <c r="C11" s="249" t="s">
        <v>16</v>
      </c>
      <c r="D11" s="250">
        <f>AVERAGE(H18:J18)</f>
        <v>883.33333333333337</v>
      </c>
      <c r="E11" s="250">
        <f>MEDIAN(H18:J18)</f>
        <v>900</v>
      </c>
      <c r="F11" s="253">
        <f>MIN(D11:E18)</f>
        <v>883.33333333333337</v>
      </c>
      <c r="G11" s="77" t="s">
        <v>446</v>
      </c>
      <c r="H11" s="78" t="s">
        <v>447</v>
      </c>
      <c r="I11" s="79" t="s">
        <v>448</v>
      </c>
      <c r="J11" s="80" t="s">
        <v>449</v>
      </c>
    </row>
    <row r="12" spans="1:10" ht="15.6">
      <c r="A12" s="260"/>
      <c r="B12" s="247"/>
      <c r="C12" s="249"/>
      <c r="D12" s="251"/>
      <c r="E12" s="251"/>
      <c r="F12" s="254"/>
      <c r="G12" s="77" t="s">
        <v>450</v>
      </c>
      <c r="H12" s="78" t="s">
        <v>451</v>
      </c>
      <c r="I12" s="79" t="s">
        <v>452</v>
      </c>
      <c r="J12" s="81" t="s">
        <v>453</v>
      </c>
    </row>
    <row r="13" spans="1:10" ht="15.6">
      <c r="A13" s="260"/>
      <c r="B13" s="247"/>
      <c r="C13" s="249"/>
      <c r="D13" s="251"/>
      <c r="E13" s="251"/>
      <c r="F13" s="254"/>
      <c r="G13" s="77" t="s">
        <v>454</v>
      </c>
      <c r="H13" s="82" t="s">
        <v>455</v>
      </c>
      <c r="I13" s="82" t="s">
        <v>455</v>
      </c>
      <c r="J13" s="83" t="s">
        <v>455</v>
      </c>
    </row>
    <row r="14" spans="1:10" ht="15.6">
      <c r="A14" s="260"/>
      <c r="B14" s="247"/>
      <c r="C14" s="249"/>
      <c r="D14" s="251"/>
      <c r="E14" s="251"/>
      <c r="F14" s="254"/>
      <c r="G14" s="77" t="s">
        <v>456</v>
      </c>
      <c r="H14" s="84">
        <v>46028</v>
      </c>
      <c r="I14" s="84">
        <v>46035</v>
      </c>
      <c r="J14" s="81">
        <v>46034</v>
      </c>
    </row>
    <row r="15" spans="1:10" ht="15.6">
      <c r="A15" s="260"/>
      <c r="B15" s="247"/>
      <c r="C15" s="249"/>
      <c r="D15" s="251"/>
      <c r="E15" s="251"/>
      <c r="F15" s="254"/>
      <c r="G15" s="77" t="s">
        <v>457</v>
      </c>
      <c r="H15" s="79"/>
      <c r="I15" s="79"/>
      <c r="J15" s="85" t="s">
        <v>458</v>
      </c>
    </row>
    <row r="16" spans="1:10" ht="15.6">
      <c r="A16" s="260"/>
      <c r="B16" s="247"/>
      <c r="C16" s="249"/>
      <c r="D16" s="251"/>
      <c r="E16" s="251"/>
      <c r="F16" s="254"/>
      <c r="G16" s="77" t="s">
        <v>459</v>
      </c>
      <c r="H16" s="86">
        <v>900</v>
      </c>
      <c r="I16" s="86">
        <v>850</v>
      </c>
      <c r="J16" s="87">
        <v>900</v>
      </c>
    </row>
    <row r="17" spans="1:10" ht="15.6">
      <c r="A17" s="260"/>
      <c r="B17" s="247"/>
      <c r="C17" s="249"/>
      <c r="D17" s="251"/>
      <c r="E17" s="251"/>
      <c r="F17" s="254"/>
      <c r="G17" s="77" t="s">
        <v>460</v>
      </c>
      <c r="H17" s="88">
        <v>0</v>
      </c>
      <c r="I17" s="88">
        <v>0</v>
      </c>
      <c r="J17" s="89">
        <v>0</v>
      </c>
    </row>
    <row r="18" spans="1:10" ht="15.6">
      <c r="A18" s="261"/>
      <c r="B18" s="248"/>
      <c r="C18" s="249"/>
      <c r="D18" s="252"/>
      <c r="E18" s="252"/>
      <c r="F18" s="255"/>
      <c r="G18" s="77" t="s">
        <v>461</v>
      </c>
      <c r="H18" s="88">
        <f>H16+H17</f>
        <v>900</v>
      </c>
      <c r="I18" s="88">
        <f>I16+I17</f>
        <v>850</v>
      </c>
      <c r="J18" s="89">
        <f>J16+J17</f>
        <v>900</v>
      </c>
    </row>
    <row r="19" spans="1:10" ht="15.6">
      <c r="A19" s="71"/>
      <c r="B19" s="72"/>
      <c r="C19" s="69"/>
      <c r="D19" s="69"/>
      <c r="E19" s="69"/>
      <c r="F19" s="69"/>
      <c r="G19" s="69"/>
      <c r="H19" s="69"/>
      <c r="I19" s="69"/>
      <c r="J19" s="70"/>
    </row>
    <row r="20" spans="1:10" ht="15.6">
      <c r="A20" s="73" t="s">
        <v>1</v>
      </c>
      <c r="B20" s="74" t="s">
        <v>3</v>
      </c>
      <c r="C20" s="75" t="s">
        <v>184</v>
      </c>
      <c r="D20" s="75" t="s">
        <v>438</v>
      </c>
      <c r="E20" s="75" t="s">
        <v>439</v>
      </c>
      <c r="F20" s="75" t="s">
        <v>440</v>
      </c>
      <c r="G20" s="75" t="s">
        <v>441</v>
      </c>
      <c r="H20" s="75" t="s">
        <v>442</v>
      </c>
      <c r="I20" s="75" t="s">
        <v>443</v>
      </c>
      <c r="J20" s="76" t="s">
        <v>444</v>
      </c>
    </row>
    <row r="21" spans="1:10" ht="46.8">
      <c r="A21" s="243" t="s">
        <v>18</v>
      </c>
      <c r="B21" s="246" t="s">
        <v>462</v>
      </c>
      <c r="C21" s="249" t="s">
        <v>16</v>
      </c>
      <c r="D21" s="250">
        <f>ROUND(AVERAGE(H28:J28),2)</f>
        <v>883.33</v>
      </c>
      <c r="E21" s="250">
        <f>ROUND(MEDIAN(H28:J28),2)</f>
        <v>900</v>
      </c>
      <c r="F21" s="253">
        <f>MIN(D21:E28)</f>
        <v>883.33</v>
      </c>
      <c r="G21" s="77" t="s">
        <v>446</v>
      </c>
      <c r="H21" s="78" t="s">
        <v>447</v>
      </c>
      <c r="I21" s="79" t="s">
        <v>448</v>
      </c>
      <c r="J21" s="80" t="s">
        <v>449</v>
      </c>
    </row>
    <row r="22" spans="1:10" ht="15.6">
      <c r="A22" s="244"/>
      <c r="B22" s="247"/>
      <c r="C22" s="249"/>
      <c r="D22" s="251"/>
      <c r="E22" s="251"/>
      <c r="F22" s="254"/>
      <c r="G22" s="77" t="s">
        <v>450</v>
      </c>
      <c r="H22" s="78" t="s">
        <v>451</v>
      </c>
      <c r="I22" s="79" t="s">
        <v>452</v>
      </c>
      <c r="J22" s="81" t="s">
        <v>453</v>
      </c>
    </row>
    <row r="23" spans="1:10" ht="15.6">
      <c r="A23" s="244"/>
      <c r="B23" s="247"/>
      <c r="C23" s="249"/>
      <c r="D23" s="251"/>
      <c r="E23" s="251"/>
      <c r="F23" s="254"/>
      <c r="G23" s="77" t="s">
        <v>454</v>
      </c>
      <c r="H23" s="82" t="s">
        <v>455</v>
      </c>
      <c r="I23" s="82" t="s">
        <v>455</v>
      </c>
      <c r="J23" s="83" t="s">
        <v>455</v>
      </c>
    </row>
    <row r="24" spans="1:10" ht="15.6">
      <c r="A24" s="244"/>
      <c r="B24" s="247"/>
      <c r="C24" s="249"/>
      <c r="D24" s="251"/>
      <c r="E24" s="251"/>
      <c r="F24" s="254"/>
      <c r="G24" s="77" t="s">
        <v>456</v>
      </c>
      <c r="H24" s="84">
        <v>46028</v>
      </c>
      <c r="I24" s="84">
        <v>46035</v>
      </c>
      <c r="J24" s="81">
        <v>46034</v>
      </c>
    </row>
    <row r="25" spans="1:10" ht="15.6">
      <c r="A25" s="244"/>
      <c r="B25" s="247"/>
      <c r="C25" s="249"/>
      <c r="D25" s="251"/>
      <c r="E25" s="251"/>
      <c r="F25" s="254"/>
      <c r="G25" s="77" t="s">
        <v>463</v>
      </c>
      <c r="H25" s="79"/>
      <c r="I25" s="79"/>
      <c r="J25" s="85" t="s">
        <v>458</v>
      </c>
    </row>
    <row r="26" spans="1:10" ht="15.6">
      <c r="A26" s="244"/>
      <c r="B26" s="247"/>
      <c r="C26" s="249"/>
      <c r="D26" s="251"/>
      <c r="E26" s="251"/>
      <c r="F26" s="254"/>
      <c r="G26" s="77" t="s">
        <v>459</v>
      </c>
      <c r="H26" s="86">
        <v>900</v>
      </c>
      <c r="I26" s="86">
        <v>850</v>
      </c>
      <c r="J26" s="87">
        <v>900</v>
      </c>
    </row>
    <row r="27" spans="1:10" ht="15.6">
      <c r="A27" s="244"/>
      <c r="B27" s="247"/>
      <c r="C27" s="249"/>
      <c r="D27" s="251"/>
      <c r="E27" s="251"/>
      <c r="F27" s="254"/>
      <c r="G27" s="77" t="s">
        <v>464</v>
      </c>
      <c r="H27" s="88">
        <v>0</v>
      </c>
      <c r="I27" s="88">
        <v>0</v>
      </c>
      <c r="J27" s="89">
        <v>0</v>
      </c>
    </row>
    <row r="28" spans="1:10" ht="15.6">
      <c r="A28" s="245"/>
      <c r="B28" s="248"/>
      <c r="C28" s="249"/>
      <c r="D28" s="252"/>
      <c r="E28" s="252"/>
      <c r="F28" s="255"/>
      <c r="G28" s="77" t="s">
        <v>461</v>
      </c>
      <c r="H28" s="88">
        <f>H26+H27</f>
        <v>900</v>
      </c>
      <c r="I28" s="88">
        <f>I26+I27</f>
        <v>850</v>
      </c>
      <c r="J28" s="89">
        <f>J26+J27</f>
        <v>900</v>
      </c>
    </row>
    <row r="29" spans="1:10" ht="15.6">
      <c r="A29" s="71"/>
      <c r="B29" s="72"/>
      <c r="C29" s="69"/>
      <c r="D29" s="69"/>
      <c r="E29" s="69"/>
      <c r="F29" s="69"/>
      <c r="G29" s="69"/>
      <c r="H29" s="69"/>
      <c r="I29" s="69"/>
      <c r="J29" s="70"/>
    </row>
    <row r="30" spans="1:10" ht="15.6">
      <c r="A30" s="73" t="s">
        <v>1</v>
      </c>
      <c r="B30" s="74" t="s">
        <v>3</v>
      </c>
      <c r="C30" s="75" t="s">
        <v>184</v>
      </c>
      <c r="D30" s="75" t="s">
        <v>438</v>
      </c>
      <c r="E30" s="75" t="s">
        <v>439</v>
      </c>
      <c r="F30" s="75" t="s">
        <v>440</v>
      </c>
      <c r="G30" s="75" t="s">
        <v>441</v>
      </c>
      <c r="H30" s="75" t="s">
        <v>442</v>
      </c>
      <c r="I30" s="75" t="s">
        <v>443</v>
      </c>
      <c r="J30" s="76" t="s">
        <v>444</v>
      </c>
    </row>
    <row r="31" spans="1:10" ht="46.8">
      <c r="A31" s="243" t="s">
        <v>21</v>
      </c>
      <c r="B31" s="246" t="s">
        <v>465</v>
      </c>
      <c r="C31" s="249" t="s">
        <v>466</v>
      </c>
      <c r="D31" s="250">
        <f>ROUND(AVERAGE(H38:J38),2)</f>
        <v>1000</v>
      </c>
      <c r="E31" s="250">
        <f>ROUND(MEDIAN(H38:J38),2)</f>
        <v>1100</v>
      </c>
      <c r="F31" s="253">
        <f>MIN(D31:E38)</f>
        <v>1000</v>
      </c>
      <c r="G31" s="77" t="s">
        <v>446</v>
      </c>
      <c r="H31" s="78" t="s">
        <v>447</v>
      </c>
      <c r="I31" s="79" t="s">
        <v>448</v>
      </c>
      <c r="J31" s="80" t="s">
        <v>449</v>
      </c>
    </row>
    <row r="32" spans="1:10" ht="15.6">
      <c r="A32" s="244"/>
      <c r="B32" s="247"/>
      <c r="C32" s="249"/>
      <c r="D32" s="251"/>
      <c r="E32" s="251"/>
      <c r="F32" s="254"/>
      <c r="G32" s="77" t="s">
        <v>450</v>
      </c>
      <c r="H32" s="78" t="s">
        <v>451</v>
      </c>
      <c r="I32" s="79" t="s">
        <v>452</v>
      </c>
      <c r="J32" s="81" t="s">
        <v>453</v>
      </c>
    </row>
    <row r="33" spans="1:10" ht="15.6">
      <c r="A33" s="244"/>
      <c r="B33" s="247"/>
      <c r="C33" s="249"/>
      <c r="D33" s="251"/>
      <c r="E33" s="251"/>
      <c r="F33" s="254"/>
      <c r="G33" s="77" t="s">
        <v>454</v>
      </c>
      <c r="H33" s="82" t="s">
        <v>455</v>
      </c>
      <c r="I33" s="82" t="s">
        <v>455</v>
      </c>
      <c r="J33" s="83" t="s">
        <v>455</v>
      </c>
    </row>
    <row r="34" spans="1:10" ht="15.6">
      <c r="A34" s="244"/>
      <c r="B34" s="247"/>
      <c r="C34" s="249"/>
      <c r="D34" s="251"/>
      <c r="E34" s="251"/>
      <c r="F34" s="254"/>
      <c r="G34" s="77" t="s">
        <v>456</v>
      </c>
      <c r="H34" s="84">
        <v>46028</v>
      </c>
      <c r="I34" s="84">
        <v>46035</v>
      </c>
      <c r="J34" s="81">
        <v>46034</v>
      </c>
    </row>
    <row r="35" spans="1:10" ht="15.6">
      <c r="A35" s="244"/>
      <c r="B35" s="247"/>
      <c r="C35" s="249"/>
      <c r="D35" s="251"/>
      <c r="E35" s="251"/>
      <c r="F35" s="254"/>
      <c r="G35" s="77" t="s">
        <v>463</v>
      </c>
      <c r="H35" s="79"/>
      <c r="I35" s="79"/>
      <c r="J35" s="85" t="s">
        <v>458</v>
      </c>
    </row>
    <row r="36" spans="1:10" ht="15.6">
      <c r="A36" s="244"/>
      <c r="B36" s="247"/>
      <c r="C36" s="249"/>
      <c r="D36" s="251"/>
      <c r="E36" s="251"/>
      <c r="F36" s="254"/>
      <c r="G36" s="77" t="s">
        <v>459</v>
      </c>
      <c r="H36" s="86">
        <v>800</v>
      </c>
      <c r="I36" s="86">
        <v>1100</v>
      </c>
      <c r="J36" s="87">
        <v>1100</v>
      </c>
    </row>
    <row r="37" spans="1:10" ht="15.6">
      <c r="A37" s="244"/>
      <c r="B37" s="247"/>
      <c r="C37" s="249"/>
      <c r="D37" s="251"/>
      <c r="E37" s="251"/>
      <c r="F37" s="254"/>
      <c r="G37" s="77" t="s">
        <v>464</v>
      </c>
      <c r="H37" s="88">
        <v>0</v>
      </c>
      <c r="I37" s="88">
        <v>0</v>
      </c>
      <c r="J37" s="89">
        <v>0</v>
      </c>
    </row>
    <row r="38" spans="1:10" ht="15.6">
      <c r="A38" s="245"/>
      <c r="B38" s="248"/>
      <c r="C38" s="249"/>
      <c r="D38" s="252"/>
      <c r="E38" s="252"/>
      <c r="F38" s="255"/>
      <c r="G38" s="77" t="s">
        <v>461</v>
      </c>
      <c r="H38" s="88">
        <f>H36+H37</f>
        <v>800</v>
      </c>
      <c r="I38" s="88">
        <f>I36+I37</f>
        <v>1100</v>
      </c>
      <c r="J38" s="89">
        <f>J36+J37</f>
        <v>1100</v>
      </c>
    </row>
    <row r="39" spans="1:10" ht="15.6">
      <c r="A39" s="90"/>
      <c r="B39" s="91"/>
      <c r="C39" s="92"/>
      <c r="D39" s="93"/>
      <c r="E39" s="93"/>
      <c r="F39" s="94"/>
      <c r="G39" s="95"/>
      <c r="H39" s="96"/>
      <c r="I39" s="96"/>
      <c r="J39" s="96"/>
    </row>
    <row r="40" spans="1:10" ht="15.6">
      <c r="A40" s="73" t="s">
        <v>1</v>
      </c>
      <c r="B40" s="74" t="s">
        <v>3</v>
      </c>
      <c r="C40" s="75" t="s">
        <v>184</v>
      </c>
      <c r="D40" s="75" t="s">
        <v>438</v>
      </c>
      <c r="E40" s="75" t="s">
        <v>439</v>
      </c>
      <c r="F40" s="75" t="s">
        <v>440</v>
      </c>
      <c r="G40" s="75" t="s">
        <v>441</v>
      </c>
      <c r="H40" s="75" t="s">
        <v>442</v>
      </c>
      <c r="I40" s="75" t="s">
        <v>443</v>
      </c>
      <c r="J40" s="76" t="s">
        <v>444</v>
      </c>
    </row>
    <row r="41" spans="1:10" ht="46.8">
      <c r="A41" s="243" t="s">
        <v>25</v>
      </c>
      <c r="B41" s="246" t="s">
        <v>467</v>
      </c>
      <c r="C41" s="249" t="s">
        <v>466</v>
      </c>
      <c r="D41" s="250">
        <f>ROUND(AVERAGE(H48:J48),2)</f>
        <v>1083.33</v>
      </c>
      <c r="E41" s="250">
        <f>ROUND(MEDIAN(H48:J48),2)</f>
        <v>1200</v>
      </c>
      <c r="F41" s="253">
        <f>MIN(D41:E48)</f>
        <v>1083.33</v>
      </c>
      <c r="G41" s="77" t="s">
        <v>446</v>
      </c>
      <c r="H41" s="78" t="s">
        <v>447</v>
      </c>
      <c r="I41" s="79" t="s">
        <v>448</v>
      </c>
      <c r="J41" s="80" t="s">
        <v>449</v>
      </c>
    </row>
    <row r="42" spans="1:10" ht="15.6">
      <c r="A42" s="244"/>
      <c r="B42" s="247"/>
      <c r="C42" s="249"/>
      <c r="D42" s="251"/>
      <c r="E42" s="251"/>
      <c r="F42" s="254"/>
      <c r="G42" s="77" t="s">
        <v>450</v>
      </c>
      <c r="H42" s="78" t="s">
        <v>451</v>
      </c>
      <c r="I42" s="79" t="s">
        <v>452</v>
      </c>
      <c r="J42" s="81" t="s">
        <v>453</v>
      </c>
    </row>
    <row r="43" spans="1:10" ht="15.6">
      <c r="A43" s="244"/>
      <c r="B43" s="247"/>
      <c r="C43" s="249"/>
      <c r="D43" s="251"/>
      <c r="E43" s="251"/>
      <c r="F43" s="254"/>
      <c r="G43" s="77" t="s">
        <v>454</v>
      </c>
      <c r="H43" s="82" t="s">
        <v>455</v>
      </c>
      <c r="I43" s="82" t="s">
        <v>455</v>
      </c>
      <c r="J43" s="83" t="s">
        <v>455</v>
      </c>
    </row>
    <row r="44" spans="1:10" ht="15.6">
      <c r="A44" s="244"/>
      <c r="B44" s="247"/>
      <c r="C44" s="249"/>
      <c r="D44" s="251"/>
      <c r="E44" s="251"/>
      <c r="F44" s="254"/>
      <c r="G44" s="77" t="s">
        <v>456</v>
      </c>
      <c r="H44" s="84">
        <v>46028</v>
      </c>
      <c r="I44" s="84">
        <v>46035</v>
      </c>
      <c r="J44" s="81">
        <v>46034</v>
      </c>
    </row>
    <row r="45" spans="1:10" ht="15.6">
      <c r="A45" s="244"/>
      <c r="B45" s="247"/>
      <c r="C45" s="249"/>
      <c r="D45" s="251"/>
      <c r="E45" s="251"/>
      <c r="F45" s="254"/>
      <c r="G45" s="77" t="s">
        <v>463</v>
      </c>
      <c r="H45" s="79"/>
      <c r="I45" s="79"/>
      <c r="J45" s="85" t="s">
        <v>458</v>
      </c>
    </row>
    <row r="46" spans="1:10" ht="15.6">
      <c r="A46" s="244"/>
      <c r="B46" s="247"/>
      <c r="C46" s="249"/>
      <c r="D46" s="251"/>
      <c r="E46" s="251"/>
      <c r="F46" s="254"/>
      <c r="G46" s="77" t="s">
        <v>459</v>
      </c>
      <c r="H46" s="86">
        <v>850</v>
      </c>
      <c r="I46" s="86">
        <v>1200</v>
      </c>
      <c r="J46" s="87">
        <v>1200</v>
      </c>
    </row>
    <row r="47" spans="1:10" ht="15.6">
      <c r="A47" s="244"/>
      <c r="B47" s="247"/>
      <c r="C47" s="249"/>
      <c r="D47" s="251"/>
      <c r="E47" s="251"/>
      <c r="F47" s="254"/>
      <c r="G47" s="77" t="s">
        <v>464</v>
      </c>
      <c r="H47" s="88">
        <v>0</v>
      </c>
      <c r="I47" s="88">
        <v>0</v>
      </c>
      <c r="J47" s="89">
        <v>0</v>
      </c>
    </row>
    <row r="48" spans="1:10" ht="15.6">
      <c r="A48" s="245"/>
      <c r="B48" s="248"/>
      <c r="C48" s="249"/>
      <c r="D48" s="252"/>
      <c r="E48" s="252"/>
      <c r="F48" s="255"/>
      <c r="G48" s="77" t="s">
        <v>461</v>
      </c>
      <c r="H48" s="88">
        <f>H46+H47</f>
        <v>850</v>
      </c>
      <c r="I48" s="88">
        <f>I46+I47</f>
        <v>1200</v>
      </c>
      <c r="J48" s="89">
        <f>J46+J47</f>
        <v>1200</v>
      </c>
    </row>
  </sheetData>
  <mergeCells count="26">
    <mergeCell ref="F21:F28"/>
    <mergeCell ref="A6:J6"/>
    <mergeCell ref="A8:J8"/>
    <mergeCell ref="A11:A18"/>
    <mergeCell ref="B11:B18"/>
    <mergeCell ref="C11:C18"/>
    <mergeCell ref="D11:D18"/>
    <mergeCell ref="E11:E18"/>
    <mergeCell ref="F11:F18"/>
    <mergeCell ref="A21:A28"/>
    <mergeCell ref="B21:B28"/>
    <mergeCell ref="C21:C28"/>
    <mergeCell ref="D21:D28"/>
    <mergeCell ref="E21:E28"/>
    <mergeCell ref="F41:F48"/>
    <mergeCell ref="A31:A38"/>
    <mergeCell ref="B31:B38"/>
    <mergeCell ref="C31:C38"/>
    <mergeCell ref="D31:D38"/>
    <mergeCell ref="E31:E38"/>
    <mergeCell ref="F31:F38"/>
    <mergeCell ref="A41:A48"/>
    <mergeCell ref="B41:B48"/>
    <mergeCell ref="C41:C48"/>
    <mergeCell ref="D41:D48"/>
    <mergeCell ref="E41:E48"/>
  </mergeCells>
  <conditionalFormatting sqref="F11">
    <cfRule type="cellIs" dxfId="3" priority="4" operator="equal">
      <formula>0</formula>
    </cfRule>
  </conditionalFormatting>
  <conditionalFormatting sqref="F21">
    <cfRule type="cellIs" dxfId="2" priority="3" operator="equal">
      <formula>0</formula>
    </cfRule>
  </conditionalFormatting>
  <conditionalFormatting sqref="F31">
    <cfRule type="cellIs" dxfId="1" priority="2" operator="equal">
      <formula>0</formula>
    </cfRule>
  </conditionalFormatting>
  <conditionalFormatting sqref="F41">
    <cfRule type="cellIs" dxfId="0" priority="1" operator="equal">
      <formula>0</formula>
    </cfRule>
  </conditionalFormatting>
  <pageMargins left="0.511811024" right="0.511811024" top="0.78740157499999996" bottom="0.78740157499999996" header="0.31496062000000002" footer="0.31496062000000002"/>
  <pageSetup paperSize="9" scale="4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13</vt:i4>
      </vt:variant>
    </vt:vector>
  </HeadingPairs>
  <TitlesOfParts>
    <vt:vector size="22" baseType="lpstr">
      <vt:lpstr>RESUMO</vt:lpstr>
      <vt:lpstr>PLANILHA ORCAMENTARIA</vt:lpstr>
      <vt:lpstr>Memória de Cálculo</vt:lpstr>
      <vt:lpstr>COMPOSICOES PROPRIAS</vt:lpstr>
      <vt:lpstr>CURVA ABC SERVICOS</vt:lpstr>
      <vt:lpstr>CRONOGRAMA</vt:lpstr>
      <vt:lpstr>BDI</vt:lpstr>
      <vt:lpstr>ENCARGOS SOCIAIS</vt:lpstr>
      <vt:lpstr>MAPA COTAÇÃO</vt:lpstr>
      <vt:lpstr>'ENCARGOS SOCIAIS'!Area_de_impressao</vt:lpstr>
      <vt:lpstr>'MAPA COTAÇÃO'!Area_de_impressao</vt:lpstr>
      <vt:lpstr>'Memória de Cálculo'!Area_de_impressao</vt:lpstr>
      <vt:lpstr>JR_PAGE_ANCHOR_0_1</vt:lpstr>
      <vt:lpstr>JR_PAGE_ANCHOR_1_1</vt:lpstr>
      <vt:lpstr>JR_PAGE_ANCHOR_2_1</vt:lpstr>
      <vt:lpstr>JR_PAGE_ANCHOR_3_1</vt:lpstr>
      <vt:lpstr>JR_PAGE_ANCHOR_4_1</vt:lpstr>
      <vt:lpstr>JR_PAGE_ANCHOR_5_1</vt:lpstr>
      <vt:lpstr>JR_PAGE_ANCHOR_6_1</vt:lpstr>
      <vt:lpstr>'Memória de Cálculo'!Print_Area</vt:lpstr>
      <vt:lpstr>'Memória de Cálculo'!Titulos_de_impressao</vt:lpstr>
      <vt:lpstr>VALOR_TOTAL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2026-01-13T12:26:50Z</dcterms:modified>
</cp:coreProperties>
</file>